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6.16.22" sheetId="1" r:id="rId4"/>
    <sheet state="visible" name="Opps $ and Count pivot" sheetId="2" r:id="rId5"/>
    <sheet state="visible" name="Archetype Pivot" sheetId="3" r:id="rId6"/>
    <sheet state="visible" name="Copy of PMD Workday Constants -" sheetId="4" r:id="rId7"/>
  </sheets>
  <definedNames>
    <definedName hidden="1" localSheetId="3" name="_xlnm._FilterDatabase">'Copy of PMD Workday Constants -'!$A$1:$AA$673</definedName>
    <definedName hidden="1" localSheetId="0" name="Z_F2B42CBC_5E4E_45EC_98AD_774706AF586F_.wvu.FilterData">'6.16.22'!$A$1:$Z$5786</definedName>
    <definedName hidden="1" localSheetId="3" name="Z_F2B42CBC_5E4E_45EC_98AD_774706AF586F_.wvu.FilterData">'Copy of PMD Workday Constants -'!$A$1:$AG$673</definedName>
  </definedNames>
  <calcPr/>
  <customWorkbookViews>
    <customWorkbookView activeSheetId="0" maximized="1" windowHeight="0" windowWidth="0" guid="{F2B42CBC-5E4E-45EC-98AD-774706AF586F}" name="Filter 1"/>
  </customWorkbookViews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<sst xmlns="http://schemas.openxmlformats.org/spreadsheetml/2006/main" count="94038" uniqueCount="15974">
  <si>
    <t>Opportunity ID</t>
  </si>
  <si>
    <t>Ultimate Parent Account Name</t>
  </si>
  <si>
    <t>Opportunity Name</t>
  </si>
  <si>
    <t>Stage</t>
  </si>
  <si>
    <t>Amount (converted) Currency</t>
  </si>
  <si>
    <t>Amount (converted)</t>
  </si>
  <si>
    <t>Bucket</t>
  </si>
  <si>
    <t>Created Date</t>
  </si>
  <si>
    <t>Close Date</t>
  </si>
  <si>
    <t>System Close Date</t>
  </si>
  <si>
    <t>Confidential</t>
  </si>
  <si>
    <t>Opportunity Lead: Full Name</t>
  </si>
  <si>
    <t>Archetype</t>
  </si>
  <si>
    <t>Opportunity Lead: Local LOS 1</t>
  </si>
  <si>
    <t>Opportunity Lead: Local LOS 2</t>
  </si>
  <si>
    <t>Opportunity Lead: Local LOS 3</t>
  </si>
  <si>
    <t>Opportunity Lead: Local LOS 4</t>
  </si>
  <si>
    <t>Opportunity Lead: Market Team</t>
  </si>
  <si>
    <t>Primary Campaign: Campaign Name</t>
  </si>
  <si>
    <t>Opportunity Lead: Employee Number</t>
  </si>
  <si>
    <t>Connected Opportunity: Opportunity Name</t>
  </si>
  <si>
    <t>Opportunity Connection Type</t>
  </si>
  <si>
    <t>Industry Sector</t>
  </si>
  <si>
    <t>Opportunity Owner</t>
  </si>
  <si>
    <t xml:space="preserve"> </t>
  </si>
  <si>
    <t>0064L00000Bcygj</t>
  </si>
  <si>
    <t>PG&amp;E Corporation</t>
  </si>
  <si>
    <t>Engineering &amp; Work Mgmt: Schedule &amp; Dispatch, Resource Mgmt, Field Work Processes</t>
  </si>
  <si>
    <t>Target</t>
  </si>
  <si>
    <t>USD</t>
  </si>
  <si>
    <t>$50M or greater</t>
  </si>
  <si>
    <t>Matthew Comte</t>
  </si>
  <si>
    <t>Consulting Solutions</t>
  </si>
  <si>
    <t>Transformation</t>
  </si>
  <si>
    <t>Operations Transform</t>
  </si>
  <si>
    <t>Operations Transformation [C-000450]</t>
  </si>
  <si>
    <t>CS_Industry_Ops_EUM_Telecom</t>
  </si>
  <si>
    <t>Power and Utilities</t>
  </si>
  <si>
    <t>Sarah Arnall</t>
  </si>
  <si>
    <t>0064L00000BmFiy</t>
  </si>
  <si>
    <t>General Electric Company</t>
  </si>
  <si>
    <t>GE Separation - Opportunity Set (Do not edit without talking to Rachael Grossman)</t>
  </si>
  <si>
    <t>15/2/2022</t>
  </si>
  <si>
    <t>31/12/2022</t>
  </si>
  <si>
    <t>Ryan Hawk</t>
  </si>
  <si>
    <t>GE Separation - Corporate - Deals-Related Spin Support</t>
  </si>
  <si>
    <t>Pull-Through</t>
  </si>
  <si>
    <t>Manufacturing</t>
  </si>
  <si>
    <t>0064L00000CYX37</t>
  </si>
  <si>
    <t>Mitsubishi UFJ Financial Group, Inc.</t>
  </si>
  <si>
    <t>Project Symphony - Sign to Close - 2HCY2022 Extension</t>
  </si>
  <si>
    <t>Interact</t>
  </si>
  <si>
    <t>25/5/2022</t>
  </si>
  <si>
    <t>Baqar Shah</t>
  </si>
  <si>
    <t>Delivering Deal Val</t>
  </si>
  <si>
    <t>Delivering Deal Value [C-000420]</t>
  </si>
  <si>
    <t>Banking and Capital Markets</t>
  </si>
  <si>
    <t>Arjun Dhingra</t>
  </si>
  <si>
    <t>0064L00000BdXa6</t>
  </si>
  <si>
    <t>II-VI Incorporated</t>
  </si>
  <si>
    <t>Enterprise Business Transformation - Phase 3</t>
  </si>
  <si>
    <t>17/12/2021</t>
  </si>
  <si>
    <t>22/5/2023</t>
  </si>
  <si>
    <t>Paul Carrannanto</t>
  </si>
  <si>
    <t>Ent Strategy &amp; Value</t>
  </si>
  <si>
    <t>Enterprise Strategy &amp; Value [C-000430]</t>
  </si>
  <si>
    <t>CS_EDT_CM_IPS</t>
  </si>
  <si>
    <t>Phased; Parent</t>
  </si>
  <si>
    <t>John Xu</t>
  </si>
  <si>
    <t>0064L0000041SRX</t>
  </si>
  <si>
    <t>Intel Corporation</t>
  </si>
  <si>
    <t>Intel Digital Transformation (incl. S/4)</t>
  </si>
  <si>
    <t>Mike Pegler</t>
  </si>
  <si>
    <t>CS_EDT_Multi_Funct</t>
  </si>
  <si>
    <t>Technology</t>
  </si>
  <si>
    <t>Scott Brown</t>
  </si>
  <si>
    <t>0064L00000BnvEt</t>
  </si>
  <si>
    <t>Centene Corporation</t>
  </si>
  <si>
    <t>Platform consolidation #GCOE #PayerCO&amp;ITrans</t>
  </si>
  <si>
    <t>Close</t>
  </si>
  <si>
    <t>30/6/2022</t>
  </si>
  <si>
    <t>George Mansour</t>
  </si>
  <si>
    <t>Clinical Transform</t>
  </si>
  <si>
    <t>Clinical Transformation [C-000400]</t>
  </si>
  <si>
    <t>CS_Industry_Payer</t>
  </si>
  <si>
    <t>Health Services</t>
  </si>
  <si>
    <t>0064L00000Bd3eJ</t>
  </si>
  <si>
    <t>Shell PLC</t>
  </si>
  <si>
    <t>Shell - IT Strategic Partnership #BigBet</t>
  </si>
  <si>
    <t>Austin Morris</t>
  </si>
  <si>
    <t>CS_Cloud_CM_IPS</t>
  </si>
  <si>
    <t>Energy</t>
  </si>
  <si>
    <t>0064L00000BndPk</t>
  </si>
  <si>
    <t>Citigroup Inc.</t>
  </si>
  <si>
    <t>Transaction Management - Wholesale Lending Contracts : Phase 2</t>
  </si>
  <si>
    <t>$20M or greater</t>
  </si>
  <si>
    <t>15/7/2022</t>
  </si>
  <si>
    <t>Jai Sinha</t>
  </si>
  <si>
    <t>CS_EDT_BCM_AWM</t>
  </si>
  <si>
    <t>Pradeep Pandey</t>
  </si>
  <si>
    <t>0064L000007wQ9g</t>
  </si>
  <si>
    <t>Alliant Energy Corporation</t>
  </si>
  <si>
    <t>EWAM Program Implementation</t>
  </si>
  <si>
    <t>Propose</t>
  </si>
  <si>
    <t>29/7/2022</t>
  </si>
  <si>
    <t>Michael Chapman</t>
  </si>
  <si>
    <t>Mike Faerber</t>
  </si>
  <si>
    <t>0064L00000Bo6sF</t>
  </si>
  <si>
    <t>Enterprise Holdings Inc.</t>
  </si>
  <si>
    <t>EHI Finance Transformation - Phase 4</t>
  </si>
  <si>
    <t>20/4/2022</t>
  </si>
  <si>
    <t>John Tvrdik</t>
  </si>
  <si>
    <t>Finance Transform</t>
  </si>
  <si>
    <t>Finance Transformation [C-000440]</t>
  </si>
  <si>
    <t>CS_Finance_CM</t>
  </si>
  <si>
    <t>Business Services</t>
  </si>
  <si>
    <t>0064L000007WT3f</t>
  </si>
  <si>
    <t>Canadian Imperial Bank of Commerce</t>
  </si>
  <si>
    <t>CIBC Finance Modernization Implementation Support - US #SAP+GROWTH</t>
  </si>
  <si>
    <t>Harold Houser</t>
  </si>
  <si>
    <t>CS_Finance_Banking</t>
  </si>
  <si>
    <t>Carina Hira</t>
  </si>
  <si>
    <t>0064L000007wF98</t>
  </si>
  <si>
    <t>GE IT Transformation #GET+DD</t>
  </si>
  <si>
    <t>28/4/2021</t>
  </si>
  <si>
    <t>30/4/2023</t>
  </si>
  <si>
    <t>CS_Industry_Ops_IP_Tech</t>
  </si>
  <si>
    <t>Matthew Schwienteck</t>
  </si>
  <si>
    <t>0064L00000DJkc2</t>
  </si>
  <si>
    <t>Alphabet Inc.</t>
  </si>
  <si>
    <t>Alphabet Finance Transformation &amp; Managed Services #TMTMSO</t>
  </si>
  <si>
    <t>13/6/2022</t>
  </si>
  <si>
    <t>31/7/2022</t>
  </si>
  <si>
    <t>Manoj Arora</t>
  </si>
  <si>
    <t>CS_Finance_TMT</t>
  </si>
  <si>
    <t>Kalil Samra</t>
  </si>
  <si>
    <t>0064L00000AraIb</t>
  </si>
  <si>
    <t>United Natural Foods INC.</t>
  </si>
  <si>
    <t>UNFI -- Financial ERP Transformation/Implementation #Selection</t>
  </si>
  <si>
    <t>TK (Touseef) Khowaja</t>
  </si>
  <si>
    <t>Retail</t>
  </si>
  <si>
    <t>Dave Fioretti</t>
  </si>
  <si>
    <t>0064L0000097m1E</t>
  </si>
  <si>
    <t>PepsiCo, Inc.</t>
  </si>
  <si>
    <t>Pepsi Digital Space Optimization #DVC</t>
  </si>
  <si>
    <t>21/6/2021</t>
  </si>
  <si>
    <t>Mohib Yousufani</t>
  </si>
  <si>
    <t>Consumer</t>
  </si>
  <si>
    <t>0064L000003zDAQ</t>
  </si>
  <si>
    <t>BP PLC.</t>
  </si>
  <si>
    <t>bp T&amp;S Power Trading Implementation #bigbet</t>
  </si>
  <si>
    <t>14/9/2020</t>
  </si>
  <si>
    <t>31/8/2022</t>
  </si>
  <si>
    <t>CS_Commercial_CRM_CM_IPS_HI</t>
  </si>
  <si>
    <t>0064I00000zSoiP</t>
  </si>
  <si>
    <t>WEATHERFORD INTERNATIONAL PUBLIC LIMITED COMPANY</t>
  </si>
  <si>
    <t>WFT - ERP / EPM/ HCM Phase 2 - Implementation #BigBet</t>
  </si>
  <si>
    <t>Keith Considine</t>
  </si>
  <si>
    <t>Brian Brezina</t>
  </si>
  <si>
    <t>0064L000009gJJX</t>
  </si>
  <si>
    <t>Global Payments Inc.</t>
  </si>
  <si>
    <t>Project Sparrow - Execution Phase</t>
  </si>
  <si>
    <t>Sanchit Tiwari</t>
  </si>
  <si>
    <t>0064L00000Bf25h</t>
  </si>
  <si>
    <t>Pepsi Digital Value Creation Scale Up - Wave 2</t>
  </si>
  <si>
    <t>29/1/2022</t>
  </si>
  <si>
    <t>30/6/2023</t>
  </si>
  <si>
    <t>0064L00000CWtux</t>
  </si>
  <si>
    <t>NextEra Energy, Inc.</t>
  </si>
  <si>
    <t>CIS Implementation - 2024</t>
  </si>
  <si>
    <t>19/4/2022</t>
  </si>
  <si>
    <t>30/6/2024</t>
  </si>
  <si>
    <t>Geoff Plese</t>
  </si>
  <si>
    <t>Customer Transform</t>
  </si>
  <si>
    <t>Customer Transformation [C-000410]</t>
  </si>
  <si>
    <t>Gina Hoy</t>
  </si>
  <si>
    <t>0064L000003zBQl</t>
  </si>
  <si>
    <t>Baptist Memorial Health Services</t>
  </si>
  <si>
    <t>Business modernization enabled by ERP</t>
  </si>
  <si>
    <t>Amy Cochran</t>
  </si>
  <si>
    <t>CS_Industry_Provider_Transformation</t>
  </si>
  <si>
    <t>Patrick Forster</t>
  </si>
  <si>
    <t>0064L00000DJgbZ</t>
  </si>
  <si>
    <t>Intel Cost Transformation Phase II</t>
  </si>
  <si>
    <t>Arup Chatterji</t>
  </si>
  <si>
    <t>CS_EDT_TMT</t>
  </si>
  <si>
    <t>Intel Cost Transformation</t>
  </si>
  <si>
    <t>Phased</t>
  </si>
  <si>
    <t>Gaya Kuharajan</t>
  </si>
  <si>
    <t>0064L00000CWcWR</t>
  </si>
  <si>
    <t>2023 Centene Platform Consolidation</t>
  </si>
  <si>
    <t>30/12/2022</t>
  </si>
  <si>
    <t>Mukund Srirangapatnam</t>
  </si>
  <si>
    <t>Kimberly DiNapoli</t>
  </si>
  <si>
    <t>0064L000002bfQ4</t>
  </si>
  <si>
    <t>Albany Medical Center</t>
  </si>
  <si>
    <t>Rural Equity Initiative - *Strategic Reimbursement*</t>
  </si>
  <si>
    <t>13/5/2021</t>
  </si>
  <si>
    <t>Chad Leopard</t>
  </si>
  <si>
    <t>Brandon McCain</t>
  </si>
  <si>
    <t>0064L00000CXdCs</t>
  </si>
  <si>
    <t>Shell - Consolidation Engine Replacement | Phase 2</t>
  </si>
  <si>
    <t>16/6/2023</t>
  </si>
  <si>
    <t>Leonardo De Biasi</t>
  </si>
  <si>
    <t>CS_Finance_IPS_EUM_PU</t>
  </si>
  <si>
    <t>Rory Weston</t>
  </si>
  <si>
    <t>0064L00000As7jQ</t>
  </si>
  <si>
    <t>Wholesale Credit Risk -  US PM support extension 2H '22 #Core</t>
  </si>
  <si>
    <t>18/11/2021</t>
  </si>
  <si>
    <t>Christopher Scarpati</t>
  </si>
  <si>
    <t>Services Transform</t>
  </si>
  <si>
    <t>Service Transformation [C-000460]</t>
  </si>
  <si>
    <t>CS_Industry_Capital_Markets</t>
  </si>
  <si>
    <t>Wholesale Credit Risk -  US PM support extension 1H '22 #Core #ChangeNavigator</t>
  </si>
  <si>
    <t>Scott Levine</t>
  </si>
  <si>
    <t>0064L000002Z758</t>
  </si>
  <si>
    <t>WFT ERP Phase 3+ #BigBet</t>
  </si>
  <si>
    <t>31/10/2022</t>
  </si>
  <si>
    <t>0064L00000As81K</t>
  </si>
  <si>
    <t>ConocoPhillips</t>
  </si>
  <si>
    <t>nxtgenERP Change Order &amp; New Scope 2022</t>
  </si>
  <si>
    <t>Robert Gruman</t>
  </si>
  <si>
    <t>Workforce Transform</t>
  </si>
  <si>
    <t>Workforce Transformation [C-000480]</t>
  </si>
  <si>
    <t>0064L00000BnqrK</t>
  </si>
  <si>
    <t>UnitedHealth Group Incorporated</t>
  </si>
  <si>
    <t>DVC_GBS Phase 2/3</t>
  </si>
  <si>
    <t>25/11/2022</t>
  </si>
  <si>
    <t>Charlotte Reardon</t>
  </si>
  <si>
    <t>CS_EDT_Health_Services</t>
  </si>
  <si>
    <t>0064L00000B1LzK</t>
  </si>
  <si>
    <t>Project Unicorn</t>
  </si>
  <si>
    <t>Maria Blanco</t>
  </si>
  <si>
    <t>0064L00000ArWeH</t>
  </si>
  <si>
    <t>Rite Aid Corporation</t>
  </si>
  <si>
    <t>Rite Aid- #ProjectNorthstar - FIN/RTC Transformation - Release 3 (Primary)</t>
  </si>
  <si>
    <t>10-20M</t>
  </si>
  <si>
    <t>31/5/2023</t>
  </si>
  <si>
    <t>Adam Kennedy</t>
  </si>
  <si>
    <t>Chris DeMicco</t>
  </si>
  <si>
    <t>0064L00000ArBJw</t>
  </si>
  <si>
    <t>Southern Company</t>
  </si>
  <si>
    <t>Ash Pond Program Project Controls Support - aaS</t>
  </si>
  <si>
    <t>14/10/2021</t>
  </si>
  <si>
    <t>Daryl Walcroft</t>
  </si>
  <si>
    <t>0064L00000DFYWW</t>
  </si>
  <si>
    <t>Morningstar Inc.</t>
  </si>
  <si>
    <t>Software Engineering Staff Aug Part One</t>
  </si>
  <si>
    <t>17/6/2022</t>
  </si>
  <si>
    <t>Rakesh Bhatia</t>
  </si>
  <si>
    <t>Media and Entertainment</t>
  </si>
  <si>
    <t>David Nestor</t>
  </si>
  <si>
    <t>0064L00000B2E3T</t>
  </si>
  <si>
    <t>Ameritas Mutual Holding Company</t>
  </si>
  <si>
    <t>Ameritas-Finance Implementation Pipeline #Oracle_INS (Advisory led, ASUS)</t>
  </si>
  <si>
    <t>Brett Maher</t>
  </si>
  <si>
    <t>CS_Finance_Insurance</t>
  </si>
  <si>
    <t>Change Order; Parent</t>
  </si>
  <si>
    <t>Insurance</t>
  </si>
  <si>
    <t>Tony Bialorucki</t>
  </si>
  <si>
    <t>0064L00000Bcjvh</t>
  </si>
  <si>
    <t>Vistra Corp.</t>
  </si>
  <si>
    <t>Finance Transformation</t>
  </si>
  <si>
    <t>30/11/2021</t>
  </si>
  <si>
    <t>28/10/2022</t>
  </si>
  <si>
    <t>Derek Manville</t>
  </si>
  <si>
    <t>Jake Bunger</t>
  </si>
  <si>
    <t>0064L000009g4sH</t>
  </si>
  <si>
    <t>Wegmans Food Markets, Inc.</t>
  </si>
  <si>
    <t>Business and Systems Transformation #CMRETAIL</t>
  </si>
  <si>
    <t>Kelly Pedersen</t>
  </si>
  <si>
    <t>0064L00000AqddR</t>
  </si>
  <si>
    <t>GE Aviation Digital Transformation (CEO, MSO)</t>
  </si>
  <si>
    <t>23/9/2021</t>
  </si>
  <si>
    <t>27/12/2022</t>
  </si>
  <si>
    <t>Stephen Pillsbury</t>
  </si>
  <si>
    <t>0064L00000BmQuv</t>
  </si>
  <si>
    <t>Business and Systems Transformation #CMRETAIL - Phase 2</t>
  </si>
  <si>
    <t>21/2/2022</t>
  </si>
  <si>
    <t>Nicholas Durante</t>
  </si>
  <si>
    <t>0064L00000BmMFs</t>
  </si>
  <si>
    <t>GRUPO ARGOS S.A.</t>
  </si>
  <si>
    <t>Carveout in a Box - Argos Spinoff #SAP+M&amp;APE</t>
  </si>
  <si>
    <t>17/2/2022</t>
  </si>
  <si>
    <t>Suheb Siddiqui</t>
  </si>
  <si>
    <t>CS_Deal_Corporate_M&amp;A_IPS</t>
  </si>
  <si>
    <t>Project Amsterdam</t>
  </si>
  <si>
    <t>Engineering and Construction</t>
  </si>
  <si>
    <t>0064L00000BeST6</t>
  </si>
  <si>
    <t>Fidelity National Information Services, Inc</t>
  </si>
  <si>
    <t>FIS #DVC Automate Next - Phase 2 Execution</t>
  </si>
  <si>
    <t>16/1/2022</t>
  </si>
  <si>
    <t>0064L00000BoSIw</t>
  </si>
  <si>
    <t>Meiji Yasuda Life Insurance Company</t>
  </si>
  <si>
    <t>EB DCX Portals Execution</t>
  </si>
  <si>
    <t>23/12/2022</t>
  </si>
  <si>
    <t>Susmitha Kakumani</t>
  </si>
  <si>
    <t>CS_Industry_Insurance</t>
  </si>
  <si>
    <t>0064L00000CXOeN</t>
  </si>
  <si>
    <t>Pinnacle West Capital Corporation</t>
  </si>
  <si>
    <t>SCORE Program SI</t>
  </si>
  <si>
    <t>29/4/2022</t>
  </si>
  <si>
    <t>30/9/2022</t>
  </si>
  <si>
    <t>0064I00000zRfN7</t>
  </si>
  <si>
    <t>VOLKSWAGEN AKTIENGESELLSCHAFT</t>
  </si>
  <si>
    <t>SAP 4 H Central Finance Roll Out at VW in the US #MW</t>
  </si>
  <si>
    <t>22/11/2019</t>
  </si>
  <si>
    <t>CS_Finance_IPS_IP</t>
  </si>
  <si>
    <t>Automotive</t>
  </si>
  <si>
    <t>Dietmar Ostermann</t>
  </si>
  <si>
    <t>0064L00000Boyjt</t>
  </si>
  <si>
    <t>WALGREENS BOOTS ALLIANCE, INC.</t>
  </si>
  <si>
    <t>Centralized Services - Phase 4 (FY23) #CallCenter #DVC</t>
  </si>
  <si>
    <t>30/8/2022</t>
  </si>
  <si>
    <t>Varun Sharma</t>
  </si>
  <si>
    <t>Laura Shrum</t>
  </si>
  <si>
    <t>0064L00000CWu28</t>
  </si>
  <si>
    <t>Blue Cross Blue Shield Of Michigan Mutual Insurance Company</t>
  </si>
  <si>
    <t>Nasco Migration Execution Support #PayerCO&amp;ITrans</t>
  </si>
  <si>
    <t>Christopher Joyce</t>
  </si>
  <si>
    <t>0064L00000BerLi</t>
  </si>
  <si>
    <t>Rochester Regional Health System</t>
  </si>
  <si>
    <t>25/1/2022</t>
  </si>
  <si>
    <t>0064L00000BckFI</t>
  </si>
  <si>
    <t>Morgan Stanley</t>
  </si>
  <si>
    <t>MS Finance FDW Data Warehouse Acceleration</t>
  </si>
  <si>
    <t>27/6/2022</t>
  </si>
  <si>
    <t>Aditi Bansal</t>
  </si>
  <si>
    <t>0064L00000BnBQ7</t>
  </si>
  <si>
    <t>GE Separation - Corporate - SMO Post 3/31</t>
  </si>
  <si>
    <t>16/3/2022</t>
  </si>
  <si>
    <t>Daniel O'Neill</t>
  </si>
  <si>
    <t>GE Separation - Corporate - SMO</t>
  </si>
  <si>
    <t>Rachael Grossman</t>
  </si>
  <si>
    <t>0064L000009g35p</t>
  </si>
  <si>
    <t>WestRock Company</t>
  </si>
  <si>
    <t>Supply Chain Planning Technology Implementation</t>
  </si>
  <si>
    <t>25/5/2022 11:24 pm</t>
  </si>
  <si>
    <t>Peter Domanko</t>
  </si>
  <si>
    <t>Forest, Paper and Packaging</t>
  </si>
  <si>
    <t>0064L00000Apeyp</t>
  </si>
  <si>
    <t>Memorial Sloan-Kettering Cancer Center</t>
  </si>
  <si>
    <t>Memorial Sloan-Kettering Cancer Center *VBO* Out of Network &amp; Denial A/R Assistance FY23 Extension</t>
  </si>
  <si>
    <t>14/8/2021</t>
  </si>
  <si>
    <t>John Rich</t>
  </si>
  <si>
    <t>Memorial Sloan-Kettering Cancer Center *VBO* Out of Network &amp; Denial A/R Assistance</t>
  </si>
  <si>
    <t>Recurring</t>
  </si>
  <si>
    <t>0064L00000B2JFa</t>
  </si>
  <si>
    <t>Adventist Health System/Sunbelt Inc.</t>
  </si>
  <si>
    <t>AdventHealth *VBO* Cerner Legacy A/R (2 of 3) FY23 Extension</t>
  </si>
  <si>
    <t>Larry Patrick</t>
  </si>
  <si>
    <t>Recurring; Parent</t>
  </si>
  <si>
    <t>0064L00000B2D2A</t>
  </si>
  <si>
    <t>Liberty Mutual Holding Company Inc.</t>
  </si>
  <si>
    <t>GRM EIS Implementation Extension H2 2022 - WEM, Asia MCM, Andes</t>
  </si>
  <si>
    <t>Robert Walker</t>
  </si>
  <si>
    <t>0064L00000BlEyq</t>
  </si>
  <si>
    <t>Markel Corporation</t>
  </si>
  <si>
    <t>Markel Finance Cloud Implementation #Oracle_INS</t>
  </si>
  <si>
    <t>Michael McDonald</t>
  </si>
  <si>
    <t>0064L00000B0kbJ</t>
  </si>
  <si>
    <t>Aflac Incorporated</t>
  </si>
  <si>
    <t>Argus Dental and Vision - EIS SI 2023</t>
  </si>
  <si>
    <t>23/8/2021</t>
  </si>
  <si>
    <t>29/12/2023</t>
  </si>
  <si>
    <t>Charlene Glidden</t>
  </si>
  <si>
    <t>Lacey Swanepoel</t>
  </si>
  <si>
    <t>0064L00000B0kTK</t>
  </si>
  <si>
    <t>The Hartford Financial Services Group Inc.</t>
  </si>
  <si>
    <t>Group Transformation (SI work)</t>
  </si>
  <si>
    <t>Jim Quick</t>
  </si>
  <si>
    <t>GB Tech Modernization (Sept '21 -Jan '22)</t>
  </si>
  <si>
    <t>0064L00000CXFW1</t>
  </si>
  <si>
    <t>MetLife, Inc.</t>
  </si>
  <si>
    <t>Group Benefits Transformation Partner (Majesco)</t>
  </si>
  <si>
    <t>26/4/2022</t>
  </si>
  <si>
    <t>0064I000015SlRE</t>
  </si>
  <si>
    <t>Emerson Electric Co.</t>
  </si>
  <si>
    <t>Confidential #COVID-19 Compliance Project Ram</t>
  </si>
  <si>
    <t>0064L00000BgZBM</t>
  </si>
  <si>
    <t>Ben E. Keith Company</t>
  </si>
  <si>
    <t>Ben E Keith - Blue Yonder - $10M</t>
  </si>
  <si>
    <t>Mithun Samani Mohan</t>
  </si>
  <si>
    <t>CS_Industry_Ops_CM</t>
  </si>
  <si>
    <t>Ellen McInerney</t>
  </si>
  <si>
    <t>0064L00000BgZCy</t>
  </si>
  <si>
    <t>UNFI - Blue Yonder - $10M</t>
  </si>
  <si>
    <t>Brian Houck</t>
  </si>
  <si>
    <t>0064L00000CXiV9</t>
  </si>
  <si>
    <t>Textron Inc.</t>
  </si>
  <si>
    <t>Bell Smart Factory</t>
  </si>
  <si>
    <t>Aerospace and Defence</t>
  </si>
  <si>
    <t>John Livingstone</t>
  </si>
  <si>
    <t>0064L00000Bmm9g</t>
  </si>
  <si>
    <t>Enterprise Business Transformation - Phase 2A</t>
  </si>
  <si>
    <t>0064L00000CWcWq</t>
  </si>
  <si>
    <t>2024 Centene Platform Consolidation</t>
  </si>
  <si>
    <t>0064L0000099TtB</t>
  </si>
  <si>
    <t>Shell - Marketing Cloud: Greenlots, Inspire, Chems, CoE  #BigBet</t>
  </si>
  <si>
    <t>28/7/2021</t>
  </si>
  <si>
    <t>16/12/2022</t>
  </si>
  <si>
    <t>Sarah Classen</t>
  </si>
  <si>
    <t>0064L0000099UKR</t>
  </si>
  <si>
    <t>Sempra Energy</t>
  </si>
  <si>
    <t>AIPM Copperleaf Implementation Release 2-4 #BigBets</t>
  </si>
  <si>
    <t>29/7/2021</t>
  </si>
  <si>
    <t>30/11/2022</t>
  </si>
  <si>
    <t>Reza Jenab</t>
  </si>
  <si>
    <t>AIPM Copperleaf Implementation Release 1</t>
  </si>
  <si>
    <t>Brett Haynie</t>
  </si>
  <si>
    <t>0064L00000Apwwg</t>
  </si>
  <si>
    <t>KeyCorp</t>
  </si>
  <si>
    <t>Keybank - Commercial Servicing Transformation Phase 2+</t>
  </si>
  <si>
    <t>26/8/2021</t>
  </si>
  <si>
    <t>26/8/2022</t>
  </si>
  <si>
    <t>Justin Kaufman</t>
  </si>
  <si>
    <t>CS_Industry_Banking</t>
  </si>
  <si>
    <t>0064L000004wx7s</t>
  </si>
  <si>
    <t>Illinois Agricultural Association</t>
  </si>
  <si>
    <t>Country ERP Modernization Implementation</t>
  </si>
  <si>
    <t>14/1/2021</t>
  </si>
  <si>
    <t>15/12/2022</t>
  </si>
  <si>
    <t>Pull-Through; Parent</t>
  </si>
  <si>
    <t>Rob Elliott</t>
  </si>
  <si>
    <t>0064L00000AqWkk</t>
  </si>
  <si>
    <t>Innovaccer Inc.</t>
  </si>
  <si>
    <t>Innovaccer SI Opportunity SCALED</t>
  </si>
  <si>
    <t>18/9/2021</t>
  </si>
  <si>
    <t>Deepak Goyal</t>
  </si>
  <si>
    <t>0064L000002bec6</t>
  </si>
  <si>
    <t>Providence Health &amp; Services</t>
  </si>
  <si>
    <t>0064L00000CVzGv</t>
  </si>
  <si>
    <t>State Street Corporation</t>
  </si>
  <si>
    <t>Alpha Implementation Partnership (Year 2)</t>
  </si>
  <si>
    <t>29/3/2022</t>
  </si>
  <si>
    <t>William Cotter</t>
  </si>
  <si>
    <t>Asset and Wealth Management</t>
  </si>
  <si>
    <t>Robert Bucchino</t>
  </si>
  <si>
    <t>0064L00000CVzIr</t>
  </si>
  <si>
    <t>Alpha Implementation Partnership (Year 3)</t>
  </si>
  <si>
    <t>0064L00000B2E4C</t>
  </si>
  <si>
    <t>Alpha Implementation Partnership</t>
  </si>
  <si>
    <t>16/6/2022</t>
  </si>
  <si>
    <t>Tamika Boateng</t>
  </si>
  <si>
    <t>0064L00000Bnd4R</t>
  </si>
  <si>
    <t>Rivian Automotive Inc.</t>
  </si>
  <si>
    <t>Inventory and Production Support - Phase 2</t>
  </si>
  <si>
    <t>Rivian Change Management Support</t>
  </si>
  <si>
    <t>Brian Decker</t>
  </si>
  <si>
    <t>0064L000004wpu1</t>
  </si>
  <si>
    <t>Boston Scientific Corporation</t>
  </si>
  <si>
    <t>SAP S/4 Release 2</t>
  </si>
  <si>
    <t>13/1/2021</t>
  </si>
  <si>
    <t>21/10/2022</t>
  </si>
  <si>
    <t>Randy Brown</t>
  </si>
  <si>
    <t>CS_Finance_Payer_Pharma</t>
  </si>
  <si>
    <t>Pharma and Life Sciences</t>
  </si>
  <si>
    <t>0064L00000Beygw</t>
  </si>
  <si>
    <t>U.S. Bancorp</t>
  </si>
  <si>
    <t>US Bank - Lending and Core Modernization Opportunity (FIS)</t>
  </si>
  <si>
    <t>27/1/2022</t>
  </si>
  <si>
    <t>Justin O'Connor</t>
  </si>
  <si>
    <t>Kleber Niza</t>
  </si>
  <si>
    <t>0064L00000BoAiJ</t>
  </si>
  <si>
    <t>Durant Bancorp. Inc.</t>
  </si>
  <si>
    <t>growth strategy support - digital cloud transformation</t>
  </si>
  <si>
    <t>22/4/2022</t>
  </si>
  <si>
    <t>Paul Blase</t>
  </si>
  <si>
    <t>0064L00000ArtDU</t>
  </si>
  <si>
    <t>Rite Aid- #ProjectNorthstar - FIN/RTC Transformation - Release 2 (Primary)</t>
  </si>
  <si>
    <t>0064L00000CW04o</t>
  </si>
  <si>
    <t>Fisher Investments, Inc.</t>
  </si>
  <si>
    <t>Middle/Back Office Transformation - Phase 3</t>
  </si>
  <si>
    <t>5 - 9.9M</t>
  </si>
  <si>
    <t>Evan Siegal</t>
  </si>
  <si>
    <t>Kyle Calcagno</t>
  </si>
  <si>
    <t>0064L000009fgQm</t>
  </si>
  <si>
    <t>Huntington Ingalls Industries Inc.</t>
  </si>
  <si>
    <t>Payroll Implementation - Phase 2</t>
  </si>
  <si>
    <t>5-9.999M</t>
  </si>
  <si>
    <t>23/7/2021</t>
  </si>
  <si>
    <t>Mike Boro</t>
  </si>
  <si>
    <t>CS_Rewards_and_Well-Being</t>
  </si>
  <si>
    <t>Mike Shomaker</t>
  </si>
  <si>
    <t>0064L00000DJT92</t>
  </si>
  <si>
    <t>Apollo Global Management, Inc.</t>
  </si>
  <si>
    <t>Project Connect - IT Teams Extension #CIAB</t>
  </si>
  <si>
    <t>Rohan Iyer</t>
  </si>
  <si>
    <t>0064L00000BoSpM</t>
  </si>
  <si>
    <t>AT&amp;T Inc.</t>
  </si>
  <si>
    <t>Project Neon (Managed Servcies)</t>
  </si>
  <si>
    <t>David Shebay</t>
  </si>
  <si>
    <t>CS_MidMarket</t>
  </si>
  <si>
    <t>Telecommunications</t>
  </si>
  <si>
    <t>Walker Barnum</t>
  </si>
  <si>
    <t>0064L000009AhXd</t>
  </si>
  <si>
    <t>PETROLEOS DE VENEZUELA S A</t>
  </si>
  <si>
    <t>Phase 2: Trading system implementation</t>
  </si>
  <si>
    <t>17/11/2021</t>
  </si>
  <si>
    <t>Sean Ruckel</t>
  </si>
  <si>
    <t>Phase I: Trading system selection and conceptual design</t>
  </si>
  <si>
    <t>Krishna Prativadibhayankaram</t>
  </si>
  <si>
    <t>0064I00000zUd7r</t>
  </si>
  <si>
    <t>L3Harris Technologies, Inc.</t>
  </si>
  <si>
    <t>L3Harris Project Pathfinder Full Program (Not including Acct Recs) #MW</t>
  </si>
  <si>
    <t>Frank Kobyluch</t>
  </si>
  <si>
    <t>0064L00000CYQHn</t>
  </si>
  <si>
    <t>Bristol-Myers Squibb Company</t>
  </si>
  <si>
    <t>BMS Finance Integration (LER/Rhine) - Jan - Jun 23</t>
  </si>
  <si>
    <t>23/5/2022</t>
  </si>
  <si>
    <t>31/1/2023</t>
  </si>
  <si>
    <t>Bobby Shuman</t>
  </si>
  <si>
    <t>CS_Deal_Corporate_M&amp;A_PLS_Med</t>
  </si>
  <si>
    <t>Michael Atamanuk</t>
  </si>
  <si>
    <t>0064L00000BoLyt</t>
  </si>
  <si>
    <t>Banner Health</t>
  </si>
  <si>
    <t>Clinician &amp; Patient Engage + Coord Capabilities - Build Phase</t>
  </si>
  <si>
    <t>Will Nolen</t>
  </si>
  <si>
    <t>Clinician &amp; Patient Engage + Coord Capabilities - Diagnostic Phase</t>
  </si>
  <si>
    <t>Emily Grehan</t>
  </si>
  <si>
    <t>0064L00000CVWDN</t>
  </si>
  <si>
    <t>CVS Health Corporation</t>
  </si>
  <si>
    <t>CVS: Medicaid NextGen: 2023 execution support #PayerCO&amp;ITrans</t>
  </si>
  <si>
    <t>20/1/2023</t>
  </si>
  <si>
    <t>0064L00000Bos2m</t>
  </si>
  <si>
    <t>GE Separation - Healthcare - SMO - Phase 2</t>
  </si>
  <si>
    <t>20/5/2022</t>
  </si>
  <si>
    <t>Lev Holubec</t>
  </si>
  <si>
    <t>GE Separation - Healthcare - SMO - Phase 1</t>
  </si>
  <si>
    <t>0064L000004vLox</t>
  </si>
  <si>
    <t>DOW Inc.</t>
  </si>
  <si>
    <t>LER Phase 2: Design / Implementation</t>
  </si>
  <si>
    <t>Sarah Rodriguez</t>
  </si>
  <si>
    <t>Chemicals</t>
  </si>
  <si>
    <t>Ian Sturgess</t>
  </si>
  <si>
    <t>0064L00000Bet7i</t>
  </si>
  <si>
    <t>FIS - CPQ and Pricing Implementation - Implementation Phase</t>
  </si>
  <si>
    <t>26/1/2022</t>
  </si>
  <si>
    <t>31/3/2023</t>
  </si>
  <si>
    <t>Charlie Hohenshelt</t>
  </si>
  <si>
    <t>CS_Commercial_CRM_FS_TMT</t>
  </si>
  <si>
    <t>FIS - CPQ and Pricing Implementation - Global Design</t>
  </si>
  <si>
    <t>Jason Robert</t>
  </si>
  <si>
    <t>0064L00000Bg4DE</t>
  </si>
  <si>
    <t>WBA WAG Health Acceleration Engagement Commercial Program Launch #HVM</t>
  </si>
  <si>
    <t>22/2/2022</t>
  </si>
  <si>
    <t>Jayanth Godla</t>
  </si>
  <si>
    <t>Nori Schurwan</t>
  </si>
  <si>
    <t>0064I00000qsIxD</t>
  </si>
  <si>
    <t>Helmerich &amp; Payne Inc.</t>
  </si>
  <si>
    <t>H&amp;P Oracle Cloud ERP Implementation</t>
  </si>
  <si>
    <t>15/3/2019</t>
  </si>
  <si>
    <t>Robbie Biggers</t>
  </si>
  <si>
    <t>0064L00000DFlE5</t>
  </si>
  <si>
    <t>JAB Holding Company s.à.r.l.</t>
  </si>
  <si>
    <t>KDP -  eB2B/RE scaling - Phase 2 and beyond</t>
  </si>
  <si>
    <t>14/6/2022</t>
  </si>
  <si>
    <t>Alex Kushnir</t>
  </si>
  <si>
    <t>KDP - Digital route to market - eB2B #RGM</t>
  </si>
  <si>
    <t>Louise Fuller</t>
  </si>
  <si>
    <t>0064L000007weTi</t>
  </si>
  <si>
    <t>PPL Corporation</t>
  </si>
  <si>
    <t>PPL GL Replacement</t>
  </si>
  <si>
    <t>14/5/2021</t>
  </si>
  <si>
    <t>Blake Cooper</t>
  </si>
  <si>
    <t>0064L00000Bcydp</t>
  </si>
  <si>
    <t>Enterprise Investment Planning Platform for EO (Copperleaf)</t>
  </si>
  <si>
    <t>0064L00000BnyF5</t>
  </si>
  <si>
    <t>Global Payments R12 Migration</t>
  </si>
  <si>
    <t>14/4/2022</t>
  </si>
  <si>
    <t>Kenneth LaManna</t>
  </si>
  <si>
    <t>Saikat Sen</t>
  </si>
  <si>
    <t>0064L00000CWM9h</t>
  </si>
  <si>
    <t>Blackstone Group Management LLC</t>
  </si>
  <si>
    <t>BX China IT Buildout - Phase 3</t>
  </si>
  <si>
    <t>28/7/2022</t>
  </si>
  <si>
    <t>Jay Kaduson</t>
  </si>
  <si>
    <t>Private Equity</t>
  </si>
  <si>
    <t>Daniel Czajkowski</t>
  </si>
  <si>
    <t>0064L00000B0sCE</t>
  </si>
  <si>
    <t>Gilead Sciences, Inc.</t>
  </si>
  <si>
    <t>Gilead:IT  Gilead NextGen Clinical Platform Implementation #R&amp;DAutomation</t>
  </si>
  <si>
    <t>Ian Shafer</t>
  </si>
  <si>
    <t>CS_Industry_Clinical_R&amp;D</t>
  </si>
  <si>
    <t>0064L00000B2uiF</t>
  </si>
  <si>
    <t>Phillips 66 Company</t>
  </si>
  <si>
    <t>P66 - Enterprise Wide CLM Inplementation</t>
  </si>
  <si>
    <t>21/10/2021</t>
  </si>
  <si>
    <t>Marty Makulski</t>
  </si>
  <si>
    <t>Merry Wright</t>
  </si>
  <si>
    <t>0064L00000CVj6x</t>
  </si>
  <si>
    <t>Claims technology platform modernization - implementation support #PayerCO&amp;ITrans #OHI</t>
  </si>
  <si>
    <t>22/3/2022</t>
  </si>
  <si>
    <t>14/10/2022</t>
  </si>
  <si>
    <t>0064L00000CVWDO</t>
  </si>
  <si>
    <t>CVS: Medicaid NextGen: 2024 execution support #PayerCO&amp;ITrans</t>
  </si>
  <si>
    <t>19/1/2024</t>
  </si>
  <si>
    <t>0064L000009BCre</t>
  </si>
  <si>
    <t>Public Service Enterprise Group</t>
  </si>
  <si>
    <t>PSEG LI Time &amp; Attendance</t>
  </si>
  <si>
    <t>Karen Brennan-Holton</t>
  </si>
  <si>
    <t>CS_HR_Talent_Change</t>
  </si>
  <si>
    <t>Michelle Klein</t>
  </si>
  <si>
    <t>0064L000009BCps</t>
  </si>
  <si>
    <t>PSEG LI ADMS</t>
  </si>
  <si>
    <t>0064L00000CVgSA</t>
  </si>
  <si>
    <t>GE Separation - Corporate - Treasury Ops - Phase II</t>
  </si>
  <si>
    <t>Adam Taplinger</t>
  </si>
  <si>
    <t>GE Separation - Corporate - Treasury Ops - Phase I</t>
  </si>
  <si>
    <t>0064L00000CVB88</t>
  </si>
  <si>
    <t>Berkshire Hathaway Inc.</t>
  </si>
  <si>
    <t>Duracell - Global SFDC TPM Deployment #RGM</t>
  </si>
  <si>
    <t>CS_Marketing_Transformation</t>
  </si>
  <si>
    <t>Duracell - Performance Analyzer License</t>
  </si>
  <si>
    <t>0064L0000041LdF</t>
  </si>
  <si>
    <t>Hewlett Packard Enterprise Company</t>
  </si>
  <si>
    <t>HPE Sales Comp Anaplan Implementation Phase 3 - North America/APJ #TMTPricing</t>
  </si>
  <si>
    <t>29/10/2022</t>
  </si>
  <si>
    <t>Amit Dhir</t>
  </si>
  <si>
    <t>0064L00000BgZBq</t>
  </si>
  <si>
    <t>STRIPES US HOLDING Inc.</t>
  </si>
  <si>
    <t>Mattress Firm - Blue Yonder - $8M</t>
  </si>
  <si>
    <t>0064L000002beZR</t>
  </si>
  <si>
    <t>CommonSpirit Health</t>
  </si>
  <si>
    <t>Rural Equity Initiative *Strategic Reimbursement*</t>
  </si>
  <si>
    <t>28/9/2022</t>
  </si>
  <si>
    <t>0064L00000BnyQw</t>
  </si>
  <si>
    <t>Advanced Drainage Systems Inc.</t>
  </si>
  <si>
    <t>ADS - Smart Factory Transformation</t>
  </si>
  <si>
    <t>William VanBuskirk</t>
  </si>
  <si>
    <t>0064L000006BMjX</t>
  </si>
  <si>
    <t>NiSource Inc.</t>
  </si>
  <si>
    <t>Utilities Planning Tool</t>
  </si>
  <si>
    <t>30/9/2023</t>
  </si>
  <si>
    <t>WAM/GIS Implementation #BigBet</t>
  </si>
  <si>
    <t>Dhruv Shah</t>
  </si>
  <si>
    <t>0064L000004wdYc</t>
  </si>
  <si>
    <t>UBS Group AG</t>
  </si>
  <si>
    <t>UBS - WMAP Field Support #WMA</t>
  </si>
  <si>
    <t>Michael Pino</t>
  </si>
  <si>
    <t>Gary Ponce</t>
  </si>
  <si>
    <t>0064L00000B0zFA</t>
  </si>
  <si>
    <t>Raymond James Financial, Inc.</t>
  </si>
  <si>
    <t>RJF: Workday HCM Implementation &amp; Transformation</t>
  </si>
  <si>
    <t>31/8/2021</t>
  </si>
  <si>
    <t>Arjun Saxena</t>
  </si>
  <si>
    <t>CS_HR_Transformation</t>
  </si>
  <si>
    <t>Brett Kaufman</t>
  </si>
  <si>
    <t>0064L00000Aqyhb</t>
  </si>
  <si>
    <t>FPL S/4 Hana - Phase 3 - T&amp;D/Hypercare #MW</t>
  </si>
  <si>
    <t>28/11/2022</t>
  </si>
  <si>
    <t>0064L00000BoM1O</t>
  </si>
  <si>
    <t>Project Symphony - LD1 Extension &amp; SD1 support - OTA Systems</t>
  </si>
  <si>
    <t>Manish Laad</t>
  </si>
  <si>
    <t>CS_Deal_Corporate_M&amp;A_FS</t>
  </si>
  <si>
    <t>Sourish Ray</t>
  </si>
  <si>
    <t>0064L000002beYP</t>
  </si>
  <si>
    <t>Scripps Health</t>
  </si>
  <si>
    <t>0064L00000DJdzg</t>
  </si>
  <si>
    <t>Anthology Inc.</t>
  </si>
  <si>
    <t>Anthology &amp; Blackboard Integration Execution Phase</t>
  </si>
  <si>
    <t>30/7/2022</t>
  </si>
  <si>
    <t>Samir Singh</t>
  </si>
  <si>
    <t>Ravi Kalidindi</t>
  </si>
  <si>
    <t>0064L00000BoXv4</t>
  </si>
  <si>
    <t>Kforce Inc.</t>
  </si>
  <si>
    <t>Back Office Transformation - 2023 Core Financials &amp; HCM Implementation</t>
  </si>
  <si>
    <t>Reagan Strey</t>
  </si>
  <si>
    <t>0065800000YamkK</t>
  </si>
  <si>
    <t>Eversource Energy</t>
  </si>
  <si>
    <t>Mobile Work Management Implementation for Mobile Electric Meter Services</t>
  </si>
  <si>
    <t>26/4/2018</t>
  </si>
  <si>
    <t>0064L00000BlgQc</t>
  </si>
  <si>
    <t>Eaton Corporation Public Limited Company</t>
  </si>
  <si>
    <t>Eaton Lease Accounting Managed Services #S&amp;P#POD</t>
  </si>
  <si>
    <t>Matthew Wilhelm</t>
  </si>
  <si>
    <t>0064L00000DFZSu</t>
  </si>
  <si>
    <t>UBS Project Overdrive: UBS Bank - Agile Development Build</t>
  </si>
  <si>
    <t>Dean Nicolacakis</t>
  </si>
  <si>
    <t>0064L000003zhrE</t>
  </si>
  <si>
    <t>Program Optimus FP&amp;A Release 2</t>
  </si>
  <si>
    <t>24/9/2020</t>
  </si>
  <si>
    <t>Kabid Choudhury</t>
  </si>
  <si>
    <t>0064L000009BOiu</t>
  </si>
  <si>
    <t>Leidos Holdings, Inc.</t>
  </si>
  <si>
    <t>Leidos - Project Insight (EPM) Wave 2</t>
  </si>
  <si>
    <t>14/12/2021</t>
  </si>
  <si>
    <t>0064L000004wyHK</t>
  </si>
  <si>
    <t>SENA SGP - Endur Upgrade</t>
  </si>
  <si>
    <t>Ken Lesniak</t>
  </si>
  <si>
    <t>0064L00000Bnvku</t>
  </si>
  <si>
    <t>GE Separation - Corporate - Op Separation and Stranded Costs</t>
  </si>
  <si>
    <t>19/8/2022</t>
  </si>
  <si>
    <t>Joseph Joy</t>
  </si>
  <si>
    <t>Navneeth Krishnan Srinivasan</t>
  </si>
  <si>
    <t>0064L00000CXHTO</t>
  </si>
  <si>
    <t>Securitas AB</t>
  </si>
  <si>
    <t>Project Brown - Value Creation</t>
  </si>
  <si>
    <t>27/4/2022</t>
  </si>
  <si>
    <t>30/5/2022</t>
  </si>
  <si>
    <t>Mike Pokorski</t>
  </si>
  <si>
    <t>CS_Deal_Corporate_M&amp;A_TMT</t>
  </si>
  <si>
    <t>John Dougherty</t>
  </si>
  <si>
    <t>0064L00000B2p8i</t>
  </si>
  <si>
    <t>Nuvance Health</t>
  </si>
  <si>
    <t>Phase 3 Clinically Driven Rev Cycle Implementation Support *Rev Cycle* *RC Tech*</t>
  </si>
  <si>
    <t>19/10/2021</t>
  </si>
  <si>
    <t>Phase 2 Rev Cycle Application Implementation Support *Rev Cycle* *RC Tech*</t>
  </si>
  <si>
    <t>0064L00000BgZC5</t>
  </si>
  <si>
    <t>Nordstrom INC.</t>
  </si>
  <si>
    <t>Nordstrom - Blue Yonder - $6M</t>
  </si>
  <si>
    <t>0064L00000Bp0EK</t>
  </si>
  <si>
    <t>Symphony July-Oct 2022</t>
  </si>
  <si>
    <t>Joshua Carter</t>
  </si>
  <si>
    <t>Danielle Murphy</t>
  </si>
  <si>
    <t>0064L00000BfUa8</t>
  </si>
  <si>
    <t>GEHC Source to Pay</t>
  </si>
  <si>
    <t>Meghan Murray</t>
  </si>
  <si>
    <t>Tina Schrier</t>
  </si>
  <si>
    <t>0064L00000CXgKn</t>
  </si>
  <si>
    <t>INFOSYS LIMITED</t>
  </si>
  <si>
    <t>Retirement CoE - Transformation Partnership #DVC #FFG</t>
  </si>
  <si>
    <t>0064L000002bfRg</t>
  </si>
  <si>
    <t>Catholic Health System Of Buffalo</t>
  </si>
  <si>
    <t>0064L000009AoKW</t>
  </si>
  <si>
    <t>Protego Trust Bank NA</t>
  </si>
  <si>
    <t>Protego Build-Operate-Transfer (BOT) #Oracle_BCM</t>
  </si>
  <si>
    <t>19/11/2021</t>
  </si>
  <si>
    <t>Alberto Corvo</t>
  </si>
  <si>
    <t>Deb Seidner</t>
  </si>
  <si>
    <t>0064L00000BfT1B</t>
  </si>
  <si>
    <t>Contact Center - Value Based Deal - Phase 2 #CallCenter #DVC</t>
  </si>
  <si>
    <t>24/6/2022</t>
  </si>
  <si>
    <t>Michael Hogan</t>
  </si>
  <si>
    <t>Christopher Harner</t>
  </si>
  <si>
    <t>0064L00000DFYgH</t>
  </si>
  <si>
    <t>Finance Capability Transformation (FCT) RFP</t>
  </si>
  <si>
    <t>Muhammad Hassan</t>
  </si>
  <si>
    <t>Abigail Morris</t>
  </si>
  <si>
    <t>0064L000002beiU</t>
  </si>
  <si>
    <t>Eisenhower Medical Center</t>
  </si>
  <si>
    <t>0064L00000DJRap</t>
  </si>
  <si>
    <t>GEHC Supply Chain Planning</t>
  </si>
  <si>
    <t>0064L000001wDjE</t>
  </si>
  <si>
    <t>Fidelity National Financial</t>
  </si>
  <si>
    <t>Finance Modernization - Phase 2 (2021) #Hawk</t>
  </si>
  <si>
    <t>0064L0000041j9c</t>
  </si>
  <si>
    <t>National Grid Plc</t>
  </si>
  <si>
    <t>LDC Gas Management System - Choice Program #MW</t>
  </si>
  <si>
    <t>Jurian Goei</t>
  </si>
  <si>
    <t>0064L000009AWMo</t>
  </si>
  <si>
    <t>Mayo Clinic</t>
  </si>
  <si>
    <t>Mayo Clinic *VBO* Ongoing Placement FY23 Extension</t>
  </si>
  <si>
    <t>Stacey Empson</t>
  </si>
  <si>
    <t>Mayo Clinic *VBO* Ongoing Placement FY22</t>
  </si>
  <si>
    <t>0064L00000BoUgD</t>
  </si>
  <si>
    <t>Meta Platforms, Inc.</t>
  </si>
  <si>
    <t>FB Content Governance 2023 Support</t>
  </si>
  <si>
    <t>20/12/2022</t>
  </si>
  <si>
    <t>Daniel Hays</t>
  </si>
  <si>
    <t>0064L00000BmoYZ</t>
  </si>
  <si>
    <t>Duracell HRIS Implementation</t>
  </si>
  <si>
    <t>Joe Henderson</t>
  </si>
  <si>
    <t>Duracell HRIS Vendor Selection</t>
  </si>
  <si>
    <t>0064L00000CX0J2</t>
  </si>
  <si>
    <t>Pfizer Inc.</t>
  </si>
  <si>
    <t>Pfizer IM Strategic Program Management - DCT &amp; eSource #DCT</t>
  </si>
  <si>
    <t>Brian Slizgi</t>
  </si>
  <si>
    <t>Michael Kelley</t>
  </si>
  <si>
    <t>0064L00000CXWwr</t>
  </si>
  <si>
    <t>UBS Project Overdrive: UBS Bank - Build Resources</t>
  </si>
  <si>
    <t>0064L000009AJnc</t>
  </si>
  <si>
    <t>IBERDROLA, S.A.</t>
  </si>
  <si>
    <t>Avangrid Actuarial Consulting Proposal</t>
  </si>
  <si>
    <t>Brian Hurleigh</t>
  </si>
  <si>
    <t>0064L00000BmTgR</t>
  </si>
  <si>
    <t>Microsoft Corporation</t>
  </si>
  <si>
    <t>MSFT DLS FY22-23 MAVS Support Nimbus Phase 2 and 3 Extension</t>
  </si>
  <si>
    <t>23/2/2022</t>
  </si>
  <si>
    <t>Patrick Pugh</t>
  </si>
  <si>
    <t>MSFT DLS FY22 MAVS Support Nimbus H2 Extension</t>
  </si>
  <si>
    <t>Change Order</t>
  </si>
  <si>
    <t>Nathan Kolmodin</t>
  </si>
  <si>
    <t>0064L00000BftCu</t>
  </si>
  <si>
    <t>AIPM Copperleaf Enterprise Portfolio Accelerated Implementation for Trans/Fac/Storage</t>
  </si>
  <si>
    <t>18/2/2022</t>
  </si>
  <si>
    <t>0064L00000BdjRe</t>
  </si>
  <si>
    <t>Ionis Pharmaceuticals.</t>
  </si>
  <si>
    <t>Commercialization Capability Build #4</t>
  </si>
  <si>
    <t>23/12/2021</t>
  </si>
  <si>
    <t>Dave Powell</t>
  </si>
  <si>
    <t>CS_EDT_PLS</t>
  </si>
  <si>
    <t>Commercialization Capability Build</t>
  </si>
  <si>
    <t>0064L00000Bo1cb</t>
  </si>
  <si>
    <t>GE Separation - Corporate - DT Execution CO 3</t>
  </si>
  <si>
    <t>18/4/2022</t>
  </si>
  <si>
    <t>Ram Jayaraman</t>
  </si>
  <si>
    <t>GE Separation- Corporate - IT SMO</t>
  </si>
  <si>
    <t>Titikshu Atoliya</t>
  </si>
  <si>
    <t>0064L00000CXjrG</t>
  </si>
  <si>
    <t>Northern Trust Corporation</t>
  </si>
  <si>
    <t>NTAS Transformation (Phase 2)</t>
  </si>
  <si>
    <t>Livia Dinu</t>
  </si>
  <si>
    <t>0064L00000BfPJq</t>
  </si>
  <si>
    <t>S. C. Johnson &amp; Son , Inc</t>
  </si>
  <si>
    <t>SCJ - SAP TPM International Expansion #RGM</t>
  </si>
  <si>
    <t>Ethan Dameron</t>
  </si>
  <si>
    <t>0064L000007xIvH</t>
  </si>
  <si>
    <t>DENSO CORPORATION</t>
  </si>
  <si>
    <t>CARS - North America (Mexico DNMX)</t>
  </si>
  <si>
    <t>31/5/2022</t>
  </si>
  <si>
    <t>0064L00000Bfsyd</t>
  </si>
  <si>
    <t>Omaha Public Power District</t>
  </si>
  <si>
    <t>OPPD EPM Release 1 (Foundational)</t>
  </si>
  <si>
    <t>0064L00000DFobb</t>
  </si>
  <si>
    <t>2022-2025 Actuarial Services</t>
  </si>
  <si>
    <t>15/6/2022</t>
  </si>
  <si>
    <t>Mellony Jayroe</t>
  </si>
  <si>
    <t>0064L00000CXsDo</t>
  </si>
  <si>
    <t>IOWA FARM BUREAU FEDERATION</t>
  </si>
  <si>
    <t>PAS Inforce Migration Execution - Deferred Annuities</t>
  </si>
  <si>
    <t>Anup Madampath</t>
  </si>
  <si>
    <t>Prasanna Moghe</t>
  </si>
  <si>
    <t>0064L00000BmMen</t>
  </si>
  <si>
    <t>GE Separation - Corporate - Stat Remediation - Q3 / Q4 2022</t>
  </si>
  <si>
    <t>Jamie Barakat</t>
  </si>
  <si>
    <t>Chris Harjung</t>
  </si>
  <si>
    <t>0064L00000BmFr1</t>
  </si>
  <si>
    <t>One Rock Capital Partners LLC</t>
  </si>
  <si>
    <t>Blue Triton Brands - TPM Phase 2 - SAP TPM Enhancements</t>
  </si>
  <si>
    <t>David Ganiear</t>
  </si>
  <si>
    <t>Shubhankar Goswami</t>
  </si>
  <si>
    <t>0064L00000BfCBP</t>
  </si>
  <si>
    <t>Sysco Corporation</t>
  </si>
  <si>
    <t>B2B Loyalty Pilot &amp; Implement</t>
  </si>
  <si>
    <t>Ari Kertesz</t>
  </si>
  <si>
    <t>John Rolston</t>
  </si>
  <si>
    <t>0064L00000BfCDp</t>
  </si>
  <si>
    <t>Salesforce Design &amp; Implement</t>
  </si>
  <si>
    <t>0064L000007xhiI</t>
  </si>
  <si>
    <t>iFIT Health &amp; Fitness Inc.</t>
  </si>
  <si>
    <t>iFit - Digital Analytics Platform</t>
  </si>
  <si>
    <t>16/6/2021</t>
  </si>
  <si>
    <t>Samrat Sharma</t>
  </si>
  <si>
    <t>Ian Kahn</t>
  </si>
  <si>
    <t>0064L00000CWcku</t>
  </si>
  <si>
    <t>AT&amp;T Indirect Channel Transformation</t>
  </si>
  <si>
    <t>Mukesh Singh</t>
  </si>
  <si>
    <t>Daniel Rash</t>
  </si>
  <si>
    <t>0064L00000CWQJm</t>
  </si>
  <si>
    <t>Martek Phase 1-5</t>
  </si>
  <si>
    <t>Martek Phase 0</t>
  </si>
  <si>
    <t>Amber Papadopoulos</t>
  </si>
  <si>
    <t>0064L00000CXdoo</t>
  </si>
  <si>
    <t>AT&amp;T Biz Mid-Market Sales Velocity &amp; Close Rate Increase</t>
  </si>
  <si>
    <t>0064L00000CXD2i</t>
  </si>
  <si>
    <t>Eaton S/4 services beyond Prime SI role</t>
  </si>
  <si>
    <t>Amanda Chapman</t>
  </si>
  <si>
    <t>0064L00000Bluvp</t>
  </si>
  <si>
    <t>The Procter &amp; Gamble Company</t>
  </si>
  <si>
    <t>P&amp;G - NA TPM Implementation #RGM</t>
  </si>
  <si>
    <t>31/8/2023</t>
  </si>
  <si>
    <t>0064L00000BoMIU</t>
  </si>
  <si>
    <t>Healthfirst Inc.</t>
  </si>
  <si>
    <t>Healthfirst HFC Clinical Program Design 2022 -BH, HIV, SC Plus balance of HFC 2022 #HVM</t>
  </si>
  <si>
    <t>30/4/2022</t>
  </si>
  <si>
    <t>John Andrewes</t>
  </si>
  <si>
    <t>0064L00000Bop2P</t>
  </si>
  <si>
    <t>Jacobs Solutions Inc.</t>
  </si>
  <si>
    <t>Divergent Solutions Operating Model - Phase 1</t>
  </si>
  <si>
    <t>18/5/2022</t>
  </si>
  <si>
    <t>Earl Simpkins</t>
  </si>
  <si>
    <t>Eric Dowley</t>
  </si>
  <si>
    <t>0064L000009AkYU</t>
  </si>
  <si>
    <t>Ameritas-Finance Implementation Pipeline - Release 2/3 (Advisory led, ASUS)</t>
  </si>
  <si>
    <t>31/1/2024</t>
  </si>
  <si>
    <t>0064L000002bejI</t>
  </si>
  <si>
    <t>Loma Linda University</t>
  </si>
  <si>
    <t>0064L000007xWbS</t>
  </si>
  <si>
    <t>AltaGas Ltd.</t>
  </si>
  <si>
    <t>Journey 2022+ Transformation Portfolio</t>
  </si>
  <si>
    <t>Hannah VanParys</t>
  </si>
  <si>
    <t>0064I000015Sxgt</t>
  </si>
  <si>
    <t>MSA Safety Incorporated</t>
  </si>
  <si>
    <t>MSA - ERP Implementation (end of 2021) #Burgh</t>
  </si>
  <si>
    <t>0064I00000wxkzR</t>
  </si>
  <si>
    <t>UPMC</t>
  </si>
  <si>
    <t>UPMC - ERP Oracle Cloud (2023) #Burgh  #ITRoadmap #MWAlliance</t>
  </si>
  <si>
    <t>14/9/2019</t>
  </si>
  <si>
    <t>24/6/2023</t>
  </si>
  <si>
    <t>0064L00000BfsS8</t>
  </si>
  <si>
    <t>Encompass Health Corporation</t>
  </si>
  <si>
    <t>Encompass Revenue Cycle Transformation</t>
  </si>
  <si>
    <t>Mike Larson</t>
  </si>
  <si>
    <t>Todd Shores</t>
  </si>
  <si>
    <t>0064L00000BfsTa</t>
  </si>
  <si>
    <t>OMERS Administration Corporation</t>
  </si>
  <si>
    <t>CHS Revenue Cycle Transformation</t>
  </si>
  <si>
    <t>0064L00000BfsUE</t>
  </si>
  <si>
    <t>United Health Services Corporation</t>
  </si>
  <si>
    <t>UHS Revenue Cycle Transformation</t>
  </si>
  <si>
    <t>24/2/2023</t>
  </si>
  <si>
    <t>0064L00000BfsUF</t>
  </si>
  <si>
    <t>Tenet Healthcare Corporation</t>
  </si>
  <si>
    <t>Tenet Database Migration and Consolidation</t>
  </si>
  <si>
    <t>25/3/2023</t>
  </si>
  <si>
    <t>0064L0000099vDn</t>
  </si>
  <si>
    <t>Walmart Inc.</t>
  </si>
  <si>
    <t>Health &amp; Wellness RFI</t>
  </si>
  <si>
    <t>Jeffrey Jaymont</t>
  </si>
  <si>
    <t>Marisela Lewis</t>
  </si>
  <si>
    <t>0064L000002bf1H</t>
  </si>
  <si>
    <t>0064L00000ArkaY</t>
  </si>
  <si>
    <t>Kaiser Permanente</t>
  </si>
  <si>
    <t>Supply Chain Transformation</t>
  </si>
  <si>
    <t>Richard Judy</t>
  </si>
  <si>
    <t>Allison Peterson</t>
  </si>
  <si>
    <t>0064L00000BeM5d</t>
  </si>
  <si>
    <t>Regions Financial Corporation</t>
  </si>
  <si>
    <t>Regions Bank - Deposits Core Modernization (FIS)</t>
  </si>
  <si>
    <t>13/1/2022</t>
  </si>
  <si>
    <t>Brian Kemmerer</t>
  </si>
  <si>
    <t>0064L00000DFgos</t>
  </si>
  <si>
    <t>Stellantis N.V.</t>
  </si>
  <si>
    <t>One Reporting Tool</t>
  </si>
  <si>
    <t>Natalie Theodore</t>
  </si>
  <si>
    <t>0064L000002bRDi</t>
  </si>
  <si>
    <t>Consumer Bank Divestitures</t>
  </si>
  <si>
    <t>Paul Kennedy</t>
  </si>
  <si>
    <t>Lawrence Nesser</t>
  </si>
  <si>
    <t>0064I00000q15uQ</t>
  </si>
  <si>
    <t>Health Care Service Corporation, A Mutual Legal Reserve Company</t>
  </si>
  <si>
    <t>HealthCloud / Care Management *Customer*</t>
  </si>
  <si>
    <t>22/4/2019</t>
  </si>
  <si>
    <t>Keith Fengler</t>
  </si>
  <si>
    <t>Sara Bartolucci</t>
  </si>
  <si>
    <t>0064L00000CXt6U</t>
  </si>
  <si>
    <t>Phase 2 - IT FFG Enterprise Testing</t>
  </si>
  <si>
    <t>Kenny Chan</t>
  </si>
  <si>
    <t>0064L00000CXR7g</t>
  </si>
  <si>
    <t>Shell - RESPC US Launch</t>
  </si>
  <si>
    <t>22/7/2022</t>
  </si>
  <si>
    <t>Chi Onyewuchi</t>
  </si>
  <si>
    <t>0064L000001uaF8</t>
  </si>
  <si>
    <t>Westinghouse Air Brake Technologies Corporation</t>
  </si>
  <si>
    <t>Wabtec - Global ERP Strategy &amp; Rationalization-Pull-Through</t>
  </si>
  <si>
    <t>23/6/2020</t>
  </si>
  <si>
    <t>Transportation and Logistics</t>
  </si>
  <si>
    <t>0064I00000y5NN4</t>
  </si>
  <si>
    <t>bp FIN US x Segment Finance Transf. Campaign</t>
  </si>
  <si>
    <t>0064L000007uLNK</t>
  </si>
  <si>
    <t>Plant Vogtle Unit 4 Program Controls Support and Advisory #rocktheSEpipe</t>
  </si>
  <si>
    <t>20/4/2021</t>
  </si>
  <si>
    <t>0064L00000BnWND</t>
  </si>
  <si>
    <t>The Coca-Cola Company</t>
  </si>
  <si>
    <t>Competitive Pricing Strategy Tool- Phase 2 Rollout</t>
  </si>
  <si>
    <t>David Moss</t>
  </si>
  <si>
    <t>Competitive Pricing Strategy Tool- RFP Response &amp; Phase 1</t>
  </si>
  <si>
    <t>Matt Morrison</t>
  </si>
  <si>
    <t>0064L00000BnUIu</t>
  </si>
  <si>
    <t>Blue Triton - TPM Phase 2</t>
  </si>
  <si>
    <t>0064L00000CYssN</t>
  </si>
  <si>
    <t>Habu Clean Room Services</t>
  </si>
  <si>
    <t>Derek Baker</t>
  </si>
  <si>
    <t>0064L00000BmB5c</t>
  </si>
  <si>
    <t>First Republic Bank</t>
  </si>
  <si>
    <t>FRB AFS Vision Build FY24</t>
  </si>
  <si>
    <t>Timothy Davis</t>
  </si>
  <si>
    <t>David Sisko</t>
  </si>
  <si>
    <t>0064L00000As8QZ</t>
  </si>
  <si>
    <t>General Motors Company</t>
  </si>
  <si>
    <t>OnStar Insurance</t>
  </si>
  <si>
    <t>0064L000009fT2p</t>
  </si>
  <si>
    <t>Takeda Pharmaceutical Company Limited</t>
  </si>
  <si>
    <t>[Big Bet] Tech Implementation (Finance, R&amp;D, Commercial, Compliance)</t>
  </si>
  <si>
    <t>16/7/2021</t>
  </si>
  <si>
    <t>Jean-Marc Neimetz</t>
  </si>
  <si>
    <t>Kelsey LeVangie</t>
  </si>
  <si>
    <t>0064L00000As80N</t>
  </si>
  <si>
    <t>nxtgenERP Change Orders &amp; New Scope 2023</t>
  </si>
  <si>
    <t>28/7/2023</t>
  </si>
  <si>
    <t>0064L00000BoFca</t>
  </si>
  <si>
    <t>GE Healthcare - Treasury Advisory Services</t>
  </si>
  <si>
    <t>Eric Cohen</t>
  </si>
  <si>
    <t>0064L00000BlMBI</t>
  </si>
  <si>
    <t>Project Orbit - Phase 3</t>
  </si>
  <si>
    <t>Todd Jirovec</t>
  </si>
  <si>
    <t>0064I0000132Las</t>
  </si>
  <si>
    <t>Entergy Corporation</t>
  </si>
  <si>
    <t>EAM-WFMS PERFORM Wave 1 - Distribution*big bet*</t>
  </si>
  <si>
    <t>25/2/2020</t>
  </si>
  <si>
    <t>CR 35 - EPOCH Field</t>
  </si>
  <si>
    <t>0064L00000Bntkm</t>
  </si>
  <si>
    <t>Amazon.com, Inc.</t>
  </si>
  <si>
    <t>Amazon Care (AC) Market Entry (Phase  II) #HVM</t>
  </si>
  <si>
    <t>0064I00000qs1l9</t>
  </si>
  <si>
    <t>Lockheed Martin Corporation</t>
  </si>
  <si>
    <t>Lockheed FP&amp;A (Hyperion Cloud) - Phase 1</t>
  </si>
  <si>
    <t>27/1/2023</t>
  </si>
  <si>
    <t>Holly McKenzie</t>
  </si>
  <si>
    <t>AD.BS.EV.SAPPHIRE NOW-ASUG CONFERENCE_GZNB83CM5ZG_05FY19</t>
  </si>
  <si>
    <t>Jose Rocha</t>
  </si>
  <si>
    <t>0064L00000BekNe</t>
  </si>
  <si>
    <t>Laboratory Corporation Of America Holdings</t>
  </si>
  <si>
    <t>Labcorp RC Phase 2 *rev cycle*</t>
  </si>
  <si>
    <t>21/1/2022</t>
  </si>
  <si>
    <t>0064L00000BekOM</t>
  </si>
  <si>
    <t>Labcorp RC Design and Configuration *rev cycle*</t>
  </si>
  <si>
    <t>0064L00000BeiM3</t>
  </si>
  <si>
    <t>Veritas Capital Fund Management LLC</t>
  </si>
  <si>
    <t>SaaS Medicaid Data Platform - #DJI #RWDEvGen</t>
  </si>
  <si>
    <t>Mark Mynhier</t>
  </si>
  <si>
    <t>Kyle Siemers</t>
  </si>
  <si>
    <t>0064L000009AEE8</t>
  </si>
  <si>
    <t>BSC Enterprise Performance Management</t>
  </si>
  <si>
    <t>27/10/2021</t>
  </si>
  <si>
    <t>Alex Legan</t>
  </si>
  <si>
    <t>0065800000jiWLU</t>
  </si>
  <si>
    <t>SNC Vogtle Continued PMaaS Support</t>
  </si>
  <si>
    <t>Travis Bell</t>
  </si>
  <si>
    <t>0064L000004268A</t>
  </si>
  <si>
    <t>TRICARE T-5 Implementation (Post-award)</t>
  </si>
  <si>
    <t>20/11/2020</t>
  </si>
  <si>
    <t>Frank Lemmon</t>
  </si>
  <si>
    <t>0064L000003zMpv</t>
  </si>
  <si>
    <t>Stanley Black &amp; Decker, Inc.</t>
  </si>
  <si>
    <t>I4.0 as a Service #MW</t>
  </si>
  <si>
    <t>16/9/2020</t>
  </si>
  <si>
    <t>0064L00000BlM26</t>
  </si>
  <si>
    <t>Mount Sinai Health Systems Inc</t>
  </si>
  <si>
    <t>Mount Sinai Pop Health Deal Services #payeranalytics</t>
  </si>
  <si>
    <t>Giri Rao</t>
  </si>
  <si>
    <t>Kelly Tsaur</t>
  </si>
  <si>
    <t>0064L00000BmMgQ</t>
  </si>
  <si>
    <t>Tampa General Hospital</t>
  </si>
  <si>
    <t>Experience Center Implementation</t>
  </si>
  <si>
    <t>Claudia Douglass</t>
  </si>
  <si>
    <t>0064L00000BoSoA</t>
  </si>
  <si>
    <t>Project Legacy (Phase 3)</t>
  </si>
  <si>
    <t>Brian Updike</t>
  </si>
  <si>
    <t>0064L000002bldg</t>
  </si>
  <si>
    <t>Adventist Health System/west</t>
  </si>
  <si>
    <t>18/5/2021</t>
  </si>
  <si>
    <t>0064L00000Botld</t>
  </si>
  <si>
    <t>Koppers Holdings Inc.</t>
  </si>
  <si>
    <t>Koppers - ERP/Oracle</t>
  </si>
  <si>
    <t>0064L00000BoSRo</t>
  </si>
  <si>
    <t>Allstate Corporation</t>
  </si>
  <si>
    <t>Allstate Benefits Insurance Managed Services #FSInsuranceMSO</t>
  </si>
  <si>
    <t>Kevin Caceres</t>
  </si>
  <si>
    <t>Gregory Laverriere</t>
  </si>
  <si>
    <t>0064L00000Bnqu9</t>
  </si>
  <si>
    <t>Enterprise CX transformation</t>
  </si>
  <si>
    <t>0064L000003yXwE</t>
  </si>
  <si>
    <t>FHIT Implementation</t>
  </si>
  <si>
    <t>25/8/2020</t>
  </si>
  <si>
    <t>Jessica Mendel</t>
  </si>
  <si>
    <t>0064L00000BfFoc</t>
  </si>
  <si>
    <t>Spectrum Brands Inc</t>
  </si>
  <si>
    <t>Spectrum SAP TPM Implementation</t>
  </si>
  <si>
    <t>17/2/2023</t>
  </si>
  <si>
    <t>0064L00000BdS8J</t>
  </si>
  <si>
    <t>Verizon Communications Inc.</t>
  </si>
  <si>
    <t>EPM Implementation</t>
  </si>
  <si>
    <t>16/12/2021</t>
  </si>
  <si>
    <t>Timothy Kuroda</t>
  </si>
  <si>
    <t>0064I00000zReSB</t>
  </si>
  <si>
    <t>BH Energy Oracle Transformation</t>
  </si>
  <si>
    <t>Amy Neilson</t>
  </si>
  <si>
    <t>0064L00000BlHur</t>
  </si>
  <si>
    <t>FRB AFS Vision Build FY23</t>
  </si>
  <si>
    <t>0064L000007xoL6</t>
  </si>
  <si>
    <t>DCP Midstream, LLC</t>
  </si>
  <si>
    <t>DCP Midstream - Maximo Upgrade</t>
  </si>
  <si>
    <t>18/6/2021</t>
  </si>
  <si>
    <t>Mike Scheller</t>
  </si>
  <si>
    <t>0064L000007FL8O</t>
  </si>
  <si>
    <t>WGL - TransRM - SAP S/4 Ph1 #BigBet</t>
  </si>
  <si>
    <t>24/3/2021</t>
  </si>
  <si>
    <t>0064L00000B2rck</t>
  </si>
  <si>
    <t>Rush University Medical Center</t>
  </si>
  <si>
    <t>ERP Implementation</t>
  </si>
  <si>
    <t>20/10/2021</t>
  </si>
  <si>
    <t>Bryan Sung</t>
  </si>
  <si>
    <t>0064L00000Blihu</t>
  </si>
  <si>
    <t>Polaris Industries</t>
  </si>
  <si>
    <t>Polaris - ERP Upgrade</t>
  </si>
  <si>
    <t>Robert Demeter</t>
  </si>
  <si>
    <t>Emily Wachholz</t>
  </si>
  <si>
    <t>0064I00000wx3Ye</t>
  </si>
  <si>
    <t>ANSYS Inc.</t>
  </si>
  <si>
    <t>Ansys - ERP Implementation (mid 2022)</t>
  </si>
  <si>
    <t>0064L00000CVSK5</t>
  </si>
  <si>
    <t>Jacobs - Divergent Solutions Op Model Design &amp; Implementation - Phase II</t>
  </si>
  <si>
    <t>Steve Woodlock</t>
  </si>
  <si>
    <t>0064L00000BcpYo</t>
  </si>
  <si>
    <t>Becton, Dickinson and Company</t>
  </si>
  <si>
    <t>US Commercial and Customer Operations: Reporting and Analytics Transformation</t>
  </si>
  <si>
    <t>Carlos Moreira</t>
  </si>
  <si>
    <t>0064L00000DBQSl</t>
  </si>
  <si>
    <t>Global Wealth Integration</t>
  </si>
  <si>
    <t>Mojdeh Singh</t>
  </si>
  <si>
    <t>0064L00000BgYOg</t>
  </si>
  <si>
    <t>Rockwell Automation, Inc.</t>
  </si>
  <si>
    <t>Rockwell Automation - Blue Yonder - $5M</t>
  </si>
  <si>
    <t>0064L00000BgZBg</t>
  </si>
  <si>
    <t>Dollar Tree, Inc.</t>
  </si>
  <si>
    <t>Dollar Tree - Blue Yonder - $5M</t>
  </si>
  <si>
    <t>0064L00000AqK3E</t>
  </si>
  <si>
    <t>Anthem, Inc.</t>
  </si>
  <si>
    <t>AIM technology Implementation #HVM</t>
  </si>
  <si>
    <t>0064L00000DFceP</t>
  </si>
  <si>
    <t>Capital One Financial Corporation</t>
  </si>
  <si>
    <t>ES Risk Enterprise Command Center and Material Technology and Cybersecurity Change Program August 2022 - December 2022</t>
  </si>
  <si>
    <t>1-4.9M</t>
  </si>
  <si>
    <t>Alison Hoover</t>
  </si>
  <si>
    <t>Elizabeth Hondros</t>
  </si>
  <si>
    <t>0064L00000BfTY5</t>
  </si>
  <si>
    <t>Steward Health Care Holdings LLC</t>
  </si>
  <si>
    <t>Steward Health Care System *VBO* FY23 Extension</t>
  </si>
  <si>
    <t>Jon Souder</t>
  </si>
  <si>
    <t>Steward Health Care System *VBO*</t>
  </si>
  <si>
    <t>0064I00000y7Zhf</t>
  </si>
  <si>
    <t>FBL Life-Comm Conversion</t>
  </si>
  <si>
    <t>23/10/2019</t>
  </si>
  <si>
    <t>Lawrence Taylor</t>
  </si>
  <si>
    <t>0064L00000Bd1vD</t>
  </si>
  <si>
    <t>Commercialization Capability Build #3</t>
  </si>
  <si>
    <t>0064L000001wFZL</t>
  </si>
  <si>
    <t>DVC - GPD turnaround on top of systems (cx + care model + digital)</t>
  </si>
  <si>
    <t>Sundar Subramanian</t>
  </si>
  <si>
    <t>0064L00000Bfa72</t>
  </si>
  <si>
    <t>The Bank of New York Mellon Corporation</t>
  </si>
  <si>
    <t>Managed Services</t>
  </si>
  <si>
    <t>13/5/2022</t>
  </si>
  <si>
    <t>0064L00000BmB61</t>
  </si>
  <si>
    <t>FRB Commercial ncino LOS - R2 FY23</t>
  </si>
  <si>
    <t>0064L000007wnx0</t>
  </si>
  <si>
    <t>SSM Health</t>
  </si>
  <si>
    <t>RRC Reclass FFY 23-25 (SSM Health) - *Strategic Reimbursement*</t>
  </si>
  <si>
    <t>20/5/2021</t>
  </si>
  <si>
    <t>16/8/2022</t>
  </si>
  <si>
    <t>Richard Grisoli</t>
  </si>
  <si>
    <t>0064L000009BAPe</t>
  </si>
  <si>
    <t>Centerpoint Energy Inc.</t>
  </si>
  <si>
    <t>CenterPoint S2P system integration (Coupa, Ariba, Ivalua)</t>
  </si>
  <si>
    <t>John Morris</t>
  </si>
  <si>
    <t>Douglas Mitchell</t>
  </si>
  <si>
    <t>0064L00000BoOWn</t>
  </si>
  <si>
    <t>PricewaterhouseCoopers LLP</t>
  </si>
  <si>
    <t>PWC CDP &amp; Client Marketing | Ph 2.2</t>
  </si>
  <si>
    <t>Phil Regnault</t>
  </si>
  <si>
    <t>PWC CDP &amp; Client Marketing | Ph 2.1</t>
  </si>
  <si>
    <t>0064L00000BgYP0</t>
  </si>
  <si>
    <t>United Parcel Service Inc.</t>
  </si>
  <si>
    <t>FAVT EPM 2021 H2 #Finance</t>
  </si>
  <si>
    <t>Christopher Dimuzio</t>
  </si>
  <si>
    <t>0064L00000BgYQD</t>
  </si>
  <si>
    <t>FAVT EPM 2022 #Finance</t>
  </si>
  <si>
    <t>0064L0000099AWm</t>
  </si>
  <si>
    <t>CVS: Medicaid NextGen &gt;&gt; claims platform implementation support #PayerCO&amp;ITrans</t>
  </si>
  <si>
    <t>20/7/2021</t>
  </si>
  <si>
    <t>0064L00000Bfeg8</t>
  </si>
  <si>
    <t>Archer Daniels Midland Company</t>
  </si>
  <si>
    <t>ADM - QMR, Doc Management and Complaints Management #QualityManagedServices</t>
  </si>
  <si>
    <t>Sam Venugopal</t>
  </si>
  <si>
    <t>CS_Industry_Ops_PLS</t>
  </si>
  <si>
    <t>Priyanka Chaudhary</t>
  </si>
  <si>
    <t>0064L00000BeviN</t>
  </si>
  <si>
    <t>MSFT CELA - Project Denali Regulatory Financial Data Support FY23 #TMTMSO</t>
  </si>
  <si>
    <t>Robert Moline</t>
  </si>
  <si>
    <t>MSFT CELA - Project Denali Regulatory Financial Data Support FY22</t>
  </si>
  <si>
    <t>Katie Griffith</t>
  </si>
  <si>
    <t>0064L0000098xhy</t>
  </si>
  <si>
    <t>Manpowergroup Inc.</t>
  </si>
  <si>
    <t>End-to-End Shared Services and Outsourcing Optimization - Finance &amp; Accounting functions</t>
  </si>
  <si>
    <t>14/7/2021</t>
  </si>
  <si>
    <t>0064L00000Bobsn</t>
  </si>
  <si>
    <t>Public Investment Fund</t>
  </si>
  <si>
    <t>NEOM - Digital Health Ecosystem #RWDEvGen</t>
  </si>
  <si>
    <t>NEOM Digital Health Advisory and Assistance Services (A&amp;AS)</t>
  </si>
  <si>
    <t>Regional, State, Local and City Government</t>
  </si>
  <si>
    <t>Praveen Krishna</t>
  </si>
  <si>
    <t>0064L000002LZs5</t>
  </si>
  <si>
    <t>Wells Fargo &amp; Co.</t>
  </si>
  <si>
    <t>Cost Reduction (Risk) - 2022</t>
  </si>
  <si>
    <t>19/8/2021</t>
  </si>
  <si>
    <t>29/9/2022</t>
  </si>
  <si>
    <t>William Kangas</t>
  </si>
  <si>
    <t>Michelle Laine</t>
  </si>
  <si>
    <t>0064L00000B200b</t>
  </si>
  <si>
    <t>Software Enabled Car OEM</t>
  </si>
  <si>
    <t>27/9/2021</t>
  </si>
  <si>
    <t>Kiran Jagal</t>
  </si>
  <si>
    <t>0064L000002LZsT</t>
  </si>
  <si>
    <t>Cost Reduction (Risk) - 2023</t>
  </si>
  <si>
    <t>0064L00000B2007</t>
  </si>
  <si>
    <t>Salesforce Managed Services</t>
  </si>
  <si>
    <t>Simon Strom</t>
  </si>
  <si>
    <t>0064L00000CVSFA</t>
  </si>
  <si>
    <t>Sutter Health System</t>
  </si>
  <si>
    <t>FFY 2024-2026 Reimbursement Strategy - *Strategic Reimbursement*</t>
  </si>
  <si>
    <t>Pablo Marquez</t>
  </si>
  <si>
    <t>0064L00000BmluR</t>
  </si>
  <si>
    <t>Texas Health Resources</t>
  </si>
  <si>
    <t>THR_Navigation and Network Management Solution Phase II</t>
  </si>
  <si>
    <t>Alex Marsden</t>
  </si>
  <si>
    <t>0064L00000Be0jC</t>
  </si>
  <si>
    <t>BCBSM - Product Management - 2023 Post-MVP Implementation #PayerCO&amp;ITrans</t>
  </si>
  <si>
    <t>0064L00000DJXXR</t>
  </si>
  <si>
    <t>Sharecare Gmbh</t>
  </si>
  <si>
    <t>CareLinx Growth Strategy - Phase 2 - CS_EDT_PLS #HVM</t>
  </si>
  <si>
    <t>Sierra Hawthorne</t>
  </si>
  <si>
    <t>0064L00000B1ZBs</t>
  </si>
  <si>
    <t>Shell - Power Capability Building #BigBet</t>
  </si>
  <si>
    <t>15/9/2021</t>
  </si>
  <si>
    <t>0064L00000B1zzY</t>
  </si>
  <si>
    <t>Front Office Transformation / Salesforce</t>
  </si>
  <si>
    <t>0064L00000B29fu</t>
  </si>
  <si>
    <t>Navistar / Traton Purchasing Platform Integration</t>
  </si>
  <si>
    <t>30/9/2021</t>
  </si>
  <si>
    <t>0064L000003zy5l</t>
  </si>
  <si>
    <t>SAP 4H Roll out at Audi NA</t>
  </si>
  <si>
    <t>30/3/2023</t>
  </si>
  <si>
    <t>0064L000006Bpe2</t>
  </si>
  <si>
    <t>Project Spree - Legacy Platform Reset #PayerCO&amp;ITrans #SS&amp;O</t>
  </si>
  <si>
    <t>15/3/2023</t>
  </si>
  <si>
    <t>0064L000001wDjx</t>
  </si>
  <si>
    <t>Finance Modernization - Phase 3 (2022) #Hawk</t>
  </si>
  <si>
    <t>0064L000003zDC2</t>
  </si>
  <si>
    <t>bp T&amp;S Right Angle upgrade #bigbet</t>
  </si>
  <si>
    <t>0064L000002bekG</t>
  </si>
  <si>
    <t>Hoag Hospital Foundation</t>
  </si>
  <si>
    <t>0064L000002bf0O</t>
  </si>
  <si>
    <t>Community Health Systems Inc.</t>
  </si>
  <si>
    <t>0064L000009AWtj</t>
  </si>
  <si>
    <t>FISHBACK FINANCIAL Corp.</t>
  </si>
  <si>
    <t>FB&amp;T nCino Delivery</t>
  </si>
  <si>
    <t>Murali Nallapaty</t>
  </si>
  <si>
    <t>0064L00000Apc3L</t>
  </si>
  <si>
    <t>Nordstrom Retail to Cost Phase III</t>
  </si>
  <si>
    <t>Alan Voels</t>
  </si>
  <si>
    <t>Suni Shamapande</t>
  </si>
  <si>
    <t>0064L00000CYaSZ</t>
  </si>
  <si>
    <t>Purchasing Joint Venture</t>
  </si>
  <si>
    <t>26/5/2022</t>
  </si>
  <si>
    <t>0064L000009B6WB</t>
  </si>
  <si>
    <t>CDW Corporation</t>
  </si>
  <si>
    <t>CDW HR Shared Services, Change Management, and HR Technologies</t>
  </si>
  <si>
    <t>Diane Youden</t>
  </si>
  <si>
    <t>Jill Parsons</t>
  </si>
  <si>
    <t>0064L00000Blmzz</t>
  </si>
  <si>
    <t>Barclays PLC</t>
  </si>
  <si>
    <t>Barclays Blueprint</t>
  </si>
  <si>
    <t>28/1/2022</t>
  </si>
  <si>
    <t>Joel Feliciano</t>
  </si>
  <si>
    <t>0064L00000BlJru</t>
  </si>
  <si>
    <t>Wintrust Financial Corporation</t>
  </si>
  <si>
    <t>Wintrust nCino R2</t>
  </si>
  <si>
    <t>0064L00000BlJrz</t>
  </si>
  <si>
    <t>Wintrust nCino R3</t>
  </si>
  <si>
    <t>0064L00000B207m</t>
  </si>
  <si>
    <t>VCI Finance Transformation</t>
  </si>
  <si>
    <t>0064L00000Bl3U1</t>
  </si>
  <si>
    <t>Project Symphony - Sign to Close - Pull-Thru - TMO Expansion (incl. RemainCo &amp; RA Support)</t>
  </si>
  <si>
    <t>22/12/2021</t>
  </si>
  <si>
    <t>Erik Cortez</t>
  </si>
  <si>
    <t>0064L00000DJXcv</t>
  </si>
  <si>
    <t>FRB Commercial nCino R1 Foundation + SBL Delivery FY23 #SCB</t>
  </si>
  <si>
    <t>Erica Yung</t>
  </si>
  <si>
    <t>0064I0000132yy8</t>
  </si>
  <si>
    <t>WFT - G&amp;A Cost Reduction #FFG</t>
  </si>
  <si>
    <t>29/2/2020</t>
  </si>
  <si>
    <t>0064L00000Bfgu7</t>
  </si>
  <si>
    <t>Citibanamex Separation Management</t>
  </si>
  <si>
    <t>Katie Andersen</t>
  </si>
  <si>
    <t>0064L00000Bmlum</t>
  </si>
  <si>
    <t>FIS Implementation Support - Oct 2022 to Mar 2023</t>
  </si>
  <si>
    <t>Naman Kuwadia</t>
  </si>
  <si>
    <t>0064L00000CGwhR</t>
  </si>
  <si>
    <t>#QMS BMS Quality Deployment Support CY2023</t>
  </si>
  <si>
    <t>28/2/2023</t>
  </si>
  <si>
    <t>Jan Paul Zonnenberg</t>
  </si>
  <si>
    <t>Sharad Narayan</t>
  </si>
  <si>
    <t>0064L00000BnN83</t>
  </si>
  <si>
    <t>UiPath, Inc.</t>
  </si>
  <si>
    <t>UiPath - Salesforce/Sales Tech Support</t>
  </si>
  <si>
    <t>23/3/2022</t>
  </si>
  <si>
    <t>Jason Wagner</t>
  </si>
  <si>
    <t>0064L00000AqHdO</t>
  </si>
  <si>
    <t>Whole Health School of Medicine and Health Sciences, Inc</t>
  </si>
  <si>
    <t>*CI* Implementation</t>
  </si>
  <si>
    <t>Alyson Simonetta-Larkin</t>
  </si>
  <si>
    <t>Aparna Kumar</t>
  </si>
  <si>
    <t>0064L00000Blux7</t>
  </si>
  <si>
    <t>KP MembershipConnect CDS CY2023 Q1-Q2 #PayerCO&amp;ITrans</t>
  </si>
  <si>
    <t>Sarah Sprague</t>
  </si>
  <si>
    <t>0064L00000Bluxv</t>
  </si>
  <si>
    <t>KP MembershipConnect CDS CY2023 Q3-Q4 #PayerCO&amp;ITrans</t>
  </si>
  <si>
    <t>0064L00000CYXQk</t>
  </si>
  <si>
    <t>Hilton Grand Vacations Inc.</t>
  </si>
  <si>
    <t>Project Odyssey - IT IMO (Phase 2)</t>
  </si>
  <si>
    <t>Mayank Gupta</t>
  </si>
  <si>
    <t>Hospitality and Leisure</t>
  </si>
  <si>
    <t>0064L00000BlSUv</t>
  </si>
  <si>
    <t>Abbvie Inc.</t>
  </si>
  <si>
    <t>AbbVie Content Lifecycle Transformation - Phase 2</t>
  </si>
  <si>
    <t>15/1/2022</t>
  </si>
  <si>
    <t>William Suvari</t>
  </si>
  <si>
    <t>0064L00000DJTv5</t>
  </si>
  <si>
    <t>Nationwide Mutual Insurance Company</t>
  </si>
  <si>
    <t>Clearwater Implementation (Consulting - AWM)</t>
  </si>
  <si>
    <t>Matthew Barnoski</t>
  </si>
  <si>
    <t>CS_Industry_AWM</t>
  </si>
  <si>
    <t>Andrew Haslehust-Smith</t>
  </si>
  <si>
    <t>0064L00000B2Woi</t>
  </si>
  <si>
    <t>Cushman &amp; Wakefield plc</t>
  </si>
  <si>
    <t>THD - ProEdge - Expansion Upskilling at Scale- Full integration of Workday and ProEdge - Expansion</t>
  </si>
  <si>
    <t>0064L00000CWKbN</t>
  </si>
  <si>
    <t>The Charles Schwab Corporation</t>
  </si>
  <si>
    <t>Schwab - Vendor Mgmt for CC &amp; BO Services</t>
  </si>
  <si>
    <t>0064L000009fcT4</t>
  </si>
  <si>
    <t>Network Operations Perform #BigBet #USPerform</t>
  </si>
  <si>
    <t>21/7/2021</t>
  </si>
  <si>
    <t>Ralph Roam</t>
  </si>
  <si>
    <t>0064L000007wqBZ</t>
  </si>
  <si>
    <t>GIS Consolidation - Gas #BigBet</t>
  </si>
  <si>
    <t>23/9/2022</t>
  </si>
  <si>
    <t>0064L00000BoCsf</t>
  </si>
  <si>
    <t>GE Separation - Energy - HR Support Phase 2</t>
  </si>
  <si>
    <t>25/4/2022</t>
  </si>
  <si>
    <t>Sushil Ahuja</t>
  </si>
  <si>
    <t>GE Separation - Energy - HR Support Phase 1</t>
  </si>
  <si>
    <t>0064L00000Bfecu</t>
  </si>
  <si>
    <t>Potential work after Science Based Targets Climate Neutral</t>
  </si>
  <si>
    <t>Christopher Joline</t>
  </si>
  <si>
    <t>CS_ESG</t>
  </si>
  <si>
    <t>Megan Woods</t>
  </si>
  <si>
    <t>0064L000009fj9N</t>
  </si>
  <si>
    <t>Signature Bank</t>
  </si>
  <si>
    <t>Signature FINANCIAL  - ncino Leasing Build/Test/Deploy</t>
  </si>
  <si>
    <t>27/7/2021</t>
  </si>
  <si>
    <t>0064L00000CXa59</t>
  </si>
  <si>
    <t>K2 Program Support H1'23</t>
  </si>
  <si>
    <t>Jared Schreff</t>
  </si>
  <si>
    <t>Karlie Humphreys</t>
  </si>
  <si>
    <t>0064L00000CYbRc</t>
  </si>
  <si>
    <t>United Launch Alliance L.l.c.</t>
  </si>
  <si>
    <t>ULA - Supply Chain Sourcing Execution</t>
  </si>
  <si>
    <t>27/5/2022</t>
  </si>
  <si>
    <t>20/6/2022</t>
  </si>
  <si>
    <t>Doug Anderson</t>
  </si>
  <si>
    <t>0064L00000BeHvi</t>
  </si>
  <si>
    <t>K2 Program Support - H2'22</t>
  </si>
  <si>
    <t>K2 Program Support</t>
  </si>
  <si>
    <t>0064L00000BoUgN</t>
  </si>
  <si>
    <t>Regulatory and Policy Strategy: T&amp;S - Primary/Secondary Research 2023</t>
  </si>
  <si>
    <t>Rahul Kapoor</t>
  </si>
  <si>
    <t>0064L00000CVmb5</t>
  </si>
  <si>
    <t>Project Janus - SMO - Sign to Close</t>
  </si>
  <si>
    <t>Mike Ross</t>
  </si>
  <si>
    <t>0064L00000CVmcS</t>
  </si>
  <si>
    <t>Project Rocket - SMO - Sign to Close</t>
  </si>
  <si>
    <t>0064L00000CYb9U</t>
  </si>
  <si>
    <t>Carefirst Inc.</t>
  </si>
  <si>
    <t>Claims Solution Modernization &gt;&gt; FEPOC execution support 2023 #PayerCO&amp;ITrans</t>
  </si>
  <si>
    <t>0064L00000CXjhk</t>
  </si>
  <si>
    <t>Honeywell International Inc.</t>
  </si>
  <si>
    <t>E2E Planning - 2022</t>
  </si>
  <si>
    <t>18/7/2022</t>
  </si>
  <si>
    <t>Mark Beekman</t>
  </si>
  <si>
    <t>Ankur Udani</t>
  </si>
  <si>
    <t>0064L00000CWUFb</t>
  </si>
  <si>
    <t>HP Inc.</t>
  </si>
  <si>
    <t>HP CS SSC S4 Deployment Derisk</t>
  </si>
  <si>
    <t>Sahil Bhardwaj</t>
  </si>
  <si>
    <t>HP CS SSC Simplify Support</t>
  </si>
  <si>
    <t>Tiago Leal</t>
  </si>
  <si>
    <t>0064L00000BlkZE</t>
  </si>
  <si>
    <t>HPE - BOM Simplification - Waves 1 &amp; 2</t>
  </si>
  <si>
    <t>Michael Whitman</t>
  </si>
  <si>
    <t>Lana Raymonde</t>
  </si>
  <si>
    <t>0064L00000CXRwD</t>
  </si>
  <si>
    <t>AT&amp;T Biz Data Migration Execution Legacy +1 Products</t>
  </si>
  <si>
    <t>22/9/2022</t>
  </si>
  <si>
    <t>CS_Data_AI_Analytics</t>
  </si>
  <si>
    <t>0064L00000ArccO</t>
  </si>
  <si>
    <t>Baker Hughes Company</t>
  </si>
  <si>
    <t>Net Zero Program:  2.7 Scope 3, Categories 1 and 11 - Next Phase #ESG</t>
  </si>
  <si>
    <t>Reid Morrison</t>
  </si>
  <si>
    <t>Ryan Richards</t>
  </si>
  <si>
    <t>0064I00000zTbF5</t>
  </si>
  <si>
    <t>Waste Management, Inc.</t>
  </si>
  <si>
    <t>WM - Payroll Outsourcing Implementation</t>
  </si>
  <si>
    <t>19/12/2019</t>
  </si>
  <si>
    <t>25/12/2022</t>
  </si>
  <si>
    <t>Elizabeth Yates</t>
  </si>
  <si>
    <t>Laurie Ann Fleet</t>
  </si>
  <si>
    <t>0064L00000CGubQ</t>
  </si>
  <si>
    <t>GM Supply Chain Visibility and Early Warning</t>
  </si>
  <si>
    <t>Carlos Thimann</t>
  </si>
  <si>
    <t>0064L00000ApgeN</t>
  </si>
  <si>
    <t>Advocate Aurora Health</t>
  </si>
  <si>
    <t>Advocate Aurora Health *VBO* FY23</t>
  </si>
  <si>
    <t>16/8/2021</t>
  </si>
  <si>
    <t>0064L00000BnK6f</t>
  </si>
  <si>
    <t>Cook Group Incorporated</t>
  </si>
  <si>
    <t>Enterprise Cost Transformation Phase 2</t>
  </si>
  <si>
    <t>Rick Edmunds</t>
  </si>
  <si>
    <t>0064L000003yRQC</t>
  </si>
  <si>
    <t>ULA S/4 ERP Migration</t>
  </si>
  <si>
    <t>21/8/2020</t>
  </si>
  <si>
    <t>22/4/2023</t>
  </si>
  <si>
    <t>Curt Bigelow</t>
  </si>
  <si>
    <t>0064L00000DFlkp</t>
  </si>
  <si>
    <t>Marriott International Inc.</t>
  </si>
  <si>
    <t>Marriott International Climate Action Program Phase 0</t>
  </si>
  <si>
    <t>Ron Kinghorn</t>
  </si>
  <si>
    <t>Kaci Riverol</t>
  </si>
  <si>
    <t>0064L00000BlgRV</t>
  </si>
  <si>
    <t>Moody's Corporation</t>
  </si>
  <si>
    <t>Moody's - #Coupa P2P Global Implementation</t>
  </si>
  <si>
    <t>Coupa S2P Implementation</t>
  </si>
  <si>
    <t>Steven Klatt-Lasso</t>
  </si>
  <si>
    <t>0064L00000BoM6n</t>
  </si>
  <si>
    <t>GE Separation - Energy - Finance Support phase 2</t>
  </si>
  <si>
    <t>31/7/2023</t>
  </si>
  <si>
    <t>GE Separation - Energy - SMO Main</t>
  </si>
  <si>
    <t>0064L0000099UnG</t>
  </si>
  <si>
    <t>Associated Banc-Corp</t>
  </si>
  <si>
    <t>Deposit Core Banking System Integration (#Finxact)</t>
  </si>
  <si>
    <t>0064L00000AqZBJ</t>
  </si>
  <si>
    <t>GE - Data Factory Managed Service</t>
  </si>
  <si>
    <t>21/9/2021</t>
  </si>
  <si>
    <t>0064L000009fXgt</t>
  </si>
  <si>
    <t>Program Optimus FP&amp;A Release 3</t>
  </si>
  <si>
    <t>19/7/2021</t>
  </si>
  <si>
    <t>0064L00000Blv1s</t>
  </si>
  <si>
    <t>DCT Implementation Managed Service Support #medable</t>
  </si>
  <si>
    <t>Marigrace Ambrosia</t>
  </si>
  <si>
    <t>0064L00000ArkjB</t>
  </si>
  <si>
    <t>*CI* KP BJT SOM Full Accreditation Support Phase I</t>
  </si>
  <si>
    <t>0064L000002LSiH</t>
  </si>
  <si>
    <t>AT&amp;T Oracle Cloud ERP</t>
  </si>
  <si>
    <t>17/8/2021</t>
  </si>
  <si>
    <t>0064L000009gGzc</t>
  </si>
  <si>
    <t>Procurement Strategy execution / Value Capture</t>
  </si>
  <si>
    <t>Ted Fuhr</t>
  </si>
  <si>
    <t>0064L00000Bfsl0</t>
  </si>
  <si>
    <t>Comcast Corporation</t>
  </si>
  <si>
    <t>Comcast Business - Sales &amp; Service Transformation 2023 Delivery</t>
  </si>
  <si>
    <t>Aubrey Hochstuhl</t>
  </si>
  <si>
    <t>0064L00000BeP07</t>
  </si>
  <si>
    <t>Allina Health</t>
  </si>
  <si>
    <t>Allina Payer Partnership Strategy - Ph 3</t>
  </si>
  <si>
    <t>14/1/2022</t>
  </si>
  <si>
    <t>Thom Bales</t>
  </si>
  <si>
    <t>CS_Deal_Corporate_M&amp;A_Payer_Provider</t>
  </si>
  <si>
    <t>Kristin Craig</t>
  </si>
  <si>
    <t>0064L00000DFhrJ</t>
  </si>
  <si>
    <t>Jacobs - Divergent Solutions - Financial Standup, IWA and Technology Phase 1</t>
  </si>
  <si>
    <t>Nitin Lalwani</t>
  </si>
  <si>
    <t>Denise Zwald</t>
  </si>
  <si>
    <t>0064L00000CVmjO</t>
  </si>
  <si>
    <t>CVS Aetna HCB - CM UM Work Assignment Optimization #HVM #PayerCO&amp;ITrans</t>
  </si>
  <si>
    <t>0064L000007wduO</t>
  </si>
  <si>
    <t>Vistra Allegro Upgrade - V8 to Vx</t>
  </si>
  <si>
    <t>0064L00000AqhLF</t>
  </si>
  <si>
    <t>Baker Hughes OFS Product Cost</t>
  </si>
  <si>
    <t>24/9/2021</t>
  </si>
  <si>
    <t>30/10/2022</t>
  </si>
  <si>
    <t>0064L00000CY3WI</t>
  </si>
  <si>
    <t>Incitec Pivot Limited</t>
  </si>
  <si>
    <t>Project Breeze (TitaNobel IT Integration - Discovery)</t>
  </si>
  <si>
    <t>14/5/2022</t>
  </si>
  <si>
    <t>Marwan Zakaria</t>
  </si>
  <si>
    <t>0064L00000B29Od</t>
  </si>
  <si>
    <t>Labcorp - *RC Tech* *Rev Cycle* Design Phase</t>
  </si>
  <si>
    <t>0064L00000DJRZ2</t>
  </si>
  <si>
    <t>CNP BPC Re-Implementation</t>
  </si>
  <si>
    <t>0064L00000Bo9CC</t>
  </si>
  <si>
    <t>EB DCX Execution ER Portal R2</t>
  </si>
  <si>
    <t>0064L000004w0UA</t>
  </si>
  <si>
    <t>Astellas Pharma Inc.</t>
  </si>
  <si>
    <t>#IOBP -- Helix 2.0 - Enablement</t>
  </si>
  <si>
    <t>18/12/2020</t>
  </si>
  <si>
    <t>Anthony Di Stefano</t>
  </si>
  <si>
    <t>0064L00000CY0eY</t>
  </si>
  <si>
    <t>Kohlberg &amp; Co. LP</t>
  </si>
  <si>
    <t>PCI Sterile Expansion 2023</t>
  </si>
  <si>
    <t>Alex Tallarida</t>
  </si>
  <si>
    <t>0064L00000CV8an</t>
  </si>
  <si>
    <t>#IOBP -- Operational Planning Refresh - Phase 2</t>
  </si>
  <si>
    <t>0064L00000CY0JL</t>
  </si>
  <si>
    <t>Allstate Cost Transformation Phase 5- Implementation Support #DVC</t>
  </si>
  <si>
    <t>John Mulhall</t>
  </si>
  <si>
    <t>CS_EDT_Insurance</t>
  </si>
  <si>
    <t>Emily Zhang</t>
  </si>
  <si>
    <t>0064L00000DFV9Z</t>
  </si>
  <si>
    <t>BMS-Turning Point Integration: HR Support</t>
  </si>
  <si>
    <t>Shungu Chigariro</t>
  </si>
  <si>
    <t>0064L00000CYQFJ</t>
  </si>
  <si>
    <t>BMS Finance Integration (Core Finance) - Jan - Jun 23</t>
  </si>
  <si>
    <t>0064L000009fT2u</t>
  </si>
  <si>
    <t>[Big Bet] S4 Hana/Business Planning</t>
  </si>
  <si>
    <t>Amit Sharma</t>
  </si>
  <si>
    <t>0064L00000BoXAr</t>
  </si>
  <si>
    <t>R&amp;D Clinical Trials Accrual System Design &amp; Implementation FY23</t>
  </si>
  <si>
    <t>0064L00000Ar597</t>
  </si>
  <si>
    <t>C&amp;W - Upskilling Assessment and Execution Phase 3 #proedge - Expansion</t>
  </si>
  <si>
    <t>Ann Johnston</t>
  </si>
  <si>
    <t>Michael Berland</t>
  </si>
  <si>
    <t>0064L00000AqPtk</t>
  </si>
  <si>
    <t>BMS FFG Phase 3 - Beyond Commercial #XPCVBB</t>
  </si>
  <si>
    <t>14/9/2021</t>
  </si>
  <si>
    <t>0064L00000424Ya</t>
  </si>
  <si>
    <t>GSK PLC</t>
  </si>
  <si>
    <t>#QMS eQMS</t>
  </si>
  <si>
    <t>19/11/2020</t>
  </si>
  <si>
    <t>0064L000009B66h</t>
  </si>
  <si>
    <t>MSFT DLS FY22 MAVS HR TR H2 Deal Support</t>
  </si>
  <si>
    <t>Christopher Ayers</t>
  </si>
  <si>
    <t>0064L00000BgMRb</t>
  </si>
  <si>
    <t>Pfizer - Complaints Management #QualityManagedServices</t>
  </si>
  <si>
    <t>26/2/2022</t>
  </si>
  <si>
    <t>Kareem Elwakil</t>
  </si>
  <si>
    <t>0064L00000B2TmY</t>
  </si>
  <si>
    <t>AT&amp;T Biz EducationNet Acceleration</t>
  </si>
  <si>
    <t>16/9/2022</t>
  </si>
  <si>
    <t>Robert Ruark</t>
  </si>
  <si>
    <t>0064L00000CYpqY</t>
  </si>
  <si>
    <t>Horizon Healthcare Services Inc.</t>
  </si>
  <si>
    <t>Horizon - Project Olive Oil - Modernize Facets platform for Medicaid #PayerCO&amp;ITrans</t>
  </si>
  <si>
    <t>13/1/2023</t>
  </si>
  <si>
    <t>James McNeil</t>
  </si>
  <si>
    <t>0064I00000y8Jhv</t>
  </si>
  <si>
    <t>NICO Finance Datamart Implementation (US branches)</t>
  </si>
  <si>
    <t>29/10/2019</t>
  </si>
  <si>
    <t>0064L00000ArD0c</t>
  </si>
  <si>
    <t>Mckesson Corporation</t>
  </si>
  <si>
    <t>Pricing Implementation - Phase 2</t>
  </si>
  <si>
    <t>15/10/2021</t>
  </si>
  <si>
    <t>Pricing Implementation - Phase 1</t>
  </si>
  <si>
    <t>0064L00000ArD0d</t>
  </si>
  <si>
    <t>Pricing Implementation - Phase 3</t>
  </si>
  <si>
    <t>0065800000YZOgw</t>
  </si>
  <si>
    <t>Hyatt Hotels Corporation</t>
  </si>
  <si>
    <t>Hyatt: IGP Alert Buttons</t>
  </si>
  <si>
    <t>23/3/2018</t>
  </si>
  <si>
    <t>Jon Glick</t>
  </si>
  <si>
    <t>Maggie Adams</t>
  </si>
  <si>
    <t>0064L00000BnPgC</t>
  </si>
  <si>
    <t>C4C Replacement</t>
  </si>
  <si>
    <t>25/3/2022</t>
  </si>
  <si>
    <t>Alexander Wisniewski</t>
  </si>
  <si>
    <t>0064L00000AqOaI</t>
  </si>
  <si>
    <t>Bank Of Hawaii Corporation</t>
  </si>
  <si>
    <t>Bank of Hawaii nCino Delivery Release 1 #&lt;$50B #SCB</t>
  </si>
  <si>
    <t>Paul Bird</t>
  </si>
  <si>
    <t>0064L00000CVEF2</t>
  </si>
  <si>
    <t>AT&amp;T Mobility Credits - Contingent Payment</t>
  </si>
  <si>
    <t>0064L00000BlJix</t>
  </si>
  <si>
    <t>Siepmann Stiftung</t>
  </si>
  <si>
    <t>Aldi VCO Phase 3 #CMRETAIL</t>
  </si>
  <si>
    <t>Todd Bargman</t>
  </si>
  <si>
    <t>0064L00000Bd1w6</t>
  </si>
  <si>
    <t>Enterprise Cost Transformation</t>
  </si>
  <si>
    <t>0064L00000B1qAI</t>
  </si>
  <si>
    <t>The Hershey Company</t>
  </si>
  <si>
    <t>Hershey SAP TPM+DME Upgrade + S4 Integration - Phase 3 #RGM</t>
  </si>
  <si>
    <t>22/9/2021</t>
  </si>
  <si>
    <t>Amit Edla</t>
  </si>
  <si>
    <t>0064L00000BgMHu</t>
  </si>
  <si>
    <t>Eisai Co., Ltd.</t>
  </si>
  <si>
    <t>R&amp;D insights office &amp; evidence generation #RWDEvGen</t>
  </si>
  <si>
    <t>25/2/2022</t>
  </si>
  <si>
    <t>0064L00000AqQ3p</t>
  </si>
  <si>
    <t>WGL - TransRM - Asset Risk Ph2 #BigBet</t>
  </si>
  <si>
    <t>Kaite Coyne</t>
  </si>
  <si>
    <t>0064L00000Bf6ex</t>
  </si>
  <si>
    <t>Halliburton Company</t>
  </si>
  <si>
    <t>Carbon Ledger Implementation</t>
  </si>
  <si>
    <t>0064L00000Bf6h3</t>
  </si>
  <si>
    <t>Christus Health</t>
  </si>
  <si>
    <t>Rural Strategy &amp; Rural Equity Analysis - *Strategic Reimbursement*</t>
  </si>
  <si>
    <t>0064L00000Bf6fl</t>
  </si>
  <si>
    <t>Valero Energy Corporation</t>
  </si>
  <si>
    <t>Sammy Lakshmanan</t>
  </si>
  <si>
    <t>0064L000009fOPZ</t>
  </si>
  <si>
    <t>ROSS STORES</t>
  </si>
  <si>
    <t>Logistics Capability (TMS Phs 1)</t>
  </si>
  <si>
    <t>Ron Klein</t>
  </si>
  <si>
    <t>Sean Centilli</t>
  </si>
  <si>
    <t>0064L00000Bnqpi</t>
  </si>
  <si>
    <t>DVC_OptumCare Phase 2</t>
  </si>
  <si>
    <t>0064L000001uHbD</t>
  </si>
  <si>
    <t>General Dynamics Corporation</t>
  </si>
  <si>
    <t>GDIT Oracle EPM Implementation</t>
  </si>
  <si>
    <t>18/6/2020</t>
  </si>
  <si>
    <t>28/4/2023</t>
  </si>
  <si>
    <t>Lilly Ou</t>
  </si>
  <si>
    <t>0064L00000Bnr0C</t>
  </si>
  <si>
    <t>Project KPop (PHM) Medi-Cal Q3-Q4 2022 #GCOEcaid</t>
  </si>
  <si>
    <t>Mike Longacre</t>
  </si>
  <si>
    <t>Ramankutty Anoop</t>
  </si>
  <si>
    <t>0064L00000BoQn7</t>
  </si>
  <si>
    <t>#QualityManagedServices</t>
  </si>
  <si>
    <t>Drew Kaneps</t>
  </si>
  <si>
    <t>0064L000009986Y</t>
  </si>
  <si>
    <t>Northrop Grumman Corporation</t>
  </si>
  <si>
    <t>NGC DT- PPM Implementation Support</t>
  </si>
  <si>
    <t>Anthony Caletka</t>
  </si>
  <si>
    <t>NGC DT- Program Excellence Assessment</t>
  </si>
  <si>
    <t>Faeez Yousuff</t>
  </si>
  <si>
    <t>0064L00000BotcM</t>
  </si>
  <si>
    <t>BMS - DVC Automate Insight Packets</t>
  </si>
  <si>
    <t>Shaguna Punj</t>
  </si>
  <si>
    <t>Kristin Sharp</t>
  </si>
  <si>
    <t>0064L000001uXNs</t>
  </si>
  <si>
    <t>GPM: Strategic: Global Price Management Governance and Solutions *Pricing*</t>
  </si>
  <si>
    <t>22/6/2020</t>
  </si>
  <si>
    <t>21/7/2021 8:36 pm</t>
  </si>
  <si>
    <t>Francis Ruffy</t>
  </si>
  <si>
    <t>0064L000004wjTN</t>
  </si>
  <si>
    <t>Eli Lilly And Company</t>
  </si>
  <si>
    <t>Follow-on - M&amp;Q competitive assessment</t>
  </si>
  <si>
    <t>0064L000009gKzF</t>
  </si>
  <si>
    <t>Project Bull Run - Design and Implementation 2022</t>
  </si>
  <si>
    <t>Project Bull Run - Strategy #DCT</t>
  </si>
  <si>
    <t>Sean Rooney</t>
  </si>
  <si>
    <t>0064L00000Bfemu</t>
  </si>
  <si>
    <t>Embecta Corp.</t>
  </si>
  <si>
    <t>Embecta - Complaints Management #QualityManagedServices</t>
  </si>
  <si>
    <t>0064L00000BmZGZ</t>
  </si>
  <si>
    <t>BMS GPS Operating Model Implementation</t>
  </si>
  <si>
    <t>Karan Sahni</t>
  </si>
  <si>
    <t>0064L00000B2Mul</t>
  </si>
  <si>
    <t>COA - Phase 3</t>
  </si>
  <si>
    <t>Mikel Nicks</t>
  </si>
  <si>
    <t>0064L00000CWwkw</t>
  </si>
  <si>
    <t>Project Neo TSA (Jul-Dec 2022)</t>
  </si>
  <si>
    <t>Bill Schmitt</t>
  </si>
  <si>
    <t>0064L000006Wcfz</t>
  </si>
  <si>
    <t>MRO Optimization Phase 3 Packaging</t>
  </si>
  <si>
    <t>22/2/2021</t>
  </si>
  <si>
    <t>13/7/2022</t>
  </si>
  <si>
    <t>Akshay Singh</t>
  </si>
  <si>
    <t>0064L000009AhPe</t>
  </si>
  <si>
    <t>Synovus Financial CORP.</t>
  </si>
  <si>
    <t>Synovus nCino LOS Delivery Release 2 FY22 #&lt;50B #SCB</t>
  </si>
  <si>
    <t>16/11/2021</t>
  </si>
  <si>
    <t>0064L00000CVEtC</t>
  </si>
  <si>
    <t>CDW SSC Design (Phase I) Fin/CWS</t>
  </si>
  <si>
    <t>Andres Gomez</t>
  </si>
  <si>
    <t>0064L00000BogZ5</t>
  </si>
  <si>
    <t>KP MembershipConnect CDS CY2022 Q4 #PayerCO&amp;ITrans</t>
  </si>
  <si>
    <t>0064I00000r3Vx4</t>
  </si>
  <si>
    <t>Kao Usa Inc.</t>
  </si>
  <si>
    <t>Performance Analyzer (SaaS) #RGM</t>
  </si>
  <si>
    <t>Penny Boswell</t>
  </si>
  <si>
    <t>0064L00000BgOtD</t>
  </si>
  <si>
    <t>TPM for Coca-Cola Canada Bottling</t>
  </si>
  <si>
    <t>27/2/2022</t>
  </si>
  <si>
    <t>0064L0000041Sg3</t>
  </si>
  <si>
    <t>Kimberly-Clark Corporation</t>
  </si>
  <si>
    <t>KC APAC SAP TPM *RGM*</t>
  </si>
  <si>
    <t>0064L000006zlI7</t>
  </si>
  <si>
    <t>Houston Methodist Hospital</t>
  </si>
  <si>
    <t>Houston Methodist CRM on MS Dynamics - Enterprise Rollout #MSFTProvider</t>
  </si>
  <si>
    <t>16/3/2021</t>
  </si>
  <si>
    <t>0064L00000BnRMJ</t>
  </si>
  <si>
    <t>ETRADE Part 30 Gap Analysis</t>
  </si>
  <si>
    <t>26/3/2022</t>
  </si>
  <si>
    <t>29/8/2022</t>
  </si>
  <si>
    <t>Jason Gaswirth</t>
  </si>
  <si>
    <t>0064L00000Bmr1A</t>
  </si>
  <si>
    <t>M&amp;A Integration Support - IMO extension</t>
  </si>
  <si>
    <t>Verawaty Sudjono</t>
  </si>
  <si>
    <t>M&amp;A Integration Support - IMO</t>
  </si>
  <si>
    <t>0064L00000AqVxx</t>
  </si>
  <si>
    <t>GE Gas Power Product Lifecycle Configuration Management Execution #GET+DD</t>
  </si>
  <si>
    <t>17/9/2021</t>
  </si>
  <si>
    <t>0064L00000BoQnC</t>
  </si>
  <si>
    <t>Bunge Limited</t>
  </si>
  <si>
    <t>0064L00000BoQnH</t>
  </si>
  <si>
    <t>Ingredion Incorporated</t>
  </si>
  <si>
    <t>INGR - #QualityManagedServices</t>
  </si>
  <si>
    <t>15/6/2023</t>
  </si>
  <si>
    <t>0064L00000BoQmO</t>
  </si>
  <si>
    <t>Cargill Incorporated</t>
  </si>
  <si>
    <t>0064L000009AmGh</t>
  </si>
  <si>
    <t>AdventHealth GPH Use Case Implementation</t>
  </si>
  <si>
    <t>Eden Passon</t>
  </si>
  <si>
    <t>0064L000009BJyh</t>
  </si>
  <si>
    <t>MSWM - Account &amp; Data Conversion (PM-BAs)</t>
  </si>
  <si>
    <t>0064L00000CW8sw</t>
  </si>
  <si>
    <t>HCSC Large Programs IT Implementation Support #PayerCO&amp;ITrans</t>
  </si>
  <si>
    <t>Hans Breville</t>
  </si>
  <si>
    <t>0064L00000BmFtl</t>
  </si>
  <si>
    <t>Northern Trust - Workday Adaptive Planning Deployment</t>
  </si>
  <si>
    <t>Jaime Garza</t>
  </si>
  <si>
    <t>Blake Wetzel</t>
  </si>
  <si>
    <t>0064L000009gJHW</t>
  </si>
  <si>
    <t>Amgen Inc.</t>
  </si>
  <si>
    <t>Amgen ADI Next Gen Development DCT Design #DCT</t>
  </si>
  <si>
    <t>Amgen ADI Next Gen Development Strategy: Design Hub, DCT, CTR #DCT #ClinTrialDesign</t>
  </si>
  <si>
    <t>0064L00000Bomxw</t>
  </si>
  <si>
    <t>SNC Vogtle Post Commissioning Support</t>
  </si>
  <si>
    <t>17/5/2022</t>
  </si>
  <si>
    <t>0064L00000DFZGU</t>
  </si>
  <si>
    <t>Chart of Accounts FT Program</t>
  </si>
  <si>
    <t>Noam Heller</t>
  </si>
  <si>
    <t>0064L000001vuyo</t>
  </si>
  <si>
    <t>Energy Transfer LP</t>
  </si>
  <si>
    <t>Crude Trading Optimization</t>
  </si>
  <si>
    <t>31/7/2020</t>
  </si>
  <si>
    <t>Cara Arnold</t>
  </si>
  <si>
    <t>0064L00000BfQNi</t>
  </si>
  <si>
    <t>FY23 R2R and Analytics Support</t>
  </si>
  <si>
    <t>FB R2R Controllership RFQ - FY22</t>
  </si>
  <si>
    <t>0064L00000CYUci</t>
  </si>
  <si>
    <t>The Boeing Company</t>
  </si>
  <si>
    <t>Boeing Workday Re-Implementation Support</t>
  </si>
  <si>
    <t>Justin Hall</t>
  </si>
  <si>
    <t>0064L00000DJTQl</t>
  </si>
  <si>
    <t>Promedica Health System Inc.</t>
  </si>
  <si>
    <t>ProMedica Capacity Management Implementation</t>
  </si>
  <si>
    <t>Lisebeth Forbes</t>
  </si>
  <si>
    <t>0064L00000DFYON</t>
  </si>
  <si>
    <t>IPL Separation - IT Separation Planning</t>
  </si>
  <si>
    <t>Nisheet Bhalla</t>
  </si>
  <si>
    <t>0064L00000CYfBY</t>
  </si>
  <si>
    <t>WH - Phase 2 EHR Implementation Support *RC Tech* *Rev Cycle*</t>
  </si>
  <si>
    <t>28/5/2022</t>
  </si>
  <si>
    <t>Keith Mauger</t>
  </si>
  <si>
    <t>Peter Johnson</t>
  </si>
  <si>
    <t>0064L00000CYUE3</t>
  </si>
  <si>
    <t>SVB Financial Group</t>
  </si>
  <si>
    <t>SVB Payment Ops and Governance Improvements (Phase 3)</t>
  </si>
  <si>
    <t>Sean Viergutz</t>
  </si>
  <si>
    <t>Zach Zimmer</t>
  </si>
  <si>
    <t>0064L00000CYUE2</t>
  </si>
  <si>
    <t>SVB Payment Ops and Governance Improvements (Phase 2)</t>
  </si>
  <si>
    <t>0064L00000DJRu6</t>
  </si>
  <si>
    <t>Viatris Inc.</t>
  </si>
  <si>
    <t>Viatris Integration - Phase 14 (3Q 2022) - HIA 2</t>
  </si>
  <si>
    <t>15/8/2022</t>
  </si>
  <si>
    <t>Philip Sclafani</t>
  </si>
  <si>
    <t>Dinkar Saran</t>
  </si>
  <si>
    <t>0064L00000DJRu0</t>
  </si>
  <si>
    <t>Viatris Integration - Phase 14 (3Q 2022) - HIA</t>
  </si>
  <si>
    <t>0064L00000ArXDg</t>
  </si>
  <si>
    <t>The Williams Companies Inc.</t>
  </si>
  <si>
    <t>Williams - Wave 3 Standardization &amp; Simplification (Endur)</t>
  </si>
  <si>
    <t>Sammy Njogu</t>
  </si>
  <si>
    <t>0064L000002aPEu</t>
  </si>
  <si>
    <t>Digital Finance Transformation - FP&amp;A 2022 Workstream</t>
  </si>
  <si>
    <t>Frank Mackris</t>
  </si>
  <si>
    <t>0064L00000BnWDr</t>
  </si>
  <si>
    <t>Studios back-office systems (MGM Integration)</t>
  </si>
  <si>
    <t>Paige Hayes</t>
  </si>
  <si>
    <t>Sachin Khairnar</t>
  </si>
  <si>
    <t>0064L00000BnxiT</t>
  </si>
  <si>
    <t>RPM International Inc</t>
  </si>
  <si>
    <t>OneStream Implementation</t>
  </si>
  <si>
    <t>13/4/2022</t>
  </si>
  <si>
    <t>Yuriy Khomenko</t>
  </si>
  <si>
    <t>0064L00000Aqdaw</t>
  </si>
  <si>
    <t>Elliott Capital Advisors, L.P</t>
  </si>
  <si>
    <t>Privates Data Platform &amp; Reporting Build Out Support</t>
  </si>
  <si>
    <t>Bruce Hutchison</t>
  </si>
  <si>
    <t>Chris Bell</t>
  </si>
  <si>
    <t>0064L00000B0qge</t>
  </si>
  <si>
    <t>Gilead: R&amp;D PPM Strategy &amp; Design #IOBP</t>
  </si>
  <si>
    <t>0064L00000B0qg5</t>
  </si>
  <si>
    <t>C.H. Boehringer Sohn AG &amp; Co. KG</t>
  </si>
  <si>
    <t>BI DCT Business Case &amp; Center of Excellence Managed Service #DCT</t>
  </si>
  <si>
    <t>0064L000002brbK</t>
  </si>
  <si>
    <t>Icon Public Limited Company</t>
  </si>
  <si>
    <t>ICON / PRA BU Implementation</t>
  </si>
  <si>
    <t>Anup Kharode</t>
  </si>
  <si>
    <t>Mike DeMarco</t>
  </si>
  <si>
    <t>0064L00000BoxrT</t>
  </si>
  <si>
    <t>Intercontinental Exchange, Inc.</t>
  </si>
  <si>
    <t>ICE Black Knight Pursuit</t>
  </si>
  <si>
    <t>24/5/2022</t>
  </si>
  <si>
    <t>Andrew Wooten</t>
  </si>
  <si>
    <t>Liban Ahmed</t>
  </si>
  <si>
    <t>0064L00000DFSng</t>
  </si>
  <si>
    <t>GRM Change Management</t>
  </si>
  <si>
    <t>Julia Lamm</t>
  </si>
  <si>
    <t>Beth Lyons</t>
  </si>
  <si>
    <t>0064L00000BeiLy</t>
  </si>
  <si>
    <t>#MedAffairs #RWDEvGen -- Evidence Generation Observational Study (BI)</t>
  </si>
  <si>
    <t>0064L00000B36Qg</t>
  </si>
  <si>
    <t>RWE Observational Study (OBG or Med Affairs) #RWDEvGen</t>
  </si>
  <si>
    <t>Kelechi Nwoku</t>
  </si>
  <si>
    <t>0064L00000BowVr</t>
  </si>
  <si>
    <t>National Academy Of Sciences</t>
  </si>
  <si>
    <t>NASEM Catalyst &amp; M365 Deployment ('22-'23)</t>
  </si>
  <si>
    <t>Don Christian</t>
  </si>
  <si>
    <t>G and PS - Other</t>
  </si>
  <si>
    <t>Lee Connolly</t>
  </si>
  <si>
    <t>0064L00000BnRYF</t>
  </si>
  <si>
    <t>Cinedigm Corp</t>
  </si>
  <si>
    <t>Cinedigm Corp - ERP Upgrade</t>
  </si>
  <si>
    <t>Tracy Tieu</t>
  </si>
  <si>
    <t>0064L000003yYLx</t>
  </si>
  <si>
    <t>Lumen Technologies</t>
  </si>
  <si>
    <t>Lumen -  Finance Transformation (S/4 Implementation)</t>
  </si>
  <si>
    <t>26/8/2020</t>
  </si>
  <si>
    <t>Hollie Sinclair</t>
  </si>
  <si>
    <t>0064L00000BoeUB</t>
  </si>
  <si>
    <t>Clearlake Capital Group L.p.</t>
  </si>
  <si>
    <t>TSI - OneStream Implementation</t>
  </si>
  <si>
    <t>Mikayla Call</t>
  </si>
  <si>
    <t>0064L00000BodwX</t>
  </si>
  <si>
    <t>The University Of Texas System.</t>
  </si>
  <si>
    <t>MDACC Enterprise Accounting &amp; Decision Support System</t>
  </si>
  <si>
    <t>Sarah Daubenspeck</t>
  </si>
  <si>
    <t>Colleen Farragher</t>
  </si>
  <si>
    <t>0064L00000Botdy</t>
  </si>
  <si>
    <t>Intel Talent Acquisition Redesign</t>
  </si>
  <si>
    <t>Antonia Cusumano</t>
  </si>
  <si>
    <t>0064L000006gtll</t>
  </si>
  <si>
    <t>ncino TM/Cash Mgt Deployment #&lt;$50B</t>
  </si>
  <si>
    <t>25/2/2021</t>
  </si>
  <si>
    <t>0064L00000DJmjz</t>
  </si>
  <si>
    <t>Arena acquisition extension</t>
  </si>
  <si>
    <t>Brian Krall</t>
  </si>
  <si>
    <t>0064L00000BcpaQ</t>
  </si>
  <si>
    <t>US Commercial and Customer Operations: COE Transformation</t>
  </si>
  <si>
    <t>0064L00000BcpbY</t>
  </si>
  <si>
    <t>Unison Capital Partners IV LPS</t>
  </si>
  <si>
    <t>KKC - Commercial Data and Analytics Managed Services</t>
  </si>
  <si>
    <t>0064L00000Bcpcv</t>
  </si>
  <si>
    <t>Global Pricing Transformation</t>
  </si>
  <si>
    <t>0064L000002aylA</t>
  </si>
  <si>
    <t>bp T&amp;S GPTA Project Evolve - Perform</t>
  </si>
  <si>
    <t>22/4/2021</t>
  </si>
  <si>
    <t>0064L00000BoroB</t>
  </si>
  <si>
    <t>CHS IT Transformation Support</t>
  </si>
  <si>
    <t>19/5/2022</t>
  </si>
  <si>
    <t>21/6/2022</t>
  </si>
  <si>
    <t>Mary Beth Mikols</t>
  </si>
  <si>
    <t>0064L00000BcpMJ</t>
  </si>
  <si>
    <t>US Commercial and Customer Operations: Contract Operations Transformation *Pricing</t>
  </si>
  <si>
    <t>0064L000004xpT4</t>
  </si>
  <si>
    <t>MSFT HR TLI GTM FY23 Talent Architecture</t>
  </si>
  <si>
    <t>29/1/2021</t>
  </si>
  <si>
    <t>Vito Capezio Jr</t>
  </si>
  <si>
    <t>0064L00000Bm9Rv</t>
  </si>
  <si>
    <t>Project Denali (ABK) - IMO</t>
  </si>
  <si>
    <t>Change Order; Pull-Through; Phased; Parent</t>
  </si>
  <si>
    <t>Mariska Howell</t>
  </si>
  <si>
    <t>0064L00000Bmjcz</t>
  </si>
  <si>
    <t>Bell Factory Performance (DSC) - Smart Factory Phase 2</t>
  </si>
  <si>
    <t>0064L00000CGvuJ</t>
  </si>
  <si>
    <t>Project NEOM Phase 2</t>
  </si>
  <si>
    <t>18/11/2022</t>
  </si>
  <si>
    <t>John Foody</t>
  </si>
  <si>
    <t>0064L00000B2pU5</t>
  </si>
  <si>
    <t>FAVT EPM 2022 H2 #Finance</t>
  </si>
  <si>
    <t>0064L000003zknE</t>
  </si>
  <si>
    <t>Star GP Holding LLC</t>
  </si>
  <si>
    <t>EDD Operations</t>
  </si>
  <si>
    <t>25/9/2020</t>
  </si>
  <si>
    <t>0064L00000Bfeh7</t>
  </si>
  <si>
    <t>Apax Partners Holdings Ltd</t>
  </si>
  <si>
    <t>Potential work after Apax PortCo GhG measurement project (#AWMESG)</t>
  </si>
  <si>
    <t>Donald Reed</t>
  </si>
  <si>
    <t>0064L00000CX4cN</t>
  </si>
  <si>
    <t>WF CIB FX Client Onboarding Support</t>
  </si>
  <si>
    <t>John Giannotto</t>
  </si>
  <si>
    <t>Sanam Shah</t>
  </si>
  <si>
    <t>0064L0000099AcQ</t>
  </si>
  <si>
    <t>Product Solution - implementation and deployment support 2022 #PayerCO&amp;ITrans</t>
  </si>
  <si>
    <t>0064L000007Fh8u</t>
  </si>
  <si>
    <t>Energy Transfer Managed Services for Trading applications</t>
  </si>
  <si>
    <t>Phani Durbhakula</t>
  </si>
  <si>
    <t>ADV_IPS_Managed_Services</t>
  </si>
  <si>
    <t>0064L00000BlON1</t>
  </si>
  <si>
    <t>Deere &amp; Company</t>
  </si>
  <si>
    <t>Billing &amp; Rev Rec Implementation - Phase 2</t>
  </si>
  <si>
    <t>James Buckley</t>
  </si>
  <si>
    <t>0064L00000CYtTi</t>
  </si>
  <si>
    <t>Trinity Health Corp.</t>
  </si>
  <si>
    <t>Dubuque RRC Reclass + Wage Index - 23 to 25 *Strategic Reimbursement*</t>
  </si>
  <si>
    <t>0064L00000CYt4E</t>
  </si>
  <si>
    <t>GPS PM Support 2023 - Medicaid NextGen #PayerCO&amp;ITrans</t>
  </si>
  <si>
    <t>0064L000003z8wj</t>
  </si>
  <si>
    <t>Sunoco - Products Trading Optimization (River Logic)</t>
  </si>
  <si>
    <t>0064L00000CWTmB</t>
  </si>
  <si>
    <t>Phase 1: Medicare Line of Business Health Plan Marketing &amp; Admin Capabilities + Performance Assessment &amp; Optimization</t>
  </si>
  <si>
    <t>0064L00000DJTkl</t>
  </si>
  <si>
    <t>Enterprise Risk Management Transformation Program Support</t>
  </si>
  <si>
    <t>0064L000009AasA</t>
  </si>
  <si>
    <t>MSK - Cloud Factory / Environment Transformation</t>
  </si>
  <si>
    <t>CS_Cloud_HI</t>
  </si>
  <si>
    <t>0064L00000CYtrV</t>
  </si>
  <si>
    <t>Southern Farm Bureau Life Insurance Company</t>
  </si>
  <si>
    <t>SFBLI EDW Implementation</t>
  </si>
  <si>
    <t>Helene Kubon Skulstad</t>
  </si>
  <si>
    <t>Anshu Goel</t>
  </si>
  <si>
    <t>0064L00000BfvNN</t>
  </si>
  <si>
    <t>WBA Lease Administration and Accounting Implementation</t>
  </si>
  <si>
    <t>0064L00000Aqdb1</t>
  </si>
  <si>
    <t>Workflow Build Out Support</t>
  </si>
  <si>
    <t>0064L00000CY2O8</t>
  </si>
  <si>
    <t>BI - ZAN BPD Assessment</t>
  </si>
  <si>
    <t>Andy Greenberg</t>
  </si>
  <si>
    <t>Kristina Capiak</t>
  </si>
  <si>
    <t>0064L00000Bel0k</t>
  </si>
  <si>
    <t>Internet Corporation For Assigned Names And Numbers</t>
  </si>
  <si>
    <t>ICANN DEI Consulting Services RFP</t>
  </si>
  <si>
    <t>22/1/2022</t>
  </si>
  <si>
    <t>Sabah Cambrelen</t>
  </si>
  <si>
    <t>0064L00000B3985</t>
  </si>
  <si>
    <t>AT&amp;T Biz Data Migration Execution Fiber</t>
  </si>
  <si>
    <t>28/10/2021</t>
  </si>
  <si>
    <t>0064L00000CYb49</t>
  </si>
  <si>
    <t>UBS / WMAP - July-Dec 2022 Support  #WMA / $2,200,000</t>
  </si>
  <si>
    <t>Derek Hayes</t>
  </si>
  <si>
    <t>Vishal Rawal</t>
  </si>
  <si>
    <t>0064L00000BgMRu</t>
  </si>
  <si>
    <t>Ultragenyx Pharmaceutical Inc.</t>
  </si>
  <si>
    <t>Ultragenyx - QMR, eQMS Model Office and Complaints Management #QualityManagedServices</t>
  </si>
  <si>
    <t>0064L00000BoQmn</t>
  </si>
  <si>
    <t>Conagra Brands, Inc.</t>
  </si>
  <si>
    <t>0064L00000BormU</t>
  </si>
  <si>
    <t>Marvell Technology Group Ltd.</t>
  </si>
  <si>
    <t>Kinaxis Supply Planning Deployment</t>
  </si>
  <si>
    <t>Michael Couwenhoven</t>
  </si>
  <si>
    <t>Meiqing Fan</t>
  </si>
  <si>
    <t>0064L00000Boa93</t>
  </si>
  <si>
    <t>Brookline Bancorp, Inc.</t>
  </si>
  <si>
    <t>Brookline Bank nCino REMEDIATION FY23 Build Remediation #&lt;$50B #SCB</t>
  </si>
  <si>
    <t>0064L00000B1cMo</t>
  </si>
  <si>
    <t>HCSC ACE 2022 Q3</t>
  </si>
  <si>
    <t>Sanchit Madan</t>
  </si>
  <si>
    <t>Elizabeth Acquaah-Harrison</t>
  </si>
  <si>
    <t>0064L00000BnKWa</t>
  </si>
  <si>
    <t>MSFT DLS FY22 MAVS Support Nimbus Phase Q4 Change Order</t>
  </si>
  <si>
    <t>0064L00000Bfeew</t>
  </si>
  <si>
    <t>Potential work after SSGA ESG support - Net Zero, TCFD, Stewardship</t>
  </si>
  <si>
    <t>0064L00000BevVX</t>
  </si>
  <si>
    <t>Citi SEC 15c3-5 Market Access Rule #Core</t>
  </si>
  <si>
    <t>0064L00000BoZzc</t>
  </si>
  <si>
    <t>Nordstrom Retail to Cost Phase 3</t>
  </si>
  <si>
    <t>Caitlyn Quilty</t>
  </si>
  <si>
    <t>0064L000002aorP</t>
  </si>
  <si>
    <t>RJF WM Operations Transformation #DVC</t>
  </si>
  <si>
    <t>19/4/2021</t>
  </si>
  <si>
    <t>0064L000006A71s</t>
  </si>
  <si>
    <t>0064L00000BgVnw</t>
  </si>
  <si>
    <t>KCNA SAP TPM S4 Integration &amp; Global Template</t>
  </si>
  <si>
    <t>0064L000004wVno</t>
  </si>
  <si>
    <t>New Jersey Resources Corp.</t>
  </si>
  <si>
    <t>NJR Energy Services - Wholesale Gas Trading Systems</t>
  </si>
  <si>
    <t>0064L00000BopPi</t>
  </si>
  <si>
    <t>CRH Public Limited Company</t>
  </si>
  <si>
    <t>AMAT Backoffice Systems Transformation - Design/Blueprint</t>
  </si>
  <si>
    <t>0064L00000Bcn2R</t>
  </si>
  <si>
    <t>Benefits Preference Analysis and Optimization</t>
  </si>
  <si>
    <t>Jan Seele</t>
  </si>
  <si>
    <t>0064L000002bfSK</t>
  </si>
  <si>
    <t>Crouse Health Hospital Inc.</t>
  </si>
  <si>
    <t>0064L00000DFls5</t>
  </si>
  <si>
    <t>Amerihealth Caritas Health Plan</t>
  </si>
  <si>
    <t>Finance and EPM Operating Model and Cloud Execution Phase 2</t>
  </si>
  <si>
    <t>Mike Swanson</t>
  </si>
  <si>
    <t>0064L00000B29k1</t>
  </si>
  <si>
    <t>THR *FFG* G&amp;A Implementation</t>
  </si>
  <si>
    <t>Ginger Pilgrim</t>
  </si>
  <si>
    <t>Joy Schroeder</t>
  </si>
  <si>
    <t>0064L00000Bm6om</t>
  </si>
  <si>
    <t>Community Health Network</t>
  </si>
  <si>
    <t>CHN Microsoft Dynamics CRM Implementation #MSFTProvider</t>
  </si>
  <si>
    <t>0064L00000CXdnC</t>
  </si>
  <si>
    <t>H &amp; S Ventures LLC</t>
  </si>
  <si>
    <t>Sustainability Vision and Activation</t>
  </si>
  <si>
    <t>Alyssa Anderson</t>
  </si>
  <si>
    <t>Nicholas Oliver</t>
  </si>
  <si>
    <t>0064L00000CYFT7</t>
  </si>
  <si>
    <t>Emory University</t>
  </si>
  <si>
    <t>Rural/RRC/Reclass + MAA Analysis *Strategic Reimbursement*</t>
  </si>
  <si>
    <t>Benjamin O'Malley</t>
  </si>
  <si>
    <t>0064L00000CXds6</t>
  </si>
  <si>
    <t>AT&amp;T GIS for EIS FedGov FRPs</t>
  </si>
  <si>
    <t>0064L00000Bm4rP</t>
  </si>
  <si>
    <t>Performance Analyzer</t>
  </si>
  <si>
    <t>0064L00000CXdrr</t>
  </si>
  <si>
    <t>AT&amp;T Enterprise Account Analytics &amp; Operating Model / Digital Twin</t>
  </si>
  <si>
    <t>0064I00000zUPqH</t>
  </si>
  <si>
    <t>Shared Services Implementation</t>
  </si>
  <si>
    <t>Danielle Bahri</t>
  </si>
  <si>
    <t>0064L00000CXD6z</t>
  </si>
  <si>
    <t>United Airlines Holdings Inc.</t>
  </si>
  <si>
    <t>United Airlines- Fuel Accounting System Implementation</t>
  </si>
  <si>
    <t>Sherry Tan</t>
  </si>
  <si>
    <t>0064L00000DFlCs</t>
  </si>
  <si>
    <t>KDP - eB2B/RE Phase 1</t>
  </si>
  <si>
    <t>0064L00000BfT1L</t>
  </si>
  <si>
    <t>CVS Novologix Implementation Planning Phase 2</t>
  </si>
  <si>
    <t>13/9/2022</t>
  </si>
  <si>
    <t>CVS Novologix Implementation Planning</t>
  </si>
  <si>
    <t>Sruthi Madhavan</t>
  </si>
  <si>
    <t>0064L00000BoMIZ</t>
  </si>
  <si>
    <t>BLUE CROSS AND BLUE SHIELD OF KANSAS INC.</t>
  </si>
  <si>
    <t>BCBSKS VBC Transformation 2025 #HVM</t>
  </si>
  <si>
    <t>0064L00000BgDBy</t>
  </si>
  <si>
    <t>Visa Inc.</t>
  </si>
  <si>
    <t>Global Equity and Equity Mobility</t>
  </si>
  <si>
    <t>Jennifer George</t>
  </si>
  <si>
    <t>Karen Slotsky</t>
  </si>
  <si>
    <t>0064L00000BfQet</t>
  </si>
  <si>
    <t>Microsoft Sustainability Carbon Ledger #ESG-TMT-Wave1</t>
  </si>
  <si>
    <t>0064L00000BoKbe</t>
  </si>
  <si>
    <t>Kohls Corporation</t>
  </si>
  <si>
    <t>Global Sourcing = Phase 3</t>
  </si>
  <si>
    <t>Cort Jacoby</t>
  </si>
  <si>
    <t>0064L00000Aq6ST</t>
  </si>
  <si>
    <t>Manpower Solutions Limited</t>
  </si>
  <si>
    <t>Finance Shared Services (BOT)</t>
  </si>
  <si>
    <t>William Gilet</t>
  </si>
  <si>
    <t>Shared Services &amp; Outsourcing</t>
  </si>
  <si>
    <t>0064L00000CWPh9</t>
  </si>
  <si>
    <t>Evolent Health LLC</t>
  </si>
  <si>
    <t>Product Management Implementation #PayerCO&amp;ITrans</t>
  </si>
  <si>
    <t>0064L000009gJE1</t>
  </si>
  <si>
    <t>AbbVie Centralized Monitoring Design #DCT</t>
  </si>
  <si>
    <t>AbbVie Centralized Monitoring Assessment &amp; Strategy #DCT</t>
  </si>
  <si>
    <t>0064L00000CXd3R</t>
  </si>
  <si>
    <t>Data Mesh - Palantir &amp; Snowflake Integration (AT&amp;T Biz. and AT&amp;T Consumer)</t>
  </si>
  <si>
    <t>Alexa Bauman</t>
  </si>
  <si>
    <t>0064L00000AqWQu</t>
  </si>
  <si>
    <t>GE Renewable Energy ONW Operations MFG Platforming</t>
  </si>
  <si>
    <t>0064L00000BfQNT</t>
  </si>
  <si>
    <t>Project Sapphire - Phase IV (FT)</t>
  </si>
  <si>
    <t>0064L00000Aqyd0</t>
  </si>
  <si>
    <t>Data Center Consolidation - Phase 2 (Execution)</t>
  </si>
  <si>
    <t>29/12/2022</t>
  </si>
  <si>
    <t>Greg Chiasson</t>
  </si>
  <si>
    <t>Kelley Nakos</t>
  </si>
  <si>
    <t>0064L000002LU5s</t>
  </si>
  <si>
    <t>Anthem Sales Transformation</t>
  </si>
  <si>
    <t>Beth Olson</t>
  </si>
  <si>
    <t>0064L00000Bn6kr</t>
  </si>
  <si>
    <t>Cost of Performance Phase III</t>
  </si>
  <si>
    <t>14/3/2022</t>
  </si>
  <si>
    <t>Scott Kittrell</t>
  </si>
  <si>
    <t>Alexandra Psaris</t>
  </si>
  <si>
    <t>0064L00000Bl0gE</t>
  </si>
  <si>
    <t>Project Sky Separation 2022 - Legal Entity Operationalization</t>
  </si>
  <si>
    <t>20/12/2021</t>
  </si>
  <si>
    <t>CS_Deal_Corporate_M&amp;A_CM</t>
  </si>
  <si>
    <t>0064L00000DBMCV</t>
  </si>
  <si>
    <t>Supply Chain Modernization - Phase 2</t>
  </si>
  <si>
    <t>Dan Stolarski</t>
  </si>
  <si>
    <t>0064L000009AGmH</t>
  </si>
  <si>
    <t>The Desmarais Family Residuary Trust</t>
  </si>
  <si>
    <t>Fund Admin Conversion Support</t>
  </si>
  <si>
    <t>29/10/2021</t>
  </si>
  <si>
    <t>Fund Finance Op Model Design</t>
  </si>
  <si>
    <t>0064L0000040Cbi</t>
  </si>
  <si>
    <t>Intel M&amp;A Buy Side</t>
  </si>
  <si>
    <t>Marc Suidan</t>
  </si>
  <si>
    <t>0064L00000Bo94S</t>
  </si>
  <si>
    <t>CHS Empower - EPM Part 1 FCCS</t>
  </si>
  <si>
    <t>21/4/2022</t>
  </si>
  <si>
    <t>0064I00000zUSwI</t>
  </si>
  <si>
    <t>Federal National Mortgage Association</t>
  </si>
  <si>
    <t>Implement Fit for Growth</t>
  </si>
  <si>
    <t>Alexia Patry</t>
  </si>
  <si>
    <t>0064L00000BnFUy</t>
  </si>
  <si>
    <t>St. Luke's Health Network Inc.</t>
  </si>
  <si>
    <t>A&amp;AN Access Transformation</t>
  </si>
  <si>
    <t>18/3/2022</t>
  </si>
  <si>
    <t>0064L00000CYBsN</t>
  </si>
  <si>
    <t>United Services Automobile Association</t>
  </si>
  <si>
    <t>Coupa Platform Implementation</t>
  </si>
  <si>
    <t>David Rosselli</t>
  </si>
  <si>
    <t>0064L00000CX04a</t>
  </si>
  <si>
    <t>CHS Cerner Hub Consolidation and Expansion</t>
  </si>
  <si>
    <t>0064L000007W2Fh</t>
  </si>
  <si>
    <t>CVS Cognitive Scale P1 #xPC:PayerAnalytics #Alliance:CognitiveScale #PayerAnalytics #AIML</t>
  </si>
  <si>
    <t>Paul Veronneau</t>
  </si>
  <si>
    <t>0064L000004wuEi</t>
  </si>
  <si>
    <t>Billing Platform Transformation</t>
  </si>
  <si>
    <t>Brandon Meek</t>
  </si>
  <si>
    <t>0064L00000Bo9Fa</t>
  </si>
  <si>
    <t>Honda Motor Co., Ltd.</t>
  </si>
  <si>
    <t>American Honda Motor Co - Career Architecture and Ecosystem</t>
  </si>
  <si>
    <t>Scott Pollak</t>
  </si>
  <si>
    <t>0064L00000CYvg0</t>
  </si>
  <si>
    <t>Old Dominion University</t>
  </si>
  <si>
    <t>ODU integration phase III</t>
  </si>
  <si>
    <t>Margaret Stover</t>
  </si>
  <si>
    <t>Central, National, Federal Government</t>
  </si>
  <si>
    <t>AShake Raines</t>
  </si>
  <si>
    <t>0064L00000CYUDx</t>
  </si>
  <si>
    <t>Oklahoma Part 30 Addendum 6</t>
  </si>
  <si>
    <t>Randy Davis</t>
  </si>
  <si>
    <t>0064L00000CY0cr</t>
  </si>
  <si>
    <t>PCI Sterile Expansion 2022</t>
  </si>
  <si>
    <t>0064L00000CYAis</t>
  </si>
  <si>
    <t>GE Separation - Energy - Treasury Services</t>
  </si>
  <si>
    <t>0064L00000Bmv5I</t>
  </si>
  <si>
    <t>Syneos Health, Inc</t>
  </si>
  <si>
    <t>Syenos - ERP Program - Enterprise Planning, Budgeting Cloud &amp; EDM</t>
  </si>
  <si>
    <t>15/9/2022</t>
  </si>
  <si>
    <t>Alex Herzing</t>
  </si>
  <si>
    <t>0064L00000BoXv9</t>
  </si>
  <si>
    <t>Back Office Transformation - 2023 EPM Implementation</t>
  </si>
  <si>
    <t>0064L00000BoXuu</t>
  </si>
  <si>
    <t>Back Office Transformation - 2023 PSA Implementation</t>
  </si>
  <si>
    <t>0064L00000CvhdY</t>
  </si>
  <si>
    <t>Alliant Energy - #Coupa P2I Implementation</t>
  </si>
  <si>
    <t>0064L00000BfqDZ</t>
  </si>
  <si>
    <t>Undergrounding Support</t>
  </si>
  <si>
    <t>0064L00000Bfa64</t>
  </si>
  <si>
    <t>Managed Services Opportunity</t>
  </si>
  <si>
    <t>Debasis Sahu</t>
  </si>
  <si>
    <t>0064L000007vM3k</t>
  </si>
  <si>
    <t>Vogtle Units 3&amp;4 PMaaS Support</t>
  </si>
  <si>
    <t>23/4/2021</t>
  </si>
  <si>
    <t>0064L00000Aqdah</t>
  </si>
  <si>
    <t>TPA Onboarding &amp; Transition Support</t>
  </si>
  <si>
    <t>0064L00000Bo74V</t>
  </si>
  <si>
    <t>ABP Trust (RMR Group)</t>
  </si>
  <si>
    <t>S2P Technology Implementation</t>
  </si>
  <si>
    <t>0064L00000CYQyD</t>
  </si>
  <si>
    <t>WBA - Store Formats and Offerings</t>
  </si>
  <si>
    <t>Vishal Garg</t>
  </si>
  <si>
    <t>0064L00000CWmvc</t>
  </si>
  <si>
    <t>PII - Supply Chain Constraint Management ph 2</t>
  </si>
  <si>
    <t>Marc Waco</t>
  </si>
  <si>
    <t>PII - Supply Chain Constraint Management ph 1</t>
  </si>
  <si>
    <t>0064L00000Apc5q</t>
  </si>
  <si>
    <t>Kimberly Clark Product Costing Phase III</t>
  </si>
  <si>
    <t>0064L00000BeZRd</t>
  </si>
  <si>
    <t>BCBSM Project Columbia Phase 2</t>
  </si>
  <si>
    <t>19/1/2022</t>
  </si>
  <si>
    <t>Paul Tenuta</t>
  </si>
  <si>
    <t>0064L00000CYR1G</t>
  </si>
  <si>
    <t>Policy Mod Umbrella 1.4 and 2.0 Development</t>
  </si>
  <si>
    <t>Brandon Gabel</t>
  </si>
  <si>
    <t>Sudhakar Swaminathan</t>
  </si>
  <si>
    <t>0064L00000BoXCQ</t>
  </si>
  <si>
    <t>Europe Finance Opportunities [Placeholder]</t>
  </si>
  <si>
    <t>31/5/2024</t>
  </si>
  <si>
    <t>0064L00000B2hDh</t>
  </si>
  <si>
    <t>Modernatx, Inc.</t>
  </si>
  <si>
    <t>Moderna Digital Commerce MVP implementation Phase 2</t>
  </si>
  <si>
    <t>Joseph Lamano</t>
  </si>
  <si>
    <t>Sophie Wyman</t>
  </si>
  <si>
    <t>0064L00000B2hEB</t>
  </si>
  <si>
    <t>Moderna Digital Commerce MVP Phase 3</t>
  </si>
  <si>
    <t>0064L00000BndOM</t>
  </si>
  <si>
    <t>Project Orbit Phase 3 SoW #5</t>
  </si>
  <si>
    <t>Kyle Long</t>
  </si>
  <si>
    <t>0064L00000ArTby</t>
  </si>
  <si>
    <t>FGL - Distribution Management Majesco Implementation - Phase 5 #HAWK</t>
  </si>
  <si>
    <t>Brad Denning</t>
  </si>
  <si>
    <t>0064L00000CYPOm</t>
  </si>
  <si>
    <t>FFG Op Model Transformation</t>
  </si>
  <si>
    <t>Richard Rose</t>
  </si>
  <si>
    <t>0064L00000BoUzF</t>
  </si>
  <si>
    <t>EOF Operations Domestic Location Strategy</t>
  </si>
  <si>
    <t>Fuad Abdelhadi</t>
  </si>
  <si>
    <t>RAHUL GUPTA</t>
  </si>
  <si>
    <t>0064L00000DFcy0</t>
  </si>
  <si>
    <t>Palo Alto Networks, Inc.</t>
  </si>
  <si>
    <t>PANW Anaplan Phase 1</t>
  </si>
  <si>
    <t>Satyen Popat</t>
  </si>
  <si>
    <t>0064L00000DFcyP</t>
  </si>
  <si>
    <t>PANW Anaplan Phase 2</t>
  </si>
  <si>
    <t>0064L00000BgNhj</t>
  </si>
  <si>
    <t>R&amp;D: Frictionless Patient &amp; Site Experience #DCT #medable</t>
  </si>
  <si>
    <t>0064L00000BgNht</t>
  </si>
  <si>
    <t>R&amp;D: Risk Tolerance &amp; Innovation #orgstrat</t>
  </si>
  <si>
    <t>0064L00000CVEVP</t>
  </si>
  <si>
    <t>ProMedica FFG Implementation Support Wave II</t>
  </si>
  <si>
    <t>0064L00000BgMQ9</t>
  </si>
  <si>
    <t>Digital: Portfolio &amp; People Prioritization #IOBP</t>
  </si>
  <si>
    <t>0064L00000BgMQN</t>
  </si>
  <si>
    <t>Digital: Behavioral Modification #orgstrat</t>
  </si>
  <si>
    <t>0064L00000BgMRa</t>
  </si>
  <si>
    <t>Moderna - Complaints Management #QualityManagedServices</t>
  </si>
  <si>
    <t>0064L00000BfZrJ</t>
  </si>
  <si>
    <t>WGL - TransRM - Scheduling &amp; Mobility</t>
  </si>
  <si>
    <t>Jaclyn Wavra</t>
  </si>
  <si>
    <t>0064L00000BdV0w</t>
  </si>
  <si>
    <t>Global NRM GBS- Phase 2</t>
  </si>
  <si>
    <t>Greg Gothie</t>
  </si>
  <si>
    <t>0064L00000Bd41D</t>
  </si>
  <si>
    <t>GMF - HR System Implementation</t>
  </si>
  <si>
    <t>Kristin Ritter</t>
  </si>
  <si>
    <t>0064L00000CWHfz</t>
  </si>
  <si>
    <t>Münchener Rückversicherungs-Gesellschaft Aktiengesellschaft in München</t>
  </si>
  <si>
    <t>Business Process Improvement - RFI</t>
  </si>
  <si>
    <t>Francois Ramette</t>
  </si>
  <si>
    <t>Brad LeBlanc</t>
  </si>
  <si>
    <t>0064L00000BdDVy</t>
  </si>
  <si>
    <t>ICERTIS Implementation</t>
  </si>
  <si>
    <t>Jessica Heidman</t>
  </si>
  <si>
    <t>0064L00000CVglC</t>
  </si>
  <si>
    <t>#IOBP - Amgen PD Planning and Forecasting Implementation</t>
  </si>
  <si>
    <t>0064L000002ZhWb</t>
  </si>
  <si>
    <t>GE ProEdge for Finance - Finance wide rollout - Expansion</t>
  </si>
  <si>
    <t>19/3/2021</t>
  </si>
  <si>
    <t>0064L00000CW91U</t>
  </si>
  <si>
    <t>Blue Cross And Blue Shield North Carolina</t>
  </si>
  <si>
    <t>VBC 2.0 - Next Gen Blue Premier Plan - Phase II #HVM</t>
  </si>
  <si>
    <t>Tori Fancher</t>
  </si>
  <si>
    <t>0064L00000AqOST</t>
  </si>
  <si>
    <t>Project KPop (PHM) Implementation SI/BI Efforts #GCOE #Medicaid</t>
  </si>
  <si>
    <t>0064L00000BfZQd</t>
  </si>
  <si>
    <t>Microsoft Project Daphne #ESG-TMT-Wave1</t>
  </si>
  <si>
    <t>0064L00000CWjH6</t>
  </si>
  <si>
    <t>US Dept. Of Health &amp; Human Services Program Support Center.</t>
  </si>
  <si>
    <t>CY2025 Bid Desk Reviews</t>
  </si>
  <si>
    <t>15/5/2024</t>
  </si>
  <si>
    <t>Robert Macagnano</t>
  </si>
  <si>
    <t>0064L00000CWjIJ</t>
  </si>
  <si>
    <t>CY2026 Bid Desk Reviews</t>
  </si>
  <si>
    <t>15/5/2025</t>
  </si>
  <si>
    <t>0064L00000Bei8a</t>
  </si>
  <si>
    <t>Loyalty program activation implementation</t>
  </si>
  <si>
    <t>0064L00000CWjJR</t>
  </si>
  <si>
    <t>CY2027 Bid Desk Reviews</t>
  </si>
  <si>
    <t>15/5/2026</t>
  </si>
  <si>
    <t>0064L00000CWjKK</t>
  </si>
  <si>
    <t>CY2028 Bid Desk Reviews</t>
  </si>
  <si>
    <t>17/5/2027</t>
  </si>
  <si>
    <t>0064L00000CXmOM</t>
  </si>
  <si>
    <t>Willis Towers Watson Public Limited Company</t>
  </si>
  <si>
    <t>E2E Financial Planning Redesign - Phase 1</t>
  </si>
  <si>
    <t>Hank Woo</t>
  </si>
  <si>
    <t>0064L00000B2cDE</t>
  </si>
  <si>
    <t>CW Enterprise Rollout of a "Your Tomorrow" Strategy</t>
  </si>
  <si>
    <t>13/10/2021</t>
  </si>
  <si>
    <t>0064L00000DFPwk</t>
  </si>
  <si>
    <t>Geographic Reclassification and Wage Index - *Strategic Reimbursement*</t>
  </si>
  <si>
    <t>Dale Deatsch</t>
  </si>
  <si>
    <t>0064L00000CVF4B</t>
  </si>
  <si>
    <t>DCT Implementation Phase #Medable #dct</t>
  </si>
  <si>
    <t>0064L00000CVF4U</t>
  </si>
  <si>
    <t>DCT Implementation Phase #Medable #DCT</t>
  </si>
  <si>
    <t>0064L00000CVF4V</t>
  </si>
  <si>
    <t>Gilead: Transformation R&amp;D: DCT Implementation Phase #Medable #DCT</t>
  </si>
  <si>
    <t>0064L00000As4TM</t>
  </si>
  <si>
    <t>Moderna Digital Commerce MVP Phase 4</t>
  </si>
  <si>
    <t>0064L00000CVF67</t>
  </si>
  <si>
    <t>Roche Holding AG</t>
  </si>
  <si>
    <t>0064L00000CVF5N</t>
  </si>
  <si>
    <t>0064L00000CVF6G</t>
  </si>
  <si>
    <t>MERCK Kommanditgesellschaft auf Aktien</t>
  </si>
  <si>
    <t>0064L00000Bf6eY</t>
  </si>
  <si>
    <t>17/11/2023</t>
  </si>
  <si>
    <t>0064L00000Bf6iL</t>
  </si>
  <si>
    <t>Carbon Digital Solutions - Implementation</t>
  </si>
  <si>
    <t>0064L000007xNt3</t>
  </si>
  <si>
    <t>KKR &amp; Co. Inc</t>
  </si>
  <si>
    <t>Colonial - Maximo Inventory &amp; Work Mgmt Ph 2</t>
  </si>
  <si>
    <t>Colonial - Maximo Inventory &amp; Work Mgmt Ph 1</t>
  </si>
  <si>
    <t>0064L00000Botkp</t>
  </si>
  <si>
    <t>Spectrum Health Hospitals Inc</t>
  </si>
  <si>
    <t>BHSH IT Integration - Execution Phase</t>
  </si>
  <si>
    <t>Ryan Uteg</t>
  </si>
  <si>
    <t>David Kleinman</t>
  </si>
  <si>
    <t>0064L00000BoSKn</t>
  </si>
  <si>
    <t>KP Innovaccer POC System Integration Support</t>
  </si>
  <si>
    <t>0064L000009AC96</t>
  </si>
  <si>
    <t>Abbvie_NextGen LuproLink</t>
  </si>
  <si>
    <t>Sreekumar Krishnamony</t>
  </si>
  <si>
    <t>0064L00000BoSR5</t>
  </si>
  <si>
    <t>Kemper Corporation</t>
  </si>
  <si>
    <t>Kemper Insurance Managed Services #FSInsuranceMSO</t>
  </si>
  <si>
    <t>0064L00000Bo26v</t>
  </si>
  <si>
    <t>Jps Health Network</t>
  </si>
  <si>
    <t>A&amp;AN Access Implementation</t>
  </si>
  <si>
    <t>0064L00000DFPUl</t>
  </si>
  <si>
    <t>Evolution of Commercial GBS Phase I</t>
  </si>
  <si>
    <t>Steven Treppo</t>
  </si>
  <si>
    <t>0064L00000CWj9X</t>
  </si>
  <si>
    <t>CY2024 Bid Desk Reviews</t>
  </si>
  <si>
    <t>15/5/2023</t>
  </si>
  <si>
    <t>0064L00000Bo0H3</t>
  </si>
  <si>
    <t>*A&amp;AN* PPG Access, Referral Management, and Operations Implementation</t>
  </si>
  <si>
    <t>15/4/2022</t>
  </si>
  <si>
    <t>Kyle Byrum</t>
  </si>
  <si>
    <t>0064L00000CXjoq</t>
  </si>
  <si>
    <t>bp- C&amp;P - Project Leap transition support MSCO to COCO</t>
  </si>
  <si>
    <t>Alexandra Hallas Button</t>
  </si>
  <si>
    <t>0064L00000CXjpV</t>
  </si>
  <si>
    <t>F-35 Value Chain Strategy and Process Mapping - Phase 3</t>
  </si>
  <si>
    <t>Brigid O'Donnell</t>
  </si>
  <si>
    <t>0064L00000CXjpU</t>
  </si>
  <si>
    <t>F-35 Value Chain Strategy and Process Mapping - Phase 2</t>
  </si>
  <si>
    <t>0064L00000CWVmK</t>
  </si>
  <si>
    <t>Wintrust - Core Modernization (FIS)</t>
  </si>
  <si>
    <t>0064L00000CXjqw</t>
  </si>
  <si>
    <t>bp- C&amp;P - ROO Strategic Sourcing</t>
  </si>
  <si>
    <t>0064L000007xKSZ</t>
  </si>
  <si>
    <t>H&amp;P - Asset Management Ph 2</t>
  </si>
  <si>
    <t>H&amp;P - Asset Management Ph 1</t>
  </si>
  <si>
    <t>0064L00000B3CTt</t>
  </si>
  <si>
    <t>Christus Rural Health Clinic Strategies II - *Strategic Reimbursement*</t>
  </si>
  <si>
    <t>28/10/2021 9:24 pm</t>
  </si>
  <si>
    <t>Jim Adams</t>
  </si>
  <si>
    <t>Anne Almeida</t>
  </si>
  <si>
    <t>0064L000001tE1w</t>
  </si>
  <si>
    <t>Credit Reporting Services</t>
  </si>
  <si>
    <t>21/5/2020</t>
  </si>
  <si>
    <t>Rajbir Samra</t>
  </si>
  <si>
    <t>0064L00000Bg991</t>
  </si>
  <si>
    <t>AT&amp;T Seller's Insights Portal for Global Enterprise</t>
  </si>
  <si>
    <t>24/2/2022</t>
  </si>
  <si>
    <t>0064L00000BoQTq</t>
  </si>
  <si>
    <t>HP Project Trifecta Phase 3</t>
  </si>
  <si>
    <t>Makenna Coxey</t>
  </si>
  <si>
    <t>0064L00000CXzs0</t>
  </si>
  <si>
    <t>Froedtert Health Inc.</t>
  </si>
  <si>
    <t>Froedtert Health: Pharmacy Optimization (Phase 2: Implementation) *FFG*</t>
  </si>
  <si>
    <t>Connie Yang</t>
  </si>
  <si>
    <t>0064L00000BfXEf</t>
  </si>
  <si>
    <t>The Southern Company Limited</t>
  </si>
  <si>
    <t>0064L00000BorBJ</t>
  </si>
  <si>
    <t>Confidential: Project Edge #PayerCOI&amp;Trans #PayerFFG_Admin</t>
  </si>
  <si>
    <t>Mackenzie Heal</t>
  </si>
  <si>
    <t>PSS: CSX Support #PayerCO&amp;ITrans</t>
  </si>
  <si>
    <t>0064L00000AsA81</t>
  </si>
  <si>
    <t>UNUM Group</t>
  </si>
  <si>
    <t>Project Phoenix 2022 Q3 Extension Absence Management</t>
  </si>
  <si>
    <t>0064L00000B0zbL</t>
  </si>
  <si>
    <t>FP&amp;A EPM planning tool implementation</t>
  </si>
  <si>
    <t>0064L00000AsA8V</t>
  </si>
  <si>
    <t>Project Phoenix 2022 Q4 Extension Absence Management</t>
  </si>
  <si>
    <t>Rima Safari</t>
  </si>
  <si>
    <t>0064L00000CXiAQ</t>
  </si>
  <si>
    <t>Panduit Corp.</t>
  </si>
  <si>
    <t>Panduit - Oracle ERP Transformation - Implementation (OCM Link to Campaign)</t>
  </si>
  <si>
    <t>John Karren</t>
  </si>
  <si>
    <t>Panduit - Oracle ERP Transformation - Implementation</t>
  </si>
  <si>
    <t>0064L00000BlWaw</t>
  </si>
  <si>
    <t>Hostess Brands, Inc.</t>
  </si>
  <si>
    <t>Hostess - Performance Analyzer #pricing #rgm #tpm</t>
  </si>
  <si>
    <t>18/1/2022</t>
  </si>
  <si>
    <t>29/4/2023</t>
  </si>
  <si>
    <t>0064L000002bzFS</t>
  </si>
  <si>
    <t>CVS HCB Driver Based Planning P2 #PayerFFG_Admin</t>
  </si>
  <si>
    <t>24/5/2021</t>
  </si>
  <si>
    <t>Jeffrey Gitlin</t>
  </si>
  <si>
    <t>0064L00000B2p6m</t>
  </si>
  <si>
    <t>AT&amp;T HALO on Azure</t>
  </si>
  <si>
    <t>Ben Eisenberg</t>
  </si>
  <si>
    <t>Chris Carter</t>
  </si>
  <si>
    <t>0064L00000CW2hv</t>
  </si>
  <si>
    <t>Adobe/Martech (take from ACN/Merkle)</t>
  </si>
  <si>
    <t>30/3/2022</t>
  </si>
  <si>
    <t>0064L00000CWTn9</t>
  </si>
  <si>
    <t>Phase 2: Medicare Line of Business Health Plan Marketing &amp; Admin Capabilities + Performance Assessment &amp; Optimization</t>
  </si>
  <si>
    <t>0064L00000Bmix8</t>
  </si>
  <si>
    <t>Ross Stores Self Checkout Phase II</t>
  </si>
  <si>
    <t>28/2/2022</t>
  </si>
  <si>
    <t>0064L00000CXwuX</t>
  </si>
  <si>
    <t>Facets Modernization Business Integrator - PHASE 2 #DVC</t>
  </si>
  <si>
    <t>Pier Noventa</t>
  </si>
  <si>
    <t>0064L00000DJXWi</t>
  </si>
  <si>
    <t>Launch Operations Spantime reductions/Capital Initiatives PM</t>
  </si>
  <si>
    <t>0064L00000Boa7M</t>
  </si>
  <si>
    <t>Fifth Third Financial Corporation</t>
  </si>
  <si>
    <t>Commercial LAS PLANNING AFS Vision FY23 Jul-Dec</t>
  </si>
  <si>
    <t>0064L0000097beE</t>
  </si>
  <si>
    <t>Zurich Insurance Group AG</t>
  </si>
  <si>
    <t>Commercializing GTO Group Technology and Operations - Operationalize Phase</t>
  </si>
  <si>
    <t>John Van Puffelen</t>
  </si>
  <si>
    <t>0064L00000B19lg</t>
  </si>
  <si>
    <t>Project Shaw - LatAm #TMTMSO</t>
  </si>
  <si>
    <t>31/12/2023</t>
  </si>
  <si>
    <t>Damien McMahon</t>
  </si>
  <si>
    <t>0064L00000B19lW</t>
  </si>
  <si>
    <t>Project Shaw - APAC #TMTMSO</t>
  </si>
  <si>
    <t>0064L000002akl9</t>
  </si>
  <si>
    <t>MSFT CELA Reporting FY24</t>
  </si>
  <si>
    <t>16/4/2021</t>
  </si>
  <si>
    <t>18/6/2023</t>
  </si>
  <si>
    <t>MSFT CELA Reporting FY22</t>
  </si>
  <si>
    <t>Alyssa Talley</t>
  </si>
  <si>
    <t>0064L00000CY36e</t>
  </si>
  <si>
    <t>Citi Basel III Data Remediation</t>
  </si>
  <si>
    <t>Alessandra Shaaya</t>
  </si>
  <si>
    <t>0064L00000CVFGu</t>
  </si>
  <si>
    <t>Lamar Advertising</t>
  </si>
  <si>
    <t>EPM 2.0 - Budget, Forecast &amp; Strategic Plan</t>
  </si>
  <si>
    <t>Allie Procknal</t>
  </si>
  <si>
    <t>0064L00000Besay</t>
  </si>
  <si>
    <t>BCBS Michigan - Enterprise Automation Integration #ProEdgexAutomation</t>
  </si>
  <si>
    <t>Lauren O'Brien</t>
  </si>
  <si>
    <t>0064L00000Bou9u</t>
  </si>
  <si>
    <t>HP Supply Chain FFG / ZBB</t>
  </si>
  <si>
    <t>0064L00000BfQDY</t>
  </si>
  <si>
    <t>Enterprise Shared Services - Op Model Design Phase 2</t>
  </si>
  <si>
    <t>18/2/2022 8:08 pm</t>
  </si>
  <si>
    <t>Enterprise Shared Services - Op Model Design Phase 1</t>
  </si>
  <si>
    <t>0064L00000CY01g</t>
  </si>
  <si>
    <t>PCI Pharma Services - Bridge Agreement</t>
  </si>
  <si>
    <t>0064L00000DJZOb</t>
  </si>
  <si>
    <t>Walgreens Health Acceleration - Clinical Care Model #HVM</t>
  </si>
  <si>
    <t>Payer_Health_Value_Mgmt</t>
  </si>
  <si>
    <t>Bharath Mamathambika</t>
  </si>
  <si>
    <t>0064L00000DFWMA</t>
  </si>
  <si>
    <t>ICON HR Integration - Phase 4</t>
  </si>
  <si>
    <t>0064L00000Boira</t>
  </si>
  <si>
    <t>Loews Corporation</t>
  </si>
  <si>
    <t>CNA Sourcing Contract Management Reset</t>
  </si>
  <si>
    <t>Scott Boruff</t>
  </si>
  <si>
    <t>Tamela Berry</t>
  </si>
  <si>
    <t>0064L00000BmjhG</t>
  </si>
  <si>
    <t>UTSW: Supply Chain Benchmarking Service *FFG*</t>
  </si>
  <si>
    <t>0064L000006CW8u</t>
  </si>
  <si>
    <t>Buckeye Gp Holdings Lp</t>
  </si>
  <si>
    <t>EAM / Reliability Improvement Ph 1</t>
  </si>
  <si>
    <t>13/2/2021</t>
  </si>
  <si>
    <t>21/5/2021 10:50 pm</t>
  </si>
  <si>
    <t>0064L00000CXW9A</t>
  </si>
  <si>
    <t>Medicaid NextGen Product Mgt and PHP 2022 support  #PayerCO&amp;ITrans</t>
  </si>
  <si>
    <t>0064L000009BANS</t>
  </si>
  <si>
    <t>Cardinal Health Inc.</t>
  </si>
  <si>
    <t>Cardinal Health Procurement BPO #S&amp;P#POD</t>
  </si>
  <si>
    <t>Wynn Bailey</t>
  </si>
  <si>
    <t>Donna Wrinkle</t>
  </si>
  <si>
    <t>0064L00000BmWKx</t>
  </si>
  <si>
    <t>Services Transformation Q3 Q4 2022</t>
  </si>
  <si>
    <t>Richard Schweiger</t>
  </si>
  <si>
    <t>0064L0000041iCf</t>
  </si>
  <si>
    <t>Finance Transformation Wave 3 - ERP BI Functional Support</t>
  </si>
  <si>
    <t>25/8/2023</t>
  </si>
  <si>
    <t>0064L00000CXQ1f</t>
  </si>
  <si>
    <t>Educational Testing Service, Inc.</t>
  </si>
  <si>
    <t>ETS FFG Phase 5B-  Strategic Sourcing and Retained Operating Model</t>
  </si>
  <si>
    <t>Namit Kapoor</t>
  </si>
  <si>
    <t>Purwa Bansod</t>
  </si>
  <si>
    <t>0064L00000CYCAy</t>
  </si>
  <si>
    <t>ocV!BE ESG PMO &amp; Comms #ESG #ESGMSFT</t>
  </si>
  <si>
    <t>0064L00000BlosH</t>
  </si>
  <si>
    <t>Barclays AAIT Operating Model Framework &amp; Implementation</t>
  </si>
  <si>
    <t>0064L000009AS3i</t>
  </si>
  <si>
    <t>P66_2022 Commodity Managed Services_Power and Gas Trading</t>
  </si>
  <si>
    <t>Commercial Applications Managed Services</t>
  </si>
  <si>
    <t>0064L00000CXZqx</t>
  </si>
  <si>
    <t>MS Finance Talent Attrition</t>
  </si>
  <si>
    <t>Haley Zhou</t>
  </si>
  <si>
    <t>0064L00000Bge6H</t>
  </si>
  <si>
    <t>AbbVie SKYRIZI CD Buy &amp; Bill Launch Support - Phase II</t>
  </si>
  <si>
    <t>Andrew Caragher</t>
  </si>
  <si>
    <t>0064L00000CYn34</t>
  </si>
  <si>
    <t>Aries -  H2 2022 MOR Extension (Proj)</t>
  </si>
  <si>
    <t>Shuxin Zheng</t>
  </si>
  <si>
    <t>0064L00000ArLVJ</t>
  </si>
  <si>
    <t>Nbsh Acquisition LLC</t>
  </si>
  <si>
    <t>Appian Enhancements and Support 2022</t>
  </si>
  <si>
    <t>22/10/2021</t>
  </si>
  <si>
    <t>0064L00000B0z7f</t>
  </si>
  <si>
    <t>Moderna  MVP implementation Phase 1</t>
  </si>
  <si>
    <t>0064L00000Bn2HA</t>
  </si>
  <si>
    <t>SDG&amp;E Project Accounting Improvement</t>
  </si>
  <si>
    <t>26/6/2022</t>
  </si>
  <si>
    <t>Philip McLemore</t>
  </si>
  <si>
    <t>0064L00000Bnbu1</t>
  </si>
  <si>
    <t>Verily HRIS Pre-Implementation</t>
  </si>
  <si>
    <t>Dave Eberhardt</t>
  </si>
  <si>
    <t>Verily 2022 HRIS Implementation #TMTMSO</t>
  </si>
  <si>
    <t>Kim Barkus</t>
  </si>
  <si>
    <t>0064L000009B4Cn</t>
  </si>
  <si>
    <t>HP - Contra Phase 4 Deployment</t>
  </si>
  <si>
    <t>Robbert De Vries</t>
  </si>
  <si>
    <t>Kaiser Kaiserani</t>
  </si>
  <si>
    <t>0064L00000Boebg</t>
  </si>
  <si>
    <t>ESGO Data Lineage &amp; Reporting</t>
  </si>
  <si>
    <t>Pat Curtin</t>
  </si>
  <si>
    <t>0064L00000BoI4s</t>
  </si>
  <si>
    <t>MS IAD Transformation Evolution of Talent Process QB</t>
  </si>
  <si>
    <t>28/4/2022</t>
  </si>
  <si>
    <t>25/7/2022</t>
  </si>
  <si>
    <t>Aamena Khan</t>
  </si>
  <si>
    <t>Chris Strong</t>
  </si>
  <si>
    <t>0064L000006j86Q</t>
  </si>
  <si>
    <t>AdventHealth *VBO* Cerner Legacy A/R (3 of 3) FY24 Extension</t>
  </si>
  <si>
    <t>AdventHealth *VBO* Cerner Legacy A/R FY22 (1 of 3)</t>
  </si>
  <si>
    <t>0064L00000BeHvn</t>
  </si>
  <si>
    <t>Project Sapphire - Phase III (FT)</t>
  </si>
  <si>
    <t>Project Sapphire - Phase II (FT)</t>
  </si>
  <si>
    <t>0064L00000BnkCy</t>
  </si>
  <si>
    <t>Multicare Health System</t>
  </si>
  <si>
    <t>FFY24-26 Reclass/Wage/OM &amp; FYE21-23 S-10 *Strategic Reimbursement*</t>
  </si>
  <si>
    <t>Christine Paton</t>
  </si>
  <si>
    <t>0064L00000CWbTB</t>
  </si>
  <si>
    <t>Clinical Transformation - Sprint 2</t>
  </si>
  <si>
    <t>Matt Garnet</t>
  </si>
  <si>
    <t>0064L0000041iDO</t>
  </si>
  <si>
    <t>Finance Transformation Wave 3 - Billing Implementation</t>
  </si>
  <si>
    <t>0064L000002alIv</t>
  </si>
  <si>
    <t>Mutual Of America Life Insurance Company</t>
  </si>
  <si>
    <t>Pension managed services</t>
  </si>
  <si>
    <t>17/4/2021</t>
  </si>
  <si>
    <t>Isaac Buchen</t>
  </si>
  <si>
    <t>0064L00000BnbDm</t>
  </si>
  <si>
    <t>Billing Transformation - LoB Onboarding and Go Live Planning</t>
  </si>
  <si>
    <t>31/3/2022</t>
  </si>
  <si>
    <t>Robert Simmons</t>
  </si>
  <si>
    <t>0064L00000BehW7</t>
  </si>
  <si>
    <t>Wsfs Financial Corp.</t>
  </si>
  <si>
    <t>WSFS DT - Data Buildup Extending Customer Link</t>
  </si>
  <si>
    <t>20/1/2022</t>
  </si>
  <si>
    <t>George Korizis</t>
  </si>
  <si>
    <t>0064L000007xOB7</t>
  </si>
  <si>
    <t>ADM - Commodity Trading #Salesforce Platform</t>
  </si>
  <si>
    <t>Darci Moore</t>
  </si>
  <si>
    <t>0064L00000ArMke</t>
  </si>
  <si>
    <t>Intel Marketplace - Design Phase Sprint 2</t>
  </si>
  <si>
    <t>Todd McElfresh</t>
  </si>
  <si>
    <t>0064L00000Besuy</t>
  </si>
  <si>
    <t>Alts FFG Data MSP Support #DATA</t>
  </si>
  <si>
    <t>Ankur Pahwa</t>
  </si>
  <si>
    <t>0064L00000CXsF6</t>
  </si>
  <si>
    <t>2022 BMS Finance Integration (Core Finance) - Addendum #3 (Commercial)</t>
  </si>
  <si>
    <t>0064L00000BoLh9</t>
  </si>
  <si>
    <t>Advanced Customer Engagement</t>
  </si>
  <si>
    <t>0064L00000BmPWN</t>
  </si>
  <si>
    <t>Trading system Managed Services</t>
  </si>
  <si>
    <t>20/2/2022</t>
  </si>
  <si>
    <t>0064L00000BgMPt</t>
  </si>
  <si>
    <t>Illumina Inc.</t>
  </si>
  <si>
    <t>Illumina - QMR, Doc Management &amp; Complaints Management #QualityManagedServices</t>
  </si>
  <si>
    <t>0064L00000CWHou</t>
  </si>
  <si>
    <t>RL New Product Launch + Inventory</t>
  </si>
  <si>
    <t>0064L00000BnPdX</t>
  </si>
  <si>
    <t>Meta Legal Learning Project Management Support H2 2022</t>
  </si>
  <si>
    <t>Jean Lee</t>
  </si>
  <si>
    <t>Shane Strumwasser</t>
  </si>
  <si>
    <t>0064L00000BnbK3</t>
  </si>
  <si>
    <t>HPE - "Opportunity to Win" Pre-Sales Automation - SFDC</t>
  </si>
  <si>
    <t>0064L00000BoMOm</t>
  </si>
  <si>
    <t>Microsoft Operations Market Research Facility: FY23 Program</t>
  </si>
  <si>
    <t>Eric Goldsborough</t>
  </si>
  <si>
    <t>Kim David Greenwood</t>
  </si>
  <si>
    <t>0064L000006BMFy</t>
  </si>
  <si>
    <t>Chipotle Mexican Grill, Inc.</t>
  </si>
  <si>
    <t>Catering Customer and Go To Market Strategy</t>
  </si>
  <si>
    <t>0064L00000B1cOQ</t>
  </si>
  <si>
    <t>HCSC ACE 2022 Q4</t>
  </si>
  <si>
    <t>0064L00000B1pLP</t>
  </si>
  <si>
    <t>Commonwealth Care Alliance</t>
  </si>
  <si>
    <t>Commonwealth Care Alliance - Project Bigfoot - Clinical Transformation #HVM</t>
  </si>
  <si>
    <t>Trisha Swift</t>
  </si>
  <si>
    <t>0064L00000B20Ug</t>
  </si>
  <si>
    <t>BMS Clinical Trials Risk Management (CTRM) R3 System Integration.  #automation</t>
  </si>
  <si>
    <t>28/9/2021</t>
  </si>
  <si>
    <t>DNU: HIA_PLS_FFG_R&amp;D</t>
  </si>
  <si>
    <t>Rachel Mercado</t>
  </si>
  <si>
    <t>0064L00000BeEdC</t>
  </si>
  <si>
    <t>AT&amp;T Biz Seller's Insight Mid Market Use Case Development</t>
  </si>
  <si>
    <t>0064L00000CWfxu</t>
  </si>
  <si>
    <t>MUFG Payments Modernization</t>
  </si>
  <si>
    <t>Souvanik Ghosh</t>
  </si>
  <si>
    <t>0064L00000CYmeJ</t>
  </si>
  <si>
    <t>Payments Transformation</t>
  </si>
  <si>
    <t>Tanvi Patel</t>
  </si>
  <si>
    <t>0064L00000BgZu7</t>
  </si>
  <si>
    <t>COP SAP EDMS</t>
  </si>
  <si>
    <t>0064L00000BlkL7</t>
  </si>
  <si>
    <t>Aflac Enrollment TPI July-December 2022</t>
  </si>
  <si>
    <t>0064I00000y7Jg8</t>
  </si>
  <si>
    <t>Inova Health System Foundation</t>
  </si>
  <si>
    <t>Inova EPM Implementation - Planning</t>
  </si>
  <si>
    <t>22/10/2019</t>
  </si>
  <si>
    <t>Sean Richter</t>
  </si>
  <si>
    <t>0064L00000B200l</t>
  </si>
  <si>
    <t>Audi Service Parts Profit Allocation</t>
  </si>
  <si>
    <t>0064L00000Bm9Xe</t>
  </si>
  <si>
    <t>Project Denali (ABK) - Services</t>
  </si>
  <si>
    <t>0064L00000Bm9Xy</t>
  </si>
  <si>
    <t>Project Denali (ABK) -Finance</t>
  </si>
  <si>
    <t>0064L000002Z0zh</t>
  </si>
  <si>
    <t>DXC Technology Company</t>
  </si>
  <si>
    <t>DXC IT Cost Optimization Program</t>
  </si>
  <si>
    <t>0064L000002blPP</t>
  </si>
  <si>
    <t>Highmark Health</t>
  </si>
  <si>
    <t>17/5/2021</t>
  </si>
  <si>
    <t>0064L000009Aax6</t>
  </si>
  <si>
    <t>NA Logistics Optimization - Phase 2 TL Utilization + Ocean Sourcing</t>
  </si>
  <si>
    <t>24/8/2022</t>
  </si>
  <si>
    <t>0064L00000AplB9</t>
  </si>
  <si>
    <t>Oracle Cloud EPM Project</t>
  </si>
  <si>
    <t>Craig Benbow</t>
  </si>
  <si>
    <t>0064L000009B1d2</t>
  </si>
  <si>
    <t>Moderna Vistex Implementation Implementation Phase 2</t>
  </si>
  <si>
    <t>Moderna Pricing &amp; Contracting Process Design</t>
  </si>
  <si>
    <t>0064L00000BlzwV</t>
  </si>
  <si>
    <t>Deal Score Module</t>
  </si>
  <si>
    <t>Mark Prentice</t>
  </si>
  <si>
    <t>Christine Blades</t>
  </si>
  <si>
    <t>0064L00000Bky7R</t>
  </si>
  <si>
    <t>Internal Verizon 5G / MEC Use Case with MSFT</t>
  </si>
  <si>
    <t>Tom Levin</t>
  </si>
  <si>
    <t>0064L00000B1MNv</t>
  </si>
  <si>
    <t>Everlake Day 2 Data Strategy and Portfolio Management Support</t>
  </si>
  <si>
    <t>James Bird</t>
  </si>
  <si>
    <t>0064L00000DBQOo</t>
  </si>
  <si>
    <t>New GSK- Vaccines US Commercial and Channel Strategy</t>
  </si>
  <si>
    <t>Omar Chane</t>
  </si>
  <si>
    <t>Riley Matranga</t>
  </si>
  <si>
    <t>0064L00000CY9Dw</t>
  </si>
  <si>
    <t>OneStream Consolidations and FP&amp;A</t>
  </si>
  <si>
    <t>Nick Navarro</t>
  </si>
  <si>
    <t>0064I00000y8Orq</t>
  </si>
  <si>
    <t>Coca-Cola - RGM FSOP Design / Execution - 1,500,000</t>
  </si>
  <si>
    <t>30/10/2019</t>
  </si>
  <si>
    <t>0064L00000ApyoW</t>
  </si>
  <si>
    <t>Data Center Consolidation - Phase 1  (Strategy / Business Case Dev't)</t>
  </si>
  <si>
    <t>27/8/2021</t>
  </si>
  <si>
    <t>0064L00000Bopcm</t>
  </si>
  <si>
    <t>Hospital Sisters Health Systems</t>
  </si>
  <si>
    <t>St. John Hospital (Sisters) IME RRC *Strategic Reimbursement*</t>
  </si>
  <si>
    <t>0064L00000AqK2B</t>
  </si>
  <si>
    <t>Anthem Network Strategy / Beacon Health/ Follow on work</t>
  </si>
  <si>
    <t>0064L00000BfUUP</t>
  </si>
  <si>
    <t>BI Project Mercury Implementation</t>
  </si>
  <si>
    <t>Scott Mahoney</t>
  </si>
  <si>
    <t>Rohit Harve</t>
  </si>
  <si>
    <t>0064L00000Bp14z</t>
  </si>
  <si>
    <t>Wellstar Health System INC.</t>
  </si>
  <si>
    <t>WellStar CRM Transformation: Consolidated Access Center (Contact Center)  #MSFTProvider</t>
  </si>
  <si>
    <t>0064L00000Blz2I</t>
  </si>
  <si>
    <t>0064L00000CVOK6</t>
  </si>
  <si>
    <t>Cora PPM Implementation Support</t>
  </si>
  <si>
    <t>0064L00000CGuc9</t>
  </si>
  <si>
    <t>Stellantis SC Visibility and Early Warning</t>
  </si>
  <si>
    <t>0064L00000CXvs6</t>
  </si>
  <si>
    <t>AmerisourceBergen Corporation</t>
  </si>
  <si>
    <t>Global Business Services Strategy</t>
  </si>
  <si>
    <t>Vinay Couto</t>
  </si>
  <si>
    <t>Kevin Basden</t>
  </si>
  <si>
    <t>0064L000002bflR</t>
  </si>
  <si>
    <t>University Of Rochester</t>
  </si>
  <si>
    <t>0064L00000CXvwr</t>
  </si>
  <si>
    <t>Citrix Systems Inc.</t>
  </si>
  <si>
    <t>Citrix SAP Consolidation Implementation</t>
  </si>
  <si>
    <t>0064L00000BopNw</t>
  </si>
  <si>
    <t>Project NEO SCO extension (July to Dec 2022)</t>
  </si>
  <si>
    <t>0064L00000CXwib</t>
  </si>
  <si>
    <t>Healthcare Realty Trust Incorporated</t>
  </si>
  <si>
    <t>MRI Implementation</t>
  </si>
  <si>
    <t>Kevin Fossee</t>
  </si>
  <si>
    <t>Lisa Kent</t>
  </si>
  <si>
    <t>0064L000003zxhU</t>
  </si>
  <si>
    <t>GDLS EPM Implementation</t>
  </si>
  <si>
    <t>AD_BO_WE_FFG_FINANCE TRANSFORMATION_04FY20_EPM WEBCAST</t>
  </si>
  <si>
    <t>Maura Blaul</t>
  </si>
  <si>
    <t>0064L00000Bonft</t>
  </si>
  <si>
    <t>Memorial Health System</t>
  </si>
  <si>
    <t>Springfield Memorial Hospital IME RRC *Strategic Reimbursement*</t>
  </si>
  <si>
    <t>0064L0000097p8A</t>
  </si>
  <si>
    <t>Memorial Health Services</t>
  </si>
  <si>
    <t>22/6/2021</t>
  </si>
  <si>
    <t>0064L00000DBMGR</t>
  </si>
  <si>
    <t>Merchandising Modernization - Phase 2</t>
  </si>
  <si>
    <t>0064L00000ArJPx</t>
  </si>
  <si>
    <t>Charter Communications, Inc.</t>
  </si>
  <si>
    <t>Internal Capital Labor Program Support</t>
  </si>
  <si>
    <t>Brian Kaplan</t>
  </si>
  <si>
    <t>Kyle Burns</t>
  </si>
  <si>
    <t>0064L00000BnZB1</t>
  </si>
  <si>
    <t>Digital Manufacturing Competency Support</t>
  </si>
  <si>
    <t>0064L00000DJThm</t>
  </si>
  <si>
    <t>Signature -PPP Ops Support CO9 FY23 July - Dec  #ForgivenessProcess #COVID-19</t>
  </si>
  <si>
    <t>0064L00000CYxdm</t>
  </si>
  <si>
    <t>Confidential New Facility Build - Project Development PM/CM Services - Phase 2</t>
  </si>
  <si>
    <t>Jeff Seiff</t>
  </si>
  <si>
    <t>0064L00000DFZH8</t>
  </si>
  <si>
    <t>RL FT Support H1 '23</t>
  </si>
  <si>
    <t>0064L000003zDE3</t>
  </si>
  <si>
    <t>CenterPoint - Gas Management System Vectren</t>
  </si>
  <si>
    <t>0064L00000Bo8s2</t>
  </si>
  <si>
    <t>0064L00000BoZyU</t>
  </si>
  <si>
    <t>OPPD Data Managed Services 2</t>
  </si>
  <si>
    <t>David Jacobson</t>
  </si>
  <si>
    <t>0064L000009A9g7</t>
  </si>
  <si>
    <t>PointNext Phase 2 Costing</t>
  </si>
  <si>
    <t>25/10/2021</t>
  </si>
  <si>
    <t>Katie Wonders</t>
  </si>
  <si>
    <t>0064L00000AqhVt</t>
  </si>
  <si>
    <t>Hawaii Medical Service Association</t>
  </si>
  <si>
    <t>Project Aloha Phase 2 #PayerTransDeals</t>
  </si>
  <si>
    <t>25/9/2021</t>
  </si>
  <si>
    <t>0064L00000BoKNw</t>
  </si>
  <si>
    <t>Comcast Phase 2 and 3</t>
  </si>
  <si>
    <t>Alex Blanter</t>
  </si>
  <si>
    <t>Punit Bhargava</t>
  </si>
  <si>
    <t>0064L00000DFimo</t>
  </si>
  <si>
    <t>TCCC ME&amp;E Phase 5 Transformation PMO</t>
  </si>
  <si>
    <t>Ricardo Ruiz-Huidobro</t>
  </si>
  <si>
    <t>Maria De Abreu</t>
  </si>
  <si>
    <t>0064L000009fgfM</t>
  </si>
  <si>
    <t>SoFi Technologies, Inc.</t>
  </si>
  <si>
    <t>Digital Bank - Galileo</t>
  </si>
  <si>
    <t>24/7/2021</t>
  </si>
  <si>
    <t>0064L00000B2GSe</t>
  </si>
  <si>
    <t>Anthem - CareMore EMR follow on work</t>
  </si>
  <si>
    <t>0064L000001t9g6</t>
  </si>
  <si>
    <t>Hollyfrontier Corporation</t>
  </si>
  <si>
    <t>Trade capture and scheduling implementation</t>
  </si>
  <si>
    <t>20/5/2020</t>
  </si>
  <si>
    <t>ADV_IPS_R&amp;R</t>
  </si>
  <si>
    <t>0064L00000CYBzN</t>
  </si>
  <si>
    <t>GWS Supplier Diversity #S&amp;P #ESG</t>
  </si>
  <si>
    <t>0064L00000BmvaK</t>
  </si>
  <si>
    <t>Project Connect - Finance Support for Carveout</t>
  </si>
  <si>
    <t>Ed Jasaitis</t>
  </si>
  <si>
    <t>Haylie Altansukh</t>
  </si>
  <si>
    <t>0064L00000BolEv</t>
  </si>
  <si>
    <t>FRB AFS Vision Planning FY23 - Data, Collateral, Custom Reporting #Comm50B+</t>
  </si>
  <si>
    <t>16/5/2022</t>
  </si>
  <si>
    <t>0064L00000CYve0</t>
  </si>
  <si>
    <t>ODU integration IV</t>
  </si>
  <si>
    <t>0064L00000BnWhS</t>
  </si>
  <si>
    <t>Hess Corporation</t>
  </si>
  <si>
    <t>Asset Performance Management - Ph 2</t>
  </si>
  <si>
    <t>Asset Performance Management - Ph 1</t>
  </si>
  <si>
    <t>0064L00000DFiKL</t>
  </si>
  <si>
    <t>HR M&amp;A Integration Support - H1 23</t>
  </si>
  <si>
    <t>Michael Proppe</t>
  </si>
  <si>
    <t>Jess Lewis</t>
  </si>
  <si>
    <t>0064L00000DJdVm</t>
  </si>
  <si>
    <t>o9 E2E Planning Transformation</t>
  </si>
  <si>
    <t>0064L00000Bn4J2</t>
  </si>
  <si>
    <t>Project Platinum - Finance Workstream</t>
  </si>
  <si>
    <t>Phil Ng</t>
  </si>
  <si>
    <t>Daniel Hemmert</t>
  </si>
  <si>
    <t>0064L00000BoXtr</t>
  </si>
  <si>
    <t>P66 S4 go live - HVC IT Support</t>
  </si>
  <si>
    <t>0064L00000Bo6rv</t>
  </si>
  <si>
    <t>EHI Finance Transformation - Phase 3</t>
  </si>
  <si>
    <t>0064L00000BlQBq</t>
  </si>
  <si>
    <t>GE Aviation Digital Engineering Phase 1 - MSO - Strategy Development</t>
  </si>
  <si>
    <t>Mike Goulet</t>
  </si>
  <si>
    <t>Brandon Anthony</t>
  </si>
  <si>
    <t>0064L00000BnWIw</t>
  </si>
  <si>
    <t>Around Rx</t>
  </si>
  <si>
    <t>Larissa Lynn</t>
  </si>
  <si>
    <t>0064L00000CY0Lb</t>
  </si>
  <si>
    <t>Commodity Risk Management - Phase 4: ROW Rollout and Technology Implementation</t>
  </si>
  <si>
    <t>ADV_IPS_Hedging</t>
  </si>
  <si>
    <t>Commodity Risk Management - Phase 3: US Rollout and Technology Selection</t>
  </si>
  <si>
    <t>0064L00000BmsvT</t>
  </si>
  <si>
    <t>PSS: In-Flight Review Support Phase 2 (CSX Program Support)</t>
  </si>
  <si>
    <t>0064L000004vLkW</t>
  </si>
  <si>
    <t>LER Phase 1: Planning</t>
  </si>
  <si>
    <t>0064L00000CXpF8</t>
  </si>
  <si>
    <t>#IOBP-Portfolio Ops Resource Management: Phase 2</t>
  </si>
  <si>
    <t>Aditya Shah</t>
  </si>
  <si>
    <t>Kevin Wrench</t>
  </si>
  <si>
    <t>0064L00000CXpEo</t>
  </si>
  <si>
    <t>#IOBP-Portfolio Ops Resource Management: Phase 1</t>
  </si>
  <si>
    <t>0064L00000CYQIb</t>
  </si>
  <si>
    <t>BMS Finance Integration (Wave 3 Ops) - Jan - Jun 23</t>
  </si>
  <si>
    <t>0064L00000Aq0bj</t>
  </si>
  <si>
    <t>SAP S4 - Change Management Phase 3 (European Rollout)</t>
  </si>
  <si>
    <t>28/8/2021</t>
  </si>
  <si>
    <t>Carrie Wisher</t>
  </si>
  <si>
    <t>0064L00000BoXAO</t>
  </si>
  <si>
    <t>Takeda US FP&amp;A Transformation Phase 2 (Anaplan) FY24</t>
  </si>
  <si>
    <t>27/6/2024</t>
  </si>
  <si>
    <t>0064L00000BoXB7</t>
  </si>
  <si>
    <t>Consolidations / Global Finance FY23</t>
  </si>
  <si>
    <t>0064L00000BoXB6</t>
  </si>
  <si>
    <t>R&amp;D Clinical Trials Accrual System Design &amp; Implementation FY24</t>
  </si>
  <si>
    <t>0064L00000BoXBp</t>
  </si>
  <si>
    <t>Consolidations / Global Finance FY24</t>
  </si>
  <si>
    <t>30/5/2024</t>
  </si>
  <si>
    <t>0064L00000BoXDg</t>
  </si>
  <si>
    <t>GPLS projects [Placeholder]</t>
  </si>
  <si>
    <t>0064L00000AqT2u</t>
  </si>
  <si>
    <t>Intermountain Healthcare</t>
  </si>
  <si>
    <t>Project Buffalo</t>
  </si>
  <si>
    <t>16/9/2021</t>
  </si>
  <si>
    <t>Courtney Showell</t>
  </si>
  <si>
    <t>0064L000009AX3Y</t>
  </si>
  <si>
    <t>Blue Shield of California</t>
  </si>
  <si>
    <t>SFDC Clinical Transformation</t>
  </si>
  <si>
    <t>Trusha Bhatt</t>
  </si>
  <si>
    <t>0064L00000BoGJ6</t>
  </si>
  <si>
    <t>Grow Our Own Talent - Managed Services (Phase II) #TMTMSO</t>
  </si>
  <si>
    <t>Mudit Gupta</t>
  </si>
  <si>
    <t>0064L00000B2CTX</t>
  </si>
  <si>
    <t>GE FP&amp;A Transformation - Phase 3</t>
  </si>
  <si>
    <t>Jack Kilgust</t>
  </si>
  <si>
    <t>0064L00000B2CTS</t>
  </si>
  <si>
    <t>GE FP&amp;A Transformation - Phase 2</t>
  </si>
  <si>
    <t>0064L00000B2CTN</t>
  </si>
  <si>
    <t>GE FP&amp;A Transformation - Phase 1</t>
  </si>
  <si>
    <t>0064L00000Bo4as</t>
  </si>
  <si>
    <t>Commercial LAS AFS Vision FY23 Apr-July</t>
  </si>
  <si>
    <t>0064L00000Bovlm</t>
  </si>
  <si>
    <t>Finance Transformation program governance (3 Part Finance Governance/FOF)</t>
  </si>
  <si>
    <t>Michelle Gibson</t>
  </si>
  <si>
    <t>Finance Transformation IT support (3 Part Finance Governance/FOF)</t>
  </si>
  <si>
    <t>0064L00000Bovmu</t>
  </si>
  <si>
    <t>Mark Jenson</t>
  </si>
  <si>
    <t>Enterprise Level Stakeholder Management (3 Part Finance Governance/FOF)</t>
  </si>
  <si>
    <t>0064L00000CYqLl</t>
  </si>
  <si>
    <t>ii-vi Ph 2 Finance Initiatives Design</t>
  </si>
  <si>
    <t>0064L00000BfIwt</t>
  </si>
  <si>
    <t>Tri-State Generation and Transmission Association, Inc.</t>
  </si>
  <si>
    <t>FFG - Phase 2</t>
  </si>
  <si>
    <t>0064L0000098mJh</t>
  </si>
  <si>
    <t>Contract Management System</t>
  </si>
  <si>
    <t>Michael Giguere</t>
  </si>
  <si>
    <t>0064L000004xdA6</t>
  </si>
  <si>
    <t>RPAM Trading Solution</t>
  </si>
  <si>
    <t>27/1/2021</t>
  </si>
  <si>
    <t>0064L00000BoBcv</t>
  </si>
  <si>
    <t>Veritiv Corporation</t>
  </si>
  <si>
    <t>OCM for Project Evolve (Wave1) Oracle Cloud and Project Ignite (digital commerce)</t>
  </si>
  <si>
    <t>24/4/2022</t>
  </si>
  <si>
    <t>Anna Doyle</t>
  </si>
  <si>
    <t>0064L00000CV3XU</t>
  </si>
  <si>
    <t>Neighborly Loyalty Implementation</t>
  </si>
  <si>
    <t>0064L00000BoSnp</t>
  </si>
  <si>
    <t>Project Neon (Finance Standup)</t>
  </si>
  <si>
    <t>0064L00000CWjFZ</t>
  </si>
  <si>
    <t>Sarah Suber</t>
  </si>
  <si>
    <t>0064L000009AtYi</t>
  </si>
  <si>
    <t>Baker Capital Corp</t>
  </si>
  <si>
    <t>Wine.com - Finance Transformation Phase 2</t>
  </si>
  <si>
    <t>24/11/2021</t>
  </si>
  <si>
    <t>Patrick Wimberly</t>
  </si>
  <si>
    <t>0064L00000BovXt</t>
  </si>
  <si>
    <t>Vaccines Insights Engine (VIE)</t>
  </si>
  <si>
    <t>0064L00000CWk0M</t>
  </si>
  <si>
    <t>Steward Finance Transformation - Controllership</t>
  </si>
  <si>
    <t>Dean Millard</t>
  </si>
  <si>
    <t>0064L00000Bl9rB</t>
  </si>
  <si>
    <t>GRS--Global Surety eQuote Platform Expansion</t>
  </si>
  <si>
    <t>30/12/2021</t>
  </si>
  <si>
    <t>William Horan</t>
  </si>
  <si>
    <t>0064L00000CWk6m</t>
  </si>
  <si>
    <t>Mclaren Health Care Corporation</t>
  </si>
  <si>
    <t>McLaren Pharmacy Optimization Analysis &amp; Implementation (Part 2) *FFG*</t>
  </si>
  <si>
    <t>0064L00000Bnbbn</t>
  </si>
  <si>
    <t>Intel - IDM2.0 Salesforce Reimplementation</t>
  </si>
  <si>
    <t>0064L00000CYLaT</t>
  </si>
  <si>
    <t>Walgreens Next - Omni Merchandising Modernization #CMRetail</t>
  </si>
  <si>
    <t>21/5/2022</t>
  </si>
  <si>
    <t>Jill Noeh</t>
  </si>
  <si>
    <t>0064L000006VAVf</t>
  </si>
  <si>
    <t>Atlantic Union Bankshares Corporation</t>
  </si>
  <si>
    <t>Atlantic Union Bank EPM Transformation</t>
  </si>
  <si>
    <t>17/2/2021</t>
  </si>
  <si>
    <t>Arjun Katyal</t>
  </si>
  <si>
    <t>0064L00000CYLbR</t>
  </si>
  <si>
    <t>2022 IT Strategy</t>
  </si>
  <si>
    <t>0064L00000BeF36</t>
  </si>
  <si>
    <t>Geospatial Analytics for Biz</t>
  </si>
  <si>
    <t>0064L00000Bf6wd</t>
  </si>
  <si>
    <t>Indiana University Health Inc.</t>
  </si>
  <si>
    <t>*A&amp;AN* IU Health: Patient Access Transformation - Implementation (Phase 5)</t>
  </si>
  <si>
    <t>*A&amp;AN* IU Health: Patient Access Transformation - Diagnostic and Assessment (Phase 1)</t>
  </si>
  <si>
    <t>0064L00000Bf6wc</t>
  </si>
  <si>
    <t>*A&amp;AN* IU Health: Patient Access Transformation - Implementation (Phase 4)</t>
  </si>
  <si>
    <t>0064L00000Bf6wX</t>
  </si>
  <si>
    <t>*A&amp;AN* IU Health: Patient Access Transformation - Implementation (Phase 3)</t>
  </si>
  <si>
    <t>0064L00000Bndbf</t>
  </si>
  <si>
    <t>Meta - H2 2022 Extension: Optimizing Cross-Media Measurement JIC Governance and Funding</t>
  </si>
  <si>
    <t>Caleb Rhoads</t>
  </si>
  <si>
    <t>0064L00000B1QHb</t>
  </si>
  <si>
    <t>BL - Abbvie RA Promotional Strategy (US Portion)</t>
  </si>
  <si>
    <t>Paul D'Alessandro</t>
  </si>
  <si>
    <t>Patrick Offner</t>
  </si>
  <si>
    <t>0064L00000AsJH8</t>
  </si>
  <si>
    <t>Valley National Bancorp</t>
  </si>
  <si>
    <t>Finance Transformation - SAP for AP</t>
  </si>
  <si>
    <t>23/11/2021</t>
  </si>
  <si>
    <t>Musi Qureshi</t>
  </si>
  <si>
    <t>CS_TR_CJ_TRANSFORM_FINANCE_CFOC2_01FY22_PULSE SURVEY 2022 OUTLOOK</t>
  </si>
  <si>
    <t>0064L000002b20e</t>
  </si>
  <si>
    <t>Live Nation Entertainment, Inc.</t>
  </si>
  <si>
    <t>FP&amp;A Design and Implement</t>
  </si>
  <si>
    <t>24/4/2021</t>
  </si>
  <si>
    <t>0064L00000Bgf4b</t>
  </si>
  <si>
    <t>SANTEN PHARMACEUTICAL CO.,LTD.</t>
  </si>
  <si>
    <t>Santen - QMR, Doc Management &amp; Complaints Management #QualityManagedServices</t>
  </si>
  <si>
    <t>0064L000004xDPA</t>
  </si>
  <si>
    <t>Project Spree - platform simplification #PayerCO&amp;ITrans #SS&amp;O</t>
  </si>
  <si>
    <t>20/1/2021</t>
  </si>
  <si>
    <t>0064L00000BgMSA</t>
  </si>
  <si>
    <t>Catalent Inc.</t>
  </si>
  <si>
    <t>Catalent - QMR, Doc Management &amp; Complaints Management #QualityManagedServices</t>
  </si>
  <si>
    <t>0064L00000BgMRv</t>
  </si>
  <si>
    <t>PTC Therapeutics, Inc.</t>
  </si>
  <si>
    <t>PTC Therapeutics - QMR, Doc Management &amp; Complaints Management #QualityManagedServices</t>
  </si>
  <si>
    <t>0064L00000DFcLc</t>
  </si>
  <si>
    <t>SodaStream Remediation and Integration Support</t>
  </si>
  <si>
    <t>Rajan Gandhi</t>
  </si>
  <si>
    <t>0064L00000CWVud</t>
  </si>
  <si>
    <t>Scan Grp.</t>
  </si>
  <si>
    <t>Project Klamath - Phase 3 Diligence and Merger Integration Planning</t>
  </si>
  <si>
    <t>CS_DE_WE_TRANSACTION_DEAL_BD_100779_01FY22_DEALS 2022 OUTLOOK</t>
  </si>
  <si>
    <t>Jahnavi Kundu</t>
  </si>
  <si>
    <t>0064I00000qtvKq</t>
  </si>
  <si>
    <t>HILTON WORLDWIDE HOLDINGS INC</t>
  </si>
  <si>
    <t>IGP - Remaining RFP - Park Hotels &amp; Resorts</t>
  </si>
  <si>
    <t>Alec Massey</t>
  </si>
  <si>
    <t>0064L00000Bnb9u</t>
  </si>
  <si>
    <t>IVR Refinement #callcenter #dvc</t>
  </si>
  <si>
    <t>0064L00000BmN6T</t>
  </si>
  <si>
    <t>ATT - ATS-1 POC Infra + Apps Reporting</t>
  </si>
  <si>
    <t>Joshua Hammel</t>
  </si>
  <si>
    <t>0064L00000CV0qQ</t>
  </si>
  <si>
    <t>Perkinelmer INC.</t>
  </si>
  <si>
    <t>Perkin Elmer - QMR, Doc Management &amp; Complaints Management #QualityManagedServices</t>
  </si>
  <si>
    <t>0064L00000CV0qu</t>
  </si>
  <si>
    <t>Rigel Pharmaceuticals, Inc.</t>
  </si>
  <si>
    <t>Rigel Pharma - QMR, Doc Management &amp; Complaints Management #QualityManagedServices</t>
  </si>
  <si>
    <t>0064L00000CV0rO</t>
  </si>
  <si>
    <t>Biomarin Pharmaceutical, Inc.</t>
  </si>
  <si>
    <t>Biomarin - QMR, Doc Management &amp; Complaints Management #QualityManagedServices</t>
  </si>
  <si>
    <t>0064L000009ezOR</t>
  </si>
  <si>
    <t>Thomas H. Lee Partners, L.P.</t>
  </si>
  <si>
    <t>THL - ERP Implementation</t>
  </si>
  <si>
    <t>29/6/2021</t>
  </si>
  <si>
    <t>0064L00000B2m3Q</t>
  </si>
  <si>
    <t>AAH Project OAR Smart Sourcing Assessment</t>
  </si>
  <si>
    <t>18/10/2021</t>
  </si>
  <si>
    <t>Kara Krajenta</t>
  </si>
  <si>
    <t>0064L00000Bn9gk</t>
  </si>
  <si>
    <t>HPE - Sales Comp Anaplan Implementation Ph2b [bridge 2022] #TMTPricing</t>
  </si>
  <si>
    <t>0064L000004xHam</t>
  </si>
  <si>
    <t>Reyes Holdings LLC.</t>
  </si>
  <si>
    <t>GTM Redesign for FSOP and SS</t>
  </si>
  <si>
    <t>Carlos Navarro</t>
  </si>
  <si>
    <t>0064L00000BcVGu</t>
  </si>
  <si>
    <t>Barrel Park Brewery LLC</t>
  </si>
  <si>
    <t>Business Plan Development</t>
  </si>
  <si>
    <t>David Rader</t>
  </si>
  <si>
    <t>0064L00000DJR4O</t>
  </si>
  <si>
    <t>Hillenbrand Inc.</t>
  </si>
  <si>
    <t>Hillenbrand HCM HR Transformation &amp; OCM Support</t>
  </si>
  <si>
    <t>Kalvin Davies</t>
  </si>
  <si>
    <t>Hillenbrand HCM Implementation</t>
  </si>
  <si>
    <t>0064L00000CVF8b</t>
  </si>
  <si>
    <t>PEP Innovation Management - Phase 3B</t>
  </si>
  <si>
    <t>Rajesh Patnaik</t>
  </si>
  <si>
    <t>Kevin McEachern</t>
  </si>
  <si>
    <t>0064L00000BnsvE</t>
  </si>
  <si>
    <t>Alpha FO/MO Cash Product Strategy and Design</t>
  </si>
  <si>
    <t>0064L00000BoUXQ</t>
  </si>
  <si>
    <t>OneStream - FP&amp;A implementation - Phase 2</t>
  </si>
  <si>
    <t>0064L00000CYpKH</t>
  </si>
  <si>
    <t>Eagleville Group B.V.</t>
  </si>
  <si>
    <t>Timex - Phase 3b and 4 - S&amp;OP - Workstream in Project Gemini</t>
  </si>
  <si>
    <t>Jackie Swanson</t>
  </si>
  <si>
    <t>0064L00000BoAha</t>
  </si>
  <si>
    <t>Growth Strategy Support Phase 2</t>
  </si>
  <si>
    <t>0064L000004xpCj</t>
  </si>
  <si>
    <t>SAP S4 - Change Management Phase 2 (Latin America Rollout)</t>
  </si>
  <si>
    <t>0064L00000B0kbE</t>
  </si>
  <si>
    <t>UPR Dynamic Pricing - EPIC</t>
  </si>
  <si>
    <t>Colin Carroll</t>
  </si>
  <si>
    <t>Todd Supplee</t>
  </si>
  <si>
    <t>0064L00000BoQCf</t>
  </si>
  <si>
    <t>MSFT MAVS CE&amp;S Deal Support - FY23</t>
  </si>
  <si>
    <t>Benjamin Hagen</t>
  </si>
  <si>
    <t>0064L00000BopdG</t>
  </si>
  <si>
    <t>S&amp;P Global Inc.</t>
  </si>
  <si>
    <t>Alchemy Post-Close Support</t>
  </si>
  <si>
    <t>Hersh Gupta</t>
  </si>
  <si>
    <t>0064L00000Bcpny</t>
  </si>
  <si>
    <t>Memorial Sloan-Kettering Cancer Center *VBO* Hospital Medicaid Recurring Placements</t>
  </si>
  <si>
    <t>0064L00000Ar94G</t>
  </si>
  <si>
    <t>Fuel Our Growth Phase 2: Strategic Sourcing (Gain Share Fee)</t>
  </si>
  <si>
    <t>K.B. Clausen</t>
  </si>
  <si>
    <t>0064L00000BnyBc</t>
  </si>
  <si>
    <t>CitDev -- Citizen Led Program Design (Q3/Q4 Support)</t>
  </si>
  <si>
    <t>29/6/2022</t>
  </si>
  <si>
    <t>0064L00000CYRJ6</t>
  </si>
  <si>
    <t>AbbVie FFG Value based planning</t>
  </si>
  <si>
    <t>0064L00000BmQsL</t>
  </si>
  <si>
    <t>HIG GB Data Transformation</t>
  </si>
  <si>
    <t>Joshua Schwartz</t>
  </si>
  <si>
    <t>0064L00000BmOvR</t>
  </si>
  <si>
    <t>Back Office Transformation - SOW #3 Fit-Gap</t>
  </si>
  <si>
    <t>19/2/2022</t>
  </si>
  <si>
    <t>0064L00000Bm9Xz</t>
  </si>
  <si>
    <t>Project Denali (ABK) - Sales</t>
  </si>
  <si>
    <t>0064L00000ArMlN</t>
  </si>
  <si>
    <t>Intel Marketplace_Design Phase - Sprint 3</t>
  </si>
  <si>
    <t>0064L00000DJZ0y</t>
  </si>
  <si>
    <t>Mount Sinai Health System - CCC Technology Strategy &amp; Roadmap #HVM</t>
  </si>
  <si>
    <t>Bryan Beaver</t>
  </si>
  <si>
    <t>0064L00000BnKuX</t>
  </si>
  <si>
    <t>Reliable Community Bancshares Inc.</t>
  </si>
  <si>
    <t>Bank of Missouri nCino LOS Deployment Delivery FY23 #&lt;$50B #SCB</t>
  </si>
  <si>
    <t>0064L000002ahrX</t>
  </si>
  <si>
    <t>NextEra FPL_CX Transformation_Salesforce</t>
  </si>
  <si>
    <t>15/4/2021</t>
  </si>
  <si>
    <t>0064L00000CYmF6</t>
  </si>
  <si>
    <t>Amex Options</t>
  </si>
  <si>
    <t>Alexander Snodgrass</t>
  </si>
  <si>
    <t>0064L00000Be0mz</t>
  </si>
  <si>
    <t>MSWM FSS IRA Rollover - Extension - Phase 2</t>
  </si>
  <si>
    <t>Drew Harger</t>
  </si>
  <si>
    <t>0064L00000BlGOu</t>
  </si>
  <si>
    <t>Merchant Peerless Strategy &amp; TAM</t>
  </si>
  <si>
    <t>0064L00000AqmIL</t>
  </si>
  <si>
    <t>Int. 2.0 I/C Pillar Phase 3A 2022 - Finance</t>
  </si>
  <si>
    <t>29/9/2021</t>
  </si>
  <si>
    <t>Henryk Papiz</t>
  </si>
  <si>
    <t>0064L00000B19lM</t>
  </si>
  <si>
    <t>Project Shaw - NAM Phase</t>
  </si>
  <si>
    <t>0064L000006BS0F</t>
  </si>
  <si>
    <t>Finance Automation &amp; Modernization</t>
  </si>
  <si>
    <t>Adam Proegler</t>
  </si>
  <si>
    <t>0064L00000BfbfK</t>
  </si>
  <si>
    <t>Aon PLC</t>
  </si>
  <si>
    <t>NA Efficiency Support</t>
  </si>
  <si>
    <t>14/2/2022</t>
  </si>
  <si>
    <t>Surabhi Gandotra</t>
  </si>
  <si>
    <t>0064L00000B0ujy</t>
  </si>
  <si>
    <t>#IOBP -- Global Medical Affairs Enablement</t>
  </si>
  <si>
    <t>0064L00000CVpH8</t>
  </si>
  <si>
    <t>KeyBank cost modeling managed service - #NextGenCostingMSO</t>
  </si>
  <si>
    <t>24/3/2022</t>
  </si>
  <si>
    <t>0064L00000BfQHL</t>
  </si>
  <si>
    <t>Ultra Clean Holdings INC.</t>
  </si>
  <si>
    <t>Austin SAP go-live suport</t>
  </si>
  <si>
    <t>Bala Ramanan</t>
  </si>
  <si>
    <t>0064L00000BcjFY</t>
  </si>
  <si>
    <t>Lucid Group, Inc.</t>
  </si>
  <si>
    <t>Lucid Motors - S/4 Delivery Change Management and Training</t>
  </si>
  <si>
    <t>29/11/2021</t>
  </si>
  <si>
    <t>Cydney Aiken</t>
  </si>
  <si>
    <t>Lucid Motors - S/4 Delivery</t>
  </si>
  <si>
    <t>Connor Blaul</t>
  </si>
  <si>
    <t>0064L00000CXrrO</t>
  </si>
  <si>
    <t>Gilead: Transformation - Post SAP Future State Org Design</t>
  </si>
  <si>
    <t>Sarabeth Rees</t>
  </si>
  <si>
    <t>Jason Lemons</t>
  </si>
  <si>
    <t>0064L00000CYCAA</t>
  </si>
  <si>
    <t>Retail insights/ expansion</t>
  </si>
  <si>
    <t>26/9/2022</t>
  </si>
  <si>
    <t>Shane Tormey</t>
  </si>
  <si>
    <t>0064L00000CYB3Q</t>
  </si>
  <si>
    <t>Celanese Corporation</t>
  </si>
  <si>
    <t>Celanese - Project Milan Core IMO - Phase 2</t>
  </si>
  <si>
    <t>Rupinder Gill</t>
  </si>
  <si>
    <t>0064L00000CV5yI</t>
  </si>
  <si>
    <t>Warranty Expansion</t>
  </si>
  <si>
    <t>0064I00000y8YUQ</t>
  </si>
  <si>
    <t>Capital Planning, Prioritization, Portfolio Mgmt. Tool - T&amp;D</t>
  </si>
  <si>
    <t>31/10/2019</t>
  </si>
  <si>
    <t>Jon Howe</t>
  </si>
  <si>
    <t>0064L0000069saz</t>
  </si>
  <si>
    <t>CSP Digital Commerce - SMT Loyalty Phase 2 (May-Sep)</t>
  </si>
  <si>
    <t>Mark Baker</t>
  </si>
  <si>
    <t>0064L000009faDV</t>
  </si>
  <si>
    <t>FRB BPO Vendor Selection Phase 2</t>
  </si>
  <si>
    <t>Gretchen Lott</t>
  </si>
  <si>
    <t>0064L00000CWfgH</t>
  </si>
  <si>
    <t>WBA - Customer Personas and Journey Development Experience</t>
  </si>
  <si>
    <t>0064L00000CWxWB</t>
  </si>
  <si>
    <t>WBA - Customer Personas and Journey Development Experience Extension / Follow On</t>
  </si>
  <si>
    <t>Amy Murphy</t>
  </si>
  <si>
    <t>0064L00000CY0G7</t>
  </si>
  <si>
    <t>GE Separation - Aviation - SMO - DT</t>
  </si>
  <si>
    <t>GE Separation - Aviation - SMO</t>
  </si>
  <si>
    <t>Ruth Romero Cavazos</t>
  </si>
  <si>
    <t>0064L00000CY0UJ</t>
  </si>
  <si>
    <t>SCORE Program Replan</t>
  </si>
  <si>
    <t>0064L00000B1QIt</t>
  </si>
  <si>
    <t>BL - RA for Elderly Phase 2 (US Portion)</t>
  </si>
  <si>
    <t>13/9/2021</t>
  </si>
  <si>
    <t>0064L00000ArcdM</t>
  </si>
  <si>
    <t>Baystate Health Inc.</t>
  </si>
  <si>
    <t>FY22-24 *Strategic Reimbursement*</t>
  </si>
  <si>
    <t>Craig Brondyke</t>
  </si>
  <si>
    <t>0064L000007tm7E</t>
  </si>
  <si>
    <t>PBNA Project Prime Phase 2B</t>
  </si>
  <si>
    <t>Edward Landry</t>
  </si>
  <si>
    <t>0064L00000Blcnm</t>
  </si>
  <si>
    <t>HPE - CRM Data Hygiene &amp; Governance</t>
  </si>
  <si>
    <t>0064L00000BgTFi</t>
  </si>
  <si>
    <t>Toronto Dominion Bank</t>
  </si>
  <si>
    <t>TD Wealth &amp; Insurance - CC Transformation Strategy</t>
  </si>
  <si>
    <t>0064I000015TDtR</t>
  </si>
  <si>
    <t>Denso North America EDMCS (Data Management)</t>
  </si>
  <si>
    <t>0064L00000CWmrM</t>
  </si>
  <si>
    <t>WBA +WAG Health Consumer Payments</t>
  </si>
  <si>
    <t>Michael Hursta</t>
  </si>
  <si>
    <t>0064L000009fcp5</t>
  </si>
  <si>
    <t>Blue Triton Brands - TPM - Phase 2 - Performance Analyzer Deployment #RGM</t>
  </si>
  <si>
    <t>22/7/2021</t>
  </si>
  <si>
    <t>Blue Triton Brands - TPM - Phase 1 - SAP TPM #RGM #SAP+M&amp;APE</t>
  </si>
  <si>
    <t>0064L00000BlMTW</t>
  </si>
  <si>
    <t>TTS ESG Product Strategy #ESG #CS_ESG #FSClimateRisk</t>
  </si>
  <si>
    <t>Brittany Schmidt</t>
  </si>
  <si>
    <t>0064L00000CXVyX</t>
  </si>
  <si>
    <t>Retirement Recordkeeping CPP Transformation #DVC</t>
  </si>
  <si>
    <t>0064L00000B2fVr</t>
  </si>
  <si>
    <t>CNA Procurement Managed Service Support - CY22 Additional Resourcing #S&amp;P#POD</t>
  </si>
  <si>
    <t>John Fafian</t>
  </si>
  <si>
    <t>0064L00000BoMbM</t>
  </si>
  <si>
    <t>Biosimilar Strategy Operationalization - FY23</t>
  </si>
  <si>
    <t>Zachary Dietrick</t>
  </si>
  <si>
    <t>0064L00000DJnB5</t>
  </si>
  <si>
    <t>BHSH Integration Execution - Amendment 1 (Extension)</t>
  </si>
  <si>
    <t>Chad Killian</t>
  </si>
  <si>
    <t>0064L00000BfQTR</t>
  </si>
  <si>
    <t>Microsoft Scope 3 Supply Chain Solution - Customer Zero #ESG-TMT-Wave1</t>
  </si>
  <si>
    <t>0064L00000BlQgZ</t>
  </si>
  <si>
    <t>ACI Worldwide, Inc.</t>
  </si>
  <si>
    <t>Banking SaaS Pricing Model</t>
  </si>
  <si>
    <t>Nicholas Schmiedeknecht</t>
  </si>
  <si>
    <t>0064L00000BopuC</t>
  </si>
  <si>
    <t>Brookfield Asset Management Inc.</t>
  </si>
  <si>
    <t>Luminace Salesforce Platform</t>
  </si>
  <si>
    <t>0064L00000CWws7</t>
  </si>
  <si>
    <t>Project Neo NEB/Settlements/Working Capital (Jul-Dec 2022)</t>
  </si>
  <si>
    <t>0064L00000Bdeda</t>
  </si>
  <si>
    <t>Project SKY separations 2022 - Operations Support</t>
  </si>
  <si>
    <t>Glen Goldbach</t>
  </si>
  <si>
    <t>0064L00000BmFrf</t>
  </si>
  <si>
    <t>Blue Triton Brands - TPM Phase 2 - Value Capture</t>
  </si>
  <si>
    <t>0064I00000wx6Is</t>
  </si>
  <si>
    <t>*SMART* License - SSM Health</t>
  </si>
  <si>
    <t>Shannon O'Shea</t>
  </si>
  <si>
    <t>Kimberly Mirabella</t>
  </si>
  <si>
    <t>0064L00000CWB1N</t>
  </si>
  <si>
    <t>Ally Financial Inc.</t>
  </si>
  <si>
    <t>Retail Deposits Core Solution (#Finxact)</t>
  </si>
  <si>
    <t>Joel Jose</t>
  </si>
  <si>
    <t>0064L00000CXfZZ</t>
  </si>
  <si>
    <t>AT&amp;T BEAD Infrastructure Bill - Maximizing B2B</t>
  </si>
  <si>
    <t>0064L00000DJgl0</t>
  </si>
  <si>
    <t>City of Hope National Medical Center</t>
  </si>
  <si>
    <t>CoH EPBCS Reimplementation and Integration</t>
  </si>
  <si>
    <t>Matthew Ritter</t>
  </si>
  <si>
    <t>Li Gao</t>
  </si>
  <si>
    <t>0064I00000wx6LD</t>
  </si>
  <si>
    <t>Mercy Health (MO)</t>
  </si>
  <si>
    <t>*SMART* License - Mercy (MO)</t>
  </si>
  <si>
    <t>0065800000gzS5A</t>
  </si>
  <si>
    <t>Nestlé S.A.</t>
  </si>
  <si>
    <t>Nestle Performance Analyzer #RGM</t>
  </si>
  <si>
    <t>16/8/2018</t>
  </si>
  <si>
    <t>Glenn Carlson</t>
  </si>
  <si>
    <t>0064L00000DJgpC</t>
  </si>
  <si>
    <t>Healthfirst Cares At Risk Write Up #HVM</t>
  </si>
  <si>
    <t>0064L00000CYYCK</t>
  </si>
  <si>
    <t>FNMA_Enterprise Strategy in response to FHFA mandate</t>
  </si>
  <si>
    <t>Seth Dunbar</t>
  </si>
  <si>
    <t>0064L00000Bm6aB</t>
  </si>
  <si>
    <t>NC - VBC Blue Premier 2.0 Execution #HVM</t>
  </si>
  <si>
    <t>0064L00000Bg62p</t>
  </si>
  <si>
    <t>Crown Family Trusts</t>
  </si>
  <si>
    <t>ASC Loyalty Program Implementation</t>
  </si>
  <si>
    <t>0064L00000BmYIP</t>
  </si>
  <si>
    <t>Myriad Genetics Inc.</t>
  </si>
  <si>
    <t>Myriad Genetics_UOM_Ph1_Vision &amp; Solution Design Combined-Phase Delivery</t>
  </si>
  <si>
    <t>Rob Maul</t>
  </si>
  <si>
    <t>0064L00000CWBC3</t>
  </si>
  <si>
    <t>TMT ESG Investments</t>
  </si>
  <si>
    <t>John Hoffman</t>
  </si>
  <si>
    <t>0064L00000Bm6i0</t>
  </si>
  <si>
    <t>KeyBank - Workday FTP Platform Implementation</t>
  </si>
  <si>
    <t>0064L00000CYXij</t>
  </si>
  <si>
    <t>FNMA_Enterprise Agile</t>
  </si>
  <si>
    <t>0064L00000BopRt</t>
  </si>
  <si>
    <t>Warehouse Transformation Support</t>
  </si>
  <si>
    <t>0064L00000Bn9oU</t>
  </si>
  <si>
    <t>Shell Chemicals - CB Phase 2A - Marketing Playbook with a Sustainability Lens</t>
  </si>
  <si>
    <t>Shell Chemicals - Customer Back Analysis with a sustainability lens</t>
  </si>
  <si>
    <t>0064L000003z2nR</t>
  </si>
  <si>
    <t>#1 DXC IT Simplify - Legal Entity Cleanup | (0064L000003z2nRQAQ)</t>
  </si>
  <si>
    <t>DNU CS_Reg_Strategy_Investigations_Response</t>
  </si>
  <si>
    <t>Sean Frebes</t>
  </si>
  <si>
    <t>0064L00000DJWaF</t>
  </si>
  <si>
    <t>GSP Asset Visibility Phase 1</t>
  </si>
  <si>
    <t>0064L000009gJGx</t>
  </si>
  <si>
    <t>0064L00000Blupr</t>
  </si>
  <si>
    <t>PSEG LI Strategic Asset Management Plan Development</t>
  </si>
  <si>
    <t>Mark Hoffman</t>
  </si>
  <si>
    <t>Riley Adler</t>
  </si>
  <si>
    <t>0064L00000BlutU</t>
  </si>
  <si>
    <t>P &amp; G - Customer Advantage &amp; RGM Transformation #RGM</t>
  </si>
  <si>
    <t>0064L00000Bluum</t>
  </si>
  <si>
    <t>P&amp;G - NA eCommerce Analytics &amp; Reporting</t>
  </si>
  <si>
    <t>0064L000009gKcL</t>
  </si>
  <si>
    <t>Inventory Strategy &amp; PFEP (Phase 1)</t>
  </si>
  <si>
    <t>Brad Goehle</t>
  </si>
  <si>
    <t>0064L00000DBMnu</t>
  </si>
  <si>
    <t>Evergy, Inc.</t>
  </si>
  <si>
    <t>Evergy - Trading Data Platform</t>
  </si>
  <si>
    <t>0064L00000CVNPe</t>
  </si>
  <si>
    <t>Columbia Sportswear Company</t>
  </si>
  <si>
    <t>Columbia Loyalty Design &amp; Build</t>
  </si>
  <si>
    <t>0064L00000CYEzb</t>
  </si>
  <si>
    <t>Distribution Automation Program Advisory - Program Increment Extension</t>
  </si>
  <si>
    <t>Mark Van Dam</t>
  </si>
  <si>
    <t>0064L00000BeOfX</t>
  </si>
  <si>
    <t>Unum Enterprise Staffing Model / Workforce Planning Implementation Support</t>
  </si>
  <si>
    <t>Charles Vaughn</t>
  </si>
  <si>
    <t>0064L00000DJgMU</t>
  </si>
  <si>
    <t>National Bank Holdings Corp.</t>
  </si>
  <si>
    <t>NBH - Parallel Bank Design and Build</t>
  </si>
  <si>
    <t>Juan Rojas</t>
  </si>
  <si>
    <t>0064L00000ApgRx</t>
  </si>
  <si>
    <t>Baystate Health Salesforce / Cerner Implementation Phase</t>
  </si>
  <si>
    <t>Brian Bergen</t>
  </si>
  <si>
    <t>0064L000009fXqP</t>
  </si>
  <si>
    <t>The AES Corporation</t>
  </si>
  <si>
    <t>Implementation of Global Standards for Clean Energy</t>
  </si>
  <si>
    <t>0064L000009fXqj</t>
  </si>
  <si>
    <t>Implementation of Customer Profile Strategy</t>
  </si>
  <si>
    <t>0064L00000DJgRj</t>
  </si>
  <si>
    <t>Wholesale Credit Risk Rating Support (Co-Sourcing) #credit</t>
  </si>
  <si>
    <t>Chi Zhang</t>
  </si>
  <si>
    <t>0064L00000DJVQi</t>
  </si>
  <si>
    <t>PCG Finance Optimization FY '23 - Phase 2</t>
  </si>
  <si>
    <t>Robert Bishop</t>
  </si>
  <si>
    <t>0064L000002c6pU</t>
  </si>
  <si>
    <t>Synovus - Bank Modernization #SCB #&lt;$50B (FIS)</t>
  </si>
  <si>
    <t>27/5/2021</t>
  </si>
  <si>
    <t>0064L00000CWbgx</t>
  </si>
  <si>
    <t>Vendor Talent Acquisition (RFI)</t>
  </si>
  <si>
    <t>0064L00000AqZAu</t>
  </si>
  <si>
    <t>GE - ESG Alliance</t>
  </si>
  <si>
    <t>0064L00000CXx1O</t>
  </si>
  <si>
    <t>West Tennessee Healthcare, Inc.</t>
  </si>
  <si>
    <t>WTH Cerner Acute Transition Services</t>
  </si>
  <si>
    <t>0064L00000Aqhdi</t>
  </si>
  <si>
    <t>Baker OFS Digital Engineering</t>
  </si>
  <si>
    <t>0064L00000Blv2b</t>
  </si>
  <si>
    <t>Nestlé Marketing &amp; Media Transformation</t>
  </si>
  <si>
    <t>0064L00000Ar9FT</t>
  </si>
  <si>
    <t>Lead to Cash</t>
  </si>
  <si>
    <t>13/10/2022</t>
  </si>
  <si>
    <t>Romit Dey</t>
  </si>
  <si>
    <t>Sierra Muniz</t>
  </si>
  <si>
    <t>0064L00000DJULN</t>
  </si>
  <si>
    <t>Inspira Health Network Inc.</t>
  </si>
  <si>
    <t>Inspira Health: Microsoft CRM Implementation #MSFTProvider</t>
  </si>
  <si>
    <t>0064L00000DJTnf</t>
  </si>
  <si>
    <t>Accurate FFG</t>
  </si>
  <si>
    <t>0064L00000Ar8vx</t>
  </si>
  <si>
    <t>Abbott Laboratories</t>
  </si>
  <si>
    <t>Next Gen Manufacturing Strategy - Phase 2; #XCPGrowth</t>
  </si>
  <si>
    <t>Elena Pretto</t>
  </si>
  <si>
    <t>0064L00000BmWFn</t>
  </si>
  <si>
    <t>CCB Process and Operating Model Implementation - H2 2022</t>
  </si>
  <si>
    <t>0064L00000DJTt9</t>
  </si>
  <si>
    <t>AT&amp;T Enterprise Customer Success Transformation</t>
  </si>
  <si>
    <t>0064L00000BmxkM</t>
  </si>
  <si>
    <t>Amazon Care (AC) Government Market Entry -  Strategic Mobilization #HVM</t>
  </si>
  <si>
    <t>0064L0000099dBJ</t>
  </si>
  <si>
    <t>Manulife Financial Corporation</t>
  </si>
  <si>
    <t>NextGen Cost and Profitability - Operationalize Phase</t>
  </si>
  <si>
    <t>0064L00000CXdkE</t>
  </si>
  <si>
    <t>Salesforce, Inc.</t>
  </si>
  <si>
    <t>SEC Enablement of Net Zero Coud</t>
  </si>
  <si>
    <t>0064L00000Bcj55</t>
  </si>
  <si>
    <t>5G Labs - 2023 Program Execution</t>
  </si>
  <si>
    <t>0064L00000Bn6RL</t>
  </si>
  <si>
    <t>Morocco IT SMO</t>
  </si>
  <si>
    <t>0064L00000DFhu8</t>
  </si>
  <si>
    <t>AAH IT Strategy</t>
  </si>
  <si>
    <t>Bill Craddock</t>
  </si>
  <si>
    <t>0064L00000DFiWH</t>
  </si>
  <si>
    <t>Cushman &amp; Wakefield Brokerage Optimization - Production Design &amp; Broker Support Optimization Pilot / Rollout</t>
  </si>
  <si>
    <t>Adam Alabrash</t>
  </si>
  <si>
    <t>0064L00000CYvvP</t>
  </si>
  <si>
    <t>Atrium Health</t>
  </si>
  <si>
    <t>Confidential - Project X</t>
  </si>
  <si>
    <t>0064L00000Bl0S2</t>
  </si>
  <si>
    <t>Carefirst Enterprise Assessment (FEPOC) #DVC</t>
  </si>
  <si>
    <t>Jacqueline Wood</t>
  </si>
  <si>
    <t>0064L000007weZq</t>
  </si>
  <si>
    <t>Planning Process Enhancements</t>
  </si>
  <si>
    <t>Chris Paley</t>
  </si>
  <si>
    <t>Bryon Kallert</t>
  </si>
  <si>
    <t>0064L0000099vQ0</t>
  </si>
  <si>
    <t>Citizens Financial Group, Inc.</t>
  </si>
  <si>
    <t>Citizens M&amp;A Strategic Support</t>
  </si>
  <si>
    <t>0064L00000DFjFW</t>
  </si>
  <si>
    <t>Titanium Tower Acq</t>
  </si>
  <si>
    <t>Paul James Hollinger</t>
  </si>
  <si>
    <t>Hailey Padilla</t>
  </si>
  <si>
    <t>0064I000014JPvQ</t>
  </si>
  <si>
    <t>Manufacturing product transfer (tech transfer) implementation</t>
  </si>
  <si>
    <t>25/3/2020</t>
  </si>
  <si>
    <t>Nick Bonny</t>
  </si>
  <si>
    <t>Brett Hertzig</t>
  </si>
  <si>
    <t>0064L00000BfsSI</t>
  </si>
  <si>
    <t>*CI* KP BJT SOM Strategic Plan</t>
  </si>
  <si>
    <t>0064L000006VjzF</t>
  </si>
  <si>
    <t>Project Phoenix - Execution</t>
  </si>
  <si>
    <t>19/2/2021</t>
  </si>
  <si>
    <t>0064L0000040FOJ</t>
  </si>
  <si>
    <t>CVS: Medicaid NextGen: 2021 Change Management Planning &amp; Support #PayerCO&amp;ITrans</t>
  </si>
  <si>
    <t>0064L00000DFin8</t>
  </si>
  <si>
    <t>Facebook Northstar Narrative Planning 2023</t>
  </si>
  <si>
    <t>Rachel Roschelle</t>
  </si>
  <si>
    <t>0064L000001vvVE</t>
  </si>
  <si>
    <t>Xcel Energy Inc.</t>
  </si>
  <si>
    <t>Risk Mgt Bookrunner Migration to CXL</t>
  </si>
  <si>
    <t>Tony Ligeralde</t>
  </si>
  <si>
    <t>0064L000001wFSK</t>
  </si>
  <si>
    <t>Enterprise Rx Strategy</t>
  </si>
  <si>
    <t>0064L00000Bn6kI</t>
  </si>
  <si>
    <t>F-35 Value Chain Strategy and Process Mapping - Phase 1</t>
  </si>
  <si>
    <t>0064L00000Bl1GX</t>
  </si>
  <si>
    <t>IC Accounting Support (2022)</t>
  </si>
  <si>
    <t>21/12/2021</t>
  </si>
  <si>
    <t>0064L00000BoINz</t>
  </si>
  <si>
    <t>Childrens Hospital Medical Center Of Akron</t>
  </si>
  <si>
    <t>Access Center Consulting Services - Phase 2 Implementation</t>
  </si>
  <si>
    <t>Erin Schneider</t>
  </si>
  <si>
    <t>0064L000009g4xX</t>
  </si>
  <si>
    <t>Walmart Clinic Strategy - *Strategic Reimbursement*</t>
  </si>
  <si>
    <t>0064L00000CYvMo</t>
  </si>
  <si>
    <t>Stand up Region's Swap Dealer</t>
  </si>
  <si>
    <t>Josh Horowitz</t>
  </si>
  <si>
    <t>Frank Sugrue</t>
  </si>
  <si>
    <t>0064L00000Bm1ia</t>
  </si>
  <si>
    <t>USAA P&amp;C AWS Migration Planning &amp; Design</t>
  </si>
  <si>
    <t>0064L000001vtID</t>
  </si>
  <si>
    <t>Grid Mod  OT PMO #PMaaS Phase 3</t>
  </si>
  <si>
    <t>0064L00000BeM9G</t>
  </si>
  <si>
    <t>Sandy Spring Bancorp, Inc</t>
  </si>
  <si>
    <t>Core Modernization (#Finxact)</t>
  </si>
  <si>
    <t>0064L00000BcVuG</t>
  </si>
  <si>
    <t>Best Buy Co. Inc.</t>
  </si>
  <si>
    <t>BBYH Customer Success #Hypergrowth build $1,000,000</t>
  </si>
  <si>
    <t>Kevin McLellan</t>
  </si>
  <si>
    <t>0064L00000BnWVv</t>
  </si>
  <si>
    <t>Weatherford Sustainable Supplier Management Automation #ESG</t>
  </si>
  <si>
    <t>Brian Henry</t>
  </si>
  <si>
    <t>John Serice</t>
  </si>
  <si>
    <t>0064L00000BmBqi</t>
  </si>
  <si>
    <t>Project F - Transformation</t>
  </si>
  <si>
    <t>Nikhil Menon</t>
  </si>
  <si>
    <t>Abhishek Shanker</t>
  </si>
  <si>
    <t>0064L00000DJRf0</t>
  </si>
  <si>
    <t>Seagate Technology Public Limited Company</t>
  </si>
  <si>
    <t>Consumer Predictive Engine Development #TMTPricing</t>
  </si>
  <si>
    <t>Sushmita Singal</t>
  </si>
  <si>
    <t>0064L000003zR8g</t>
  </si>
  <si>
    <t>Clinical Data Repository</t>
  </si>
  <si>
    <t>18/9/2020</t>
  </si>
  <si>
    <t>Anupam Rath</t>
  </si>
  <si>
    <t>0064L00000BeMBz</t>
  </si>
  <si>
    <t>Core Modernization System Integration, BaaS CoE</t>
  </si>
  <si>
    <t>0064L00000Bnhaq</t>
  </si>
  <si>
    <t>Phase 3 - Optum360 Acceleration Path Forward #PayerFFG_Admin</t>
  </si>
  <si>
    <t>0064L00000BokmI</t>
  </si>
  <si>
    <t>A&amp;AN** Shared Services - PAC and TC</t>
  </si>
  <si>
    <t>0064L00000AsJBZ</t>
  </si>
  <si>
    <t>AmerisourceBergen Group GmbH</t>
  </si>
  <si>
    <t>MWI</t>
  </si>
  <si>
    <t>Joshua Wright</t>
  </si>
  <si>
    <t>0064L00000AsJBa</t>
  </si>
  <si>
    <t>MWI Phase 2</t>
  </si>
  <si>
    <t>0064L00000AsJBe</t>
  </si>
  <si>
    <t>Digital Commerce BU Expansion Wolf</t>
  </si>
  <si>
    <t>0064L00000CXOfQ</t>
  </si>
  <si>
    <t>Veeva eQMS Program Expansion</t>
  </si>
  <si>
    <t>Veeva eQMS Program Assessment</t>
  </si>
  <si>
    <t>0064L00000DFW25</t>
  </si>
  <si>
    <t>Abhinav Kala</t>
  </si>
  <si>
    <t>0064L00000Bn4Pe</t>
  </si>
  <si>
    <t>Baker Hughes EEG DT Cost Reduction</t>
  </si>
  <si>
    <t>0064L000001uaFx</t>
  </si>
  <si>
    <t>Federated Hermes, Inc.</t>
  </si>
  <si>
    <t>Federated - ERP Oracle Platform #Burgh  #Oracle_AWM</t>
  </si>
  <si>
    <t>24/6/2020</t>
  </si>
  <si>
    <t>0064L000004wSfe</t>
  </si>
  <si>
    <t>WSFS - Delivery Transformation - RPA and Process Intelligence</t>
  </si>
  <si>
    <t>0064L00000CYC4D</t>
  </si>
  <si>
    <t>Gridiron Capital LLC</t>
  </si>
  <si>
    <t>Growth Strategy</t>
  </si>
  <si>
    <t>Louis Bouquet</t>
  </si>
  <si>
    <t>Ron Weiss</t>
  </si>
  <si>
    <t>0064L00000CWLoW</t>
  </si>
  <si>
    <t>Interior Define, Inc.</t>
  </si>
  <si>
    <t>Manufacturing Strategy - Phase 3 Program Expansion</t>
  </si>
  <si>
    <t>0064L000002LbsC</t>
  </si>
  <si>
    <t>#IOBP -- BIRA Support Operations - Wave 2 - Year 2</t>
  </si>
  <si>
    <t>20/8/2021</t>
  </si>
  <si>
    <t>0064L00000B26ko</t>
  </si>
  <si>
    <t>Future State Benefit Inquiry Execution</t>
  </si>
  <si>
    <t>0064L00000BnyGS</t>
  </si>
  <si>
    <t>DEI Culture &amp; Assessment - Worldwide Consumer</t>
  </si>
  <si>
    <t>Terri McClements</t>
  </si>
  <si>
    <t>Christie Baudin</t>
  </si>
  <si>
    <t>0064L00000CYdas</t>
  </si>
  <si>
    <t>Viatris Comp Harmonization and Job Architecture Global Implementation</t>
  </si>
  <si>
    <t>Robert Purser</t>
  </si>
  <si>
    <t>David Duryea</t>
  </si>
  <si>
    <t>0064L000001w3Ja</t>
  </si>
  <si>
    <t>KeyBank Share of Wallet Opportunity</t>
  </si>
  <si>
    <t>0064I00000vQ0BE</t>
  </si>
  <si>
    <t>IHB Implementation for AMER/APAC</t>
  </si>
  <si>
    <t>25/7/2019</t>
  </si>
  <si>
    <t>0064L00000CYvJk</t>
  </si>
  <si>
    <t>Phase 3 - Near-Shoring Manufacturing Strategy</t>
  </si>
  <si>
    <t>0064L000002LbrA</t>
  </si>
  <si>
    <t>#IOBP -- BIRA Support Operations - Wave 2 - Year 3</t>
  </si>
  <si>
    <t>0064L000009B8Lo</t>
  </si>
  <si>
    <t>Qurate Retail, Inc.</t>
  </si>
  <si>
    <t>Qurate - Customer Data Platform</t>
  </si>
  <si>
    <t>Brad Herndon</t>
  </si>
  <si>
    <t>Erica Ellis</t>
  </si>
  <si>
    <t>0064L00000CWnE8</t>
  </si>
  <si>
    <t>Golub Capital Partners LLC</t>
  </si>
  <si>
    <t>Golub MEC Acceleration: TOM Design, Policy, Governance, Automation, and PMO Support</t>
  </si>
  <si>
    <t>Sri Kumar</t>
  </si>
  <si>
    <t>0065800000jhBEV</t>
  </si>
  <si>
    <t>ncino delivery R2.0 Situs/FIS ACBS integrations #FOBComm #&lt;$50B</t>
  </si>
  <si>
    <t>0064L00000BlOHr</t>
  </si>
  <si>
    <t>HAL - ESG Supply Chain Management</t>
  </si>
  <si>
    <t>Jenni Kotowych</t>
  </si>
  <si>
    <t>0064L00000CWnId</t>
  </si>
  <si>
    <t>EPM 2.0 - F&amp;A - ARCS, Task Manager, and Narrative Reporting</t>
  </si>
  <si>
    <t>Feroz Razzaqui</t>
  </si>
  <si>
    <t>0064L00000CVjeV</t>
  </si>
  <si>
    <t>WBA Chief Customer Officer Organization</t>
  </si>
  <si>
    <t>0064L00000CXNhW</t>
  </si>
  <si>
    <t>Procurement Leakage Reduction</t>
  </si>
  <si>
    <t>Mia CaraDonna</t>
  </si>
  <si>
    <t>0064L00000CVYfT</t>
  </si>
  <si>
    <t>Med Ed - *Strategic Reimbursement*</t>
  </si>
  <si>
    <t>17/3/2022</t>
  </si>
  <si>
    <t>0064L00000BoyxM</t>
  </si>
  <si>
    <t>RAPS: Google T&amp;S Cloud Research &amp; Insights Desk</t>
  </si>
  <si>
    <t>William Herren</t>
  </si>
  <si>
    <t>0064I000014MiTe</t>
  </si>
  <si>
    <t>MGM Resorts International</t>
  </si>
  <si>
    <t>MGM - FP&amp;A / Oracle EPBCS Implementation</t>
  </si>
  <si>
    <t>24/4/2020</t>
  </si>
  <si>
    <t>AD_BO_CJ_FFG_BUSINESS TRANSFORMATION_08FY22_ORACLE HOME PAGE</t>
  </si>
  <si>
    <t>Marika Gola</t>
  </si>
  <si>
    <t>0064L00000CWnPs</t>
  </si>
  <si>
    <t>RL Finance - PM Support</t>
  </si>
  <si>
    <t>0064L00000426PN</t>
  </si>
  <si>
    <t>Lumber Liquidators Holdings Inc.</t>
  </si>
  <si>
    <t>ERP Implementation - Delivery</t>
  </si>
  <si>
    <t>Jay Klein</t>
  </si>
  <si>
    <t>0064L000002La1k</t>
  </si>
  <si>
    <t>Demand Planning SAP enablement (IBP) #BigBets</t>
  </si>
  <si>
    <t>Distribution Materials Demand Planning Assess and Design</t>
  </si>
  <si>
    <t>Kathryn Hodges</t>
  </si>
  <si>
    <t>0064L00000CWM4s</t>
  </si>
  <si>
    <t>KCP Business Transformation</t>
  </si>
  <si>
    <t>Carla DeSantis</t>
  </si>
  <si>
    <t>0064L00000BmAZ2</t>
  </si>
  <si>
    <t>GE Aviation Cost Out Program</t>
  </si>
  <si>
    <t>0064L00000CWnXG</t>
  </si>
  <si>
    <t>EPM Design and Implementation</t>
  </si>
  <si>
    <t>Apurva Chitnis</t>
  </si>
  <si>
    <t>0064L00000AsJ74</t>
  </si>
  <si>
    <t>WSFS - Delivery Transformation - NGSS Associate Servicing w Salesforce</t>
  </si>
  <si>
    <t>DNU: ADV_FS_FOT_ONEFS</t>
  </si>
  <si>
    <t>0064L000009AEYw</t>
  </si>
  <si>
    <t>Qurate Retail Group - Finance Transformation</t>
  </si>
  <si>
    <t>John Bennett</t>
  </si>
  <si>
    <t>0064L000002bOFB</t>
  </si>
  <si>
    <t>FedEx Corporation</t>
  </si>
  <si>
    <t>FedEx - Phase 2 Financial Close Implementation</t>
  </si>
  <si>
    <t>Brian Gibson</t>
  </si>
  <si>
    <t>Raymond Gambino</t>
  </si>
  <si>
    <t>0064L00000Belmy</t>
  </si>
  <si>
    <t>PEP RGM RevolutioM Ongoing Sustainment</t>
  </si>
  <si>
    <t>0064L00000Bo4fx</t>
  </si>
  <si>
    <t>ETRADE Banks Integration Addendum 2</t>
  </si>
  <si>
    <t>0064L00000Boz22</t>
  </si>
  <si>
    <t>Project Symphony - Sign to Close - Pull-Thru - SPA - Extraction</t>
  </si>
  <si>
    <t>0064L00000Bogp3</t>
  </si>
  <si>
    <t>Bellin Health Systems Inc.</t>
  </si>
  <si>
    <t>Project Badger IMO</t>
  </si>
  <si>
    <t>Angus Buchanan</t>
  </si>
  <si>
    <t>Project Badger</t>
  </si>
  <si>
    <t>Brynn Sherman</t>
  </si>
  <si>
    <t>0064L00000BlpHM</t>
  </si>
  <si>
    <t>Coca-Cola ME&amp;E Phase 5 - MarTech Diagnostic</t>
  </si>
  <si>
    <t>31/1/2022</t>
  </si>
  <si>
    <t>0064L000009fT3d</t>
  </si>
  <si>
    <t>[Big Bet] Digital/Workforce Transformation</t>
  </si>
  <si>
    <t>Breck Marshall</t>
  </si>
  <si>
    <t>0064L00000Bogpm</t>
  </si>
  <si>
    <t>Uaw Retiree Medical Benefits Trust</t>
  </si>
  <si>
    <t>UAW Retiree Medical Benefits Trust Business Process Opportunity</t>
  </si>
  <si>
    <t>0064L00000CYPiC</t>
  </si>
  <si>
    <t>Pacific Mutual Holding Company</t>
  </si>
  <si>
    <t>Workforce Benefits Market Strategy Mobilization</t>
  </si>
  <si>
    <t>0064L00000BeZSb</t>
  </si>
  <si>
    <t>Duke Energy Corporation</t>
  </si>
  <si>
    <t>GIS &amp; Data Integrity Strategy</t>
  </si>
  <si>
    <t>Daniel Bowman</t>
  </si>
  <si>
    <t>GIS Implementation #bigbet</t>
  </si>
  <si>
    <t>0064L00000BnTPV</t>
  </si>
  <si>
    <t>Aflac - NextGen Cost Analytics #NextGenCostingMSO</t>
  </si>
  <si>
    <t>28/3/2022</t>
  </si>
  <si>
    <t>Scott Wise</t>
  </si>
  <si>
    <t>0064L00000BnTQU</t>
  </si>
  <si>
    <t>Eaton - NextGen Cost Analytics #NextGenCostingMSO</t>
  </si>
  <si>
    <t>0064L00000BnTQT</t>
  </si>
  <si>
    <t>McDonald's Corporation</t>
  </si>
  <si>
    <t>Mcdonald's - NextGen Cost Analytics #NextGenCostingMSO</t>
  </si>
  <si>
    <t>0064L00000CVzk9</t>
  </si>
  <si>
    <t>Lifetime Healthcare INC.</t>
  </si>
  <si>
    <t>Excellus Knowledge Content and Training Assessment</t>
  </si>
  <si>
    <t>Matthew Rupas</t>
  </si>
  <si>
    <t>0064L00000BnTSo</t>
  </si>
  <si>
    <t>Ross Stores - NextGen Cost Analytics #NextGenCostingMSO</t>
  </si>
  <si>
    <t>0064L00000BnTTs</t>
  </si>
  <si>
    <t>Haliburton - NextGen Cost Analytics #NextGenCostingMSO</t>
  </si>
  <si>
    <t>0064L00000BnTTr</t>
  </si>
  <si>
    <t>Dai-ichi Life Holdings, Inc.</t>
  </si>
  <si>
    <t>Dai-ichi Life - NextGen Cost Analytics #NextGenCostingMSO</t>
  </si>
  <si>
    <t>0064L00000BnTV4</t>
  </si>
  <si>
    <t>Seagate - NextGen Cost Analytics #NextGenCostingMSO</t>
  </si>
  <si>
    <t>0064L00000BnTWC</t>
  </si>
  <si>
    <t>Swiss Re AG</t>
  </si>
  <si>
    <t>Swiss RE - NextGen Cost Analytics #NextGenCostingMSO</t>
  </si>
  <si>
    <t>0064L00000BnTVT</t>
  </si>
  <si>
    <t>NextEra - NextGen Cost Analytics #NextGenCostingMSO</t>
  </si>
  <si>
    <t>0064L00000BnTVx</t>
  </si>
  <si>
    <t>Voya Financial Inc</t>
  </si>
  <si>
    <t>Voya - NextGen Cost Analytics #NextGenCostingMSO</t>
  </si>
  <si>
    <t>0064L000002LaOo</t>
  </si>
  <si>
    <t>Delta Air Lines, Inc</t>
  </si>
  <si>
    <t>Delta - Fuel Management System - Implementation</t>
  </si>
  <si>
    <t>0064L00000BoXBL</t>
  </si>
  <si>
    <t>R&amp;D Data Analytics FY23</t>
  </si>
  <si>
    <t>0064L00000BoXAh</t>
  </si>
  <si>
    <t>Takeda US FP&amp;A Transformation Phase 2 (Anaplan) FY23</t>
  </si>
  <si>
    <t>0064L00000CV81J</t>
  </si>
  <si>
    <t>Aptiv PLC</t>
  </si>
  <si>
    <t>Inflation Support</t>
  </si>
  <si>
    <t>Reina Hinds</t>
  </si>
  <si>
    <t>0064L00000BoXBV</t>
  </si>
  <si>
    <t>R&amp;D Data Analytics FY24</t>
  </si>
  <si>
    <t>0064L00000BoXCO</t>
  </si>
  <si>
    <t>ESG / Pre-assurance (US &amp; Europe) FY23</t>
  </si>
  <si>
    <t>0064L00000BoXGQ</t>
  </si>
  <si>
    <t>Yum! Brands, Inc.</t>
  </si>
  <si>
    <t>RSCS / Yum! - Insights-Driven Profitability Program Phase 4 #Profit</t>
  </si>
  <si>
    <t>Briggs Briner</t>
  </si>
  <si>
    <t>0064L00000DJPNE</t>
  </si>
  <si>
    <t>Project Platinum - Pre-Close PMO Support</t>
  </si>
  <si>
    <t>Serge Deriane</t>
  </si>
  <si>
    <t>0064L00000CVZ9d</t>
  </si>
  <si>
    <t>GBS Cash Efficiency</t>
  </si>
  <si>
    <t>Robert Vettoretti</t>
  </si>
  <si>
    <t>0064L00000ApquV</t>
  </si>
  <si>
    <t>Baker Hughes OFS Completions &amp; Well Intervention Product Cost</t>
  </si>
  <si>
    <t>21/8/2021</t>
  </si>
  <si>
    <t>0064L00000401JV</t>
  </si>
  <si>
    <t>Spectrum Brands Performance Analyzer #RGM</t>
  </si>
  <si>
    <t>Hans Van Delden</t>
  </si>
  <si>
    <t>0064L00000B367j</t>
  </si>
  <si>
    <t>Employer Digital Value Creation</t>
  </si>
  <si>
    <t>26/10/2021</t>
  </si>
  <si>
    <t>Ruchita Kewalramani</t>
  </si>
  <si>
    <t>0064L00000CXoEY</t>
  </si>
  <si>
    <t>FUB - Salesforce for Servicing - 2022 #FSSalesforce #FinancialFlows</t>
  </si>
  <si>
    <t>0064L00000B365s</t>
  </si>
  <si>
    <t>Producer Downstream Implementation</t>
  </si>
  <si>
    <t>0064L000009g0jw</t>
  </si>
  <si>
    <t>Entitlements IED Support - EET Onboarding and Non-IED Roles</t>
  </si>
  <si>
    <t>0064L00000BmOnD</t>
  </si>
  <si>
    <t>Off shoring strategy</t>
  </si>
  <si>
    <t>0064L00000BoUyg</t>
  </si>
  <si>
    <t>TPG Capital, L.P.</t>
  </si>
  <si>
    <t>DTV - Future State Reporting/Planning Systems (Phase 3)</t>
  </si>
  <si>
    <t>Chris Teaney</t>
  </si>
  <si>
    <t>0064L00000BoUyq</t>
  </si>
  <si>
    <t>DTV - Future State Reporting/Planning Systems (Phase 4)</t>
  </si>
  <si>
    <t>0064L00000Bo4ZL</t>
  </si>
  <si>
    <t>Commercial LAS DISCOVERY AFS Vision Jan-Apr 2023</t>
  </si>
  <si>
    <t>28/12/2022</t>
  </si>
  <si>
    <t>0064L00000BnRzR</t>
  </si>
  <si>
    <t>New York Community Bancorp</t>
  </si>
  <si>
    <t>Fiserv Integration Support</t>
  </si>
  <si>
    <t>James Holloway</t>
  </si>
  <si>
    <t>Pichon Duplan</t>
  </si>
  <si>
    <t>0064L00000BmOy6</t>
  </si>
  <si>
    <t>Back Office Transformation - SOW #4 Big Rocks and Interim</t>
  </si>
  <si>
    <t>0064L00000BdFCP</t>
  </si>
  <si>
    <t>Amgen Finance Accelerated Close Support</t>
  </si>
  <si>
    <t>0064I00000zTF1x</t>
  </si>
  <si>
    <t>HITACHI, LTD.</t>
  </si>
  <si>
    <t>Hitachi Incubator Program Design</t>
  </si>
  <si>
    <t>14/12/2019</t>
  </si>
  <si>
    <t>Scott Cuthbertson</t>
  </si>
  <si>
    <t>0064L000009ACJB</t>
  </si>
  <si>
    <t>UTRGV - *Rev Cycle* Transformation - Phase 2b</t>
  </si>
  <si>
    <t>Darshan Patel</t>
  </si>
  <si>
    <t>0064I00000qsuVM</t>
  </si>
  <si>
    <t>Barilla holding SPA</t>
  </si>
  <si>
    <t>Barilla - Performance Analyzer #RGM</t>
  </si>
  <si>
    <t>28/3/2019</t>
  </si>
  <si>
    <t>0064L00000CYqFD</t>
  </si>
  <si>
    <t>Vista Equity Partners Management, LLC</t>
  </si>
  <si>
    <t>Jamf - L2C Transformation - SFDC</t>
  </si>
  <si>
    <t>Vineet Mishra</t>
  </si>
  <si>
    <t>Bob Singer</t>
  </si>
  <si>
    <t>0064L00000BdUIu</t>
  </si>
  <si>
    <t>Small Biz to VCG</t>
  </si>
  <si>
    <t>0064L0000098lsC</t>
  </si>
  <si>
    <t>HCSC Medicare Analytics CoE #xPC:PayerAnalytics #PayerAnalytics</t>
  </si>
  <si>
    <t>Mike Lee</t>
  </si>
  <si>
    <t>0064L00000BowPi</t>
  </si>
  <si>
    <t>GEICO Finance Transformation</t>
  </si>
  <si>
    <t>0064L00000Bd405</t>
  </si>
  <si>
    <t>Noris Matherson</t>
  </si>
  <si>
    <t>0064L00000BowU4</t>
  </si>
  <si>
    <t>HP TMO 1H FY23 Support</t>
  </si>
  <si>
    <t>Katya Reuk</t>
  </si>
  <si>
    <t>0064L000002aJqk</t>
  </si>
  <si>
    <t>Virtual Health Program and technology development</t>
  </si>
  <si>
    <t>Madhvi Prasad</t>
  </si>
  <si>
    <t>0064L00000BoV4t</t>
  </si>
  <si>
    <t>Total Cost of Care Tool Development</t>
  </si>
  <si>
    <t>Sean McIntee</t>
  </si>
  <si>
    <t>0064L00000BdDUD</t>
  </si>
  <si>
    <t>Workforce Transformation</t>
  </si>
  <si>
    <t>Caroline Mooi</t>
  </si>
  <si>
    <t>0064L00000BdDUR</t>
  </si>
  <si>
    <t>Transformation - Trust and Safety</t>
  </si>
  <si>
    <t>Heather Brewer</t>
  </si>
  <si>
    <t>0064L00000BoUWX</t>
  </si>
  <si>
    <t>OneStream - Consolidation implementation - Phase 1</t>
  </si>
  <si>
    <t>0064I00000r4Dck</t>
  </si>
  <si>
    <t>Western &amp; Southern Mutual Holdinds</t>
  </si>
  <si>
    <t>WS: Cloud ERP Systems Selection &amp; Implementation</t>
  </si>
  <si>
    <t>25/2/2019</t>
  </si>
  <si>
    <t>0064L00000B1shd</t>
  </si>
  <si>
    <t>Bankunited Financial Corp.</t>
  </si>
  <si>
    <t>Core Modernization</t>
  </si>
  <si>
    <t>0064L00000Bn0UC</t>
  </si>
  <si>
    <t>US to MX Manufacturing Relocation</t>
  </si>
  <si>
    <t>0064L00000B2vf8</t>
  </si>
  <si>
    <t>MSR One Framework Support - Phase 3</t>
  </si>
  <si>
    <t>Steven Robertson</t>
  </si>
  <si>
    <t>0064L000009AE22</t>
  </si>
  <si>
    <t>Phase 2 - Optum360 Acceleration Path Forward #PayerFFG_Admin</t>
  </si>
  <si>
    <t>0064L0000041Bhn</t>
  </si>
  <si>
    <t>GE Gas Power Project / Product Platforming</t>
  </si>
  <si>
    <t>30/10/2020</t>
  </si>
  <si>
    <t>29/11/2022</t>
  </si>
  <si>
    <t>0064L00000BoSex</t>
  </si>
  <si>
    <t>HIG GB PAS R1 Support</t>
  </si>
  <si>
    <t>HIG GB PAS Transformation: Mobilization (Apr-Jul 22)</t>
  </si>
  <si>
    <t>0064L00000BmMcX</t>
  </si>
  <si>
    <t>Coca-Cola ME&amp;E Phase 5 - Bottler DME Diagnostic</t>
  </si>
  <si>
    <t>0064L00000BmMcN</t>
  </si>
  <si>
    <t>Fiserv Inc.</t>
  </si>
  <si>
    <t>Fiserv NYCB Integration Support</t>
  </si>
  <si>
    <t>0064L000007H1F7</t>
  </si>
  <si>
    <t>ADI Customer 360</t>
  </si>
  <si>
    <t>30/3/2021</t>
  </si>
  <si>
    <t>Jimmy Boyle</t>
  </si>
  <si>
    <t>James Holbrook</t>
  </si>
  <si>
    <t>0064L00000BmMfR</t>
  </si>
  <si>
    <t>GE Separation - Corporate - Long-term Stabilization - 2023</t>
  </si>
  <si>
    <t>0064L00000BoeSZ</t>
  </si>
  <si>
    <t>Zeomega Inc.</t>
  </si>
  <si>
    <t>Zeomega Product Strategy #HVM #Alliance:Zeomega</t>
  </si>
  <si>
    <t>0064L00000BnbT0</t>
  </si>
  <si>
    <t>Contact Center Transformation #CallCenter</t>
  </si>
  <si>
    <t>0064L00000CYq5m</t>
  </si>
  <si>
    <t>Fox Corp.</t>
  </si>
  <si>
    <t>General Deals Support - FY23</t>
  </si>
  <si>
    <t>Lori Bistis</t>
  </si>
  <si>
    <t>Andrew DiCristofaro</t>
  </si>
  <si>
    <t>0064L00000BgMDd</t>
  </si>
  <si>
    <t>R&amp;D organization design and deployment #RWDEvGen</t>
  </si>
  <si>
    <t>R&amp;D organization strategy and alignment #RWDEvGen</t>
  </si>
  <si>
    <t>0064L000009AS3T</t>
  </si>
  <si>
    <t>Rural Health Equity *Strategic Reimbursement*</t>
  </si>
  <si>
    <t>0064L00000BnRA3</t>
  </si>
  <si>
    <t>Amazon Studios - ERP</t>
  </si>
  <si>
    <t>0064L00000Bd3Ae</t>
  </si>
  <si>
    <t>GTN - Japan deployment</t>
  </si>
  <si>
    <t>0064L00000Bd3DD</t>
  </si>
  <si>
    <t>GTN - Germany</t>
  </si>
  <si>
    <t>0064L00000CYpaU</t>
  </si>
  <si>
    <t>Entergy Transmission &amp; Distribution Merger Implementation</t>
  </si>
  <si>
    <t>Drew Miller</t>
  </si>
  <si>
    <t>0064L00000CXIWx</t>
  </si>
  <si>
    <t>Phase 2 - TM Ops Build</t>
  </si>
  <si>
    <t>0064L00000Bf6eZ</t>
  </si>
  <si>
    <t>Carbon Ledger Pilot</t>
  </si>
  <si>
    <t>0064L00000Bf6ge</t>
  </si>
  <si>
    <t>0064L00000Bf6go</t>
  </si>
  <si>
    <t>Apache Corporation</t>
  </si>
  <si>
    <t>0064L00000Bf6jE</t>
  </si>
  <si>
    <t>0064L00000Bf6kC</t>
  </si>
  <si>
    <t>Transocean Ltd.</t>
  </si>
  <si>
    <t>0064L00000B2SRF</t>
  </si>
  <si>
    <t>Best Buy Health CRM Optimization - Implementation Phase</t>
  </si>
  <si>
    <t>Krista Cook</t>
  </si>
  <si>
    <t>0064L00000B2uPo</t>
  </si>
  <si>
    <t>KP Employer Digital Strategy</t>
  </si>
  <si>
    <t>0064L00000CWWf9</t>
  </si>
  <si>
    <t>Unum Total Leave Migration</t>
  </si>
  <si>
    <t>0064L00000BnqpY</t>
  </si>
  <si>
    <t>Project Aurum - IMO Support Phase I</t>
  </si>
  <si>
    <t>Project Aurum TDD</t>
  </si>
  <si>
    <t>Adrian Kellams</t>
  </si>
  <si>
    <t>0064L00000BnqrF</t>
  </si>
  <si>
    <t>DVC_GBS</t>
  </si>
  <si>
    <t>0064L00000CVwHc</t>
  </si>
  <si>
    <t>Comcast Employee FinWell Program</t>
  </si>
  <si>
    <t>Cornell Staeger</t>
  </si>
  <si>
    <t>Aaron Harding</t>
  </si>
  <si>
    <t>0064L000003yYa9</t>
  </si>
  <si>
    <t>MS - ETFC Acct Conversion Support - WMTech #WM</t>
  </si>
  <si>
    <t>Matthew Jong</t>
  </si>
  <si>
    <t>0064L00000BoArG</t>
  </si>
  <si>
    <t>Billing Strategy and Zorua SI (Ph.1) - Commercialization BU</t>
  </si>
  <si>
    <t>Nathan Meyer</t>
  </si>
  <si>
    <t>Michael Callahan</t>
  </si>
  <si>
    <t>0064L000003yXvp</t>
  </si>
  <si>
    <t>FHIT Implementation planning/preparation</t>
  </si>
  <si>
    <t>0064I00000r429B</t>
  </si>
  <si>
    <t>FDA - Resource Capacity Planning - Journey Phase 4 #IOBP</t>
  </si>
  <si>
    <t>19/2/2019</t>
  </si>
  <si>
    <t>Michael Mentesana</t>
  </si>
  <si>
    <t>0064L00000BoAz5</t>
  </si>
  <si>
    <t>Discover Financial Services</t>
  </si>
  <si>
    <t>Discover International Support Model Design</t>
  </si>
  <si>
    <t>Akhil Jain</t>
  </si>
  <si>
    <t>0064L00000DJkjO</t>
  </si>
  <si>
    <t>Job Architecture -- Pharmacy, Pop Healt, Contact Center</t>
  </si>
  <si>
    <t>0064L00000B2rRD</t>
  </si>
  <si>
    <t>#QMS eQMS Implementation</t>
  </si>
  <si>
    <t>#QMS eQMS Selection</t>
  </si>
  <si>
    <t>0064L00000CWwyq</t>
  </si>
  <si>
    <t>Data and Analytics GBS Design</t>
  </si>
  <si>
    <t>0064L00000708pF</t>
  </si>
  <si>
    <t>MWI Price Management Implementation</t>
  </si>
  <si>
    <t>17/3/2021</t>
  </si>
  <si>
    <t>Rick Jean</t>
  </si>
  <si>
    <t>0064L000001uhNO</t>
  </si>
  <si>
    <t>Lear Corporation</t>
  </si>
  <si>
    <t>Oracle Cloud - On Prem Hyperion to the Cloud</t>
  </si>
  <si>
    <t>27/6/2020</t>
  </si>
  <si>
    <t>13/5/2023</t>
  </si>
  <si>
    <t>Natalie Delemar</t>
  </si>
  <si>
    <t>AD_BO_CJ_FFG_FINANCE TRANSFORMATION_06FY20_ORACLE FIN STABILITY SELLING TO CFO</t>
  </si>
  <si>
    <t>0064L00000BfXVk</t>
  </si>
  <si>
    <t>Hugh Le</t>
  </si>
  <si>
    <t>0064L00000CYnLX</t>
  </si>
  <si>
    <t>Wholesale Credit Risk Rating Support (US Portion) #credit</t>
  </si>
  <si>
    <t>Matthew Blumenfeld</t>
  </si>
  <si>
    <t>0064L00000BoB1V</t>
  </si>
  <si>
    <t>S&amp;OP Third Party Assessment - Phase 2</t>
  </si>
  <si>
    <t>Namit Mehta</t>
  </si>
  <si>
    <t>Brennan Matthews</t>
  </si>
  <si>
    <t>0064L00000Bf76c</t>
  </si>
  <si>
    <t>BMS FFG Smart Budgeting IP Generation</t>
  </si>
  <si>
    <t>0064L0000099Z5a</t>
  </si>
  <si>
    <t>Loan System Consolidation Change Management Program</t>
  </si>
  <si>
    <t>30/7/2021</t>
  </si>
  <si>
    <t>Christine Winters</t>
  </si>
  <si>
    <t>0064L00000BdRW5</t>
  </si>
  <si>
    <t>ADS - S2P #Coupa Implementation</t>
  </si>
  <si>
    <t>15/12/2021</t>
  </si>
  <si>
    <t>0064L00000BlINe</t>
  </si>
  <si>
    <t>Migration of MasterCard Debit/Credit portfolios to Payments One#Alliance</t>
  </si>
  <si>
    <t>Douglas Dwyre</t>
  </si>
  <si>
    <t>0064L00000ArPhU</t>
  </si>
  <si>
    <t>SAP SE</t>
  </si>
  <si>
    <t>Go-To-Market / Rev Ops org design/op model (TBD)</t>
  </si>
  <si>
    <t>Henning Hagen</t>
  </si>
  <si>
    <t>0064L000001uUuy</t>
  </si>
  <si>
    <t>Future Cast Engagement #strategic - Phase 1 *Customer* *Dynamic*</t>
  </si>
  <si>
    <t>20/6/2020</t>
  </si>
  <si>
    <t>0064L00000Bf6b5</t>
  </si>
  <si>
    <t>Republic Services INC.</t>
  </si>
  <si>
    <t>RSI - Time &amp; Expense</t>
  </si>
  <si>
    <t>Amanda Spagnoli</t>
  </si>
  <si>
    <t>0064L00000BkyWb</t>
  </si>
  <si>
    <t>P&amp;G - Next Gen Customer Advantage</t>
  </si>
  <si>
    <t>18/12/2021</t>
  </si>
  <si>
    <t>0064L00000Bf6d2</t>
  </si>
  <si>
    <t>GHG Implementation</t>
  </si>
  <si>
    <t>0064L00000CXYvz</t>
  </si>
  <si>
    <t>BBYH - Revenue Cycle Management Phase 2</t>
  </si>
  <si>
    <t>0064L00000Bg7ct</t>
  </si>
  <si>
    <t>Omni Hotels Management Corporation</t>
  </si>
  <si>
    <t>Loyalty Strategy &amp; Build</t>
  </si>
  <si>
    <t>0064L0000040ntd</t>
  </si>
  <si>
    <t>Marketing Analytics - Media Intelligence</t>
  </si>
  <si>
    <t>22/10/2020</t>
  </si>
  <si>
    <t>Samantha Dennis</t>
  </si>
  <si>
    <t>0064L00000BgZJu</t>
  </si>
  <si>
    <t>Haemonetics Corporation</t>
  </si>
  <si>
    <t>Oracle EPM - Consolidations (FCCS)</t>
  </si>
  <si>
    <t>Jarret Heller</t>
  </si>
  <si>
    <t>0064L00000Bg7fx</t>
  </si>
  <si>
    <t>0064L00000Bg7jz</t>
  </si>
  <si>
    <t>B2B Loyalty Strategy &amp; Build</t>
  </si>
  <si>
    <t>0064L000003z9Du</t>
  </si>
  <si>
    <t>Warranty Process Optimization / Warranty Cost Reduction</t>
  </si>
  <si>
    <t>0064L00000Aqo8I</t>
  </si>
  <si>
    <t>Live Oak Banking Company</t>
  </si>
  <si>
    <t>Live Oak nCino optimization delivery R2 #&lt;$50B</t>
  </si>
  <si>
    <t>0064L00000Aqo8J</t>
  </si>
  <si>
    <t>Live Oak Customer Engagement layer  #&lt;$50B</t>
  </si>
  <si>
    <t>0064L00000BnNEV</t>
  </si>
  <si>
    <t>S&amp;P Global - Digital Transformation / Operating Model Shift</t>
  </si>
  <si>
    <t>0064L0000069L8S</t>
  </si>
  <si>
    <t>SCJ - Marketing Bundle</t>
  </si>
  <si>
    <t>Katie Casselton</t>
  </si>
  <si>
    <t>0064L000003z9Fq</t>
  </si>
  <si>
    <t>In-/ Out-bound Logistics Strategy</t>
  </si>
  <si>
    <t>18/8/2022</t>
  </si>
  <si>
    <t>0064L00000Bnok2</t>
  </si>
  <si>
    <t>PEP CDP Implementation</t>
  </si>
  <si>
    <t>Jane Griffin</t>
  </si>
  <si>
    <t>0064L00000BmllF</t>
  </si>
  <si>
    <t>ICP/LE Forecasting Transformation</t>
  </si>
  <si>
    <t>0064L00000Bfgvt</t>
  </si>
  <si>
    <t>Compass Phase 4 - EPM for Capital</t>
  </si>
  <si>
    <t>0064L00000BoR2b</t>
  </si>
  <si>
    <t>BSC T2 Growth Strategy Refresh</t>
  </si>
  <si>
    <t>Rohit Nayak</t>
  </si>
  <si>
    <t>0064I000011oCav</t>
  </si>
  <si>
    <t>MSFT Commerce Finance FY22 Portfolio Service</t>
  </si>
  <si>
    <t>18/1/2020</t>
  </si>
  <si>
    <t>Jim Berres</t>
  </si>
  <si>
    <t>0064L00000BoPuI</t>
  </si>
  <si>
    <t>Amazon AWS Sales Transformation as a Growth Enabler</t>
  </si>
  <si>
    <t>Matthew Egol</t>
  </si>
  <si>
    <t>Jose Baptista</t>
  </si>
  <si>
    <t>0064L00000AqLc5</t>
  </si>
  <si>
    <t>F&amp;G Mortgage Loan Close Support FY22</t>
  </si>
  <si>
    <t>Ayesha Umar</t>
  </si>
  <si>
    <t>0064L000009AQPc</t>
  </si>
  <si>
    <t>L3Harris Digital Engineering - CY22 Implementation Support [Placeholder]</t>
  </si>
  <si>
    <t>L3Harris Digital Engineering - CY22 Program Support</t>
  </si>
  <si>
    <t>0064L000009AQPI</t>
  </si>
  <si>
    <t>L3Harris Digital Engineering - Ext. 2021</t>
  </si>
  <si>
    <t>0064L00000CYn5K</t>
  </si>
  <si>
    <t>Phase 2 - Vendor ROI framework for Wires Replacement</t>
  </si>
  <si>
    <t>0064L00000B2MlF</t>
  </si>
  <si>
    <t>Treasury Management System Migration to Quantum</t>
  </si>
  <si>
    <t>Cheryl Cornelius</t>
  </si>
  <si>
    <t>0064L00000DBQNR</t>
  </si>
  <si>
    <t>PEP Innovation Management - Phase 4 (FY23 Support)</t>
  </si>
  <si>
    <t>0064L00000CXG8A</t>
  </si>
  <si>
    <t>Treasury Transformation</t>
  </si>
  <si>
    <t>0064L00000B2MgK</t>
  </si>
  <si>
    <t>Aligned Disciplined Growth (Fit for Growth) - Strategy &amp; Alignment</t>
  </si>
  <si>
    <t>Roger Wery</t>
  </si>
  <si>
    <t>0064L00000DBQXC</t>
  </si>
  <si>
    <t>5-Year VCG Sales/Care/Ops Plan / 'No Holds Barred'</t>
  </si>
  <si>
    <t>0064L000001vymS</t>
  </si>
  <si>
    <t>Fit for Growth - Finance Transformation</t>
  </si>
  <si>
    <t>0064L00000Bg7Tr</t>
  </si>
  <si>
    <t>Five Below Inc</t>
  </si>
  <si>
    <t>0064L00000Bg7UQ</t>
  </si>
  <si>
    <t>Costco Wholesale</t>
  </si>
  <si>
    <t>0064L00000Bg7Uk</t>
  </si>
  <si>
    <t>0064L00000Bg7XA</t>
  </si>
  <si>
    <t>0064L00000Bg7Vx</t>
  </si>
  <si>
    <t>Jetblue Airways Corporation</t>
  </si>
  <si>
    <t>0064L00000Bg7ZB</t>
  </si>
  <si>
    <t>Skechers U.S.A. Inc.</t>
  </si>
  <si>
    <t>0064L00000BlGIX</t>
  </si>
  <si>
    <t>Huntsman Corporation</t>
  </si>
  <si>
    <t>Value Capture Team - 2023</t>
  </si>
  <si>
    <t>Michele Nichols</t>
  </si>
  <si>
    <t>0064L00000CYlQ6</t>
  </si>
  <si>
    <t>The Home Depot Inc.</t>
  </si>
  <si>
    <t>Associate Engagement Phase 1</t>
  </si>
  <si>
    <t>Peter Frank</t>
  </si>
  <si>
    <t>0064L0000097c1S</t>
  </si>
  <si>
    <t>Dollar General Corporation</t>
  </si>
  <si>
    <t>Dollar General Clinic Strategy - *Strategic Reimbursement*</t>
  </si>
  <si>
    <t>0064L000001w8YB</t>
  </si>
  <si>
    <t>Duracell - TPM Performance Analyzer Implementation Support #RGM</t>
  </si>
  <si>
    <t>Duracell TPM - NA Design + Impl. #RGM</t>
  </si>
  <si>
    <t>0064L000007wWLa</t>
  </si>
  <si>
    <t>BMS  Celgene Integration - LER Global Supply Chain Addition</t>
  </si>
  <si>
    <t>0064L00000BgZGl</t>
  </si>
  <si>
    <t>Data Strategy Mobilization</t>
  </si>
  <si>
    <t>0064L00000CXgRt</t>
  </si>
  <si>
    <t>LifeCo Future Proofing &amp; Financial Wellness</t>
  </si>
  <si>
    <t>Juneen Kirk</t>
  </si>
  <si>
    <t>Margo Hutkins</t>
  </si>
  <si>
    <t>0065800000jh8OR</t>
  </si>
  <si>
    <t>Organ Analysis - *Strategic Reimbursement*</t>
  </si>
  <si>
    <t>0064L00000Bm6pu</t>
  </si>
  <si>
    <t>Middle and Last Mile Transformation</t>
  </si>
  <si>
    <t>0064L00000BnlzN</t>
  </si>
  <si>
    <t>Blue Cross and Blue Shield of Massachusetts, Inc.</t>
  </si>
  <si>
    <t>Care Model Design - Phase II Design and Planning #HVM</t>
  </si>
  <si>
    <t>0064L00000B1mmf</t>
  </si>
  <si>
    <t>GE FP&amp;A Transformation - Phase 0</t>
  </si>
  <si>
    <t>0064L00000Apyk5</t>
  </si>
  <si>
    <t>*CI*UTSW School of Public Health Planning- Phase 2 Implementation</t>
  </si>
  <si>
    <t>David Church</t>
  </si>
  <si>
    <t>0064L00000DJWfZ</t>
  </si>
  <si>
    <t>F-35 Sustainment Operation Model Redesign</t>
  </si>
  <si>
    <t>0064L000001uy6o</t>
  </si>
  <si>
    <t>Visteon Corporation</t>
  </si>
  <si>
    <t>19/5/2023</t>
  </si>
  <si>
    <t>0064L00000DJWhL</t>
  </si>
  <si>
    <t>F-35 PBL Investment Strategy</t>
  </si>
  <si>
    <t>0064L00000BmYZu</t>
  </si>
  <si>
    <t>Moderna CMO Operating Model Design - Execution Phase</t>
  </si>
  <si>
    <t>0064L000002aweh</t>
  </si>
  <si>
    <t>USAA - Parallel Bank Feasibility Strategy</t>
  </si>
  <si>
    <t>0064L00000DJj0b</t>
  </si>
  <si>
    <t>Ridgemont Partners Management Holdings, L.P.</t>
  </si>
  <si>
    <t>ASC ERP Implementation</t>
  </si>
  <si>
    <t>Kaushik Ramasubramaniam</t>
  </si>
  <si>
    <t>0064L000004vxy7</t>
  </si>
  <si>
    <t>Healthfirst - (APX) PayDoc Support Extension #PayerCO&amp;ITrans</t>
  </si>
  <si>
    <t>Chris Bonus</t>
  </si>
  <si>
    <t>0064L00000BoOHs</t>
  </si>
  <si>
    <t>Pro Services Support</t>
  </si>
  <si>
    <t>0064L00000CYjfi</t>
  </si>
  <si>
    <t>Procure to Pay #P2P #S2P</t>
  </si>
  <si>
    <t>Fraya Black</t>
  </si>
  <si>
    <t>0064L00000BmZGF</t>
  </si>
  <si>
    <t>BMS GPS Operating Model Assessment</t>
  </si>
  <si>
    <t>0064I00000zRgtJ</t>
  </si>
  <si>
    <t>GE Gas/Power LE Simplification</t>
  </si>
  <si>
    <t>Verne Perigord</t>
  </si>
  <si>
    <t>0064L00000CXhHa</t>
  </si>
  <si>
    <t>Project Gemini - Financial Transparency Implementation</t>
  </si>
  <si>
    <t>Tabitha DeFrancisco</t>
  </si>
  <si>
    <t>0064L00000Bp0Qe</t>
  </si>
  <si>
    <t>COC "WAVE" Tool #HVM</t>
  </si>
  <si>
    <t>0064L00000BfDX7</t>
  </si>
  <si>
    <t>Workday FTP Platform Implementation</t>
  </si>
  <si>
    <t>0064L00000Bg5xf</t>
  </si>
  <si>
    <t>Ares Partners Holdco LLC</t>
  </si>
  <si>
    <t>Salesforce Loyalty Design &amp; Build</t>
  </si>
  <si>
    <t>0064L000007wFhP</t>
  </si>
  <si>
    <t>GPM: Strategic: Global Price Management Governance and Solutions</t>
  </si>
  <si>
    <t>Kate Neely</t>
  </si>
  <si>
    <t>0064L00000CXVmx</t>
  </si>
  <si>
    <t>CoP 2022/2023 Job Architecture Phase II</t>
  </si>
  <si>
    <t>0064L00000CXYRX</t>
  </si>
  <si>
    <t>Hologic, Inc.</t>
  </si>
  <si>
    <t>Hologic surgical M&amp;A</t>
  </si>
  <si>
    <t>500K-999K</t>
  </si>
  <si>
    <t>0064L00000BldCh</t>
  </si>
  <si>
    <t>CareLinx Growth Strategy - Phase 1 - CS_EDT_PLS #HVM</t>
  </si>
  <si>
    <t>0064L00000Bkua5</t>
  </si>
  <si>
    <t>Asset Knowledge Management (UN Cutover Assessment)</t>
  </si>
  <si>
    <t>Mark Menzie</t>
  </si>
  <si>
    <t>Asset Knowledge Management (MRC Risk Model, Supplemental Gas Models, Field Data, UPDM)-Phased</t>
  </si>
  <si>
    <t>Cem Pusatcioglu</t>
  </si>
  <si>
    <t>0064L00000Bp31O</t>
  </si>
  <si>
    <t>LPL FINANCIAL HOLDINGS Inc.</t>
  </si>
  <si>
    <t>LPL / SEC Rule 206(4)-1 (Marketing Rule) Support / $985,000</t>
  </si>
  <si>
    <t>Geoff Dworkin</t>
  </si>
  <si>
    <t>0064L000007x987</t>
  </si>
  <si>
    <t>HP Channel Execution Design</t>
  </si>
  <si>
    <t>0064L00000BeZTy</t>
  </si>
  <si>
    <t>Claims Solution Modernization &gt;&gt; FEPOC plan and design #PayerCO&amp;ITrans</t>
  </si>
  <si>
    <t>0064I00001354Bh</t>
  </si>
  <si>
    <t>Curemark LLC.</t>
  </si>
  <si>
    <t>Commercialization capability build #XPCGrowth</t>
  </si>
  <si>
    <t>18/3/2020</t>
  </si>
  <si>
    <t>0064L000009Av59</t>
  </si>
  <si>
    <t>Citi Enterprise Risk Management Training Extension: TNA</t>
  </si>
  <si>
    <t>Bhushan Sethi</t>
  </si>
  <si>
    <t>Alexandra Hom</t>
  </si>
  <si>
    <t>0064L00000CW4wy</t>
  </si>
  <si>
    <t>Bayer Aktiengesellschaft</t>
  </si>
  <si>
    <t>Bayer OnePSS Pilot - Global Trade</t>
  </si>
  <si>
    <t>Fernando Arango</t>
  </si>
  <si>
    <t>0064L00000BnFqU</t>
  </si>
  <si>
    <t>MS CIS Risk - Exception Governance Framework Phase 2</t>
  </si>
  <si>
    <t>Arjun Patel</t>
  </si>
  <si>
    <t>Caroline Jureller</t>
  </si>
  <si>
    <t>0064L0000041AqA</t>
  </si>
  <si>
    <t>SBSD 2021 Amend</t>
  </si>
  <si>
    <t>29/10/2020</t>
  </si>
  <si>
    <t>0064L00000BlzYY</t>
  </si>
  <si>
    <t>WFHL Investor Risk Management #ClearControl</t>
  </si>
  <si>
    <t>Meredith Strokes</t>
  </si>
  <si>
    <t>0064L00000BnmhK</t>
  </si>
  <si>
    <t>Wells Fargo Enterprise Services Governance Office: Peer Benchmarking and Target Op Model #Core</t>
  </si>
  <si>
    <t>Nick Habib</t>
  </si>
  <si>
    <t>0064L00000DFlU3</t>
  </si>
  <si>
    <t>Citizen's Bank - Front End Development Support</t>
  </si>
  <si>
    <t>0064L00000CXpC9</t>
  </si>
  <si>
    <t>Citrix Financial Close and Systems Support</t>
  </si>
  <si>
    <t>0064L00000BnbUm</t>
  </si>
  <si>
    <t>SaaS Product Commercialization: PLM Design &amp; CLC Build</t>
  </si>
  <si>
    <t>0064L000009BFS1</t>
  </si>
  <si>
    <t>Managed Services for Trading System</t>
  </si>
  <si>
    <t>0064L00000CWcVF</t>
  </si>
  <si>
    <t>Demand Planning as a Managed Service</t>
  </si>
  <si>
    <t>Brendon Pezzack</t>
  </si>
  <si>
    <t>0064L00000CWcW2</t>
  </si>
  <si>
    <t>0064L00000CWcVs</t>
  </si>
  <si>
    <t>IHF HOLDINGS INC</t>
  </si>
  <si>
    <t>0064L000003ydjQ</t>
  </si>
  <si>
    <t>BKR_CPQ_Salesforce</t>
  </si>
  <si>
    <t>27/8/2020</t>
  </si>
  <si>
    <t>David Shida</t>
  </si>
  <si>
    <t>0064L00000CWc7u</t>
  </si>
  <si>
    <t>SHOCKWAVE MEDICAL, INC.</t>
  </si>
  <si>
    <t>0064L00000BoKSi</t>
  </si>
  <si>
    <t>Centene VBC Analytics Design and Implementation</t>
  </si>
  <si>
    <t>Christopher Atkinson</t>
  </si>
  <si>
    <t>0064L00000BnhqZ</t>
  </si>
  <si>
    <t>Bio-Techne Corporation</t>
  </si>
  <si>
    <t>Ops Transformation</t>
  </si>
  <si>
    <t>Rafael Lander</t>
  </si>
  <si>
    <t>0064L00000Bnznh</t>
  </si>
  <si>
    <t>Owens And Minor Inc.</t>
  </si>
  <si>
    <t>Byram Apria Technology Strategy</t>
  </si>
  <si>
    <t>Felix Goldmann</t>
  </si>
  <si>
    <t>0064L000002bQcS</t>
  </si>
  <si>
    <t>Cabot Corporation</t>
  </si>
  <si>
    <t>Cabot_LeadToCash_Salesforce</t>
  </si>
  <si>
    <t>0064L00000Bn4Y7</t>
  </si>
  <si>
    <t>Supply Chain Improvement</t>
  </si>
  <si>
    <t>0064L00000BeLOi</t>
  </si>
  <si>
    <t>SO_Click to SFS Migration_Salesforce</t>
  </si>
  <si>
    <t>0064L00000CXOUF</t>
  </si>
  <si>
    <t>TTS-Enterprise Agility Ph 1</t>
  </si>
  <si>
    <t>Matthew Siegel</t>
  </si>
  <si>
    <t>0064L00000AqU4c</t>
  </si>
  <si>
    <t>Williams - Managed Services - Trading Systems</t>
  </si>
  <si>
    <t>0064L00000BnC50</t>
  </si>
  <si>
    <t>Astec Industries INC.</t>
  </si>
  <si>
    <t>Astec  SSO Assessment &amp; Roadmap</t>
  </si>
  <si>
    <t>Bradford Donaldson</t>
  </si>
  <si>
    <t>Cara Murphy</t>
  </si>
  <si>
    <t>0064L00000CVEmG</t>
  </si>
  <si>
    <t>Grid_Clean Energy E&amp;U Cloud_Salesforce</t>
  </si>
  <si>
    <t>0064L00000BoU7w</t>
  </si>
  <si>
    <t>GE Separation - Corporate - GRC Phase 2</t>
  </si>
  <si>
    <t>GE Separation - Corporate - GRC</t>
  </si>
  <si>
    <t>0064L00000Be57T</t>
  </si>
  <si>
    <t>Avangrid_LandMgt and SFS_Salesforce</t>
  </si>
  <si>
    <t>0064L000009Aqrh</t>
  </si>
  <si>
    <t>Spirit Aerosystems Holdings INC.</t>
  </si>
  <si>
    <t>Spirit Aero - Defense Planning - Phase 2</t>
  </si>
  <si>
    <t>22/11/2021</t>
  </si>
  <si>
    <t>0064L00000Bmo2m</t>
  </si>
  <si>
    <t>Quality Management</t>
  </si>
  <si>
    <t>0064L00000BoQId</t>
  </si>
  <si>
    <t>LIXIL Corporation</t>
  </si>
  <si>
    <t>Lixil Americas Benchmarking - Phase 2</t>
  </si>
  <si>
    <t>Mathew Keirnes</t>
  </si>
  <si>
    <t>0064L00000Bdb1j</t>
  </si>
  <si>
    <t>Chipotle - personalization at scale</t>
  </si>
  <si>
    <t>Scott Sutton</t>
  </si>
  <si>
    <t>0064L00000CGvui</t>
  </si>
  <si>
    <t>CCAR and Capital Reg Support</t>
  </si>
  <si>
    <t>0064L00000BoMce</t>
  </si>
  <si>
    <t>Project Guinness Extension FY23</t>
  </si>
  <si>
    <t>0064L00000BmsvJ</t>
  </si>
  <si>
    <t>PSS: In-Flight Review Support Phase 1 (myPBM) #PayerCOI&amp;Trans</t>
  </si>
  <si>
    <t>0064L00000Bl2OC</t>
  </si>
  <si>
    <t>GE GP Aero E2E Supply Chain Strategy &amp; Planning, OTD</t>
  </si>
  <si>
    <t>0064L000009fLxm</t>
  </si>
  <si>
    <t>EQT AB</t>
  </si>
  <si>
    <t>Integration Assessment / Dashboards / Management</t>
  </si>
  <si>
    <t>13/7/2021</t>
  </si>
  <si>
    <t>25/9/2022</t>
  </si>
  <si>
    <t>0064L00000ArMmG</t>
  </si>
  <si>
    <t>Intel Marketplace_Design Phase - Sprint 4</t>
  </si>
  <si>
    <t>0064L00000BfeoR</t>
  </si>
  <si>
    <t>Snap Inc.</t>
  </si>
  <si>
    <t>SNAP - CRM Experience &amp; Relationship Mgmt Phase 2</t>
  </si>
  <si>
    <t>0064L00000BoMBd</t>
  </si>
  <si>
    <t>Enterprise Risk Implementation Roadmap</t>
  </si>
  <si>
    <t>CS_Risk_Regulatory_Transformation_FS</t>
  </si>
  <si>
    <t>0065800000YciTE</t>
  </si>
  <si>
    <t>Cvr Energy INC.</t>
  </si>
  <si>
    <t>CVR Energy Right Angle - Petroman Replacement</t>
  </si>
  <si>
    <t>Michaela Greenan</t>
  </si>
  <si>
    <t>0064L0000099y7a</t>
  </si>
  <si>
    <t>GPS xLOB Support &amp; NextGen Coordination  #PayerCO&amp;ITrans</t>
  </si>
  <si>
    <t>0064L000002buXS</t>
  </si>
  <si>
    <t>Stryker Corporation</t>
  </si>
  <si>
    <t>PET 3</t>
  </si>
  <si>
    <t>21/5/2021</t>
  </si>
  <si>
    <t>21/5/2021 9:02 am</t>
  </si>
  <si>
    <t>0064L00000DJg4p</t>
  </si>
  <si>
    <t>Hellman &amp; Friedman LLC.</t>
  </si>
  <si>
    <t>Ultimate Kronos - Treasury Managed Services #TreasuryMSO</t>
  </si>
  <si>
    <t>Jessica Sager</t>
  </si>
  <si>
    <t>0064L00000CWQGd</t>
  </si>
  <si>
    <t>Charlesbank Capital Partners LLC</t>
  </si>
  <si>
    <t>Enabling 2.0 Strategy</t>
  </si>
  <si>
    <t>Brett Cayot</t>
  </si>
  <si>
    <t>0064L000006jdqQ</t>
  </si>
  <si>
    <t>EQT Corporation</t>
  </si>
  <si>
    <t>Endur Upgrade - V17 - VX</t>
  </si>
  <si>
    <t>0064L0000099vQA</t>
  </si>
  <si>
    <t>3D Rendering Assessment</t>
  </si>
  <si>
    <t>0064L00000DJdzW</t>
  </si>
  <si>
    <t>PACNW CommonSpirit Reimb: VMFH FFY24-26 WI/OM/Group Reclass *Strategic Reimbursement*</t>
  </si>
  <si>
    <t>0064L00000BlQUE</t>
  </si>
  <si>
    <t>Cards Benefits Strategy</t>
  </si>
  <si>
    <t>0064L00000DJRo7</t>
  </si>
  <si>
    <t>CDM&amp;CT EHR Optimization</t>
  </si>
  <si>
    <t>Kim Repnow</t>
  </si>
  <si>
    <t>0064L00000Bd6bt</t>
  </si>
  <si>
    <t>GWAM - Organization Structure / Operating Model</t>
  </si>
  <si>
    <t>Roland Kastoun</t>
  </si>
  <si>
    <t>0064L00000BoXh2</t>
  </si>
  <si>
    <t>Cuna Mutual Group</t>
  </si>
  <si>
    <t>CUNA - Workday change management</t>
  </si>
  <si>
    <t>0064L00000B264P</t>
  </si>
  <si>
    <t>ARK Investment Management LLC</t>
  </si>
  <si>
    <t>ERP Transformation - Enahancements</t>
  </si>
  <si>
    <t>Hemant Bhide</t>
  </si>
  <si>
    <t>Danerys Gutierrez</t>
  </si>
  <si>
    <t>0064L00000Bn2al</t>
  </si>
  <si>
    <t>Gilead: Transformation- Commercial: HIV Long-Acting Treatment Pipeline GVAS</t>
  </si>
  <si>
    <t>Peter Gilmore</t>
  </si>
  <si>
    <t>Brian Selvarajah</t>
  </si>
  <si>
    <t>0064L00000CYPC3</t>
  </si>
  <si>
    <t>Gilead: Transformation: Magro AML/MDS GVAS</t>
  </si>
  <si>
    <t>UK Cons Sub Sector - HI&amp;LS PLS</t>
  </si>
  <si>
    <t>Nick Sen</t>
  </si>
  <si>
    <t>0064L000001vqA9</t>
  </si>
  <si>
    <t>Data Analytics in Logistics</t>
  </si>
  <si>
    <t>30/7/2020</t>
  </si>
  <si>
    <t>15/10/2022</t>
  </si>
  <si>
    <t>0064L000002Zhjz</t>
  </si>
  <si>
    <t>Brex, Inc.</t>
  </si>
  <si>
    <t>Design Brex Bank #FOB-Blueprint</t>
  </si>
  <si>
    <t>17/6/2021 4:53 pm</t>
  </si>
  <si>
    <t>0064L000002ZEh1</t>
  </si>
  <si>
    <t>Phase 2 Baystate//Cerner Rev Cycle Implementation - PMO *Rev Cycle* *RC Tech* Support FY23</t>
  </si>
  <si>
    <t>0064L00000BdEEU</t>
  </si>
  <si>
    <t>Emblemhealth, Inc.</t>
  </si>
  <si>
    <t>EmblemHealth - Project Saltine</t>
  </si>
  <si>
    <t>0064L00000BoDF0</t>
  </si>
  <si>
    <t>Pre/Post Implementation Assessment - 2023</t>
  </si>
  <si>
    <t>Heidi Scheppmann</t>
  </si>
  <si>
    <t>Amy Burk</t>
  </si>
  <si>
    <t>0064L00000Be36S</t>
  </si>
  <si>
    <t>Wabash National Corporation</t>
  </si>
  <si>
    <t>Wabash National FP&amp;A Build</t>
  </si>
  <si>
    <t>Charles Baird</t>
  </si>
  <si>
    <t>0064L00000BoaHW</t>
  </si>
  <si>
    <t>USAA P&amp;C Agency Strategy &amp; Design (Phase 2)</t>
  </si>
  <si>
    <t>Shane Michelsen</t>
  </si>
  <si>
    <t>0064L00000Bfeh6</t>
  </si>
  <si>
    <t>Potential work US Bank Climate</t>
  </si>
  <si>
    <t>0064L00000CYXgx</t>
  </si>
  <si>
    <t>MS at Work - Restricted Securities Market Entry (Phase 3)</t>
  </si>
  <si>
    <t>Lakshmi Baddam</t>
  </si>
  <si>
    <t>0064L00000CVipw</t>
  </si>
  <si>
    <t>Comerica Incorporated</t>
  </si>
  <si>
    <t>2022 Comerica Credit Model Development #credit</t>
  </si>
  <si>
    <t>Rahul Wadhawan</t>
  </si>
  <si>
    <t>Mike Castagnetta</t>
  </si>
  <si>
    <t>0064L00000DFaC9</t>
  </si>
  <si>
    <t>Block, Inc.</t>
  </si>
  <si>
    <t>Afterpay - FP&amp;A Integration Support II</t>
  </si>
  <si>
    <t>Brian Watt</t>
  </si>
  <si>
    <t>0064L00000BnPJ3</t>
  </si>
  <si>
    <t>MSFT HR FY23 TLI GLD H1 Support</t>
  </si>
  <si>
    <t>Min Kim</t>
  </si>
  <si>
    <t>0064L00000Appel</t>
  </si>
  <si>
    <t>Seagate - SAP Phase 2 Comms Support</t>
  </si>
  <si>
    <t>27/5/2022 1:29 am</t>
  </si>
  <si>
    <t>0064L00000DFiWC</t>
  </si>
  <si>
    <t>GTC Design &amp; Implementation (Q3 2022)</t>
  </si>
  <si>
    <t>James Nelson</t>
  </si>
  <si>
    <t>0064L00000DJTiL</t>
  </si>
  <si>
    <t>Morgan Stanley - Finance Academy #ProEdgexWorkforce (Phase 2&amp;3)</t>
  </si>
  <si>
    <t>24/10/2022</t>
  </si>
  <si>
    <t>Zachary Horowitz</t>
  </si>
  <si>
    <t>0064L00000BkwFn</t>
  </si>
  <si>
    <t>PSEG_Gas MVP Support</t>
  </si>
  <si>
    <t>John Hutton</t>
  </si>
  <si>
    <t>Ed Basanese</t>
  </si>
  <si>
    <t>0064L000007wimC</t>
  </si>
  <si>
    <t>Inovio Pharmaceuticals Inc.</t>
  </si>
  <si>
    <t>VGX3100 Launch Strategy - Wave 3</t>
  </si>
  <si>
    <t>Amy Hunckler</t>
  </si>
  <si>
    <t>0064L00000Bloo0</t>
  </si>
  <si>
    <t>Merch and Supply Chain System Selection #CMRETAIL #RMO</t>
  </si>
  <si>
    <t>0064L00000CWjsi</t>
  </si>
  <si>
    <t>CVS Health - Aetna Medicaid Capability Review</t>
  </si>
  <si>
    <t>Nichole Maier</t>
  </si>
  <si>
    <t>0064L00000Bfsgo</t>
  </si>
  <si>
    <t>Project College - CTO  VMP &amp; Trx</t>
  </si>
  <si>
    <t>Jeffrey Frankovic</t>
  </si>
  <si>
    <t>0064L00000DFoXj</t>
  </si>
  <si>
    <t>MSFT TLI GTM Sponsorship Design and Build</t>
  </si>
  <si>
    <t>Nicole Pollack</t>
  </si>
  <si>
    <t>0064I00000zUIo3</t>
  </si>
  <si>
    <t>City Of Memphis</t>
  </si>
  <si>
    <t>2019 - 2023 Annual H&amp;W Services</t>
  </si>
  <si>
    <t>Cindy Fraterrigo</t>
  </si>
  <si>
    <t>Kimberly Jepsen</t>
  </si>
  <si>
    <t>0064L00000DFkzF</t>
  </si>
  <si>
    <t>ISO 20022 Strategy</t>
  </si>
  <si>
    <t>0064L00000BmFx9</t>
  </si>
  <si>
    <t>Citizens - BaaS Framework Assessment and SME Support</t>
  </si>
  <si>
    <t>0064L00000CXwnb</t>
  </si>
  <si>
    <t>Verizon Digital Twin - Phase 3</t>
  </si>
  <si>
    <t>Ian Byrd</t>
  </si>
  <si>
    <t>0064L00000BoJsP</t>
  </si>
  <si>
    <t>Onshore Wind Cost-Out and Operating Model</t>
  </si>
  <si>
    <t>Albert Kent</t>
  </si>
  <si>
    <t>Nikita Thawani</t>
  </si>
  <si>
    <t>0064L000006ALeb</t>
  </si>
  <si>
    <t>GE Gas Power Product Lifecycle Configuration Management Roadmap #GET+DD</t>
  </si>
  <si>
    <t>28/3/2023</t>
  </si>
  <si>
    <t>0064L000009AjcV</t>
  </si>
  <si>
    <t>Chronograph Implementation Support</t>
  </si>
  <si>
    <t>Blair Troiano</t>
  </si>
  <si>
    <t>Caitlin Ryan</t>
  </si>
  <si>
    <t>0064L000002La61</t>
  </si>
  <si>
    <t>Rock Holdings Inc.</t>
  </si>
  <si>
    <t>Rocket Solar (Rocket Mortgage)</t>
  </si>
  <si>
    <t>Yoshi Nomura</t>
  </si>
  <si>
    <t>0064L000003ym5K</t>
  </si>
  <si>
    <t>EPM Roadmap Development</t>
  </si>
  <si>
    <t>Patrick McMullan</t>
  </si>
  <si>
    <t>0064L00000BdUPM</t>
  </si>
  <si>
    <t>VCG Efficiency Execution</t>
  </si>
  <si>
    <t>0064L00000BmKdO</t>
  </si>
  <si>
    <t>F-35 Training - Cost Strategy &amp; Analytics #DVC</t>
  </si>
  <si>
    <t>0064L00000BlHkw</t>
  </si>
  <si>
    <t>PwC FY23 H&amp;W Consulting - General (1st Half)</t>
  </si>
  <si>
    <t>Richard McCabe</t>
  </si>
  <si>
    <t>Lenny Leung</t>
  </si>
  <si>
    <t>0064L00000BoQN9</t>
  </si>
  <si>
    <t>Morgan Stanley / Global Settlements Platform 2H22 / $850,000</t>
  </si>
  <si>
    <t>0064L000009Ar6I</t>
  </si>
  <si>
    <t>Aflac Group Strategy</t>
  </si>
  <si>
    <t>0064L00000BmHnQ</t>
  </si>
  <si>
    <t>Medicare FFY 24 &amp; 25 Wage Index and Occupational Mix Analysis *Strategic Reimbursement*</t>
  </si>
  <si>
    <t>Jennifer Blevins</t>
  </si>
  <si>
    <t>0064L00000AqqeH</t>
  </si>
  <si>
    <t>KP MembershipConnect CDS CY2022 Q3 #PayerCO&amp;ITrans</t>
  </si>
  <si>
    <t>Philip Wolf</t>
  </si>
  <si>
    <t>0064L0000041mEf</t>
  </si>
  <si>
    <t>Aggregated Sourcing Phase 2</t>
  </si>
  <si>
    <t>0064L00000Bo6oX</t>
  </si>
  <si>
    <t>Grid Mod OT PMO - PB Phase B #PMaaS</t>
  </si>
  <si>
    <t>0064L00000BnUiJ</t>
  </si>
  <si>
    <t>ASML Holding N.V.</t>
  </si>
  <si>
    <t>ASML Manufacturing Supplier Market Scan</t>
  </si>
  <si>
    <t>Vivek Patnaik</t>
  </si>
  <si>
    <t>0064L00000CVxDx</t>
  </si>
  <si>
    <t>Value Capture Team - July to Dec</t>
  </si>
  <si>
    <t>0064L000009AURS</t>
  </si>
  <si>
    <t>Ferring Holding S.A.</t>
  </si>
  <si>
    <t>Bodylogical (BL) - Ulcerative Colitis Modeling for R&amp;D</t>
  </si>
  <si>
    <t>0064L00000CW0Ri</t>
  </si>
  <si>
    <t>Media Investments &amp; Sales Leads: Media Mix Model</t>
  </si>
  <si>
    <t>Thomas Kavanaugh</t>
  </si>
  <si>
    <t>0064L00000BfSuy</t>
  </si>
  <si>
    <t>Stripe, Inc.</t>
  </si>
  <si>
    <t>Regulatory Reporting - Program &amp; Directory</t>
  </si>
  <si>
    <t>0064L000002LUQP</t>
  </si>
  <si>
    <t>Surprise Billing - execution support #PayerCO&amp;ITrans</t>
  </si>
  <si>
    <t>0064L000004vetW</t>
  </si>
  <si>
    <t>F.N.B. Corporation</t>
  </si>
  <si>
    <t>FNB Corp Bank Transformation Blueprint #&lt;$50B #FOB #FOB-Blueprint</t>
  </si>
  <si>
    <t>14/12/2020</t>
  </si>
  <si>
    <t>Steve Norman</t>
  </si>
  <si>
    <t>0064L000002bxhT</t>
  </si>
  <si>
    <t>NiSource Safety App</t>
  </si>
  <si>
    <t>David Krovitz</t>
  </si>
  <si>
    <t>0064L00000CXx2g</t>
  </si>
  <si>
    <t>BCBSM - Benefit Configuration Future State Planning #PayerCO&amp;ITrans</t>
  </si>
  <si>
    <t>0064L00000Bmj4s</t>
  </si>
  <si>
    <t>Cambia Health Solutions</t>
  </si>
  <si>
    <t>Medical Cost Reduction / Abacus #HVM</t>
  </si>
  <si>
    <t>0064L000009fDee</t>
  </si>
  <si>
    <t>MS - IT Asset Inventory Sec Reqs</t>
  </si>
  <si>
    <t>0064L00000BgeyO</t>
  </si>
  <si>
    <t>Inovio - Knowledge Center Support #QualityManagedServices</t>
  </si>
  <si>
    <t>0064L00000BoM0V</t>
  </si>
  <si>
    <t>Project Symphony - LD1 Extension - Data Horizontal</t>
  </si>
  <si>
    <t>0064L00000BdLS7</t>
  </si>
  <si>
    <t>Wm. Bolthouse Farms Inc.</t>
  </si>
  <si>
    <t>Sales Playbook and Customer Planning</t>
  </si>
  <si>
    <t>Sudhanshu Shekhar</t>
  </si>
  <si>
    <t>0064L00000CXswt</t>
  </si>
  <si>
    <t>Bluelinx Holdings Inc.</t>
  </si>
  <si>
    <t>Distribution Strategy and Optimization</t>
  </si>
  <si>
    <t>0064L00000Bo94I</t>
  </si>
  <si>
    <t>CHS Empower - Staffing Support</t>
  </si>
  <si>
    <t>0064L00000BnWUE</t>
  </si>
  <si>
    <t>Weatherford Sustainability Roadmap Implementation #ESG</t>
  </si>
  <si>
    <t>0064L000009AzdH</t>
  </si>
  <si>
    <t>Partner Data Exchange - Ecosystem Design and Support</t>
  </si>
  <si>
    <t>Michael McIntosh II</t>
  </si>
  <si>
    <t>0064L00000CXtAb</t>
  </si>
  <si>
    <t>Morgan Stanley Client Service &amp; Sales Enhancement</t>
  </si>
  <si>
    <t>Matthew Killian</t>
  </si>
  <si>
    <t>0064L000001vQFt</t>
  </si>
  <si>
    <t>Fashion Nova Inc.</t>
  </si>
  <si>
    <t>Fashion Nova - Back Ofc: HRIS Transformation</t>
  </si>
  <si>
    <t>18/7/2020</t>
  </si>
  <si>
    <t>Colby Conner</t>
  </si>
  <si>
    <t>0064L00000BoK0Y</t>
  </si>
  <si>
    <t>ISG Compliance Projects Support</t>
  </si>
  <si>
    <t>0064L00000B1T8D</t>
  </si>
  <si>
    <t>2022 KeyBank Dynamic Credit Surveillance Implementation Support #Credit</t>
  </si>
  <si>
    <t>ADV_FS_R&amp;R</t>
  </si>
  <si>
    <t>2021 KeyBank Dynamic Credit Surveillance Pilot #Comm50B+ #Credit</t>
  </si>
  <si>
    <t>0064L00000B1SIW</t>
  </si>
  <si>
    <t>Supply Chain Control Tower / NOC Step 2 (MVP) #MW</t>
  </si>
  <si>
    <t>Chet Sampat</t>
  </si>
  <si>
    <t>0064L000002La5X</t>
  </si>
  <si>
    <t>United Rentals Inc.</t>
  </si>
  <si>
    <t>URI Logistics Op Model Ph 1</t>
  </si>
  <si>
    <t>0064L00000BdXmq</t>
  </si>
  <si>
    <t>Reimagining the Digital Experience - TLN Group</t>
  </si>
  <si>
    <t>Jose Reyes</t>
  </si>
  <si>
    <t>0064L000009fT3x</t>
  </si>
  <si>
    <t>Nielsen Holdings PLC</t>
  </si>
  <si>
    <t>IWMS Implementation</t>
  </si>
  <si>
    <t>Katherine Huh</t>
  </si>
  <si>
    <t>0064I00000y7hYk</t>
  </si>
  <si>
    <t>L'OREAL</t>
  </si>
  <si>
    <t>L'Oreal USA - Performance Analyzer (SaaS)</t>
  </si>
  <si>
    <t>25/10/2019</t>
  </si>
  <si>
    <t>0064L00000Bo3s7</t>
  </si>
  <si>
    <t>Emera Inc.</t>
  </si>
  <si>
    <t>TECO - Flowcal measurement upgrade</t>
  </si>
  <si>
    <t>0064L000007xrGp</t>
  </si>
  <si>
    <t>Myriad Genetics_UOM_Ph1_Vision &amp; Solution Design Combined-Phase Approach</t>
  </si>
  <si>
    <t>Brandon Fisher</t>
  </si>
  <si>
    <t>0064L00000BmOyQ</t>
  </si>
  <si>
    <t>Back Office Transformation - 2023 Software Selection</t>
  </si>
  <si>
    <t>0064L000004wpTS</t>
  </si>
  <si>
    <t>SRM Strategy/Go Forward Framework and Plan</t>
  </si>
  <si>
    <t>Joseph Needham</t>
  </si>
  <si>
    <t>0064L00000CWI9y</t>
  </si>
  <si>
    <t>AT&amp;T Public Sector P&amp;L &amp; Ops Portal Execution</t>
  </si>
  <si>
    <t>0064L00000CVWCP</t>
  </si>
  <si>
    <t>Clover Health Investments, Corp.</t>
  </si>
  <si>
    <t>Project Alpha: implementation and migration support #PayerCO&amp;ITrans</t>
  </si>
  <si>
    <t>0064L00000CWkRb</t>
  </si>
  <si>
    <t>Marriott Employee Engagement Platform Strategy and Implementation</t>
  </si>
  <si>
    <t>Jonathan Kletzel</t>
  </si>
  <si>
    <t>Max Glickman</t>
  </si>
  <si>
    <t>0064L000009AfRO</t>
  </si>
  <si>
    <t>iFIT #MI</t>
  </si>
  <si>
    <t>Alex Jenkins</t>
  </si>
  <si>
    <t>0064L00000BeEg6</t>
  </si>
  <si>
    <t>P66 CLM</t>
  </si>
  <si>
    <t>0064L00000BgM8E</t>
  </si>
  <si>
    <t>SFBLI Lifetime Value Analytics</t>
  </si>
  <si>
    <t>0064L00000Bey1R</t>
  </si>
  <si>
    <t>AIM platform design and planning #PayerCO&amp;ITrans #HVM</t>
  </si>
  <si>
    <t>0064L00000CVC2f</t>
  </si>
  <si>
    <t>RJF $100Bn Threshold - Risk &amp; Capital Gap Assessment</t>
  </si>
  <si>
    <t>20/7/2022</t>
  </si>
  <si>
    <t>0064L00000DJkvP</t>
  </si>
  <si>
    <t>Capital Management Phase 2</t>
  </si>
  <si>
    <t>Lindsey Adams</t>
  </si>
  <si>
    <t>0064L00000CXiX0</t>
  </si>
  <si>
    <t>BD Commercial Contracting - Phase 1 Process Re-engineering *Pricing*</t>
  </si>
  <si>
    <t>Daniel Berger</t>
  </si>
  <si>
    <t>0064L000007XqbC</t>
  </si>
  <si>
    <t>AURA Network Systems Inc.</t>
  </si>
  <si>
    <t>Digital Twin Commercialization for UAS Frequency Allocation</t>
  </si>
  <si>
    <t>13/4/2021</t>
  </si>
  <si>
    <t>24/11/2022</t>
  </si>
  <si>
    <t>0064L00000CXhVc</t>
  </si>
  <si>
    <t>McKesson - Responsible Sourcing Program Phase 2 2022 #S&amp;P #ESG</t>
  </si>
  <si>
    <t>Daniel Schultz</t>
  </si>
  <si>
    <t>0064L000006BSDi</t>
  </si>
  <si>
    <t>Regions Core Finance Opportunity #RocktheSEPipe</t>
  </si>
  <si>
    <t>Lindsay Peele Sisk</t>
  </si>
  <si>
    <t>0064L00000CWtz9</t>
  </si>
  <si>
    <t>Kelsey-Seybold Medical Group Pllc</t>
  </si>
  <si>
    <t>*CI* Kelsey Seybold Patient Experience Design</t>
  </si>
  <si>
    <t>Michael Petersen</t>
  </si>
  <si>
    <t>Elisabeth Skiles</t>
  </si>
  <si>
    <t>0064L00000CVs9R</t>
  </si>
  <si>
    <t>CVS HCB IT Strategy Support</t>
  </si>
  <si>
    <t>Jordan Riegelhaupt</t>
  </si>
  <si>
    <t>0064L00000Bopge</t>
  </si>
  <si>
    <t>OptumRx - RFP for IRIS replatforming</t>
  </si>
  <si>
    <t>Molly Deibert</t>
  </si>
  <si>
    <t>0064L00000DBQFS</t>
  </si>
  <si>
    <t>Ally Smart Auction - Q4 Development</t>
  </si>
  <si>
    <t>0064L00000Bo14U</t>
  </si>
  <si>
    <t>GE Separation - Corporate - DT Retroactive CO 1</t>
  </si>
  <si>
    <t>0064L00000CX7s6</t>
  </si>
  <si>
    <t>HMS Carve out support - CR4</t>
  </si>
  <si>
    <t>23/4/2022</t>
  </si>
  <si>
    <t>CS_Deal_M&amp;A_PE</t>
  </si>
  <si>
    <t>0064L00000DBOFa</t>
  </si>
  <si>
    <t>PCI - Madison Remediation</t>
  </si>
  <si>
    <t>0064L00000CXO3A</t>
  </si>
  <si>
    <t>Comprehensive Rx Assessment</t>
  </si>
  <si>
    <t>Connie Perry</t>
  </si>
  <si>
    <t>0064L00000CYHWI</t>
  </si>
  <si>
    <t>Beaumont Division *FFG* Design and Planning</t>
  </si>
  <si>
    <t>0064L00000DJXME</t>
  </si>
  <si>
    <t>Business Continuity Planning Support (Process Work, Training, Testing) - Ext 08</t>
  </si>
  <si>
    <t>0064L00000CVW7P</t>
  </si>
  <si>
    <t>Cox Enterprises, Inc.</t>
  </si>
  <si>
    <t>Cox Automotive Tech Disruptor Strategy Proposal</t>
  </si>
  <si>
    <t>Rebecca Hintz</t>
  </si>
  <si>
    <t>0064L00000BoUrk</t>
  </si>
  <si>
    <t>Baptist Memorial ERP Phase 0</t>
  </si>
  <si>
    <t>0064L00000DFcoe</t>
  </si>
  <si>
    <t>Jacobs - Divergent Solutions - Data Solutions Phase 1</t>
  </si>
  <si>
    <t>Shankar Subramaniam</t>
  </si>
  <si>
    <t>Rajnish Chauhan</t>
  </si>
  <si>
    <t>0064L00000Bepcp</t>
  </si>
  <si>
    <t>CRS Connected Commerce - Strategy / PoC</t>
  </si>
  <si>
    <t>0064L00000DJVb7</t>
  </si>
  <si>
    <t>SPB #Coupa S2P Implementation: Build, Test, &amp; Deploy</t>
  </si>
  <si>
    <t>Stefan Zorn</t>
  </si>
  <si>
    <t>0064L00000ApghM</t>
  </si>
  <si>
    <t>Project Orbit Cost Takeout / Stranded Cost Remediation Support</t>
  </si>
  <si>
    <t>0064L00000DJglA</t>
  </si>
  <si>
    <t>CoH FCCS Implementation</t>
  </si>
  <si>
    <t>0064L00000DJVlR</t>
  </si>
  <si>
    <t>IWTA Implementation</t>
  </si>
  <si>
    <t>0064L00000AqHrG</t>
  </si>
  <si>
    <t>Baptist Memorial_Marketing Cloud Expansion</t>
  </si>
  <si>
    <t>0064L00000ArmxZ</t>
  </si>
  <si>
    <t>Centene - Tango Implementation Oversight</t>
  </si>
  <si>
    <t>0064L00000BmjHc</t>
  </si>
  <si>
    <t>BMS China - R&amp;D Implementation Support #orgstrat</t>
  </si>
  <si>
    <t>Jeff Rieske</t>
  </si>
  <si>
    <t>0064L00000BlgIJ</t>
  </si>
  <si>
    <t>Payments Strategy Modernization #Digitalassets</t>
  </si>
  <si>
    <t>Scott Toppi</t>
  </si>
  <si>
    <t>0064L000002LV3l</t>
  </si>
  <si>
    <t>Workiva Stat Transformation</t>
  </si>
  <si>
    <t>18/8/2021</t>
  </si>
  <si>
    <t>Becky Beltran</t>
  </si>
  <si>
    <t>0064L00000BnmSy</t>
  </si>
  <si>
    <t>Ops VIP Project Support</t>
  </si>
  <si>
    <t>0064L000002c6TJ</t>
  </si>
  <si>
    <t>TPM Design &amp; Implementation Phase 1 &amp; 2</t>
  </si>
  <si>
    <t>Jason Swist</t>
  </si>
  <si>
    <t>0064L00000CYYR5</t>
  </si>
  <si>
    <t>MSFT GTM Talent Management Principles</t>
  </si>
  <si>
    <t>0064L000002bvx8</t>
  </si>
  <si>
    <t>Mercedes-Benz Group AG</t>
  </si>
  <si>
    <t>DTNA OpCom Strategy</t>
  </si>
  <si>
    <t>0064L000009fIDi</t>
  </si>
  <si>
    <t>MSR Acquisitions Workflow Solution Build</t>
  </si>
  <si>
    <t>Anish Menon</t>
  </si>
  <si>
    <t>0064L000009AMUY</t>
  </si>
  <si>
    <t>Bayview Asset Management LLC.</t>
  </si>
  <si>
    <t>Bayview Funds - FFG</t>
  </si>
  <si>
    <t>0064L00000Bftfc</t>
  </si>
  <si>
    <t>Booking Holdings Inc.</t>
  </si>
  <si>
    <t>Intercompany Process Improvement</t>
  </si>
  <si>
    <t>0064L00000Bl39c</t>
  </si>
  <si>
    <t>Stryker - Accelerate Field Inventory / Business Integrator Support - $750K</t>
  </si>
  <si>
    <t>Jim Messner</t>
  </si>
  <si>
    <t>0064L00000BoMGY</t>
  </si>
  <si>
    <t>TCCC - FP&amp;A Transformation Phase 1B - Implementation - CO # 1 (Two Month Extension)</t>
  </si>
  <si>
    <t>TCCC - FP&amp;A Transformation Phase 1B - Implementation (LRP/LTGM/People/Topline)</t>
  </si>
  <si>
    <t>0064L000002ZNbR</t>
  </si>
  <si>
    <t>Honda - Smart Factory Use Case Deployment &amp; Strategy</t>
  </si>
  <si>
    <t>Raymond Young</t>
  </si>
  <si>
    <t>0064L0000099F53</t>
  </si>
  <si>
    <t>Guggenheim Capital, LLC</t>
  </si>
  <si>
    <t>Deals Support</t>
  </si>
  <si>
    <t>Michael Mariani</t>
  </si>
  <si>
    <t>Gary Shub</t>
  </si>
  <si>
    <t>0064L00000DFZmf</t>
  </si>
  <si>
    <t>Kyriba Support (Jul - Dec 2022)</t>
  </si>
  <si>
    <t>Akhil Sharath</t>
  </si>
  <si>
    <t>0064L00000BnIs8</t>
  </si>
  <si>
    <t>Liberty Mutual  - Surety Mobilization</t>
  </si>
  <si>
    <t>Miguel Palomares</t>
  </si>
  <si>
    <t>0064L000001tNDS</t>
  </si>
  <si>
    <t>LM Space Supply Chain Assessment #AvWeek</t>
  </si>
  <si>
    <t>27/5/2020</t>
  </si>
  <si>
    <t>0064L00000CX0mg</t>
  </si>
  <si>
    <t>Pershing Wealth Soln - OpModel Review</t>
  </si>
  <si>
    <t>0064L00000DJUK0</t>
  </si>
  <si>
    <t>SCL ITSM Assessment and Systems Consolidation</t>
  </si>
  <si>
    <t>0064L00000BnYaP</t>
  </si>
  <si>
    <t>CDW - Treasury Managed Services #TreasuryMSO</t>
  </si>
  <si>
    <t>0064L00000BnYaO</t>
  </si>
  <si>
    <t>Signet Jewelers Limited</t>
  </si>
  <si>
    <t>Signet - Treasury Managed Services #TreasuryMSO</t>
  </si>
  <si>
    <t>0064L00000BnYad</t>
  </si>
  <si>
    <t>Papa John's International Inc.</t>
  </si>
  <si>
    <t>Papa John's - Treasury Managed Services #TreasuryMSO</t>
  </si>
  <si>
    <t>0064L00000BnYbX</t>
  </si>
  <si>
    <t>Warburg Pincus LLC</t>
  </si>
  <si>
    <t>Pregis - Treasury Managed Services #TreasuryMSO</t>
  </si>
  <si>
    <t>0064L00000BnYbW</t>
  </si>
  <si>
    <t>Workiva Inc.</t>
  </si>
  <si>
    <t>Workiva - Treasury Managed Services #TreasuryMSO</t>
  </si>
  <si>
    <t>0064L00000BnYe6</t>
  </si>
  <si>
    <t>Skechers - Treasury Managed Services #TreasuryMSO</t>
  </si>
  <si>
    <t>0064L00000BnYek</t>
  </si>
  <si>
    <t>Walgreens - Treasury Managed Services #TreasuryMSO</t>
  </si>
  <si>
    <t>0064L00000BnYfO</t>
  </si>
  <si>
    <t>Lamar - Treasury Managed Services #TreasuryMSO</t>
  </si>
  <si>
    <t>0064L0000099Akj</t>
  </si>
  <si>
    <t>HCE IT service/solution optimization #PayerCO&amp;ITrans</t>
  </si>
  <si>
    <t>0064L00000DJg4f</t>
  </si>
  <si>
    <t>Steward Health Care - Treasury Managed Services #TreasuryMSO</t>
  </si>
  <si>
    <t>0064L00000DJg75</t>
  </si>
  <si>
    <t>Taylor Morrison Home Corporation</t>
  </si>
  <si>
    <t>Taylor Morrison Home Corp - Treasury Managed Services #TreasuryMSO</t>
  </si>
  <si>
    <t>0064L00000B1WJZ</t>
  </si>
  <si>
    <t>Lubes - Pricing Technology Roadmap #bigbet</t>
  </si>
  <si>
    <t>Patrick Kirk</t>
  </si>
  <si>
    <t>0064L00000CYTtT</t>
  </si>
  <si>
    <t>DSP Modernization</t>
  </si>
  <si>
    <t>Ahmed Nazari</t>
  </si>
  <si>
    <t>0064L000009f4q6</t>
  </si>
  <si>
    <t>Cathexis Holdings, LP</t>
  </si>
  <si>
    <t>Yondr Americas - Strategic Support</t>
  </si>
  <si>
    <t>14/8/2022</t>
  </si>
  <si>
    <t>Session Mwamufiya</t>
  </si>
  <si>
    <t>0064L00000CYEHc</t>
  </si>
  <si>
    <t>Automatic Data Processing, Inc.</t>
  </si>
  <si>
    <t>ADP Ventures CoSo Contractor Worker Estimated Tax Payment Solution</t>
  </si>
  <si>
    <t>0064L00000Bol97</t>
  </si>
  <si>
    <t>athenahealth Topco Holdings LLC</t>
  </si>
  <si>
    <t>*Rev Cycle* Ops Opportunity Assessment</t>
  </si>
  <si>
    <t>Shaun Woody</t>
  </si>
  <si>
    <t>0064L000009BJoX</t>
  </si>
  <si>
    <t>Deere_Marketing Transformation_placeholder</t>
  </si>
  <si>
    <t>Sarah Cornish</t>
  </si>
  <si>
    <t>0064L000002bc9p</t>
  </si>
  <si>
    <t>GE Healthcare - Sales &amp; Operations Planning</t>
  </si>
  <si>
    <t>0064L000004wtgW</t>
  </si>
  <si>
    <t>#QMS ADM Managed Services Complaints &amp; Doc Management</t>
  </si>
  <si>
    <t>23/2/2023</t>
  </si>
  <si>
    <t>0064L00000CXQUF</t>
  </si>
  <si>
    <t>Phase 2 Rev Cycle Extension *Rev Cycle* *RC Tech*</t>
  </si>
  <si>
    <t>0064L00000CWotq</t>
  </si>
  <si>
    <t>EHI S2P - Phase 3B - Coupa CLMA Rollout #S&amp;P</t>
  </si>
  <si>
    <t>EHI S2P - Phase 3 Coupa Rollout #S&amp;P</t>
  </si>
  <si>
    <t>Bobby Daly</t>
  </si>
  <si>
    <t>0064L000009fvLh</t>
  </si>
  <si>
    <t>Kyriba Support (July - Dec 2022)</t>
  </si>
  <si>
    <t>0064L000009Ahsv</t>
  </si>
  <si>
    <t>North America (ARCS &amp; FCM)</t>
  </si>
  <si>
    <t>0064L000001vPmD</t>
  </si>
  <si>
    <t>GRM Distribution Company Carve Out: Field Op Model Strategy &amp; Execution</t>
  </si>
  <si>
    <t>17/7/2020</t>
  </si>
  <si>
    <t>0064L00000AsJBG</t>
  </si>
  <si>
    <t>GSK Pharma Digital Commerce</t>
  </si>
  <si>
    <t>0064L00000AsJCI</t>
  </si>
  <si>
    <t>GSK Pharma Digital Commerce Phase 2</t>
  </si>
  <si>
    <t>0064L00000BmAl3</t>
  </si>
  <si>
    <t>#QMS CTDO Fusion implementation support</t>
  </si>
  <si>
    <t>0064L00000BnxZ7</t>
  </si>
  <si>
    <t>Alight Solutions - Treasury Managed Services #TreasuryMSO</t>
  </si>
  <si>
    <t>0064L00000ArFmO</t>
  </si>
  <si>
    <t>R&amp;D Velocity and Predictability</t>
  </si>
  <si>
    <t>0064L00000ArFrd</t>
  </si>
  <si>
    <t>Collibra Inc.</t>
  </si>
  <si>
    <t>Agile Transformation</t>
  </si>
  <si>
    <t>0064I00000y8hgZ</t>
  </si>
  <si>
    <t>Finance Modernization - Phase 1 (2020) #Hawk</t>
  </si>
  <si>
    <t>0064L00000CVjjQ</t>
  </si>
  <si>
    <t>BeiGene, Ltd.</t>
  </si>
  <si>
    <t>Beigene Capital Process Development and Tool Selection</t>
  </si>
  <si>
    <t>27/7/2022</t>
  </si>
  <si>
    <t>Mirna Elia</t>
  </si>
  <si>
    <t>0064L000009epgT</t>
  </si>
  <si>
    <t>ADM eQMS Implementation</t>
  </si>
  <si>
    <t>23/6/2021</t>
  </si>
  <si>
    <t>0064L00000BnDYX</t>
  </si>
  <si>
    <t>Central Michigan University</t>
  </si>
  <si>
    <t>*CI* MedEd Affiliation Strategy and Design</t>
  </si>
  <si>
    <t>0064I000015TDc0</t>
  </si>
  <si>
    <t>MS - ETFC CX</t>
  </si>
  <si>
    <t>0064L00000CXpEA</t>
  </si>
  <si>
    <t>#IOBP-Portfolio Ops R&amp;D Initiative: R&amp;D Functional Planning Optimization (SPOT)</t>
  </si>
  <si>
    <t>0064L00000CYPee</t>
  </si>
  <si>
    <t>GTCR Golder Rauner LLC</t>
  </si>
  <si>
    <t>Digital Quality Systems Implementation</t>
  </si>
  <si>
    <t>Digital Quality Systems Architecture and Selection</t>
  </si>
  <si>
    <t>0064L0000098oJl</t>
  </si>
  <si>
    <t>White &amp; Case LLP</t>
  </si>
  <si>
    <t>Health &amp; welfare recurring consulting</t>
  </si>
  <si>
    <t>Philip Deitch</t>
  </si>
  <si>
    <t>0064L000004x2ey</t>
  </si>
  <si>
    <t>Lowe's Companies Inc</t>
  </si>
  <si>
    <t>Merchandise Hierarchy Phase 2</t>
  </si>
  <si>
    <t>16/1/2021</t>
  </si>
  <si>
    <t>0064L00000Bnw7t</t>
  </si>
  <si>
    <t>Brookfield - Treasury Managed Services #TreasuryMSO</t>
  </si>
  <si>
    <t>0064L00000Bn0gI</t>
  </si>
  <si>
    <t>Back Office Transformation - SOW  #2 Reporting, PayBill IS, CRM/TRM</t>
  </si>
  <si>
    <t>0064L000009B6CV</t>
  </si>
  <si>
    <t>William Grant &amp; Sons Group Limited</t>
  </si>
  <si>
    <t>WG&amp;S Digital Commerce</t>
  </si>
  <si>
    <t>0064L00000DFT4I</t>
  </si>
  <si>
    <t>BX Financed Emissions #cs_esg</t>
  </si>
  <si>
    <t>Joe Weise</t>
  </si>
  <si>
    <t>0064L00000BfmgM</t>
  </si>
  <si>
    <t>Procurement as a service #S&amp;P#POD #TMTMSO</t>
  </si>
  <si>
    <t>16/2/2022</t>
  </si>
  <si>
    <t>Aushpreet Sidhu</t>
  </si>
  <si>
    <t>0064L00000BowLR</t>
  </si>
  <si>
    <t>Partner Payments TOM- Technology Solution</t>
  </si>
  <si>
    <t>Vincent Fries</t>
  </si>
  <si>
    <t>0064L00000B36QW</t>
  </si>
  <si>
    <t>Centerpoint ESG</t>
  </si>
  <si>
    <t>0064L00000BdDSp</t>
  </si>
  <si>
    <t>Zappos Finance Transformation</t>
  </si>
  <si>
    <t>Debra Skorupka</t>
  </si>
  <si>
    <t>0064L00000BdDUC</t>
  </si>
  <si>
    <t>Transformation - Sports Campaigns</t>
  </si>
  <si>
    <t>0064L00000Be5wC</t>
  </si>
  <si>
    <t>Sysco FP&amp;A review</t>
  </si>
  <si>
    <t>0064L00000BnRVp</t>
  </si>
  <si>
    <t>JPS - Phase2 - Financial and Strategic Planning</t>
  </si>
  <si>
    <t>0064L000003ymG8</t>
  </si>
  <si>
    <t>Jones Lang Lasalle Incorporated</t>
  </si>
  <si>
    <t>Management Company Value Creation #Hawk</t>
  </si>
  <si>
    <t>Erich Butters</t>
  </si>
  <si>
    <t>0064L00000CVz2s</t>
  </si>
  <si>
    <t>GE Separation - Healthcare - IT Contract Separation Support #S&amp;P#POD</t>
  </si>
  <si>
    <t>Rebecca Mackin</t>
  </si>
  <si>
    <t>0064L0000070qSm</t>
  </si>
  <si>
    <t>Finance Close Optimization &amp; Transformation #FSProcessMining</t>
  </si>
  <si>
    <t>18/3/2021</t>
  </si>
  <si>
    <t>Jennifer Harms</t>
  </si>
  <si>
    <t>0064L00000BeHFw</t>
  </si>
  <si>
    <t>DTO Part II -  ~5 Additional Design Areas</t>
  </si>
  <si>
    <t>0064L000001uk6q</t>
  </si>
  <si>
    <t>GDMS Oracle EPM Implementation - Phase III</t>
  </si>
  <si>
    <t>29/6/2020</t>
  </si>
  <si>
    <t>CS_AL_EV_TRANSFORM_INDUSTRY_BOD_HVNZ6V9N3LJ_02FY22_AD_BO_WM PHOENIX OPEN</t>
  </si>
  <si>
    <t>0064L00000Bei8Q</t>
  </si>
  <si>
    <t>Loyalty financial management implementation</t>
  </si>
  <si>
    <t>0064L00000Bllnl</t>
  </si>
  <si>
    <t>Valero - SAP - Carbon Ledger Implementation</t>
  </si>
  <si>
    <t>0064L000009AtWN</t>
  </si>
  <si>
    <t>Wine.com - Finance Transformation Phase 1</t>
  </si>
  <si>
    <t>0064L000007FLRr</t>
  </si>
  <si>
    <t>Idea to Market - Phase 2</t>
  </si>
  <si>
    <t>0064L00000BnbXv</t>
  </si>
  <si>
    <t>Budgeting Forecasting - Phase I</t>
  </si>
  <si>
    <t>0064L00000BezDn</t>
  </si>
  <si>
    <t>Akamai Technologies Inc.</t>
  </si>
  <si>
    <t>Product Management &amp; Software Development Refresh</t>
  </si>
  <si>
    <t>Ben Lahue</t>
  </si>
  <si>
    <t>0064L00000BoSKO</t>
  </si>
  <si>
    <t>WellStar CRM Transformation: PRM #MSFTProvider</t>
  </si>
  <si>
    <t>0064L00000B2BLN</t>
  </si>
  <si>
    <t>iCPQ Business Integrator for Specialty</t>
  </si>
  <si>
    <t>0064L00000BnrY9</t>
  </si>
  <si>
    <t>Old Mutual Limited</t>
  </si>
  <si>
    <t>Old Mutual Job Architecture Design (US)</t>
  </si>
  <si>
    <t>Robert Tate</t>
  </si>
  <si>
    <t>0064L000004vZhB</t>
  </si>
  <si>
    <t>Healthfirst 2021 - Next best action / personalized member experience - #Payer Customer Advocacy</t>
  </si>
  <si>
    <t>Derek Gaasch</t>
  </si>
  <si>
    <t>0064L000009B4HY</t>
  </si>
  <si>
    <t>Little Rock FFY 2024-2026 RRC-Wage-OM - *Strategic Reimbursement*</t>
  </si>
  <si>
    <t>Dave Guinan</t>
  </si>
  <si>
    <t>0064L00000CXZ8n</t>
  </si>
  <si>
    <t>DoorDash, Inc.</t>
  </si>
  <si>
    <t>DoorDash Wolt AIMO Extension</t>
  </si>
  <si>
    <t>Gene Boyle</t>
  </si>
  <si>
    <t>0064L00000Bp2ed</t>
  </si>
  <si>
    <t>Spectrum Health</t>
  </si>
  <si>
    <t>Consumer Digital Integration - Strategic Advisory Support</t>
  </si>
  <si>
    <t>0064L00000BewS5</t>
  </si>
  <si>
    <t>Government of Manitoba</t>
  </si>
  <si>
    <t>Manitoba - Liquor Sales Privatization - 750,000</t>
  </si>
  <si>
    <t>Alex Brolick</t>
  </si>
  <si>
    <t>0064L00000CXjhB</t>
  </si>
  <si>
    <t>AT&amp;T - Employee Experience (internal Zoo)</t>
  </si>
  <si>
    <t>David Gunn</t>
  </si>
  <si>
    <t>Samuel Van Cleve</t>
  </si>
  <si>
    <t>0064L00000DJkzq</t>
  </si>
  <si>
    <t>AWARE INTEGRATED INC</t>
  </si>
  <si>
    <t>Economic Cost of Racial Inequities in Healthcare MA</t>
  </si>
  <si>
    <t>Allister Charles</t>
  </si>
  <si>
    <t>0064L00000CX7ge</t>
  </si>
  <si>
    <t>Copa Holdings S.a.</t>
  </si>
  <si>
    <t>Copa Loyalty Strategy &amp; Program Design</t>
  </si>
  <si>
    <t>Alexander Stillman</t>
  </si>
  <si>
    <t>0064L00000BoB6u</t>
  </si>
  <si>
    <t>India Manufacturing Center of Excellence Strategy</t>
  </si>
  <si>
    <t>0064L00000BoB8M</t>
  </si>
  <si>
    <t>Global Payments Peerless Org Transformation - Direct</t>
  </si>
  <si>
    <t>Jeffrey Hamilton</t>
  </si>
  <si>
    <t>0064L00000CWFQQ</t>
  </si>
  <si>
    <t>EHI Coupa Phase 4</t>
  </si>
  <si>
    <t>0064L000009fmLw</t>
  </si>
  <si>
    <t>The Mosaic Company</t>
  </si>
  <si>
    <t>Mosaic Digital Upskilling: Ph 2 ProEdge</t>
  </si>
  <si>
    <t>Metals and Mining</t>
  </si>
  <si>
    <t>0064L00000Bg7dc</t>
  </si>
  <si>
    <t>Bridgewater Associates, Limited Partnership</t>
  </si>
  <si>
    <t>Workday Integrations Extension 2nd Half '22</t>
  </si>
  <si>
    <t>Tim Mueller</t>
  </si>
  <si>
    <t>0064L00000DJZFo</t>
  </si>
  <si>
    <t>CoH EPM Assessment, Support and Roadmap</t>
  </si>
  <si>
    <t>0064L00000Bm9VY</t>
  </si>
  <si>
    <t>First Horizon Corporation</t>
  </si>
  <si>
    <t>Consumer SME Digital transformation</t>
  </si>
  <si>
    <t>0064L00000CXWuv</t>
  </si>
  <si>
    <t>US Bank Core Transformation - Alignment Workshops</t>
  </si>
  <si>
    <t>0064L00000BlGWK</t>
  </si>
  <si>
    <t>Procurement Optimization</t>
  </si>
  <si>
    <t>0064L000001ugwh</t>
  </si>
  <si>
    <t>American Axle &amp; Manufacturing Holdings Inc.</t>
  </si>
  <si>
    <t>Oracle Cloud - HFM to the Cloud</t>
  </si>
  <si>
    <t>26/6/2020</t>
  </si>
  <si>
    <t>0064L000007wHmj</t>
  </si>
  <si>
    <t>Gilead: Transformation - Commercial: Salesforce Transformation Strategy</t>
  </si>
  <si>
    <t>29/4/2021</t>
  </si>
  <si>
    <t>0064L00000CXgxp</t>
  </si>
  <si>
    <t>ICERTIS Implementation Phase 0</t>
  </si>
  <si>
    <t>0064L00000BlEz0</t>
  </si>
  <si>
    <t>OEE / Manufacturing Improvement</t>
  </si>
  <si>
    <t>0064L000006BSLM</t>
  </si>
  <si>
    <t>MSWM Workplace Salesforce Cases Implementation #WM</t>
  </si>
  <si>
    <t>Peter Heintz</t>
  </si>
  <si>
    <t>0064L00000B1ZoG</t>
  </si>
  <si>
    <t>FIS - Procurement Contract Tool Integration to Oracle Cloud</t>
  </si>
  <si>
    <t>Sanjay Revagad</t>
  </si>
  <si>
    <t>0064L00000BnoZi</t>
  </si>
  <si>
    <t>Leveraged Procurement / Procurement On Demand #S&amp;P#POD</t>
  </si>
  <si>
    <t>0064L00000DJXBa</t>
  </si>
  <si>
    <t>FRB Doc prep system selection #Comm50B+</t>
  </si>
  <si>
    <t>0064L00000ApykP</t>
  </si>
  <si>
    <t>*CI* UTSW School of Public Health Planning- Phase 3 Support</t>
  </si>
  <si>
    <t>0064L00000BoOA3</t>
  </si>
  <si>
    <t>Ventra Health</t>
  </si>
  <si>
    <t>Strategic Pricing and Cost Reduction for Revenue Cycle *Rev Cycle*</t>
  </si>
  <si>
    <t>0064L00000CYIAD</t>
  </si>
  <si>
    <t>PLADS Growth / Operational Strategy</t>
  </si>
  <si>
    <t>Bonnie Majumdar</t>
  </si>
  <si>
    <t>0064L000009ezYu</t>
  </si>
  <si>
    <t>Kaiser Simplify Collaboration</t>
  </si>
  <si>
    <t>0064L00000BoOK8</t>
  </si>
  <si>
    <t>CVS Pharmacy Human Centered Design COE</t>
  </si>
  <si>
    <t>0064L00000Bp16G</t>
  </si>
  <si>
    <t>Seagate - SAP Phase 2 Comms Support - $750K - Updated</t>
  </si>
  <si>
    <t>Lara Ali</t>
  </si>
  <si>
    <t>0064L00000Bp14y</t>
  </si>
  <si>
    <t>WellStar CRM Transformation: Provider Portal #MSFTProvider</t>
  </si>
  <si>
    <t>0064L000006BRxv</t>
  </si>
  <si>
    <t>Distribution Strategy Support</t>
  </si>
  <si>
    <t>0064L00000CXWNy</t>
  </si>
  <si>
    <t>Citizens Climate Risk #cs_esg</t>
  </si>
  <si>
    <t>0064L0000099GVC</t>
  </si>
  <si>
    <t>Commercialization Function Design</t>
  </si>
  <si>
    <t>0064L000004xZ2r</t>
  </si>
  <si>
    <t>IOTG - PMCE - Foundational Capabilities - Phase 1</t>
  </si>
  <si>
    <t>26/1/2021</t>
  </si>
  <si>
    <t>0065800000Yb5j6</t>
  </si>
  <si>
    <t>LM Space UK Strategy Phase 2</t>
  </si>
  <si>
    <t>30/4/2018</t>
  </si>
  <si>
    <t>0064L000009B2Hg</t>
  </si>
  <si>
    <t>Google xWS FY22 Controls Assessment</t>
  </si>
  <si>
    <t>Joe Lo</t>
  </si>
  <si>
    <t>Julie Lee</t>
  </si>
  <si>
    <t>0064L000009BA7K</t>
  </si>
  <si>
    <t>Extension - Banks ETRADE IT Governance Integration</t>
  </si>
  <si>
    <t>Banks ETRADE IT Governance Integration</t>
  </si>
  <si>
    <t>Shilpa Kankaria</t>
  </si>
  <si>
    <t>0064L00000BmJwV</t>
  </si>
  <si>
    <t>Synchrony Financial</t>
  </si>
  <si>
    <t>Synchrony CDP MVP Managed Services</t>
  </si>
  <si>
    <t>Brian Morris</t>
  </si>
  <si>
    <t>Molly Early</t>
  </si>
  <si>
    <t>0064L000002ben0</t>
  </si>
  <si>
    <t>University Of Southern California</t>
  </si>
  <si>
    <t>0064L00000BmtGM</t>
  </si>
  <si>
    <t>Commercial Metals Company</t>
  </si>
  <si>
    <t>Tensar Integration and S4 Assessment</t>
  </si>
  <si>
    <t>CS_AL_EV_TRANSFORM_CLOUD_CIO_05FY22_AD_BS_SAP SAPPHIRE 2022</t>
  </si>
  <si>
    <t>0064L00000DFiLi</t>
  </si>
  <si>
    <t>AMZN Finance: Accounting Reconciliation Support</t>
  </si>
  <si>
    <t>Christina Reip</t>
  </si>
  <si>
    <t>0064L00000BgC2v</t>
  </si>
  <si>
    <t>Hershey SAP TPM+DME Upgrade + S4 Integration - Change Order 5 #Time line changes for US/CA SIT/UAT</t>
  </si>
  <si>
    <t>Hershey SAP TPM+DME Upgrade + S4 Integration - Change Order 2 #RGM</t>
  </si>
  <si>
    <t>Siddhartha Datta Choudhury</t>
  </si>
  <si>
    <t>0064L00000BfedE</t>
  </si>
  <si>
    <t>Potential work after ASUS.ESG.CC-John Hancock Net Zero Transition</t>
  </si>
  <si>
    <t>0064L00000BeFBn</t>
  </si>
  <si>
    <t>FRB - Middle / Back Office Transformation - Bridge Phase</t>
  </si>
  <si>
    <t>Mihir Deshpande</t>
  </si>
  <si>
    <t>0064L00000BfFsf</t>
  </si>
  <si>
    <t>James Hollis Jr</t>
  </si>
  <si>
    <t>0064L00000ApllM</t>
  </si>
  <si>
    <t>USAble Mutual Insurance Company</t>
  </si>
  <si>
    <t>Enterprise Cost of Care and Care Model #HVM</t>
  </si>
  <si>
    <t>0064L00000Blzob</t>
  </si>
  <si>
    <t>Trimble, Inc</t>
  </si>
  <si>
    <t>Trimble - Digital transformation training &amp; upskilling #adopt #ProEdgexWorkforce</t>
  </si>
  <si>
    <t>Susan Drea</t>
  </si>
  <si>
    <t>Astha Dutta</t>
  </si>
  <si>
    <t>0064L00000CYIK2</t>
  </si>
  <si>
    <t>Bank of Montreal</t>
  </si>
  <si>
    <t>BMO Digital Advice Assessment</t>
  </si>
  <si>
    <t>Sarah Rauchenberger</t>
  </si>
  <si>
    <t>0064L00000CYINB</t>
  </si>
  <si>
    <t>KCP NA GTM Transformation</t>
  </si>
  <si>
    <t>0064L00000Blgng</t>
  </si>
  <si>
    <t>Wintrust nCino R1 FY22 #&lt;50B</t>
  </si>
  <si>
    <t>0064L00000Boq3Y</t>
  </si>
  <si>
    <t>HCSC Personalization Product Factory 1</t>
  </si>
  <si>
    <t>0064L00000DJgVC</t>
  </si>
  <si>
    <t>HCSC CX Org Activation</t>
  </si>
  <si>
    <t>0064L000006z0BY</t>
  </si>
  <si>
    <t>MS - Re Imagine Real Estate (Take 2!)</t>
  </si>
  <si>
    <t>13/3/2021</t>
  </si>
  <si>
    <t>27/10/2022</t>
  </si>
  <si>
    <t>0064L00000BfAHz</t>
  </si>
  <si>
    <t>Transcontinental Inc.</t>
  </si>
  <si>
    <t>Transcontinental Sales Effectiveness Value Selling</t>
  </si>
  <si>
    <t>Sudharsan Iyengar</t>
  </si>
  <si>
    <t>Amit Adalti</t>
  </si>
  <si>
    <t>0064L00000Aq6PP</t>
  </si>
  <si>
    <t>Phase 0 - ERP COA and Big Rock</t>
  </si>
  <si>
    <t>0064L00000BeoaO</t>
  </si>
  <si>
    <t>MS IIS - PMO Quick Bid (2022) #WM</t>
  </si>
  <si>
    <t>24/1/2022</t>
  </si>
  <si>
    <t>Jordan Kunz</t>
  </si>
  <si>
    <t>0064L00000DJeGS</t>
  </si>
  <si>
    <t>UKG Billing &amp; Revenue Recognition- PEPM</t>
  </si>
  <si>
    <t>Teagan Barrett</t>
  </si>
  <si>
    <t>0064L00000CYC9g</t>
  </si>
  <si>
    <t>Commercial Analytics</t>
  </si>
  <si>
    <t>0064L00000BoX5X</t>
  </si>
  <si>
    <t>mRNA Flu Purchasing and Contracting Assessment</t>
  </si>
  <si>
    <t>Jessica Antonitis</t>
  </si>
  <si>
    <t>0064L00000Bogye</t>
  </si>
  <si>
    <t>Tractor Supply Company</t>
  </si>
  <si>
    <t>Global sourcing</t>
  </si>
  <si>
    <t>0064L000002YvUb</t>
  </si>
  <si>
    <t>Cost of Complexity - Simulation Modeling</t>
  </si>
  <si>
    <t>27/2/2021</t>
  </si>
  <si>
    <t>0064L00000CV60i</t>
  </si>
  <si>
    <t>ARK - Investcloud Implementation Extension</t>
  </si>
  <si>
    <t>0064L00000BogF5</t>
  </si>
  <si>
    <t>Cambia ASO Strategy</t>
  </si>
  <si>
    <t>Sri Murthy</t>
  </si>
  <si>
    <t>0064L00000ArD6Q</t>
  </si>
  <si>
    <t>DIRECTV Network Strategy</t>
  </si>
  <si>
    <t>16/10/2021</t>
  </si>
  <si>
    <t>Harish Nalinakshan</t>
  </si>
  <si>
    <t>Attir Khalid</t>
  </si>
  <si>
    <t>0064L000009A0zZ</t>
  </si>
  <si>
    <t>AbbVie Early Development Sourcing Strategy #ClinicalSourcing #OrgStrat</t>
  </si>
  <si>
    <t>0064L00000BmKLe</t>
  </si>
  <si>
    <t>Mayo Clinic Nursing Total Rewards Strategy</t>
  </si>
  <si>
    <t>Denise Ogden</t>
  </si>
  <si>
    <t>0064L00000BdRZ9</t>
  </si>
  <si>
    <t>Interos Inc.</t>
  </si>
  <si>
    <t>Interos Market Evaluation, Intake and Product Development Process</t>
  </si>
  <si>
    <t>0064L00000CWBN2</t>
  </si>
  <si>
    <t>Excellus - Project Eiffel Tower - May 2022 #PayerCO&amp;ITrans</t>
  </si>
  <si>
    <t>19/6/2022</t>
  </si>
  <si>
    <t>0064L00000CZ1FU</t>
  </si>
  <si>
    <t>OGE Energy Corp</t>
  </si>
  <si>
    <t>Oklahoma Gas and Electric Customer Satisfaction</t>
  </si>
  <si>
    <t>Robert Mason</t>
  </si>
  <si>
    <t>0064L000009A3ee</t>
  </si>
  <si>
    <t>Federal Market Strategy</t>
  </si>
  <si>
    <t>13/8/2021</t>
  </si>
  <si>
    <t>Michael Holland</t>
  </si>
  <si>
    <t>0064L00000DFaH4</t>
  </si>
  <si>
    <t>RL Finance - Costing and Inventory Support</t>
  </si>
  <si>
    <t>0064L00000BlzXa</t>
  </si>
  <si>
    <t>R&amp;D Productivity and Innovation Enhancement</t>
  </si>
  <si>
    <t>0064L00000DJX9y</t>
  </si>
  <si>
    <t>HMS Integration Phase 3a - Additional staffing</t>
  </si>
  <si>
    <t>Mukul Agrawal</t>
  </si>
  <si>
    <t>0064L00000BnwJG</t>
  </si>
  <si>
    <t>Brooks Supply Chain Execution -- Discovery (Global Best Practices &amp; Software Vendor Selection)</t>
  </si>
  <si>
    <t>0064L00000BoeXP</t>
  </si>
  <si>
    <t>Intel - Strategic Workforce Planning - $675K</t>
  </si>
  <si>
    <t>0064L0000040jXH</t>
  </si>
  <si>
    <t>#QMS BMS Med Dev Phase 2 - 2022</t>
  </si>
  <si>
    <t>21/10/2020</t>
  </si>
  <si>
    <t>0064L00000CXQwB</t>
  </si>
  <si>
    <t>Headway Collaboration Technologies</t>
  </si>
  <si>
    <t>0064L00000BoPRU</t>
  </si>
  <si>
    <t>Dexcom, Inc.</t>
  </si>
  <si>
    <t>Dexcom COP - Sprint 2 PLS Hypergrowth #XPCGrowth</t>
  </si>
  <si>
    <t>0064L00000CWwzU</t>
  </si>
  <si>
    <t>MSFT CELA Competition and Market Regulation Group Support - FY23</t>
  </si>
  <si>
    <t>ADV_TMT_R&amp;R</t>
  </si>
  <si>
    <t>MSFT_CELA_Competition and Market Regulation Group Support - CO2</t>
  </si>
  <si>
    <t>Derek Sept</t>
  </si>
  <si>
    <t>0064L00000Blak2</t>
  </si>
  <si>
    <t>AKKR Fund II Management Company LP</t>
  </si>
  <si>
    <t>Abrigo Data Transformation &amp; TMO</t>
  </si>
  <si>
    <t>Tony Filipe</t>
  </si>
  <si>
    <t>0064L00000B2wCq</t>
  </si>
  <si>
    <t>UBS - Broadridge Tech Expertise</t>
  </si>
  <si>
    <t>Christopher Pullano</t>
  </si>
  <si>
    <t>Jason Magesis</t>
  </si>
  <si>
    <t>0064L00000CXVGz</t>
  </si>
  <si>
    <t>FSP - Phase 2 Additional (Go-Live in August) #TMTPricing</t>
  </si>
  <si>
    <t>Stephen Krasnow</t>
  </si>
  <si>
    <t>0064L00000CXSKp</t>
  </si>
  <si>
    <t>Lubrizol TPRM Program System Install_US284.6</t>
  </si>
  <si>
    <t>Joseph Walker</t>
  </si>
  <si>
    <t>0064L00000DJTkg</t>
  </si>
  <si>
    <t>S&amp;PS Engineering IT Operating Model definition</t>
  </si>
  <si>
    <t>0064L00000Apeyd</t>
  </si>
  <si>
    <t>Tapestry, Inc.</t>
  </si>
  <si>
    <t>TPRM Build and Pilot_US284_2</t>
  </si>
  <si>
    <t>Kareem Mohamednur</t>
  </si>
  <si>
    <t>0064L000001vg1E</t>
  </si>
  <si>
    <t>Falcon Acquisition Group, Inc.</t>
  </si>
  <si>
    <t>Fare Trace Production Version</t>
  </si>
  <si>
    <t>24/7/2020</t>
  </si>
  <si>
    <t>Hannah Syed</t>
  </si>
  <si>
    <t>0064I000014LiXS</t>
  </si>
  <si>
    <t>Valley Bank Customer Link #PRO</t>
  </si>
  <si>
    <t>15/4/2020</t>
  </si>
  <si>
    <t>0064L00000DJU0e</t>
  </si>
  <si>
    <t>AWOW Q3</t>
  </si>
  <si>
    <t>0064L00000CXSFh</t>
  </si>
  <si>
    <t>Tapesty_East_TPRM Technology Selection and Install_US284.6</t>
  </si>
  <si>
    <t>0064L00000BcWTI</t>
  </si>
  <si>
    <t>Hall Capital Partners LLC.</t>
  </si>
  <si>
    <t>Digital Transformation</t>
  </si>
  <si>
    <t>0064L00000CXtD7</t>
  </si>
  <si>
    <t>Marketplace Strategy</t>
  </si>
  <si>
    <t>0064L00000BnToQ</t>
  </si>
  <si>
    <t>Allstate B2B2C</t>
  </si>
  <si>
    <t>0064L000009BHba</t>
  </si>
  <si>
    <t>AB Volvo</t>
  </si>
  <si>
    <t>Volvo - Logistics Benchmarking Study NA &amp; EU</t>
  </si>
  <si>
    <t>0064L000001w0o6</t>
  </si>
  <si>
    <t>USAA Customer Link #PRO</t>
  </si>
  <si>
    <t>0064L00000ArDTy</t>
  </si>
  <si>
    <t>Advance Auto Parts Inc.</t>
  </si>
  <si>
    <t>Customer Experience, Technology &amp; Data Assessment</t>
  </si>
  <si>
    <t>17/10/2021</t>
  </si>
  <si>
    <t>Anil Khurana</t>
  </si>
  <si>
    <t>0064L00000BeHEp</t>
  </si>
  <si>
    <t>Vertex Pharmaceuticals Inc.</t>
  </si>
  <si>
    <t>Project Polaris - EPM Long Range Planning Solution</t>
  </si>
  <si>
    <t>0064L00000BoD2Q</t>
  </si>
  <si>
    <t>Meijer Companies Ltd.</t>
  </si>
  <si>
    <t>IT/Cybersecurity Maturity Assessment - Fresh Thyme</t>
  </si>
  <si>
    <t>Mark Tracy</t>
  </si>
  <si>
    <t>0064L00000Blm2d</t>
  </si>
  <si>
    <t>BRUNS-PAK WORLDWIDE Inc.</t>
  </si>
  <si>
    <t>Customer Experience, Technology &amp; Data Assessment (Advanced Auto)</t>
  </si>
  <si>
    <t>0064L00000BmKaK</t>
  </si>
  <si>
    <t>Inbound International Patient Care Program - Assessment and Business Plan</t>
  </si>
  <si>
    <t>0064L00000CWhUl</t>
  </si>
  <si>
    <t>Hackensack Meridian Health, Inc.</t>
  </si>
  <si>
    <t>Digital Strategy</t>
  </si>
  <si>
    <t>Shuting Shao</t>
  </si>
  <si>
    <t>0064L00000CXhVS</t>
  </si>
  <si>
    <t>McKesson - Responsible Sourcing Program Phase I 2022 #S&amp;P #ESG</t>
  </si>
  <si>
    <t>0064L000002b5je</t>
  </si>
  <si>
    <t>BC Partners Holdings Limited</t>
  </si>
  <si>
    <t>Chewy Digital Finance Transformation EPBCS</t>
  </si>
  <si>
    <t>27/4/2021</t>
  </si>
  <si>
    <t>Mayur Karmarkar</t>
  </si>
  <si>
    <t>0064L00000BgZFe</t>
  </si>
  <si>
    <t>Oracle EPM - Enterprise Data Management (EDMCS)</t>
  </si>
  <si>
    <t>0064L00000BecI0</t>
  </si>
  <si>
    <t>SCL Supply Charge Capture Optimization *rev cycle*</t>
  </si>
  <si>
    <t>Kathryn Burg Plaza</t>
  </si>
  <si>
    <t>0064L00000CY8Fi</t>
  </si>
  <si>
    <t>CVS: Medicaid PHM ext 1</t>
  </si>
  <si>
    <t>0064L00000BewSZ</t>
  </si>
  <si>
    <t>Roark Capital Management, Llc</t>
  </si>
  <si>
    <t>Pricing Support</t>
  </si>
  <si>
    <t>0064L00000BosDp</t>
  </si>
  <si>
    <t>Link Logistics - Customer Transformation / CX Strategy</t>
  </si>
  <si>
    <t>20/5/2022 4:23 am</t>
  </si>
  <si>
    <t>0064L00000CX0t4</t>
  </si>
  <si>
    <t>WH - Phase 1 EHR Implementation Support *RC Tech* *Rev Cycle*</t>
  </si>
  <si>
    <t>Mark Fracas</t>
  </si>
  <si>
    <t>0064L00000BoBCx</t>
  </si>
  <si>
    <t>Genpact Limited</t>
  </si>
  <si>
    <t>Industrial Manufacturing Growth Strategy</t>
  </si>
  <si>
    <t>0064L00000Bl3T3</t>
  </si>
  <si>
    <t>Project Symphony - Sign to Close - Pull-Thru - Tax Optimization</t>
  </si>
  <si>
    <t>0064L00000BlKKD</t>
  </si>
  <si>
    <t>Teladoc Health, Inc.</t>
  </si>
  <si>
    <t>TDH Sales Comp Xactly Change Request</t>
  </si>
  <si>
    <t>Larry Melillo</t>
  </si>
  <si>
    <t>0064L00000BotY0</t>
  </si>
  <si>
    <t>Integrated Mortgage Servicing Analytics for Wells Fargo</t>
  </si>
  <si>
    <t>Martin Touhey</t>
  </si>
  <si>
    <t>Miriam Herman</t>
  </si>
  <si>
    <t>0064L00000BlHmT</t>
  </si>
  <si>
    <t>Treasury - Virtual Card Implementation</t>
  </si>
  <si>
    <t>Gerik Whittington</t>
  </si>
  <si>
    <t>0064L00000Bopnz</t>
  </si>
  <si>
    <t>Global Infrastructure Management Participation LLC</t>
  </si>
  <si>
    <t>Enlink DDSR</t>
  </si>
  <si>
    <t>Mark Poulson</t>
  </si>
  <si>
    <t>Matthew Barth</t>
  </si>
  <si>
    <t>0064L00000Bp2wO</t>
  </si>
  <si>
    <t>Source-to-Pay Process Improvements Summer 2022</t>
  </si>
  <si>
    <t>Katie Burns</t>
  </si>
  <si>
    <t>0064L00000CYwxl</t>
  </si>
  <si>
    <t>Strategic Pricing and Contract Review</t>
  </si>
  <si>
    <t>Dalton Sycks</t>
  </si>
  <si>
    <t>0064L00000CX1LW</t>
  </si>
  <si>
    <t>mRNA Competitive War Games Phase 1</t>
  </si>
  <si>
    <t>May Weiser</t>
  </si>
  <si>
    <t>0064L00000DFiDt</t>
  </si>
  <si>
    <t>mRNA Competitive War Games Phase 2</t>
  </si>
  <si>
    <t>0064L00000CX4VO</t>
  </si>
  <si>
    <t>Entergy: Perform for Texas Distribution (April 2022)</t>
  </si>
  <si>
    <t>Haley McCraven</t>
  </si>
  <si>
    <t>0064L00000Apeyo</t>
  </si>
  <si>
    <t>Memorial Sloan-Kettering Cancer Center *VBO* BC Denials A/R Assistance FY23 Extension</t>
  </si>
  <si>
    <t>Memorial Sloan-Kettering Cancer Center *VBO* BC Denials A/R Assistance</t>
  </si>
  <si>
    <t>0064L00000Bm1tX</t>
  </si>
  <si>
    <t>USAA P&amp;C Modernization FinPal Test Lead</t>
  </si>
  <si>
    <t>0064I00000wx6N4</t>
  </si>
  <si>
    <t>*SMART* License - Houston Methodist</t>
  </si>
  <si>
    <t>0064L000009fj8j</t>
  </si>
  <si>
    <t>Signature FINANCIAL  - ncino Leasing Discovery</t>
  </si>
  <si>
    <t>0064L00000DJi9I</t>
  </si>
  <si>
    <t>Microsoft- ISD Contracting Modernization FY23 Support</t>
  </si>
  <si>
    <t>Jenny Doerr</t>
  </si>
  <si>
    <t>0064L00000Bm6gJ</t>
  </si>
  <si>
    <t>P66 Right Angle Support Managed Services Extension</t>
  </si>
  <si>
    <t>0064L00000CXwnW</t>
  </si>
  <si>
    <t>Technology Analyst Program (TAP) Design</t>
  </si>
  <si>
    <t>Astik Ranade</t>
  </si>
  <si>
    <t>Caroline Brainerd</t>
  </si>
  <si>
    <t>0064L000002ast1</t>
  </si>
  <si>
    <t>GERON Corp.</t>
  </si>
  <si>
    <t>Geron - Commercialization Support - MDS Drug Launch - $600K</t>
  </si>
  <si>
    <t>21/4/2021</t>
  </si>
  <si>
    <t>0064L00000DJW0C</t>
  </si>
  <si>
    <t>MITSUBISHI MATERIALS CORPORATION</t>
  </si>
  <si>
    <t>Sales and Finance Reporting Analytics Dashboard</t>
  </si>
  <si>
    <t>Garrett Miller</t>
  </si>
  <si>
    <t>0064L00000BeOxv</t>
  </si>
  <si>
    <t>Mexico Supplier Strategy Phase 1</t>
  </si>
  <si>
    <t>0064L00000CYwvQ</t>
  </si>
  <si>
    <t>NT Productivity Assessment</t>
  </si>
  <si>
    <t>Kalyan Subramanian</t>
  </si>
  <si>
    <t>0064L000004xH8O</t>
  </si>
  <si>
    <t>General Atlantic LLC</t>
  </si>
  <si>
    <t>GA Expense Allocation</t>
  </si>
  <si>
    <t>Wen Lei Zheng</t>
  </si>
  <si>
    <t>0064L00000CX0rg</t>
  </si>
  <si>
    <t>Freight Forwarder RFP</t>
  </si>
  <si>
    <t>Bryan Gross</t>
  </si>
  <si>
    <t>0064L00000Bnjgi</t>
  </si>
  <si>
    <t>Wabash Digital Marketplace Phase 1</t>
  </si>
  <si>
    <t>Jeff Kunz</t>
  </si>
  <si>
    <t>Sony Alexander</t>
  </si>
  <si>
    <t>0064L00000DJTt4</t>
  </si>
  <si>
    <t>Fit for Growth Assessment</t>
  </si>
  <si>
    <t>0064L00000BmTnD</t>
  </si>
  <si>
    <t>Lilly TeVO Strategy Refresh Phase 2 #medable</t>
  </si>
  <si>
    <t>Gurpreet Singh</t>
  </si>
  <si>
    <t>Mehria Askaryar</t>
  </si>
  <si>
    <t>0064L0000098sWT</t>
  </si>
  <si>
    <t>Amica Mutual Insurance Company</t>
  </si>
  <si>
    <t>Amica Customer Data Platform - Customer Link License</t>
  </si>
  <si>
    <t>0064L000003zU5f</t>
  </si>
  <si>
    <t>CVS: Clinical/Quality UM &amp; CM Support Continuation - 2022 #PayerCO&amp;ITrans #HVM</t>
  </si>
  <si>
    <t>19/9/2020</t>
  </si>
  <si>
    <t>0064L00000BgC5B</t>
  </si>
  <si>
    <t>Litor Limited</t>
  </si>
  <si>
    <t>Risk Analytics Vendor Selection and Implementation</t>
  </si>
  <si>
    <t>Susan Frazier</t>
  </si>
  <si>
    <t>0064L000009AHiG</t>
  </si>
  <si>
    <t>TransCanada Pipelines Limited</t>
  </si>
  <si>
    <t>Commercial systems Managed Services</t>
  </si>
  <si>
    <t>0064L00000DJbg8</t>
  </si>
  <si>
    <t>CareSource Management Services LLC</t>
  </si>
  <si>
    <t>CareSource Phase 2 #DVC</t>
  </si>
  <si>
    <t>0064L00000BnyHL</t>
  </si>
  <si>
    <t>RSVP Ops Pod - Managed Service #TMTMSO</t>
  </si>
  <si>
    <t>0064L000002Lbr9</t>
  </si>
  <si>
    <t>#IOBP -- BIRA Support Operations - Wave 2 - Year 1</t>
  </si>
  <si>
    <t>0064L00000Bo72K</t>
  </si>
  <si>
    <t>DAIKIN INDUSTRIES, LTD.</t>
  </si>
  <si>
    <t>Distribution Network Optimization</t>
  </si>
  <si>
    <t>0064L00000BoyxW</t>
  </si>
  <si>
    <t>Google - MATI Support 2022</t>
  </si>
  <si>
    <t>0064L00000Blr8H</t>
  </si>
  <si>
    <t>Synovus nCino LOS Delivery Release 1 FY23 #&lt;$50B #SCB</t>
  </si>
  <si>
    <t>0064L000009AUnn</t>
  </si>
  <si>
    <t>Amica Customer Data Platform - Services</t>
  </si>
  <si>
    <t>Laura Trocchia</t>
  </si>
  <si>
    <t>0064L00000CYbJn</t>
  </si>
  <si>
    <t>Constellation Brands, Inc.</t>
  </si>
  <si>
    <t>Project Barber Shop  - Phase 2 (Tactical Brands)</t>
  </si>
  <si>
    <t>Phoebe Todd</t>
  </si>
  <si>
    <t>0064I00000qsg4K</t>
  </si>
  <si>
    <t>*SMART* License - Atrium Health</t>
  </si>
  <si>
    <t>23/3/2019</t>
  </si>
  <si>
    <t>Taylor McBrearty</t>
  </si>
  <si>
    <t>0064L000004wu44</t>
  </si>
  <si>
    <t>Consolidated FCE CMP Implementation Follow-On</t>
  </si>
  <si>
    <t>0064L000009A5Qe</t>
  </si>
  <si>
    <t>Dental platform implementation execution support PayerCO&amp;ITrans</t>
  </si>
  <si>
    <t>0064L00000B362y</t>
  </si>
  <si>
    <t>WFRD ESG Placeholder</t>
  </si>
  <si>
    <t>0064L00000BmPWD</t>
  </si>
  <si>
    <t>INGR - Commodity Managed Services</t>
  </si>
  <si>
    <t>0064L00000CVj4m</t>
  </si>
  <si>
    <t>Claims technology platform modernization - proof of concept and planning #PayerCO&amp;ITrans</t>
  </si>
  <si>
    <t>0064L000009ASER</t>
  </si>
  <si>
    <t>Endur Managed Services</t>
  </si>
  <si>
    <t>0064L00000BfZhE</t>
  </si>
  <si>
    <t>Project Management Support</t>
  </si>
  <si>
    <t>0064L00000BezJ7</t>
  </si>
  <si>
    <t>Project Orange - Finance Integration and Accounting Support</t>
  </si>
  <si>
    <t>Michael Isler</t>
  </si>
  <si>
    <t>0064L000006ijSv</t>
  </si>
  <si>
    <t>Transocean Inventory Optimization</t>
  </si>
  <si>
    <t>Transocean Inventory - Phase 2+</t>
  </si>
  <si>
    <t>0064L00000Bo0xx</t>
  </si>
  <si>
    <t>Clif Bar &amp; Company</t>
  </si>
  <si>
    <t>PLM and S2P Assessment and Roadmapping</t>
  </si>
  <si>
    <t>0064L00000DFPZq</t>
  </si>
  <si>
    <t>Southwest Airlines Co.</t>
  </si>
  <si>
    <t>CDP and Customer Engagement Technology Implementation</t>
  </si>
  <si>
    <t>Brittany Furrh</t>
  </si>
  <si>
    <t>0064L00000BoQbL</t>
  </si>
  <si>
    <t>VZ Innovation Center Support</t>
  </si>
  <si>
    <t>0064L00000BmKJO</t>
  </si>
  <si>
    <t>Archrock, Inc.</t>
  </si>
  <si>
    <t>0064L00000BoQTg</t>
  </si>
  <si>
    <t>Whole Earth Brands Inc.</t>
  </si>
  <si>
    <t>Treasury-as-a-Service - Delivery - #TreasuryMSO</t>
  </si>
  <si>
    <t>Bruno Lopes</t>
  </si>
  <si>
    <t>0064L00000Borux</t>
  </si>
  <si>
    <t>Sparrow Health System - PHP Holdings</t>
  </si>
  <si>
    <t>PHP Provider Implementation #CO&amp;IPayerTrans</t>
  </si>
  <si>
    <t>0064L000009flIy</t>
  </si>
  <si>
    <t>1211 Voice Network Simplification</t>
  </si>
  <si>
    <t>Ryan Robertson</t>
  </si>
  <si>
    <t>0064L00000Bm8eQ</t>
  </si>
  <si>
    <t>VNG Cost Reasonableness Study</t>
  </si>
  <si>
    <t>0064L00000Bfeay</t>
  </si>
  <si>
    <t>Potential work after ESG Disclosure Program 2022</t>
  </si>
  <si>
    <t>Dave Hoffman</t>
  </si>
  <si>
    <t>0064L000007xmOS</t>
  </si>
  <si>
    <t>Cargill - TPE Phase 1 - Minimum Global Standards #RGM</t>
  </si>
  <si>
    <t>17/6/2021</t>
  </si>
  <si>
    <t>0064L00000CY88Y</t>
  </si>
  <si>
    <t>Epic RCM Optimization Implementation</t>
  </si>
  <si>
    <t>Scott Ramer</t>
  </si>
  <si>
    <t>0064L00000CYHXt</t>
  </si>
  <si>
    <t>Endur Platform Hosting</t>
  </si>
  <si>
    <t>20/9/2022</t>
  </si>
  <si>
    <t>0064L00000CWtxc</t>
  </si>
  <si>
    <t>Healthcare - Home Setting &amp; Specialty Pharmacy Due Diligence #XPCONC</t>
  </si>
  <si>
    <t>Ash Malik</t>
  </si>
  <si>
    <t>0064L00000BcmeU</t>
  </si>
  <si>
    <t>ORACLE</t>
  </si>
  <si>
    <t>Oracle Health Insurance OHI - implementation support #PayerCO&amp;ITrans</t>
  </si>
  <si>
    <t>0064L000006Um3X</t>
  </si>
  <si>
    <t>Excellus Provider Digital Strategy and Design</t>
  </si>
  <si>
    <t>0064L000007x9PD</t>
  </si>
  <si>
    <t>ARCS Implementation - Phase 1</t>
  </si>
  <si>
    <t>0064L00000Arvr6</t>
  </si>
  <si>
    <t>Atrium:  Customer Experience &amp; Digital Strategy - Phase 2</t>
  </si>
  <si>
    <t>Elissa Arkinstall</t>
  </si>
  <si>
    <t>Rajiv Dharan</t>
  </si>
  <si>
    <t>0064L00000CYFQO</t>
  </si>
  <si>
    <t>Citrin Cooperman Advisors LLC</t>
  </si>
  <si>
    <t>Sales Effectiveness Assessment</t>
  </si>
  <si>
    <t>Jeff Hersh</t>
  </si>
  <si>
    <t>0064L00000DFerk</t>
  </si>
  <si>
    <t>EU Channel Service Strategy- Implemenation</t>
  </si>
  <si>
    <t>0064L00000BnbXW</t>
  </si>
  <si>
    <t>Two Sigma Investments, LP</t>
  </si>
  <si>
    <t>Integrated Human Capital Blue Print</t>
  </si>
  <si>
    <t>Jenny Machida</t>
  </si>
  <si>
    <t>Leslie Kwang</t>
  </si>
  <si>
    <t>0064L000006gtkN</t>
  </si>
  <si>
    <t>ncino TM/Cash Mgt Discovery #&lt;$50B</t>
  </si>
  <si>
    <t>0064L00000BgBWu</t>
  </si>
  <si>
    <t>ASUX PLM Assessment Phase 2</t>
  </si>
  <si>
    <t>Daniel Keyes</t>
  </si>
  <si>
    <t>0064L00000BecCb</t>
  </si>
  <si>
    <t>Comcast HR Op Model BXT 2 &amp; Change Management Support</t>
  </si>
  <si>
    <t>Megan Brody</t>
  </si>
  <si>
    <t>Comcast HR Op Model BXT 1</t>
  </si>
  <si>
    <t>0064L00000BlHih</t>
  </si>
  <si>
    <t>Intel IFS Pricing &amp; Sales Enablement #TMTPricing</t>
  </si>
  <si>
    <t>0064L000009AOWH</t>
  </si>
  <si>
    <t>University Hospitals Health Systems Inc.</t>
  </si>
  <si>
    <t>BPO RFI Support</t>
  </si>
  <si>
    <t>Benjamin Scott</t>
  </si>
  <si>
    <t>0064L00000CW0S7</t>
  </si>
  <si>
    <t>GRC Tech Strategy/Vision/Comm Plan and OpModel</t>
  </si>
  <si>
    <t>Tiffany Yates</t>
  </si>
  <si>
    <t>Andrea Grogan</t>
  </si>
  <si>
    <t>0064L00000CV9BP</t>
  </si>
  <si>
    <t>Hershey SAP TPM+DME Upgrade + S4 Integration - FACTS Redesign  #RGM</t>
  </si>
  <si>
    <t>Sudhir Chowdhary</t>
  </si>
  <si>
    <t>0064L00000CXgRe</t>
  </si>
  <si>
    <t>Premier Health - Strategic Opportunities</t>
  </si>
  <si>
    <t>Josette Beran</t>
  </si>
  <si>
    <t>0064L00000B2Mdz</t>
  </si>
  <si>
    <t>Horizon - Analytics Staff Aug and Transformation #PayerAnalytics</t>
  </si>
  <si>
    <t>Payer_Data_&amp;_Analytics</t>
  </si>
  <si>
    <t>Ara Dombourian</t>
  </si>
  <si>
    <t>0064I00000wx6Py</t>
  </si>
  <si>
    <t>Henry Ford Health System</t>
  </si>
  <si>
    <t>*SMART* License - Henry Ford</t>
  </si>
  <si>
    <t>0064L000009BO8R</t>
  </si>
  <si>
    <t>KP PHM Program Design and Mobilization Phase 2 #HVM</t>
  </si>
  <si>
    <t>13/12/2021</t>
  </si>
  <si>
    <t>Michelle Chen</t>
  </si>
  <si>
    <t>0064L00000BoUgh</t>
  </si>
  <si>
    <t>Discord Inc.</t>
  </si>
  <si>
    <t>Discord Trust &amp; Safety Phase 2</t>
  </si>
  <si>
    <t>0064L000007x7Au</t>
  </si>
  <si>
    <t>Aries -  2021 Finance Proj Ops</t>
  </si>
  <si>
    <t>Ore Phillips</t>
  </si>
  <si>
    <t>0064L00000CXRKD</t>
  </si>
  <si>
    <t>Inversiones Jrpr S.A.</t>
  </si>
  <si>
    <t>Grupo UNACEM - Proceso de Planeación Estratégica</t>
  </si>
  <si>
    <t>Jose Luis De Los Santos</t>
  </si>
  <si>
    <t>Mexico Transform</t>
  </si>
  <si>
    <t>Angela Vasquez</t>
  </si>
  <si>
    <t>0064L000009BHYv</t>
  </si>
  <si>
    <t>Client Service / RIO Support Q4 2022</t>
  </si>
  <si>
    <t>Michael Van Demark</t>
  </si>
  <si>
    <t>Thomas Evans</t>
  </si>
  <si>
    <t>0064L000009BHES</t>
  </si>
  <si>
    <t>Client Service / RIO Support Q3 2022</t>
  </si>
  <si>
    <t>0064L000002cHGP</t>
  </si>
  <si>
    <t>CDP Strategy and Planning</t>
  </si>
  <si>
    <t>0064L00000CYYLC</t>
  </si>
  <si>
    <t>Microsoft Advertising Strategic Go To Market Integration Support</t>
  </si>
  <si>
    <t>CJ Bangah</t>
  </si>
  <si>
    <t>0064L00000994DI</t>
  </si>
  <si>
    <t>CDP Strategy and Implementation Planning</t>
  </si>
  <si>
    <t>17/7/2021</t>
  </si>
  <si>
    <t>0064L00000BoKhm</t>
  </si>
  <si>
    <t>Twilio Inc.</t>
  </si>
  <si>
    <t>Twilio - Segment GTM Integration</t>
  </si>
  <si>
    <t>0064L00000BfrvO</t>
  </si>
  <si>
    <t>Country Trust Bank - Transformation Roadmap</t>
  </si>
  <si>
    <t>0064L00000DFimU</t>
  </si>
  <si>
    <t>Israel Discount Bank Ltd.</t>
  </si>
  <si>
    <t>5-Year Strategic Plan</t>
  </si>
  <si>
    <t>0064L00000AqwxD</t>
  </si>
  <si>
    <t>Baycare Health System</t>
  </si>
  <si>
    <t>Baycare | WebMD Marketing Attribution</t>
  </si>
  <si>
    <t>0064L00000Bo2Ki</t>
  </si>
  <si>
    <t>PRP Enablement Support - Phase 0</t>
  </si>
  <si>
    <t>0064L00000Bnqzd</t>
  </si>
  <si>
    <t>SCHNEIDER ELECTRIC SE</t>
  </si>
  <si>
    <t>Schneider USA Contact Center Digitization #callcenter</t>
  </si>
  <si>
    <t>0064L00000Blk0O</t>
  </si>
  <si>
    <t>Netapp Inc.</t>
  </si>
  <si>
    <t>Netapp - Sales Compensation</t>
  </si>
  <si>
    <t>Raghu Bhimaraju</t>
  </si>
  <si>
    <t>0064L00000CXHLt</t>
  </si>
  <si>
    <t>Eli Lilly Personalized Guidance &amp; Behavior Change</t>
  </si>
  <si>
    <t>Shannon Smith</t>
  </si>
  <si>
    <t>0064L000004xNLF</t>
  </si>
  <si>
    <t>Global Ben Admin Consulting</t>
  </si>
  <si>
    <t>22/1/2021</t>
  </si>
  <si>
    <t>Christine Randazzo</t>
  </si>
  <si>
    <t>0064L00000CVOkx</t>
  </si>
  <si>
    <t>Hershey SAP - FACTS Remediation  #RGM</t>
  </si>
  <si>
    <t>27/3/2022 8:17 pm</t>
  </si>
  <si>
    <t>0064L00000Bl6MP</t>
  </si>
  <si>
    <t>Grupo Cuprum, S.A.P.I. de C.V.</t>
  </si>
  <si>
    <t>Cuprum - FY22 - Inorganic growth strategy</t>
  </si>
  <si>
    <t>28/2/2022 10:29 pm</t>
  </si>
  <si>
    <t>Alfredo Guerra</t>
  </si>
  <si>
    <t>0064L00000BluXE</t>
  </si>
  <si>
    <t>Textron External Website Redesign</t>
  </si>
  <si>
    <t>0064L00000BlbNn</t>
  </si>
  <si>
    <t>Brinker International, Inc.</t>
  </si>
  <si>
    <t>Brinker - FP&amp;A Transformation Blueprint (Wave 1) - Oracle EPM</t>
  </si>
  <si>
    <t>0064L00000BeZhM</t>
  </si>
  <si>
    <t>CPG Value Chain and CTS Assessment</t>
  </si>
  <si>
    <t>0064L00000DJkkl</t>
  </si>
  <si>
    <t>Middle Markets Strategy</t>
  </si>
  <si>
    <t>Christopher Manning</t>
  </si>
  <si>
    <t>0064L00000CY8J6</t>
  </si>
  <si>
    <t>Univar Solutions Inc.</t>
  </si>
  <si>
    <t>Chart of Accounts Redesign</t>
  </si>
  <si>
    <t>Robert Knittle</t>
  </si>
  <si>
    <t>Bryce Dolan</t>
  </si>
  <si>
    <t>0064L000009fVUq</t>
  </si>
  <si>
    <t>Laboratorios Quimico Farmaceuticos Lancasco Sa</t>
  </si>
  <si>
    <t>Lancasco/Scentia_ Growth Strategy</t>
  </si>
  <si>
    <t>0064L00000DFaG1</t>
  </si>
  <si>
    <t>ecoATM Channel Management</t>
  </si>
  <si>
    <t>0064L00000CYXYy</t>
  </si>
  <si>
    <t>AMZN Finance: Tririga PM Support</t>
  </si>
  <si>
    <t>0064L00000Bgf1N</t>
  </si>
  <si>
    <t>CVS Health - Aetna FL Pre-RFP Planning #GCoE Medicaid</t>
  </si>
  <si>
    <t>0064L00000CXr6X</t>
  </si>
  <si>
    <t>YAZAKI CORPORATION</t>
  </si>
  <si>
    <t>Business Performance KPI</t>
  </si>
  <si>
    <t>0064L00000Blor9</t>
  </si>
  <si>
    <t>Barclays AAIT Assessment &amp; Roadmap</t>
  </si>
  <si>
    <t>0064L0000099B2Y</t>
  </si>
  <si>
    <t>MS IIS - MFO Policies, Procedures, &amp; Automation Governance Documentation (2022) #WM</t>
  </si>
  <si>
    <t>Michael Horvath</t>
  </si>
  <si>
    <t>Shane Lockhart</t>
  </si>
  <si>
    <t>0064L00000CWpRA</t>
  </si>
  <si>
    <t>CY2021-23 &amp; FY2022-24 Forms 5500 and Project Management Services</t>
  </si>
  <si>
    <t>0064L00000Bono2</t>
  </si>
  <si>
    <t>Project Cleef - Sign to Close Support</t>
  </si>
  <si>
    <t>Kyle Robinson</t>
  </si>
  <si>
    <t>0064L00000BoeQ8</t>
  </si>
  <si>
    <t>WIM CAO Cost Efficiency - Phase 2</t>
  </si>
  <si>
    <t>Gerard Duffy</t>
  </si>
  <si>
    <t>0064L00000DFlnK</t>
  </si>
  <si>
    <t>Canadian National Railway Company</t>
  </si>
  <si>
    <t>CN - Cons. - Fuels Portfolio &amp; System Modernization_PwC US</t>
  </si>
  <si>
    <t>Samantha DeSimone</t>
  </si>
  <si>
    <t>0064L00000BnoDC</t>
  </si>
  <si>
    <t>OptumRx PDE Engagement</t>
  </si>
  <si>
    <t>Eric Michael</t>
  </si>
  <si>
    <t>0064L00000Bnmef</t>
  </si>
  <si>
    <t>FY22 Google xWF Marketing Assessment</t>
  </si>
  <si>
    <t>0064L00000DJmgb</t>
  </si>
  <si>
    <t>Hurley Medical Center Inc.</t>
  </si>
  <si>
    <t>Hurley Reimbursement Strategies Analysis</t>
  </si>
  <si>
    <t>David Haimes</t>
  </si>
  <si>
    <t>0064L00000B32xx</t>
  </si>
  <si>
    <t>GE Healthcare PLM Assessment</t>
  </si>
  <si>
    <t>0064L00000DJnIu</t>
  </si>
  <si>
    <t>Cityblock Health Inc.</t>
  </si>
  <si>
    <t>CDM&amp;CT EHR Transformation Office Phase 1</t>
  </si>
  <si>
    <t>Jackie Biglin</t>
  </si>
  <si>
    <t>0064L00000CWWsZ</t>
  </si>
  <si>
    <t>Claims AI Models Automation #xPC:CO&amp;I #AIML #Alliance:xAI</t>
  </si>
  <si>
    <t>0064L00000CWzZW</t>
  </si>
  <si>
    <t>Marketing Effectivness</t>
  </si>
  <si>
    <t>0064L00000AqqSo</t>
  </si>
  <si>
    <t>Apple Inc.</t>
  </si>
  <si>
    <t>Apple B2B ROX Account Growth</t>
  </si>
  <si>
    <t>0064L00000Bf5cg</t>
  </si>
  <si>
    <t>Best Buy Health - Tech Blueprinting Phase 2</t>
  </si>
  <si>
    <t>0064L00000BocDC</t>
  </si>
  <si>
    <t>Ascension Health Alliance</t>
  </si>
  <si>
    <t>Ascension Hospital at Home Implementation Phase 1</t>
  </si>
  <si>
    <t>0064L000003z8MM</t>
  </si>
  <si>
    <t>General Atlantic - Post FFG Initiatives (Investran and Ops) #Hawk #core</t>
  </si>
  <si>
    <t>0064L00000Be3G3</t>
  </si>
  <si>
    <t>Rite Aid HR Transformation - HR process and org</t>
  </si>
  <si>
    <t>0064L00000CVC5P</t>
  </si>
  <si>
    <t>TriState Holdings - Post-Close Integration Planning</t>
  </si>
  <si>
    <t>0064L00000BdQgd</t>
  </si>
  <si>
    <t>KKR Bank Rationalization</t>
  </si>
  <si>
    <t>Davide di Gennaro</t>
  </si>
  <si>
    <t>Robert Ayre</t>
  </si>
  <si>
    <t>0064L0000098xiM</t>
  </si>
  <si>
    <t>GRM - Liberty SA IMO Op Model &amp; Execution</t>
  </si>
  <si>
    <t>0064L00000CXZAZ</t>
  </si>
  <si>
    <t>Anthem Procurement Process Optimization</t>
  </si>
  <si>
    <t>0064L00000Bevp3</t>
  </si>
  <si>
    <t>BMS Patient Services Strategy</t>
  </si>
  <si>
    <t>Steve Foran</t>
  </si>
  <si>
    <t>0064L000001wLLe</t>
  </si>
  <si>
    <t>Pioneer Natural Resources Company</t>
  </si>
  <si>
    <t>Allegro upgrade</t>
  </si>
  <si>
    <t>14/8/2020</t>
  </si>
  <si>
    <t>0064L0000041a3p</t>
  </si>
  <si>
    <t>Jennifer Baysarowich</t>
  </si>
  <si>
    <t>0064L00000Bou1M</t>
  </si>
  <si>
    <t>Permian Sourcing/Contracting #S&amp;P#POD</t>
  </si>
  <si>
    <t>0064L00000DFqLk</t>
  </si>
  <si>
    <t>StoneX Group Inc.</t>
  </si>
  <si>
    <t>Cybersecurity Roadmap Assessment</t>
  </si>
  <si>
    <t>Samuel Bloustein</t>
  </si>
  <si>
    <t>0064L00000Bou1q</t>
  </si>
  <si>
    <t>Trustees of Dartmouth College</t>
  </si>
  <si>
    <t>*CI*Dartmouth IP Assessment</t>
  </si>
  <si>
    <t>0064L00000CX7al</t>
  </si>
  <si>
    <t>Corbett Technology Solutions, Inc.</t>
  </si>
  <si>
    <t>Corbett Technology Solutions - Leasing / Managed Services</t>
  </si>
  <si>
    <t>James Welborn</t>
  </si>
  <si>
    <t>0064L00000Boboh</t>
  </si>
  <si>
    <t>Lantheus Holdings Inc.</t>
  </si>
  <si>
    <t>Lantheus Return to Office Change Management</t>
  </si>
  <si>
    <t>Luna Corbetta</t>
  </si>
  <si>
    <t>Catherine Kosse</t>
  </si>
  <si>
    <t>0064L00000CVucf</t>
  </si>
  <si>
    <t>PCI San Diego Site Assessment Extension</t>
  </si>
  <si>
    <t>0064L00000Bf75Z</t>
  </si>
  <si>
    <t>BMS Omnichannel Capability</t>
  </si>
  <si>
    <t>0064L000001ugmD</t>
  </si>
  <si>
    <t>Lancaster Colony Corporation</t>
  </si>
  <si>
    <t>TMZ - Performance Analyzer SaaS #RGM</t>
  </si>
  <si>
    <t>0064L00000B1na6</t>
  </si>
  <si>
    <t>Storage BU R&amp;D Diagnostic</t>
  </si>
  <si>
    <t>0064L00000CYnO7</t>
  </si>
  <si>
    <t>Xignux, S.A. de C.V..</t>
  </si>
  <si>
    <t>Xignux, S.A. de C.V.. Coupa P2P</t>
  </si>
  <si>
    <t>0064L00000B0jzU</t>
  </si>
  <si>
    <t>BD GDP Ph 2 Bridge #QMS</t>
  </si>
  <si>
    <t>Salil Thakar</t>
  </si>
  <si>
    <t>0064L00000Bnps2</t>
  </si>
  <si>
    <t>Shell Chemicals - CB Phase 3 - Salesforce Pilot</t>
  </si>
  <si>
    <t>0064L000001uhAA</t>
  </si>
  <si>
    <t>Cooper-Standard Holdings Inc.</t>
  </si>
  <si>
    <t>20/5/2023</t>
  </si>
  <si>
    <t>0064L00000BeV9J</t>
  </si>
  <si>
    <t>WO1 2022 - HCSC PSS Strategic Sourcing Support - Master SOW</t>
  </si>
  <si>
    <t>17/1/2022</t>
  </si>
  <si>
    <t>Nilesh Somaiya</t>
  </si>
  <si>
    <t>0064L000001wLE9</t>
  </si>
  <si>
    <t>GSK Performance Analyzer #RGM</t>
  </si>
  <si>
    <t>0064L00000BlHkS</t>
  </si>
  <si>
    <t>Alpha Onboarding Transformation Assessment</t>
  </si>
  <si>
    <t>0064I0000135A1Q</t>
  </si>
  <si>
    <t>Excellus CRM</t>
  </si>
  <si>
    <t>Holly Pohlmeyer</t>
  </si>
  <si>
    <t>0064L00000BoB6f</t>
  </si>
  <si>
    <t>GBS Eastern Europe Call Centers</t>
  </si>
  <si>
    <t>0064L00000CXjs4</t>
  </si>
  <si>
    <t>bp- C&amp;P - Quantum Expansion - Data &amp; Analytics organization stand up</t>
  </si>
  <si>
    <t>0064L00000CXjs9</t>
  </si>
  <si>
    <t>bp- C&amp;P - Quantum Expansion - Ongoing Integration Support</t>
  </si>
  <si>
    <t>0064L00000CXjrB</t>
  </si>
  <si>
    <t>bp- C&amp;P - Quantum Expansion - Finance Integration</t>
  </si>
  <si>
    <t>0064L00000CXjsT</t>
  </si>
  <si>
    <t>bp- C&amp;P - MX Integration into the ROO</t>
  </si>
  <si>
    <t>0064L00000CXjra</t>
  </si>
  <si>
    <t>bp- C&amp;P - Quantum Expansion - marketing / merchandising / food integration</t>
  </si>
  <si>
    <t>0064L00000CW5NQ</t>
  </si>
  <si>
    <t>Labcorp - Diagnostic revenue cycle system replacement Discovery Phase 2 &amp; Pre-implementation Planning</t>
  </si>
  <si>
    <t>0064L00000CW4q0</t>
  </si>
  <si>
    <t>TPRM Managed Services #TMTMSO</t>
  </si>
  <si>
    <t>0064L00000CXYv6</t>
  </si>
  <si>
    <t>BBYH - Revenue Cycle Management Phase 1</t>
  </si>
  <si>
    <t>0064L00000CVw5i</t>
  </si>
  <si>
    <t>Aptiv - Wind River VCO (Phase II)</t>
  </si>
  <si>
    <t>Eric Maskwa</t>
  </si>
  <si>
    <t>0064L00000B2P1j</t>
  </si>
  <si>
    <t>Nokia Oyj</t>
  </si>
  <si>
    <t>Integrated Financial Planning</t>
  </si>
  <si>
    <t>0064L000004yrPc</t>
  </si>
  <si>
    <t>Willkie Farr &amp; Gallagher Llp</t>
  </si>
  <si>
    <t>Design and implementation of SuperRoth elective nonqualified plan</t>
  </si>
  <si>
    <t>0064L00000CXZXb</t>
  </si>
  <si>
    <t>MS Finance ESG</t>
  </si>
  <si>
    <t>0064L000009Abal</t>
  </si>
  <si>
    <t>MSWM - Data Remediation Factory</t>
  </si>
  <si>
    <t>0064L00000BgZHo</t>
  </si>
  <si>
    <t>Honeywell Healthcare Growth Strategy</t>
  </si>
  <si>
    <t>0064L00000BgZHt</t>
  </si>
  <si>
    <t>MSFT HR - FY23 Strategic Program Support</t>
  </si>
  <si>
    <t>Bradley Johnson</t>
  </si>
  <si>
    <t>0064L0000041aWx</t>
  </si>
  <si>
    <t>University Health System</t>
  </si>
  <si>
    <t>*Strategic Reimbursement* - 2nd Reimbursement Services Contract Extension</t>
  </si>
  <si>
    <t>Walter Benton</t>
  </si>
  <si>
    <t>0064L00000BlXVJ</t>
  </si>
  <si>
    <t>HPE Contra ML POC - Aruba EMEA</t>
  </si>
  <si>
    <t>0064L00000CXFtU</t>
  </si>
  <si>
    <t>HP Talent Acquisition Reinvention</t>
  </si>
  <si>
    <t>0064L000009foOJ</t>
  </si>
  <si>
    <t>Blue Cross Blue Shield La</t>
  </si>
  <si>
    <t>Clinical Data Exchange #PayerAnalytics</t>
  </si>
  <si>
    <t>0064L00000CWg6v</t>
  </si>
  <si>
    <t>Lilly CSP Assessment</t>
  </si>
  <si>
    <t>Avery Caldwell</t>
  </si>
  <si>
    <t>0064L00000BoQDE</t>
  </si>
  <si>
    <t>RRP 2022-2023</t>
  </si>
  <si>
    <t>0064L00000BmmAe</t>
  </si>
  <si>
    <t>Payments One API Optimization</t>
  </si>
  <si>
    <t>0064L00000CVS8F</t>
  </si>
  <si>
    <t>American Airlines Group INC.</t>
  </si>
  <si>
    <t>AA - SAF Fuel Management Strategy #ESG</t>
  </si>
  <si>
    <t>Mark Beaver</t>
  </si>
  <si>
    <t>0064L00000DJZNx</t>
  </si>
  <si>
    <t>BMHCC VBO</t>
  </si>
  <si>
    <t>0064L00000DJYo4</t>
  </si>
  <si>
    <t>Equity Lifestyle Properties Inc.</t>
  </si>
  <si>
    <t>MRI Implementation - Phase 3</t>
  </si>
  <si>
    <t>Chris Moore</t>
  </si>
  <si>
    <t>0064L00000CVby5</t>
  </si>
  <si>
    <t>Statutory CoA + Ledgers - Gap Assessments</t>
  </si>
  <si>
    <t>0064L00000BmKCX</t>
  </si>
  <si>
    <t>DAIICHI SANKYO COMPANY, LIMITED</t>
  </si>
  <si>
    <t>#IOBP - DSI R&amp;D Accruals Implementation</t>
  </si>
  <si>
    <t>Shaun Varga</t>
  </si>
  <si>
    <t>0064L000002ZAuD</t>
  </si>
  <si>
    <t>Excellus - Project Cortland - Duals 2022 Strategy #GCOE  #DSNP</t>
  </si>
  <si>
    <t>0064L00000BmKFb</t>
  </si>
  <si>
    <t>0064L00000BoQP5</t>
  </si>
  <si>
    <t>LPL / Operations Operating Model Optimization / $500,000</t>
  </si>
  <si>
    <t>0064L000009Aapu</t>
  </si>
  <si>
    <t>OptumInsight digital value creation / digital factory</t>
  </si>
  <si>
    <t>0064L00000CXjKR</t>
  </si>
  <si>
    <t>AT&amp;T Biz Seller's Insight Portal for Fed, SLED, FirstNet</t>
  </si>
  <si>
    <t>0064L00000Bg7xD</t>
  </si>
  <si>
    <t>Digital Commerce</t>
  </si>
  <si>
    <t>0064L000009B1kh</t>
  </si>
  <si>
    <t>FPA and Close Support</t>
  </si>
  <si>
    <t>0064L00000Be33y</t>
  </si>
  <si>
    <t>Rite Aid- #ProjectNorthstar - FP&amp;A Short Term Process Improvement (Secondary)</t>
  </si>
  <si>
    <t>0064L00000Bg7z9</t>
  </si>
  <si>
    <t>Marketing Effectiveness</t>
  </si>
  <si>
    <t>0064L00000Bg7zd</t>
  </si>
  <si>
    <t>B2B Loyalty</t>
  </si>
  <si>
    <t>0064I000011pFhK</t>
  </si>
  <si>
    <t>Coca-Cola Leasing Software Implementation</t>
  </si>
  <si>
    <t>27/1/2020</t>
  </si>
  <si>
    <t>0064L00000Bmlr3</t>
  </si>
  <si>
    <t>FP&amp;A Transformation</t>
  </si>
  <si>
    <t>0064L00000997wO</t>
  </si>
  <si>
    <t>Multi-Line Digital Experience Strategy</t>
  </si>
  <si>
    <t>0064L00000BmlsG</t>
  </si>
  <si>
    <t>GBS/SSC Assessment</t>
  </si>
  <si>
    <t>0064L00000CYlt3</t>
  </si>
  <si>
    <t>WF CIB Front Line Procedures Factory</t>
  </si>
  <si>
    <t>0064L000004yakO</t>
  </si>
  <si>
    <t>Cravath Swaine &amp; Moore Llp</t>
  </si>
  <si>
    <t>0064L000007wILe</t>
  </si>
  <si>
    <t>UTRGV FFG Phase II Implementation</t>
  </si>
  <si>
    <t>30/4/2021</t>
  </si>
  <si>
    <t>0064L000007wIMD</t>
  </si>
  <si>
    <t>University Of Miami</t>
  </si>
  <si>
    <t>UMiami MSOM FFG</t>
  </si>
  <si>
    <t>0064L00000Bkwqy</t>
  </si>
  <si>
    <t>Delta ERISA Expert Witness</t>
  </si>
  <si>
    <t>Jack Abraham</t>
  </si>
  <si>
    <t>Jared Bourgeois</t>
  </si>
  <si>
    <t>0064L00000BoPyd</t>
  </si>
  <si>
    <t>United Parcel Services Co.</t>
  </si>
  <si>
    <t>ERISA Expert Witness Support</t>
  </si>
  <si>
    <t>0064L00000CXYSp</t>
  </si>
  <si>
    <t>Embecta Separation Strategy</t>
  </si>
  <si>
    <t>0064L0000041PAv</t>
  </si>
  <si>
    <t>Arca Continental, S.A.B. de C.V.</t>
  </si>
  <si>
    <t>ARCA - Mx2020 - RGM to MGM process evolution</t>
  </si>
  <si>
    <t>Jorge Senties</t>
  </si>
  <si>
    <t>Jorge Sanchez</t>
  </si>
  <si>
    <t>0064L00000BnMxx</t>
  </si>
  <si>
    <t>Partner Programs and Operations</t>
  </si>
  <si>
    <t>0064L00000DJkfI</t>
  </si>
  <si>
    <t>State Of Missouri</t>
  </si>
  <si>
    <t>2022-2023 Valuation Cycle</t>
  </si>
  <si>
    <t>Becky Brenza</t>
  </si>
  <si>
    <t>0064L00000AplKQ</t>
  </si>
  <si>
    <t>Molina Healthcare, Inc.</t>
  </si>
  <si>
    <t>Molina Driver Based Planning</t>
  </si>
  <si>
    <t>0064L00000ArQ0H</t>
  </si>
  <si>
    <t>BKR DS Repair Components Depreciation</t>
  </si>
  <si>
    <t>30/10/2021</t>
  </si>
  <si>
    <t>21/9/2022</t>
  </si>
  <si>
    <t>0064L00000CWCP6</t>
  </si>
  <si>
    <t>KeyBank cost modeling license - #NextGenCostingMSO</t>
  </si>
  <si>
    <t>0064L00000CWCOc</t>
  </si>
  <si>
    <t>The Bank of Nova Scotia</t>
  </si>
  <si>
    <t>0064L00000CXFVD</t>
  </si>
  <si>
    <t>A&amp;H VB Mobilization and Roadmapping</t>
  </si>
  <si>
    <t>0064L000002a2gX</t>
  </si>
  <si>
    <t>Anthem MyNexus Integration</t>
  </si>
  <si>
    <t>29/3/2021</t>
  </si>
  <si>
    <t>0064L00000BfUhT</t>
  </si>
  <si>
    <t>B2B2C Loyalty</t>
  </si>
  <si>
    <t>0064L00000ArNSM</t>
  </si>
  <si>
    <t>SRM Assessment</t>
  </si>
  <si>
    <t>David Wright</t>
  </si>
  <si>
    <t>0064L00000BfUiR</t>
  </si>
  <si>
    <t>0064L00000BlEyC</t>
  </si>
  <si>
    <t>Operational Excellence</t>
  </si>
  <si>
    <t>0064L000006BSLN</t>
  </si>
  <si>
    <t>MSWM Graystone-Institutional Op Model Execution (TBD-TBD) #WM</t>
  </si>
  <si>
    <t>0064L00000DBQXH</t>
  </si>
  <si>
    <t>Labcorp - Diagnostic revenue cycle system replacement - Cerner Assessment Change Order #4*Rev Cycle* *RC Tech</t>
  </si>
  <si>
    <t>0064L00000Bp0iE</t>
  </si>
  <si>
    <t>Deutsche Telekom AG</t>
  </si>
  <si>
    <t>ROX in partnership with Qualtrics expansion</t>
  </si>
  <si>
    <t>Ron Haas</t>
  </si>
  <si>
    <t>0064L000002Zqtz</t>
  </si>
  <si>
    <t>Cadwalader Wickersham &amp; Taft</t>
  </si>
  <si>
    <t>23/3/2021</t>
  </si>
  <si>
    <t>0064L00000BlWcT</t>
  </si>
  <si>
    <t>0064L00000BorMl</t>
  </si>
  <si>
    <t>UBS Project Overdrive: Customer Link Analytics as a Service</t>
  </si>
  <si>
    <t>UBS Project Overdrive: Customer Link Segmentation Deepening</t>
  </si>
  <si>
    <t>0064L000007ubN3</t>
  </si>
  <si>
    <t>Acct Optimization Design &amp; Impl-Phase III</t>
  </si>
  <si>
    <t>0064L00000BliKg</t>
  </si>
  <si>
    <t>Barclays CB&amp;P Resiliency Operating Model Implementation</t>
  </si>
  <si>
    <t>0064L00000CVsdl</t>
  </si>
  <si>
    <t>Biz Expansion - Phase II</t>
  </si>
  <si>
    <t>0064L00000B2MWP</t>
  </si>
  <si>
    <t>bp P&amp;O Maintenance and Reliability, Phase 1</t>
  </si>
  <si>
    <t>0064L00000DBQbn</t>
  </si>
  <si>
    <t>VCG Refurbished Device Strategy</t>
  </si>
  <si>
    <t>0064L000009gLRd</t>
  </si>
  <si>
    <t>CIB - Business Simplification (Alteryx)</t>
  </si>
  <si>
    <t>Bill Pereira</t>
  </si>
  <si>
    <t>0064L000007xYwY</t>
  </si>
  <si>
    <t>Reimagine Campaign - Asset Lifecycle Management (Implementation Phase 3)</t>
  </si>
  <si>
    <t>0064L000009fl2C</t>
  </si>
  <si>
    <t>PRIME Conversions</t>
  </si>
  <si>
    <t>GPE Issuing TAM Assessment</t>
  </si>
  <si>
    <t>0064L000002a329</t>
  </si>
  <si>
    <t>CBRE Group Inc</t>
  </si>
  <si>
    <t>DCS Follow-On Remediation Support From Ops Risk Assessment</t>
  </si>
  <si>
    <t>CS_Cloud_TMT</t>
  </si>
  <si>
    <t>DCS Operational Risk Assessment - SCO</t>
  </si>
  <si>
    <t>Pierre Ferrandi</t>
  </si>
  <si>
    <t>0065800000YZfTN</t>
  </si>
  <si>
    <t>Organ Acquisition Reimbursement Assessment - *Strategic Reimbursement*</t>
  </si>
  <si>
    <t>29/3/2018</t>
  </si>
  <si>
    <t>0064L000002ZaCx</t>
  </si>
  <si>
    <t>Alcohol Global priorities assessment</t>
  </si>
  <si>
    <t>0064L00000BosB0</t>
  </si>
  <si>
    <t>Pharmacy Assessment</t>
  </si>
  <si>
    <t>0064L000001uxOm</t>
  </si>
  <si>
    <t>HighRoads - product &amp; benefit implementation support #PayerCO&amp;ITrans</t>
  </si>
  <si>
    <t>0064L00000BkuS1</t>
  </si>
  <si>
    <t>GE Aviation Inventory Transformation</t>
  </si>
  <si>
    <t>Mark Hermans</t>
  </si>
  <si>
    <t>0064L000002bzoh</t>
  </si>
  <si>
    <t>FY21-25 Transfer DRG &amp; SB Analysis - *Strategic Reimbursement*</t>
  </si>
  <si>
    <t>0064L00000CWtsI</t>
  </si>
  <si>
    <t>American Automobile Association, Inc., The</t>
  </si>
  <si>
    <t>AAA - 2022 - Digital Transformation</t>
  </si>
  <si>
    <t>0064L00000BfefV</t>
  </si>
  <si>
    <t>AAA Northeast</t>
  </si>
  <si>
    <t>Potential work after ESG Strategy - continuation of board sessions</t>
  </si>
  <si>
    <t>0064L000002bjU2</t>
  </si>
  <si>
    <t>Retail Bank- Core Modernization</t>
  </si>
  <si>
    <t>0064L000007wihv</t>
  </si>
  <si>
    <t>VGX3100 Launch Strategy - US Market Access Strategy</t>
  </si>
  <si>
    <t>0064L00000BfejH</t>
  </si>
  <si>
    <t>SUMITOMO CHEMICAL COMPANY, LIMITED</t>
  </si>
  <si>
    <t>Sumitomo - Value Initiatives &amp; Strategic Study Planning #RWDEvGen</t>
  </si>
  <si>
    <t>0064L00000Bl59K</t>
  </si>
  <si>
    <t>Intel - IFS Operating Model</t>
  </si>
  <si>
    <t>0064L00000CGwMI</t>
  </si>
  <si>
    <t>1305290 ONTARIO INC</t>
  </si>
  <si>
    <t>Electronics Control Tower</t>
  </si>
  <si>
    <t>0064L00000CVOu4</t>
  </si>
  <si>
    <t>Godaddy Inc.</t>
  </si>
  <si>
    <t>GoDaddy - CDaaS</t>
  </si>
  <si>
    <t>15/3/2022</t>
  </si>
  <si>
    <t>Matt Beers</t>
  </si>
  <si>
    <t>0064L00000CGwQQ</t>
  </si>
  <si>
    <t>E2E July Support Planning - 2022</t>
  </si>
  <si>
    <t>0064L00000BnnFq</t>
  </si>
  <si>
    <t>Analog Devices, Inc.</t>
  </si>
  <si>
    <t>Marketing Transformation P1 #TMTPricing</t>
  </si>
  <si>
    <t>0064L00000BopkH</t>
  </si>
  <si>
    <t>Subservicing Operating Model</t>
  </si>
  <si>
    <t>Stephanie Williams</t>
  </si>
  <si>
    <t>0064L00000Bmjeb</t>
  </si>
  <si>
    <t>ORx - Network Strategy</t>
  </si>
  <si>
    <t>0064L00000BkuaP</t>
  </si>
  <si>
    <t>MDACC Innovation Market Research Services</t>
  </si>
  <si>
    <t>BXT Works: Products</t>
  </si>
  <si>
    <t>0064L00000DJXR4</t>
  </si>
  <si>
    <t>Rocket Mortgage IVR Transformation</t>
  </si>
  <si>
    <t>Erika Ward</t>
  </si>
  <si>
    <t>0064L00000CGwSb</t>
  </si>
  <si>
    <t>WestRock Sourcing &amp; Procurement Transformation</t>
  </si>
  <si>
    <t>Martin Cantu Mena</t>
  </si>
  <si>
    <t>0064L00000CWAzs</t>
  </si>
  <si>
    <t>Call Center Transformation</t>
  </si>
  <si>
    <t>Katryna Ramirez</t>
  </si>
  <si>
    <t>0064L00000BfUR6</t>
  </si>
  <si>
    <t>Ally Bank - Blueprint + Core Selection #FOB-Blueprint</t>
  </si>
  <si>
    <t>Gabrielle Niland</t>
  </si>
  <si>
    <t>0064L00000Bp0LK</t>
  </si>
  <si>
    <t>Patrick Industries Inc.</t>
  </si>
  <si>
    <t>Aftermarket Ecommerce Strategy &amp; Prototype</t>
  </si>
  <si>
    <t>0064L000002aCwj</t>
  </si>
  <si>
    <t>Catalina Finance Transformation Phase 1</t>
  </si>
  <si>
    <t>Sean Austermehle</t>
  </si>
  <si>
    <t>0064L000003zWza</t>
  </si>
  <si>
    <t>BCBSM Health Care Values Strategic Plan</t>
  </si>
  <si>
    <t>21/9/2020</t>
  </si>
  <si>
    <t>0064L00000BoNlD</t>
  </si>
  <si>
    <t>ncino Commercial LOS Discovery #&lt;$50B</t>
  </si>
  <si>
    <t>0064L00000BoNke</t>
  </si>
  <si>
    <t>A&amp;H Administration and Claims Assessment Extension - 90 Day Plan</t>
  </si>
  <si>
    <t>0064L00000CWTAJ</t>
  </si>
  <si>
    <t>WFRD Contract Management / CLM Implementation Support #S&amp;P#POD</t>
  </si>
  <si>
    <t>0064L00000CGwVG</t>
  </si>
  <si>
    <t>AT&amp;T Compass Operationalisation</t>
  </si>
  <si>
    <t>Fred Brown</t>
  </si>
  <si>
    <t>Darren Shea</t>
  </si>
  <si>
    <t>0064L000009BANw</t>
  </si>
  <si>
    <t>Pricing Models</t>
  </si>
  <si>
    <t>0064L000009BANx</t>
  </si>
  <si>
    <t>Enterprise Cost Take Out</t>
  </si>
  <si>
    <t>0064I00000y8sSX</t>
  </si>
  <si>
    <t>Category Management</t>
  </si>
  <si>
    <t>0064L00000BoprS</t>
  </si>
  <si>
    <t>Audit</t>
  </si>
  <si>
    <t>Edward Nguyen</t>
  </si>
  <si>
    <t>0064L00000CY8IX</t>
  </si>
  <si>
    <t>TMT Pricing Pod Collateral Development</t>
  </si>
  <si>
    <t>Michael Kellagher</t>
  </si>
  <si>
    <t>0064L00000CXWIy</t>
  </si>
  <si>
    <t>Kite: Transformation - IT: Global Launch IT Support Extension</t>
  </si>
  <si>
    <t>Andrew Sofield</t>
  </si>
  <si>
    <t>Tonia Wu</t>
  </si>
  <si>
    <t>0064L00000CWTH0</t>
  </si>
  <si>
    <t>Recycling Automation</t>
  </si>
  <si>
    <t>Shirley Wilson</t>
  </si>
  <si>
    <t>0064L00000CY8L1</t>
  </si>
  <si>
    <t>Policy Redesign</t>
  </si>
  <si>
    <t>0064L00000BlEiT</t>
  </si>
  <si>
    <t>Platform Services NAOU Transportation Value Capture</t>
  </si>
  <si>
    <t>0064L00000ArNF8</t>
  </si>
  <si>
    <t>L3Harris FFG Corporate Functions</t>
  </si>
  <si>
    <t>Charlotte Biladeau</t>
  </si>
  <si>
    <t>0064L00000ArNEy</t>
  </si>
  <si>
    <t>AT&amp;T - HR Talent Strategy</t>
  </si>
  <si>
    <t>James Sullivan</t>
  </si>
  <si>
    <t>0064I0000132VJk</t>
  </si>
  <si>
    <t>King &amp; Spalding LLP</t>
  </si>
  <si>
    <t>COLI financing for NQ plans #Powerof5</t>
  </si>
  <si>
    <t>26/2/2020</t>
  </si>
  <si>
    <t>Matthew Kasper</t>
  </si>
  <si>
    <t>0064L000009AOG9</t>
  </si>
  <si>
    <t>D3 Analytics Outsourcing/Structuring</t>
  </si>
  <si>
    <t>20/10/2022</t>
  </si>
  <si>
    <t>0064L00000Bopyx</t>
  </si>
  <si>
    <t>BX Real Estate - Fund Admin Readiness and Conversion Support</t>
  </si>
  <si>
    <t>0064L000001uezZ</t>
  </si>
  <si>
    <t>Trinity Health - SCH/MDH Volume Decrease Adjustment (VDA) - *Strategic Reimbursement*</t>
  </si>
  <si>
    <t>25/6/2020</t>
  </si>
  <si>
    <t>0064L00000B2oqP</t>
  </si>
  <si>
    <t>Business Value Realization</t>
  </si>
  <si>
    <t>Patryk Siemion</t>
  </si>
  <si>
    <t>0064L00000ArMkF</t>
  </si>
  <si>
    <t>Intel Marketplace _ Design Phase - Sprint 1</t>
  </si>
  <si>
    <t>0064L00000CXfRB</t>
  </si>
  <si>
    <t>Ecosystem Strategy LatAM</t>
  </si>
  <si>
    <t>0064L000004vBox</t>
  </si>
  <si>
    <t>Avient Corporation</t>
  </si>
  <si>
    <t>Avient Finance Operating Model Phase 2</t>
  </si>
  <si>
    <t>Avient Finance Operating Model Assessment Phase 1</t>
  </si>
  <si>
    <t>Jeffrey Mealy</t>
  </si>
  <si>
    <t>0064L00000CWcNM</t>
  </si>
  <si>
    <t>Surgical business growth strategy</t>
  </si>
  <si>
    <t>0064L00000Blx58</t>
  </si>
  <si>
    <t>American Council On Exercise</t>
  </si>
  <si>
    <t>ACE Fitness - Subscription Transformation - Phase 2</t>
  </si>
  <si>
    <t>Federico Loguzzo</t>
  </si>
  <si>
    <t>0064L00000DJVbR</t>
  </si>
  <si>
    <t>Digital Value Creation</t>
  </si>
  <si>
    <t>Bryan Hill</t>
  </si>
  <si>
    <t>0064L00000AqjjT</t>
  </si>
  <si>
    <t>Danaher Corporation</t>
  </si>
  <si>
    <t>Danaher ESV PLS XPC</t>
  </si>
  <si>
    <t>0064L00000DJVcA</t>
  </si>
  <si>
    <t>Spans &amp; Layers Phase II</t>
  </si>
  <si>
    <t>0064L00000Bn9W1</t>
  </si>
  <si>
    <t>Labcorp - ERP Transformation</t>
  </si>
  <si>
    <t>Craig Gooch</t>
  </si>
  <si>
    <t>0064L00000CXCrU</t>
  </si>
  <si>
    <t>Talent Experience and Upskilling Journey - #ProEdgexWorkforce</t>
  </si>
  <si>
    <t>Erwin Cuison</t>
  </si>
  <si>
    <t>0064L00000Bg4eK</t>
  </si>
  <si>
    <t>ADP CoSo SmartConnect Migrations</t>
  </si>
  <si>
    <t>0064L000002aAk1</t>
  </si>
  <si>
    <t>Ingersoll Rand Inc.</t>
  </si>
  <si>
    <t>IR - Logistics Strategy and Supply Chain Flexibility</t>
  </si>
  <si>
    <t>31/3/2021</t>
  </si>
  <si>
    <t>0064L000004xHyF</t>
  </si>
  <si>
    <t>IU Health_Salesforce Contact Center Discovery_SFDC</t>
  </si>
  <si>
    <t>21/1/2021</t>
  </si>
  <si>
    <t>0064L00000DJVi8</t>
  </si>
  <si>
    <t>SFDC R2R Process Improvement and Operating Model Strategy</t>
  </si>
  <si>
    <t>Amanda Chaum</t>
  </si>
  <si>
    <t>0064L00000CWB5H</t>
  </si>
  <si>
    <t>Stacy Dunton</t>
  </si>
  <si>
    <t>0064L0000099vwG</t>
  </si>
  <si>
    <t>HUN - Darwin Expansions</t>
  </si>
  <si>
    <t>30/3/2022 4:50 pm</t>
  </si>
  <si>
    <t>0064L000002bwfo</t>
  </si>
  <si>
    <t>D&amp;I Strategy and Program #ESG</t>
  </si>
  <si>
    <t>22/5/2021</t>
  </si>
  <si>
    <t>0064L00000BcmFt</t>
  </si>
  <si>
    <t>Med Ed Analysis - *Strategic Reimbursement*</t>
  </si>
  <si>
    <t>0064L00000BgVnh</t>
  </si>
  <si>
    <t>Project Lotus - Workday Job Architecture, Security, and Process Optimization</t>
  </si>
  <si>
    <t>0064L00000AqHsY</t>
  </si>
  <si>
    <t>Allakos Inc.</t>
  </si>
  <si>
    <t>Strategic commercialization plan</t>
  </si>
  <si>
    <t>0064L000002cHGj</t>
  </si>
  <si>
    <t>Novo Nordisk A/S</t>
  </si>
  <si>
    <t>#IOBP -- PPM Analysis and Roadmap</t>
  </si>
  <si>
    <t>0064L000002aS5V</t>
  </si>
  <si>
    <t>ERP Market Considerations</t>
  </si>
  <si>
    <t>0064L00000BnmKa</t>
  </si>
  <si>
    <t>Payroll Work Style Project</t>
  </si>
  <si>
    <t>Brian Neff</t>
  </si>
  <si>
    <t>0064L00000BfvUJ</t>
  </si>
  <si>
    <t>Sumitomo Life Insurance Company</t>
  </si>
  <si>
    <t>US Group Strategy</t>
  </si>
  <si>
    <t>Marie Carr</t>
  </si>
  <si>
    <t>Tucker Kabat</t>
  </si>
  <si>
    <t>0064L00000CXwfN</t>
  </si>
  <si>
    <t>Daimler Truck Holding AG</t>
  </si>
  <si>
    <t>DT AG - Financial Svs Salesforce Data Driven Marketing</t>
  </si>
  <si>
    <t>0064L00000BopRP</t>
  </si>
  <si>
    <t>Digital supply chain opportunities</t>
  </si>
  <si>
    <t>0064L0000099DOl</t>
  </si>
  <si>
    <t>The Travelers Companies Inc.</t>
  </si>
  <si>
    <t>Enterprise Operational Cost Reduction</t>
  </si>
  <si>
    <t>0064L00000CWBCJ</t>
  </si>
  <si>
    <t>0064L00000CWBE7</t>
  </si>
  <si>
    <t>Customer Engagement Strategy</t>
  </si>
  <si>
    <t>0064L0000068uh9</t>
  </si>
  <si>
    <t>Workflow Implementation</t>
  </si>
  <si>
    <t>0064L00000CWBBy</t>
  </si>
  <si>
    <t>0064L000009Ama3</t>
  </si>
  <si>
    <t>Cornerstone Building Brands, Inc.</t>
  </si>
  <si>
    <t>Production System Optimization PMO &amp; CM</t>
  </si>
  <si>
    <t>Jaime Weber</t>
  </si>
  <si>
    <t>0064L00000DJVyf</t>
  </si>
  <si>
    <t>News Corporation</t>
  </si>
  <si>
    <t>News Corp Bank Rationalization &amp; Payment Hub Implementation</t>
  </si>
  <si>
    <t>0064L000009f6GA</t>
  </si>
  <si>
    <t>Working Capital Transformation - O2C Phase 1</t>
  </si>
  <si>
    <t>0064L00000CWBFZ</t>
  </si>
  <si>
    <t>Joint GTM for Engagement</t>
  </si>
  <si>
    <t>0064L00000CWBGI</t>
  </si>
  <si>
    <t>0064L00000CWBGm</t>
  </si>
  <si>
    <t>0064L00000CXgNc</t>
  </si>
  <si>
    <t>CCR RFP Response</t>
  </si>
  <si>
    <t>Ayesha Datta</t>
  </si>
  <si>
    <t>0064L00000CX3jk</t>
  </si>
  <si>
    <t>Florida Atlantic University</t>
  </si>
  <si>
    <t>*CI* Medical School Expansion</t>
  </si>
  <si>
    <t>0064L00000CXDke</t>
  </si>
  <si>
    <t>AB SPS Finance Optimization</t>
  </si>
  <si>
    <t>Kevin Sullivan</t>
  </si>
  <si>
    <t>0064L00000Bp09O</t>
  </si>
  <si>
    <t>Fortive Corporation</t>
  </si>
  <si>
    <t>ASP Digital Commerce Phase-1</t>
  </si>
  <si>
    <t>Yasheeka Garg</t>
  </si>
  <si>
    <t>0064L00000CY81i</t>
  </si>
  <si>
    <t>Supplier enablement - science-based targets</t>
  </si>
  <si>
    <t>0064L00000BoO9Z</t>
  </si>
  <si>
    <t>Alteryx CoE Build</t>
  </si>
  <si>
    <t>0064L00000CYxsN</t>
  </si>
  <si>
    <t>Master Limited Partnership Association</t>
  </si>
  <si>
    <t>Energy Infrastructure Council - #ESG Climate Disclosure Cost of Compliance</t>
  </si>
  <si>
    <t>Cora Lee Mooney</t>
  </si>
  <si>
    <t>Chris Leavell</t>
  </si>
  <si>
    <t>0064L00000B2Lk6</t>
  </si>
  <si>
    <t>Principal Financial Group, Inc</t>
  </si>
  <si>
    <t>Group Benefits Ecosystem Strategy #ITC2021</t>
  </si>
  <si>
    <t>0064L00000CWQLN</t>
  </si>
  <si>
    <t>Intel DCAI / CESG Cloud Growth Acceleration</t>
  </si>
  <si>
    <t>0064L00000CYFOm</t>
  </si>
  <si>
    <t>Project Dragonfly Extension</t>
  </si>
  <si>
    <t>Michael Oliveri</t>
  </si>
  <si>
    <t>0064L00000BoM8o</t>
  </si>
  <si>
    <t>NTAS Onboarding Assessment</t>
  </si>
  <si>
    <t>0064L0000099hBF</t>
  </si>
  <si>
    <t>Marketing Sophistication</t>
  </si>
  <si>
    <t>0064L00000BeNzb</t>
  </si>
  <si>
    <t>ETFC Digital Direct Growth Strategy</t>
  </si>
  <si>
    <t>0064L00000BoM9w</t>
  </si>
  <si>
    <t>Wells Fargo - Digital Assets Implications Assessment (ESV)</t>
  </si>
  <si>
    <t>0064L0000099hAC</t>
  </si>
  <si>
    <t>Business Process Automation</t>
  </si>
  <si>
    <t>0064L00000BksS9</t>
  </si>
  <si>
    <t>Intel - IFS SC Capabilities Design Assessment</t>
  </si>
  <si>
    <t>0064L00000AqzoO</t>
  </si>
  <si>
    <t>BlackRock, Inc</t>
  </si>
  <si>
    <t>Blackrock Payment System Implementation</t>
  </si>
  <si>
    <t>0064L0000099F7Y</t>
  </si>
  <si>
    <t>0064L000004wyq0</t>
  </si>
  <si>
    <t>GG Brands Company</t>
  </si>
  <si>
    <t>Gorilla Glue Performance Analyzer #RGM</t>
  </si>
  <si>
    <t>15/1/2021</t>
  </si>
  <si>
    <t>0064I000011ot7u</t>
  </si>
  <si>
    <t>Frankenmuth Mutual Insurance Company</t>
  </si>
  <si>
    <t>Distribution Management - Inception</t>
  </si>
  <si>
    <t>24/1/2020</t>
  </si>
  <si>
    <t>0064L00000BcZa3</t>
  </si>
  <si>
    <t>CLV Modelling</t>
  </si>
  <si>
    <t>25/11/2021</t>
  </si>
  <si>
    <t>0064L00000BgVKu</t>
  </si>
  <si>
    <t>Hershey - AEP implementation - phase 2</t>
  </si>
  <si>
    <t>0064L00000DJgKx</t>
  </si>
  <si>
    <t>NBH - Digital Transformation Strategy Blueprint</t>
  </si>
  <si>
    <t>0064L00000DFlCJ</t>
  </si>
  <si>
    <t>KDP - Digital route to market - eB2B #RGM -  MVP/POC</t>
  </si>
  <si>
    <t>0064L0000040jlU</t>
  </si>
  <si>
    <t>GBS Phase 1 - Strategy and Planning #FFG</t>
  </si>
  <si>
    <t>0064L00000Apwrb</t>
  </si>
  <si>
    <t>BMS Med Affairs Planning and Data Integration Phase 0</t>
  </si>
  <si>
    <t>25/8/2021</t>
  </si>
  <si>
    <t>0064L00000DJfnj</t>
  </si>
  <si>
    <t>Bridgewater - Vendor Agreement Revisions</t>
  </si>
  <si>
    <t>Jake Wiley</t>
  </si>
  <si>
    <t>0064L0000041LKr</t>
  </si>
  <si>
    <t>KP Interoperability CY 22 Run #PayerAnalytics</t>
  </si>
  <si>
    <t>0064L00000DFke8</t>
  </si>
  <si>
    <t>P66 Reliability Program - APM Extension</t>
  </si>
  <si>
    <t>Jason Carter</t>
  </si>
  <si>
    <t>0064L00000DJfnZ</t>
  </si>
  <si>
    <t>Bridgewater  - Employment Agreement Revisions</t>
  </si>
  <si>
    <t>0064L00000DJfo8</t>
  </si>
  <si>
    <t>Bridgewater - Regulatory Compliance Retainer</t>
  </si>
  <si>
    <t>0064L00000CW07i</t>
  </si>
  <si>
    <t>Harvard Maintenance, Inc.</t>
  </si>
  <si>
    <t>Harvard Services - Private - Managed Services</t>
  </si>
  <si>
    <t>23/6/2022</t>
  </si>
  <si>
    <t>0064L00000DJfpL</t>
  </si>
  <si>
    <t>Bridgewater - Insurance Products</t>
  </si>
  <si>
    <t>0064L00000BonjC</t>
  </si>
  <si>
    <t>Nuvasive Inc.</t>
  </si>
  <si>
    <t>NuVasive Growth Strategy</t>
  </si>
  <si>
    <t>0064L000009BOl0</t>
  </si>
  <si>
    <t>HPE - GreenLake Deal Governance #TMTPricing</t>
  </si>
  <si>
    <t>0064L00000DJfox</t>
  </si>
  <si>
    <t>Bridgewater - Geopolitical Retainer</t>
  </si>
  <si>
    <t>0064L00000DJfow</t>
  </si>
  <si>
    <t>Bridgewater - Investor Servicing</t>
  </si>
  <si>
    <t>0064L00000DJVRb</t>
  </si>
  <si>
    <t>CPG Finance Optimization FY '23 - North America Phase 1</t>
  </si>
  <si>
    <t>0064L00000BlDBT</t>
  </si>
  <si>
    <t>Zhejiang Geely Holding Group Co., Ltd.</t>
  </si>
  <si>
    <t>Volvo Cars_CRM Expansion_Salesforce</t>
  </si>
  <si>
    <t>0064L000002ZNgv</t>
  </si>
  <si>
    <t>T.Marzetti - SAP TPM AMS #RGM</t>
  </si>
  <si>
    <t>0064L00000DJfxA</t>
  </si>
  <si>
    <t>nxtgenERP Finance Support (L48)</t>
  </si>
  <si>
    <t>0064L00000CYWj7</t>
  </si>
  <si>
    <t>Tech Ops Supply Chain Assessment</t>
  </si>
  <si>
    <t>Ryan Finnamore</t>
  </si>
  <si>
    <t>0064L000001w86l</t>
  </si>
  <si>
    <t>IU Health PRM &amp; Referral Management Strategy and Roadmap</t>
  </si>
  <si>
    <t>Ray Chung</t>
  </si>
  <si>
    <t>0064L000001w86g</t>
  </si>
  <si>
    <t>Saint Luke's Health System Inc.</t>
  </si>
  <si>
    <t>PRM &amp; Referral Management Strategy and Roadmap (Nebraska Market)</t>
  </si>
  <si>
    <t>0064L000002aBQS</t>
  </si>
  <si>
    <t>Net Zero Strategy #ESG</t>
  </si>
  <si>
    <t>0064L00000Bg4Zo</t>
  </si>
  <si>
    <t>Sarepta Therapeutics Inc</t>
  </si>
  <si>
    <t>Clinical Development Op Model Refresh</t>
  </si>
  <si>
    <t>0064L00000DFZpj</t>
  </si>
  <si>
    <t>Embecta - Marketo Integration</t>
  </si>
  <si>
    <t>Christopher Harmon</t>
  </si>
  <si>
    <t>0064L00000CVOG4</t>
  </si>
  <si>
    <t>GPC Unifier Phase 2</t>
  </si>
  <si>
    <t>GPC Unifier Extension</t>
  </si>
  <si>
    <t>0064L00000DFlRt</t>
  </si>
  <si>
    <t>Demand Forecasting as a Service, S&amp;OP, and Digital Twin</t>
  </si>
  <si>
    <t>Emily Smoot</t>
  </si>
  <si>
    <t>0064L00000BmXPj</t>
  </si>
  <si>
    <t>Luye Investment Group Co., Ltd</t>
  </si>
  <si>
    <t>Return on Experience</t>
  </si>
  <si>
    <t>0064L00000CXg0J</t>
  </si>
  <si>
    <t>Call Center of the Future / Op Model Design</t>
  </si>
  <si>
    <t>Mindy Hsiang</t>
  </si>
  <si>
    <t>0064L00000Bm4LJ</t>
  </si>
  <si>
    <t>Cleveland Clinic Global Solutions, LLC</t>
  </si>
  <si>
    <t>Cleveland Clinic CX Qualtrics Implementation</t>
  </si>
  <si>
    <t>0064L000004xY6u</t>
  </si>
  <si>
    <t>Intel Enhance Gladius Transformation</t>
  </si>
  <si>
    <t>25/1/2021</t>
  </si>
  <si>
    <t>0064L000003zeDu</t>
  </si>
  <si>
    <t>Elanco Animal Health Incorporated</t>
  </si>
  <si>
    <t>Elanco Ops Transformation Roadmap</t>
  </si>
  <si>
    <t>23/9/2020</t>
  </si>
  <si>
    <t>0064L000006CQkc</t>
  </si>
  <si>
    <t>MSK - Help Desk</t>
  </si>
  <si>
    <t>0064L00000Ar8fL</t>
  </si>
  <si>
    <t>SNC-Lavalin Group Inc.</t>
  </si>
  <si>
    <t>SNC Shared Services Wave 2 implementation</t>
  </si>
  <si>
    <t>Giancarlo Lazzaro</t>
  </si>
  <si>
    <t>0064L00000DBMJp</t>
  </si>
  <si>
    <t>HRIS Strategy &amp; Selection</t>
  </si>
  <si>
    <t>0064L000004vQr7</t>
  </si>
  <si>
    <t>Eaton Treasury and WCM</t>
  </si>
  <si>
    <t>0064L00000Blv8K</t>
  </si>
  <si>
    <t>PLM Assessment</t>
  </si>
  <si>
    <t>Vivek Shrivastava</t>
  </si>
  <si>
    <t>0064L000001vw07</t>
  </si>
  <si>
    <t>WF CB Data Strategy - Wallet Share Use Case Ph2 #comm50b+ #FoTFSDistribution</t>
  </si>
  <si>
    <t>Katie Tamarelli</t>
  </si>
  <si>
    <t>0064L00000ApehX</t>
  </si>
  <si>
    <t>Wells Fargo Cost Transformation</t>
  </si>
  <si>
    <t>0064L00000CX0pp</t>
  </si>
  <si>
    <t>*CI* KP BJT SOM Title IV</t>
  </si>
  <si>
    <t>0064L000004vtJ5</t>
  </si>
  <si>
    <t>17/12/2020</t>
  </si>
  <si>
    <t>0064L00000B1X3N</t>
  </si>
  <si>
    <t>Strategic Sourcing / Cost Takeout - Wave 1</t>
  </si>
  <si>
    <t>0064L00000Ar9Sm</t>
  </si>
  <si>
    <t>MSFT HR - FY22 GTA Extension - Skill-Based Hiring Model</t>
  </si>
  <si>
    <t>Gabrielle Kuey</t>
  </si>
  <si>
    <t>0064L00000BcZFA</t>
  </si>
  <si>
    <t>NetJets Finance evolution roadmap and ERP #selection</t>
  </si>
  <si>
    <t>0064L00000BgerD</t>
  </si>
  <si>
    <t>Mubadala Investment Company P.J.S.C.</t>
  </si>
  <si>
    <t>Performance Management and Employee Experience</t>
  </si>
  <si>
    <t>0064L000002btvx</t>
  </si>
  <si>
    <t>Nuvance CDM Consolidation - Phase 2 *Rev Cycle*</t>
  </si>
  <si>
    <t>0064L00000BnkHj</t>
  </si>
  <si>
    <t>DSI - OCM support for Modern Work Tenant Consolidation and Security 8/30/21</t>
  </si>
  <si>
    <t>CS_Data_Risk_Privacy</t>
  </si>
  <si>
    <t>0064L000009g7Nn</t>
  </si>
  <si>
    <t>Customer Centricity and Transformation - Initial phase</t>
  </si>
  <si>
    <t>Venky Jayaraman</t>
  </si>
  <si>
    <t>0064L00000ArJXc</t>
  </si>
  <si>
    <t>McDermott International Inc.</t>
  </si>
  <si>
    <t>Product Line Transformation Phase 1</t>
  </si>
  <si>
    <t>Sukanya Doshi</t>
  </si>
  <si>
    <t>0064L00000BlSbR</t>
  </si>
  <si>
    <t>Vanderbilt University Medical Center</t>
  </si>
  <si>
    <t>Comprehensive Reimbursement Services *Strategic Reimbursement*</t>
  </si>
  <si>
    <t>0064I00000qskN6</t>
  </si>
  <si>
    <t>PepsiCo (NAB/PBNA) - Performance Analyzer #RGM</t>
  </si>
  <si>
    <t>25/3/2019</t>
  </si>
  <si>
    <t>20/8/2024</t>
  </si>
  <si>
    <t>0064L00000BnYiD</t>
  </si>
  <si>
    <t>AT&amp;T - Network Decommissioning Cost Allocation</t>
  </si>
  <si>
    <t>0064L00000ApwZX</t>
  </si>
  <si>
    <t>FDX Performance Marketing</t>
  </si>
  <si>
    <t>FDX: B2B Loyalty - contracting; insourcing/outsourcing</t>
  </si>
  <si>
    <t>Nancy Shade</t>
  </si>
  <si>
    <t>0064L00000Apey5</t>
  </si>
  <si>
    <t>HCA Healthcare, Inc.</t>
  </si>
  <si>
    <t>Northside Hospital *VBO* Small Balance &amp; Aged A/R FY23 Extension</t>
  </si>
  <si>
    <t>Northside Hospital Inc. *VBO* Small Balance &amp; Aged A/R</t>
  </si>
  <si>
    <t>0064L00000CXdel</t>
  </si>
  <si>
    <t>MSFT HR FY23 TLI Employee Career &amp; Development H1 Support</t>
  </si>
  <si>
    <t>Rachel Forst</t>
  </si>
  <si>
    <t>0064L0000099dCz</t>
  </si>
  <si>
    <t>NextGen Cost and Profitability - Advisory Phase</t>
  </si>
  <si>
    <t>0064L000009gHFL</t>
  </si>
  <si>
    <t>MIllipore Strategy</t>
  </si>
  <si>
    <t>0064L000009AIWB</t>
  </si>
  <si>
    <t>Autodesk Inc.</t>
  </si>
  <si>
    <t>Partner Customer Success Solution #TMTPricing</t>
  </si>
  <si>
    <t>31/10/2021</t>
  </si>
  <si>
    <t>0064L0000099dC6</t>
  </si>
  <si>
    <t>0064L0000099dC7</t>
  </si>
  <si>
    <t>Annual Planning Process Redesign - Advisory Phase</t>
  </si>
  <si>
    <t>0064L00000CWQHC</t>
  </si>
  <si>
    <t>GE Separation - Corporate - Payroll &amp; Global People Operations Support</t>
  </si>
  <si>
    <t>Srini Gabu</t>
  </si>
  <si>
    <t>Bill Flatley</t>
  </si>
  <si>
    <t>0064L00000CXdm4</t>
  </si>
  <si>
    <t>ESG Program - Strategy + Net Zero Cloud</t>
  </si>
  <si>
    <t>0064L0000041ivl</t>
  </si>
  <si>
    <t>CVS Workforce Orchestrator</t>
  </si>
  <si>
    <t>Andrew Martin</t>
  </si>
  <si>
    <t>0064L00000ApwcH</t>
  </si>
  <si>
    <t>FDX:  Sales &amp; Marketing Convergence / Alignment:</t>
  </si>
  <si>
    <t>FDX Loyalty Assessment &amp; IT Strategy - phase 1</t>
  </si>
  <si>
    <t>0064L00000BmVno</t>
  </si>
  <si>
    <t>SVB LAS Integration RFP</t>
  </si>
  <si>
    <t>0064L0000099dDi</t>
  </si>
  <si>
    <t>NextGen FP&amp;A - Advisory Phase</t>
  </si>
  <si>
    <t>0064L00000BmVnt</t>
  </si>
  <si>
    <t>Cardinal Health_Sales &amp; Service Cloud Implementation_SFDC</t>
  </si>
  <si>
    <t>0064L00000Bo9Oh</t>
  </si>
  <si>
    <t>Agiloft, Inc.</t>
  </si>
  <si>
    <t>Lead to Cash Operations - Agiloft</t>
  </si>
  <si>
    <t>Seth Claus</t>
  </si>
  <si>
    <t>0064L00000DFiQ9</t>
  </si>
  <si>
    <t>AT&amp;T Business Legacy Product Migration</t>
  </si>
  <si>
    <t>0064L000004vC26</t>
  </si>
  <si>
    <t>MRO Optimization Phase 1 #MW</t>
  </si>
  <si>
    <t>21/7/2022</t>
  </si>
  <si>
    <t>0064L00000DFiPp</t>
  </si>
  <si>
    <t>AT&amp;T Mid-Market Sales Comp Strategy and Automation</t>
  </si>
  <si>
    <t>0064L00000Bo9QO</t>
  </si>
  <si>
    <t>Supply Chain Digital Upskilling / Talent Development</t>
  </si>
  <si>
    <t>0064L00000BoK4G</t>
  </si>
  <si>
    <t>Pfizer Integrated Data Repository for Precision Medicine</t>
  </si>
  <si>
    <t>Lichen Shen</t>
  </si>
  <si>
    <t>0064L00000BmTnI</t>
  </si>
  <si>
    <t>Analytics Function/Capability Strategy</t>
  </si>
  <si>
    <t>0064L000006CT05</t>
  </si>
  <si>
    <t>Newpark Resources Inc.</t>
  </si>
  <si>
    <t>0064L00000CVmhm</t>
  </si>
  <si>
    <t>SAP Alliance -- ESG reporting technology transformation strategy</t>
  </si>
  <si>
    <t>Jim Davis</t>
  </si>
  <si>
    <t>0064L00000CXsnX</t>
  </si>
  <si>
    <t>UNFI - Private Label TCO Assessment</t>
  </si>
  <si>
    <t>0064L00000BoZvz</t>
  </si>
  <si>
    <t>Zeomega SDOH Solution Strategic Delivery Partner for JPS Health Network #HVM #Alliance:Zeomega</t>
  </si>
  <si>
    <t>0064L000009A9tG</t>
  </si>
  <si>
    <t>AT&amp;T Future of MVNO</t>
  </si>
  <si>
    <t>Matthew Duffey</t>
  </si>
  <si>
    <t>0064L00000CXd3b</t>
  </si>
  <si>
    <t>Digital Quality Implementation</t>
  </si>
  <si>
    <t>0064L00000BmTui</t>
  </si>
  <si>
    <t>Healthfirst - Project Twosday - 2-2-22 #PayerCO&amp;ITrans</t>
  </si>
  <si>
    <t>0064L00000Bnhyx</t>
  </si>
  <si>
    <t>VBC Analytics</t>
  </si>
  <si>
    <t>0064L00000DFiZB</t>
  </si>
  <si>
    <t>340B Set-up and Management Assessment</t>
  </si>
  <si>
    <t>Rashima Vatnani</t>
  </si>
  <si>
    <t>0064L00000CVmna</t>
  </si>
  <si>
    <t>AT&amp;T Biz Data Migration - Change Management</t>
  </si>
  <si>
    <t>AT&amp;T Biz Data Migration Execution and COE Standup - Phase 1</t>
  </si>
  <si>
    <t>Pranav Parekh</t>
  </si>
  <si>
    <t>0064L00000CX0Po</t>
  </si>
  <si>
    <t>Knowledge Center Managed Service</t>
  </si>
  <si>
    <t>0064L00000DJdeY</t>
  </si>
  <si>
    <t>Kustomer - B2B marketing growth</t>
  </si>
  <si>
    <t>Tom Birtwhistle</t>
  </si>
  <si>
    <t>0064L00000CXswA</t>
  </si>
  <si>
    <t>DTV Service / Contact Center CX Journey Mapping</t>
  </si>
  <si>
    <t>Marcus Welles</t>
  </si>
  <si>
    <t>0064L00000DJdgK</t>
  </si>
  <si>
    <t>Marketing Transformation and Growth Strategy</t>
  </si>
  <si>
    <t>Andrew Benett</t>
  </si>
  <si>
    <t>0064L00000B174p</t>
  </si>
  <si>
    <t>Point32Health</t>
  </si>
  <si>
    <t>Tufts Public Plans Turnaround Phase 4</t>
  </si>
  <si>
    <t>31/12/2021 5:10 pm</t>
  </si>
  <si>
    <t>Deepak Tilani</t>
  </si>
  <si>
    <t>Brennan Fox</t>
  </si>
  <si>
    <t>0064L00000BoldC</t>
  </si>
  <si>
    <t>Cox Media Finance Op Model and</t>
  </si>
  <si>
    <t>Aditya Jain</t>
  </si>
  <si>
    <t>0064L00000BgCJX</t>
  </si>
  <si>
    <t>University of Missouri HealthCare</t>
  </si>
  <si>
    <t>Provider Portal - Message Automation &amp; Scheduling</t>
  </si>
  <si>
    <t>Jamie Gunsior</t>
  </si>
  <si>
    <t>0064L000009AmHB</t>
  </si>
  <si>
    <t>Northwell Health</t>
  </si>
  <si>
    <t>#DVC #CS_EDT_Health_Services #DigitalEcosystem</t>
  </si>
  <si>
    <t>0064L00000B2JUG</t>
  </si>
  <si>
    <t>First National Nebraska INC.</t>
  </si>
  <si>
    <t>Core Modernization Strategy</t>
  </si>
  <si>
    <t>0064L00000BldAC</t>
  </si>
  <si>
    <t>DevSecOps Support</t>
  </si>
  <si>
    <t>Patrick Shankland</t>
  </si>
  <si>
    <t>0064L000003z30Q</t>
  </si>
  <si>
    <t>Growth Discussion</t>
  </si>
  <si>
    <t>0064L00000DJeNs</t>
  </si>
  <si>
    <t>Pharmajet, Inc.</t>
  </si>
  <si>
    <t>PharmaJet Revenues Review</t>
  </si>
  <si>
    <t>0064L00000BgeRo</t>
  </si>
  <si>
    <t>Experience Design Resource Support</t>
  </si>
  <si>
    <t>0064L000004xHHu</t>
  </si>
  <si>
    <t>Consumer Trust MVP Build</t>
  </si>
  <si>
    <t>0064L00000B2m4E</t>
  </si>
  <si>
    <t>Wyndham Hotels &amp; Resorts Inc.</t>
  </si>
  <si>
    <t>WHR - AWS - People: Cloud Education and Culture</t>
  </si>
  <si>
    <t>0064L00000BfA26</t>
  </si>
  <si>
    <t>Contact Center IVR Strategy</t>
  </si>
  <si>
    <t>0064L00000DFigg</t>
  </si>
  <si>
    <t>Enterprise CLM</t>
  </si>
  <si>
    <t>0064L00000BldDV</t>
  </si>
  <si>
    <t>Nasdaq Inc.</t>
  </si>
  <si>
    <t>Billing system remediation</t>
  </si>
  <si>
    <t>David Woodward</t>
  </si>
  <si>
    <t>0064L00000BfsSr</t>
  </si>
  <si>
    <t>HCA Revenue Cycle Transformation</t>
  </si>
  <si>
    <t>0064L00000Bn7Fk</t>
  </si>
  <si>
    <t>Littelfuse Inc.</t>
  </si>
  <si>
    <t>Littelfuse Values + Culture Strategy_$500K_P0/P1</t>
  </si>
  <si>
    <t>Christopher Hannegan</t>
  </si>
  <si>
    <t>0064L000004vB8X</t>
  </si>
  <si>
    <t>Federal Reserve Bank Of Boston</t>
  </si>
  <si>
    <t>Project ACESO Non-tech Expansion 2021</t>
  </si>
  <si>
    <t>Nina Owens</t>
  </si>
  <si>
    <t>0064L00000DFijz</t>
  </si>
  <si>
    <t>KCNA TPM Conceptual Design - S4 program</t>
  </si>
  <si>
    <t>0064L000009AJXK</t>
  </si>
  <si>
    <t>Omnichannel Strategy Development</t>
  </si>
  <si>
    <t>0064L00000DFimF</t>
  </si>
  <si>
    <t>CCSWB End to End Process Improvement</t>
  </si>
  <si>
    <t>0064L00000Bczoo</t>
  </si>
  <si>
    <t>API / Workday Connection Strategy</t>
  </si>
  <si>
    <t>0064L00000DFimt</t>
  </si>
  <si>
    <t>Meta Content Governance 2022 Support Amendment</t>
  </si>
  <si>
    <t>FB Content Governance 2022 Support</t>
  </si>
  <si>
    <t>0064L00000BnZ2E</t>
  </si>
  <si>
    <t>Sales Automation</t>
  </si>
  <si>
    <t>0064L000002b1mq</t>
  </si>
  <si>
    <t>Paul Weiss Rifkind Wharton &amp; Garrison Llp.</t>
  </si>
  <si>
    <t>COLI financing for NQ plans</t>
  </si>
  <si>
    <t>0064L0000099R7b</t>
  </si>
  <si>
    <t>HCA - Connected Health Ecosystems (CHE 3.0) Pilot Build</t>
  </si>
  <si>
    <t>0064L000009fSxp</t>
  </si>
  <si>
    <t>AEP + CustomerLink Integration</t>
  </si>
  <si>
    <t>0064L00000Bm2IN</t>
  </si>
  <si>
    <t>Project Astra Phase #2 - Re-implementation</t>
  </si>
  <si>
    <t>Douglas Cogan</t>
  </si>
  <si>
    <t>0064L00000Bm1iZ</t>
  </si>
  <si>
    <t>USAA P&amp;C IT Delivery Operating Model</t>
  </si>
  <si>
    <t>0064L00000Bnxrz</t>
  </si>
  <si>
    <t>Future State Servicing Oversight Model</t>
  </si>
  <si>
    <t>0064L000007wQWu</t>
  </si>
  <si>
    <t>Reliability Improvement -- Materials Management</t>
  </si>
  <si>
    <t>Gaspare Aloi</t>
  </si>
  <si>
    <t>0064L000004wSQF</t>
  </si>
  <si>
    <t>Salesforce-Slack Integration Planning</t>
  </si>
  <si>
    <t>Dries Bredenkamp</t>
  </si>
  <si>
    <t>0064L00000BoZZF</t>
  </si>
  <si>
    <t>GREIF INC</t>
  </si>
  <si>
    <t>Marketing Strategy &amp; Roadmap</t>
  </si>
  <si>
    <t>Amy Zhao</t>
  </si>
  <si>
    <t>0064L00000BoZZa</t>
  </si>
  <si>
    <t>CX Design</t>
  </si>
  <si>
    <t>0064L00000BnFUx</t>
  </si>
  <si>
    <t>A&amp;AN Access Strategy</t>
  </si>
  <si>
    <t>0064L00000DJdD8</t>
  </si>
  <si>
    <t>Metlife Payment Strategy Definition</t>
  </si>
  <si>
    <t>0064L00000CYU5P</t>
  </si>
  <si>
    <t>Change Management for Oracle Supply Chain</t>
  </si>
  <si>
    <t>Yasi Akbari</t>
  </si>
  <si>
    <t>0064L0000099ao4</t>
  </si>
  <si>
    <t>#QMS Cardinal Health Supplier Quality System Design Phase</t>
  </si>
  <si>
    <t>Cardinal Health Supplier Quality System RFP</t>
  </si>
  <si>
    <t>0064L00000BoZZZ</t>
  </si>
  <si>
    <t>Org Design</t>
  </si>
  <si>
    <t>0064L00000CXt5l</t>
  </si>
  <si>
    <t>IT FFG Testing Pilot</t>
  </si>
  <si>
    <t>0064L00000B1fUt</t>
  </si>
  <si>
    <t>GE Healthcare Logistics Cost Reduction</t>
  </si>
  <si>
    <t>0064L000001vPz2</t>
  </si>
  <si>
    <t>Sheetz Inc.</t>
  </si>
  <si>
    <t>Sheetz - ERP Future State #Burgh</t>
  </si>
  <si>
    <t>0064L000004xEFH</t>
  </si>
  <si>
    <t>HP: Supply Chain Process Optimization</t>
  </si>
  <si>
    <t>0064L00000CWot2</t>
  </si>
  <si>
    <t>API / CDX Strategy and Architecture</t>
  </si>
  <si>
    <t>0064L000001vPyx</t>
  </si>
  <si>
    <t>Fare Trace Pilot</t>
  </si>
  <si>
    <t>0064L00000BolAK</t>
  </si>
  <si>
    <t>*Rev Cycle* Ops Opportunity Design and Business Case</t>
  </si>
  <si>
    <t>0064L000009BJg4</t>
  </si>
  <si>
    <t>Healthfirst Predictive Model Support Futurecast</t>
  </si>
  <si>
    <t>Matthew Klein</t>
  </si>
  <si>
    <t>0064L00000B0u0o</t>
  </si>
  <si>
    <t>Operating Model - Anchored Agility</t>
  </si>
  <si>
    <t>0064L000009f2KL</t>
  </si>
  <si>
    <t>CX Pilot</t>
  </si>
  <si>
    <t>0064L00000DJRfF</t>
  </si>
  <si>
    <t>IPE Integration with Seagate Model-N #TMTPricing</t>
  </si>
  <si>
    <t>0064L00000ArjQw</t>
  </si>
  <si>
    <t>Capital One - Payment Modernization #FOB-Blueprint #&lt;50B</t>
  </si>
  <si>
    <t>Jennifer Jefferson</t>
  </si>
  <si>
    <t>0064L00000ArHNu</t>
  </si>
  <si>
    <t>Executive Financial Coaching</t>
  </si>
  <si>
    <t>Kristin Harel</t>
  </si>
  <si>
    <t>0064L00000BeMCO</t>
  </si>
  <si>
    <t>Core Soln for New Bank Financial (Technisys)</t>
  </si>
  <si>
    <t>0064L00000DJRfj</t>
  </si>
  <si>
    <t>Sifive Inc.</t>
  </si>
  <si>
    <t>GTM Enablement for IPO Readiness #TMTPricing</t>
  </si>
  <si>
    <t>0064L00000CWpVj</t>
  </si>
  <si>
    <t>Insights to Action - Reporting Platform</t>
  </si>
  <si>
    <t>16/4/2022</t>
  </si>
  <si>
    <t>Robert Cui</t>
  </si>
  <si>
    <t>0064L00000Aqh3B</t>
  </si>
  <si>
    <t>Healthfirst Cares - CX / Digital / CRM Enabling Platform</t>
  </si>
  <si>
    <t>0064L00000Bm2Yk</t>
  </si>
  <si>
    <t>PepsiCo DTC Strategy</t>
  </si>
  <si>
    <t>0064L000003zbKx</t>
  </si>
  <si>
    <t>Application Rationalization</t>
  </si>
  <si>
    <t>22/9/2020</t>
  </si>
  <si>
    <t>0064L00000Aqy95</t>
  </si>
  <si>
    <t>Finance System Strategy</t>
  </si>
  <si>
    <t>0064L00000BgAmS</t>
  </si>
  <si>
    <t>AWS - GoT Managed Service</t>
  </si>
  <si>
    <t>Jason Henritze-Hoye</t>
  </si>
  <si>
    <t>0064L00000BolHl</t>
  </si>
  <si>
    <t>Blue Cross &amp; Blue Shield Association</t>
  </si>
  <si>
    <t>BCBSA FEP Hub Expansion</t>
  </si>
  <si>
    <t>Shawn Logue</t>
  </si>
  <si>
    <t>0064I00000r3ylO</t>
  </si>
  <si>
    <t>AdventHealth Data Monetization</t>
  </si>
  <si>
    <t>0064L00000DJe1w</t>
  </si>
  <si>
    <t>Zafin Global Holdings Corp</t>
  </si>
  <si>
    <t>Zafin BAAS Strategy</t>
  </si>
  <si>
    <t>Esther Cardenas Jaldon</t>
  </si>
  <si>
    <t>0064L00000CXtDG</t>
  </si>
  <si>
    <t>Digital Commerce Strategy</t>
  </si>
  <si>
    <t>0064L00000BmTdr</t>
  </si>
  <si>
    <t>Kaiser Cognitive Scale P1 #xPC:PayerAnalytics #Alliance:CognitiveScale #PayerAnalytics</t>
  </si>
  <si>
    <t>0064L00000DFiJ8</t>
  </si>
  <si>
    <t>M&amp;A Integration Support - H1 2023</t>
  </si>
  <si>
    <t>0064L000002Yz0o</t>
  </si>
  <si>
    <t>#IOBP-Portfolio Ops R&amp;D Initiative: Project Planning Center of Excellence</t>
  </si>
  <si>
    <t>0064L00000CY3C3</t>
  </si>
  <si>
    <t>Clinical Quality Transformation</t>
  </si>
  <si>
    <t>Christina Morris</t>
  </si>
  <si>
    <t>0064L000002Lc00</t>
  </si>
  <si>
    <t>Berra Org and Operating Model - Culture activation</t>
  </si>
  <si>
    <t>Berra Org Top Team Effectiveness</t>
  </si>
  <si>
    <t>0064L00000CY3EO</t>
  </si>
  <si>
    <t>DCT Optimization</t>
  </si>
  <si>
    <t>0064L00000Apcyv</t>
  </si>
  <si>
    <t>Emblem Health Driver Based Planning</t>
  </si>
  <si>
    <t>0064L00000CXRGb</t>
  </si>
  <si>
    <t>Chipotle - Metaverse (Governance, NFT Platform, etc.)</t>
  </si>
  <si>
    <t>0064I00000y6rcY</t>
  </si>
  <si>
    <t>Catering Supply Chain Category Mgmt #Profit</t>
  </si>
  <si>
    <t>18/10/2019</t>
  </si>
  <si>
    <t>0064L00000BgBZ0</t>
  </si>
  <si>
    <t>B2B Loyalty - Phase 3 Program Design &amp; Mobilization</t>
  </si>
  <si>
    <t>Fergie Chen</t>
  </si>
  <si>
    <t>0064L00000Aq2Za</t>
  </si>
  <si>
    <t>Supply Chain Resiliency</t>
  </si>
  <si>
    <t>0064L00000BfMvB</t>
  </si>
  <si>
    <t>Independence Health Group, Inc</t>
  </si>
  <si>
    <t>D365 for Call Center</t>
  </si>
  <si>
    <t>0064L00000DJbZR</t>
  </si>
  <si>
    <t>GBS Strategy</t>
  </si>
  <si>
    <t>0064L0000099RW8</t>
  </si>
  <si>
    <t>BBYH Project Core phase 2</t>
  </si>
  <si>
    <t>20/8/2021 10:59 pm</t>
  </si>
  <si>
    <t>0064L00000BnDlx</t>
  </si>
  <si>
    <t>Wells Fargo Contact Center Transformation Program</t>
  </si>
  <si>
    <t>Laura Rowan</t>
  </si>
  <si>
    <t>0064L00000CYSNR</t>
  </si>
  <si>
    <t>Booking Treasury and Payments Strategy Phase 2</t>
  </si>
  <si>
    <t>0064L0000098NxZ</t>
  </si>
  <si>
    <t>SUN PHARMACEUTICAL INDUSTRIES LIMITED</t>
  </si>
  <si>
    <t>Oracle Sourced Suspect Oppty - EPM</t>
  </si>
  <si>
    <t>Bob Johnson</t>
  </si>
  <si>
    <t>0064L00000DFUq8</t>
  </si>
  <si>
    <t>Medicaid PHM Next Gen Support</t>
  </si>
  <si>
    <t>0064L00000BoXu1</t>
  </si>
  <si>
    <t>Back Office Transformation - 2023 Wave 1 Outsourcing Selection and Transition</t>
  </si>
  <si>
    <t>0064L00000BoXu6</t>
  </si>
  <si>
    <t>Back Office Transformation - 2023 Ongoing Big Rocks and Interim Solutions</t>
  </si>
  <si>
    <t>0064L00000CY0l5</t>
  </si>
  <si>
    <t>Pepsico ESG Technology Deployment - Microsoft Co-Sell - #ESGMSFT</t>
  </si>
  <si>
    <t>0064L00000Bo6qx</t>
  </si>
  <si>
    <t>EHI Finance Transformation - Phase 2</t>
  </si>
  <si>
    <t>0064L00000BoXvi</t>
  </si>
  <si>
    <t>Celanese - BlackLine Release 2</t>
  </si>
  <si>
    <t>0064L00000BoXvx</t>
  </si>
  <si>
    <t>Celanese - Journal Entry Remediation</t>
  </si>
  <si>
    <t>0064L00000BoXvy</t>
  </si>
  <si>
    <t>Celanese - Finance Integration</t>
  </si>
  <si>
    <t>0064L000009fg84</t>
  </si>
  <si>
    <t>Smith &amp; Nephew Plc</t>
  </si>
  <si>
    <t>S+N Global Pricing and CPQ support - $500k *Pricing*</t>
  </si>
  <si>
    <t>S+N CPQ-Deal Desk Support - Invest *Pricing*</t>
  </si>
  <si>
    <t>Albert Chan</t>
  </si>
  <si>
    <t>0064L00000BmBS7</t>
  </si>
  <si>
    <t>AWS - Grow Our Own Talent - Managed Services #TMTMSO</t>
  </si>
  <si>
    <t>0064L00000BoGxp</t>
  </si>
  <si>
    <t>P66 - Power and Gas Platform - AWS hosting</t>
  </si>
  <si>
    <t>0064L00000Bm25i</t>
  </si>
  <si>
    <t>Metlife Bank Rationalization</t>
  </si>
  <si>
    <t>0064L00000B0v3F</t>
  </si>
  <si>
    <t>BKR_Sustainability Cloud_Salesforce</t>
  </si>
  <si>
    <t>0064L0000099RFV</t>
  </si>
  <si>
    <t>ESV follow-on from fraud work</t>
  </si>
  <si>
    <t>0064L000009fUMc</t>
  </si>
  <si>
    <t>CX - Commercial Model Transformation</t>
  </si>
  <si>
    <t>Kristin Puig</t>
  </si>
  <si>
    <t>0064L00000CYAyV</t>
  </si>
  <si>
    <t>Restructuring Support - Atlantic</t>
  </si>
  <si>
    <t>0064L000004vac7</t>
  </si>
  <si>
    <t>US Banking &amp; Systems Implementation</t>
  </si>
  <si>
    <t>0064L00000CYeBS</t>
  </si>
  <si>
    <t>Viatris Project Platinum Divestiture Support</t>
  </si>
  <si>
    <t>Sarah Pullins</t>
  </si>
  <si>
    <t>0064L00000CWLwj</t>
  </si>
  <si>
    <t>S&amp;OP Rollout - Phase 4 Wave 1</t>
  </si>
  <si>
    <t>0064L00000BoZI4</t>
  </si>
  <si>
    <t>CSL Limited</t>
  </si>
  <si>
    <t>aQIVc Launch Strategy - Phase 2</t>
  </si>
  <si>
    <t>Rebecca Evans</t>
  </si>
  <si>
    <t>0064L00000BcVi0</t>
  </si>
  <si>
    <t>Treasury Management System</t>
  </si>
  <si>
    <t>Christina Natale</t>
  </si>
  <si>
    <t>0064L00000CYBdL</t>
  </si>
  <si>
    <t>Celanese - Project Milan Finance IMO - Phase 2</t>
  </si>
  <si>
    <t>Barrett Shipman</t>
  </si>
  <si>
    <t>0064L00000Blacw</t>
  </si>
  <si>
    <t>NISSAN MOTOR CO., LTD.</t>
  </si>
  <si>
    <t>NNA:  EV Manufacturing Investments</t>
  </si>
  <si>
    <t>0064L0000099RDP</t>
  </si>
  <si>
    <t>Memorial Hermann Health System</t>
  </si>
  <si>
    <t>0064L00000BgB5y</t>
  </si>
  <si>
    <t>Shell - Power Trading Training</t>
  </si>
  <si>
    <t>0064L00000Bfa5w</t>
  </si>
  <si>
    <t>TA Call Center Remediation</t>
  </si>
  <si>
    <t>0064L00000CYvLD</t>
  </si>
  <si>
    <t>ODU EVMS post integration support</t>
  </si>
  <si>
    <t>0064I00000zUfsV</t>
  </si>
  <si>
    <t>Project Mercury - Workforce Planning</t>
  </si>
  <si>
    <t>0064L00000BoHnD</t>
  </si>
  <si>
    <t>Lincoln National Corporation</t>
  </si>
  <si>
    <t>L&amp;R Divestiture Feasibility</t>
  </si>
  <si>
    <t>Matthew O'Mara</t>
  </si>
  <si>
    <t>Kayleigh Miller</t>
  </si>
  <si>
    <t>0064L00000B2yAr</t>
  </si>
  <si>
    <t>Enterprise Quality Implementation #QMS</t>
  </si>
  <si>
    <t>23/10/2021</t>
  </si>
  <si>
    <t>Enterprise Quality Assessment and Strategy #QMS</t>
  </si>
  <si>
    <t>0064L00000Bfp7X</t>
  </si>
  <si>
    <t>Vendor Rationalization #SKO</t>
  </si>
  <si>
    <t>0064L00000BnvnP</t>
  </si>
  <si>
    <t>Blue Cross Blue Shield of Texas</t>
  </si>
  <si>
    <t>HCSC Texas Cost of Care Planning #HVM</t>
  </si>
  <si>
    <t>14/11/2022</t>
  </si>
  <si>
    <t>0064L00000BoXNq</t>
  </si>
  <si>
    <t>Smart Portfolio Growth Strategy</t>
  </si>
  <si>
    <t>0064L000009AEea</t>
  </si>
  <si>
    <t>MSFT HR TLI FY22 Demand planning analysis</t>
  </si>
  <si>
    <t>0064L000009A5Dk</t>
  </si>
  <si>
    <t>Massachusetts Mutual Life Insurance Company</t>
  </si>
  <si>
    <t>Investment Data Management OpModel</t>
  </si>
  <si>
    <t>Kevin Moran</t>
  </si>
  <si>
    <t>0064L000009g2wT</t>
  </si>
  <si>
    <t>Cottage Health System</t>
  </si>
  <si>
    <t>SBCH - Volume Decrease Adjustment - *Strategic Reimbursement*</t>
  </si>
  <si>
    <t>0064L000009B8HX</t>
  </si>
  <si>
    <t>Netflix, Inc.</t>
  </si>
  <si>
    <t>NFLX - Metaverse Strategy</t>
  </si>
  <si>
    <t>0064L00000BekvP</t>
  </si>
  <si>
    <t>Moderna 2023 Flu Pre-Booking Experience</t>
  </si>
  <si>
    <t>0064L00000CY0Gq</t>
  </si>
  <si>
    <t>Claims Program Remediation</t>
  </si>
  <si>
    <t>0064L000007wOUn</t>
  </si>
  <si>
    <t>M. Arthur Gensler Jr. &amp; Associates, Inc</t>
  </si>
  <si>
    <t>Gensler -  Intelligent Places: Software Definition, Development and Piloting</t>
  </si>
  <si>
    <t>Lowell Gibbs</t>
  </si>
  <si>
    <t>0064L00000AqdbB</t>
  </si>
  <si>
    <t>Legal Entity Management Platform Support</t>
  </si>
  <si>
    <t>0064L00000CVZDa</t>
  </si>
  <si>
    <t>EIS Group.</t>
  </si>
  <si>
    <t>EIS Subcontracting</t>
  </si>
  <si>
    <t>0064L00000Bnvs0</t>
  </si>
  <si>
    <t>ABCBS Multi-State Employer Strategy #Strategy #Tax</t>
  </si>
  <si>
    <t>Edward Lewis</t>
  </si>
  <si>
    <t>0064L00000CWnIY</t>
  </si>
  <si>
    <t>Mirum Pharmaceuticals Inc.</t>
  </si>
  <si>
    <t>Mirum CGT Ops in the Box</t>
  </si>
  <si>
    <t>0064L00000B1T54</t>
  </si>
  <si>
    <t>Retirement Plan Recordkeeper / Investment Advisor Search</t>
  </si>
  <si>
    <t>0064L00000CXNhq</t>
  </si>
  <si>
    <t>Cambia Leadership support</t>
  </si>
  <si>
    <t>Dina Diab</t>
  </si>
  <si>
    <t>0064L000007txdz</t>
  </si>
  <si>
    <t>BGS Ecommerce Analytics Program</t>
  </si>
  <si>
    <t>18/4/2021</t>
  </si>
  <si>
    <t>Michael Whittington</t>
  </si>
  <si>
    <t>0064L00000CY0LC</t>
  </si>
  <si>
    <t>0064L00000BnTsI</t>
  </si>
  <si>
    <t>Lithia Motors INC.</t>
  </si>
  <si>
    <t>Lithia_Salesforce expansion</t>
  </si>
  <si>
    <t>0064L00000BoXW9</t>
  </si>
  <si>
    <t>Adobe Inc.</t>
  </si>
  <si>
    <t>Adobe Customer Support Benchmarking RFP</t>
  </si>
  <si>
    <t>Kristen Elvert</t>
  </si>
  <si>
    <t>0064L00000CVjjG</t>
  </si>
  <si>
    <t>Advocate Aurora D365 for Care Mgmt target #MSFTProvider</t>
  </si>
  <si>
    <t>0064L00000Bo76b</t>
  </si>
  <si>
    <t>MSFT HR FY22 TLI TLX Demand Planning</t>
  </si>
  <si>
    <t>0064L00000CWmnU</t>
  </si>
  <si>
    <t>Healthscope - IT design and implementation</t>
  </si>
  <si>
    <t>Christina Rojas</t>
  </si>
  <si>
    <t>0064L000001vpz6</t>
  </si>
  <si>
    <t>Intermountain_Salesforce_Blueprinting</t>
  </si>
  <si>
    <t>29/7/2020</t>
  </si>
  <si>
    <t>0064L00000DJbCI</t>
  </si>
  <si>
    <t>Harwick - Custom FAW Development</t>
  </si>
  <si>
    <t>Marla Graeber</t>
  </si>
  <si>
    <t>Harwick Project - Phase 2 Business Transformation 1/3</t>
  </si>
  <si>
    <t>Alex Glanz-Berger</t>
  </si>
  <si>
    <t>0064L00000CYB4i</t>
  </si>
  <si>
    <t>Celanese - Project Milan Org Design and Talent Assessment</t>
  </si>
  <si>
    <t>0064L00000Aqdiq</t>
  </si>
  <si>
    <t>Sustainable Impact PMO #ESG #ESG-TMT-Wave1</t>
  </si>
  <si>
    <t>0064L00000CYB5M</t>
  </si>
  <si>
    <t>Celanese - Project Milan IT IMO - Phase 2</t>
  </si>
  <si>
    <t>0064L00000CYB4j</t>
  </si>
  <si>
    <t>Celanese - Project Milan HR IMO - Phase 2</t>
  </si>
  <si>
    <t>0064L000004yDzL</t>
  </si>
  <si>
    <t>GE Healthcare - SBU Transformation + Technology Enablement (Supply Chain Analytics)</t>
  </si>
  <si>
    <t>0064L0000041erN</t>
  </si>
  <si>
    <t>SENSATA TECHNOLOGIES HOLDING PLC</t>
  </si>
  <si>
    <t>Smart and Connected Operating Model</t>
  </si>
  <si>
    <t>0064L00000BnEAH</t>
  </si>
  <si>
    <t>Rivian Automotive - Anaplan Headcount Planning</t>
  </si>
  <si>
    <t>Ruben Loza</t>
  </si>
  <si>
    <t>0064L00000DJbNB</t>
  </si>
  <si>
    <t>Pricing Operations Design</t>
  </si>
  <si>
    <t>0064L00000Belju</t>
  </si>
  <si>
    <t>PEP RGM RevolutioM New 2022 Deployments</t>
  </si>
  <si>
    <t>0064L00000B2fbz</t>
  </si>
  <si>
    <t>Polaris Controllership Org and Delivery Model</t>
  </si>
  <si>
    <t>0064L00000Blqae</t>
  </si>
  <si>
    <t>Occidental Petroleum Corporation</t>
  </si>
  <si>
    <t>Oxy - Low Carbon Ventures - OLCV Conceptual Model 2022 - Phase 2</t>
  </si>
  <si>
    <t>0064L00000Apc6F</t>
  </si>
  <si>
    <t>HPE - PRM/Partner Portal</t>
  </si>
  <si>
    <t>0064L00000BfMoB</t>
  </si>
  <si>
    <t>Provation SaaS GTM support</t>
  </si>
  <si>
    <t>0064L000003zpgD</t>
  </si>
  <si>
    <t>Cleveland Clinic Foundation</t>
  </si>
  <si>
    <t>Cleveland Clinic: Sourcing/IT Strategy</t>
  </si>
  <si>
    <t>29/9/2020</t>
  </si>
  <si>
    <t>HIA FFG-/Digital</t>
  </si>
  <si>
    <t>0064L000009frxp</t>
  </si>
  <si>
    <t>MetLife - LatAm Digital Transformation</t>
  </si>
  <si>
    <t>Elise Feyereisen</t>
  </si>
  <si>
    <t>0064L00000BojO0</t>
  </si>
  <si>
    <t>Center For Breakthrough Medicines Holdings, Llc</t>
  </si>
  <si>
    <t>Center for Breakthrough Medicine CGT Platform</t>
  </si>
  <si>
    <t>15/5/2022</t>
  </si>
  <si>
    <t>0064L00000BdGjy</t>
  </si>
  <si>
    <t>#IOBP - AMP 2022 Extension</t>
  </si>
  <si>
    <t>0064L00000Ar4xp</t>
  </si>
  <si>
    <t>Blues Collaboration</t>
  </si>
  <si>
    <t>0064L000004wtP6</t>
  </si>
  <si>
    <t>bp P&amp;O IAM Phase I</t>
  </si>
  <si>
    <t>0064L00000CXpDg</t>
  </si>
  <si>
    <t>#IOBP-Portfolio Ops R&amp;D Initiative: Business Executive Reporting</t>
  </si>
  <si>
    <t>0064L00000BoFIp</t>
  </si>
  <si>
    <t>CHS Empower - CHS Charge Capture/*Rev Cycle*</t>
  </si>
  <si>
    <t>Mark Griffin</t>
  </si>
  <si>
    <t>0064L00000DFSeZ</t>
  </si>
  <si>
    <t>Pension compliance reviews and documentation</t>
  </si>
  <si>
    <t>0064L00000Bo4gv</t>
  </si>
  <si>
    <t>Pfizer DH Start Up</t>
  </si>
  <si>
    <t>Pia Bhatia</t>
  </si>
  <si>
    <t>0064L00000CXpDq</t>
  </si>
  <si>
    <t>#IOBP-Portfolio Ops R&amp;D Initiative: Project Management Excellence</t>
  </si>
  <si>
    <t>0064L00000B2FXy</t>
  </si>
  <si>
    <t>Shelby County Health Care Corporation</t>
  </si>
  <si>
    <t>Regional One Health Foundation *VBO*</t>
  </si>
  <si>
    <t>0064L00000CXokj</t>
  </si>
  <si>
    <t>Global Customer Analytics Record</t>
  </si>
  <si>
    <t>0064L00000B2Vw2</t>
  </si>
  <si>
    <t>Managed PMO Services</t>
  </si>
  <si>
    <t>AD_CA_WOF_AA_MANAGED SERVICES_OTHER_09FY22_STRATEGIC PMO</t>
  </si>
  <si>
    <t>0064L000002YyBn</t>
  </si>
  <si>
    <t>Medicaid Clinical Care Model Transformation</t>
  </si>
  <si>
    <t>Vikas Garg</t>
  </si>
  <si>
    <t>0064L00000CYPoY</t>
  </si>
  <si>
    <t>AT&amp;T_Emp Tax Consulting 2022-24_500K</t>
  </si>
  <si>
    <t>Jared Curless</t>
  </si>
  <si>
    <t>Alex Thomas</t>
  </si>
  <si>
    <t>0064L00000BcTUs</t>
  </si>
  <si>
    <t>Church Pension group</t>
  </si>
  <si>
    <t>CPG Board 2022-2024 DEI Support</t>
  </si>
  <si>
    <t>Joshua Cooper</t>
  </si>
  <si>
    <t>0064L00000CYPqK</t>
  </si>
  <si>
    <t>Connected Health Ecosystems (CHE 3.0) for AAH Atrium merger (ESV connected oppty)</t>
  </si>
  <si>
    <t>AAH-Atrium M&amp;A Strategy/Integration</t>
  </si>
  <si>
    <t>0064L00000CXpSM</t>
  </si>
  <si>
    <t>Wintrust Workday Financials Change Management Support</t>
  </si>
  <si>
    <t>Mike McKeown</t>
  </si>
  <si>
    <t>0064L000009BJFS</t>
  </si>
  <si>
    <t>ICU Medical, Inc.</t>
  </si>
  <si>
    <t>Operations Integration</t>
  </si>
  <si>
    <t>Linda Meloro</t>
  </si>
  <si>
    <t>0064L00000CXou0</t>
  </si>
  <si>
    <t>R&amp;D NewCO Product Development Operating Model</t>
  </si>
  <si>
    <t>25/6/2022</t>
  </si>
  <si>
    <t>Jennifer Montalbano</t>
  </si>
  <si>
    <t>0064L00000CVzpG</t>
  </si>
  <si>
    <t>Vertex Procurement on Demand #S&amp;P#POD</t>
  </si>
  <si>
    <t>0064L00000Bndzc</t>
  </si>
  <si>
    <t>Microsoft CSET Forex and Currency - Phase 2 (FY23 Q1) Assessment, Design &amp; Recs</t>
  </si>
  <si>
    <t>0064L000002LaPI</t>
  </si>
  <si>
    <t>Shell - IT Operating Model</t>
  </si>
  <si>
    <t>0064L00000CVzpz</t>
  </si>
  <si>
    <t>CVS Procurement on Demand #S&amp;P#POD</t>
  </si>
  <si>
    <t>0064L00000CVipr</t>
  </si>
  <si>
    <t>Mobile applications</t>
  </si>
  <si>
    <t>Anna Arredondo</t>
  </si>
  <si>
    <t>0064L00000BmR9f</t>
  </si>
  <si>
    <t>Trimble - Contract Lifecycle Management</t>
  </si>
  <si>
    <t>Scott Beegun</t>
  </si>
  <si>
    <t>0064L00000CYR8a</t>
  </si>
  <si>
    <t>Pandemic Pricing options</t>
  </si>
  <si>
    <t>Valentin Lombaerde</t>
  </si>
  <si>
    <t>0064L00000BnBzW</t>
  </si>
  <si>
    <t>Spotify Technology S.A.</t>
  </si>
  <si>
    <t>Ad Sales Experience Phase 2</t>
  </si>
  <si>
    <t>0064L00000BoXAN</t>
  </si>
  <si>
    <t>Takeda Change Mgmt (WoF)</t>
  </si>
  <si>
    <t>0064I00000q12aw</t>
  </si>
  <si>
    <t>Enterprise Fabrication - Performance / Capacity Improvement Program</t>
  </si>
  <si>
    <t>19/4/2019</t>
  </si>
  <si>
    <t>0064L00000CY09H</t>
  </si>
  <si>
    <t>NOC Data &amp; Analytics Mobilization</t>
  </si>
  <si>
    <t>0064L00000CVjTh</t>
  </si>
  <si>
    <t>Salesforce Marketing Efficiency and Effectiveness</t>
  </si>
  <si>
    <t>0064L0000099rIS</t>
  </si>
  <si>
    <t>Infinera Corporation</t>
  </si>
  <si>
    <t>Customer experience transformation</t>
  </si>
  <si>
    <t>0064L00000BoXE5</t>
  </si>
  <si>
    <t>Strategic resource allocation / VBP</t>
  </si>
  <si>
    <t>0064L000009A5Z7</t>
  </si>
  <si>
    <t>CSP Digital Plays, Omni Channel, and ABC Roadmap</t>
  </si>
  <si>
    <t>0064L00000BoiHD</t>
  </si>
  <si>
    <t>Becton Dickinson - Treasury Support</t>
  </si>
  <si>
    <t>0064L00000BdXGG</t>
  </si>
  <si>
    <t>Infra - Finance Modernization/Transformation</t>
  </si>
  <si>
    <t>0064L00000B2yGp</t>
  </si>
  <si>
    <t>Project Hundo So Cal</t>
  </si>
  <si>
    <t>0064I00000zRplu</t>
  </si>
  <si>
    <t>Colwen Management Inc.</t>
  </si>
  <si>
    <t>IGP - Colwen Hotels</t>
  </si>
  <si>
    <t>26/11/2019</t>
  </si>
  <si>
    <t>0064L00000As87h</t>
  </si>
  <si>
    <t>Finance Operating Model Design and Policy Development</t>
  </si>
  <si>
    <t>0064L00000BoXGG</t>
  </si>
  <si>
    <t>Lifepoint IT Assessment</t>
  </si>
  <si>
    <t>0064L00000BoFfZ</t>
  </si>
  <si>
    <t>Giorgio Foods INC.</t>
  </si>
  <si>
    <t>ETX w/Qualtrics (Employee Tech Experience)</t>
  </si>
  <si>
    <t>0064L00000BoWhz</t>
  </si>
  <si>
    <t>HTM Harwick Phase2 (FFG)</t>
  </si>
  <si>
    <t>Michael Cohen</t>
  </si>
  <si>
    <t>0064L00000BlOBy</t>
  </si>
  <si>
    <t>Enterprise Payer Insights Solution #PayerAnalytics</t>
  </si>
  <si>
    <t>0064L000009AX3x</t>
  </si>
  <si>
    <t>BSC Data Analytics Managed Services</t>
  </si>
  <si>
    <t>0064L00000CXOBR</t>
  </si>
  <si>
    <t>Top Accounts Strategy &amp; Design</t>
  </si>
  <si>
    <t>0064L000001u8s5</t>
  </si>
  <si>
    <t>*SMART* License - Providence St. Joseph</t>
  </si>
  <si>
    <t>16/6/2020</t>
  </si>
  <si>
    <t>John Jones</t>
  </si>
  <si>
    <t>0064L000006Cmdf</t>
  </si>
  <si>
    <t>GE Renewable ONW Product Cost Out</t>
  </si>
  <si>
    <t>0064L00000BntiR</t>
  </si>
  <si>
    <t>CoC BCBSMA Medical Economics Dashboarding and Operating Models #HVM</t>
  </si>
  <si>
    <t>0064L000007wnuB</t>
  </si>
  <si>
    <t>Account Reconcilidations Tool Update</t>
  </si>
  <si>
    <t>0064L00000B1t6O</t>
  </si>
  <si>
    <t>PowerPlatform for Patient Access</t>
  </si>
  <si>
    <t>AD_MI_EV_DIGITAL_TRANSCEND TECH_09FY22_DTA</t>
  </si>
  <si>
    <t>0064L00000Bd4Kq</t>
  </si>
  <si>
    <t>BCBS NC Self Service Assessment</t>
  </si>
  <si>
    <t>Gana Palghat</t>
  </si>
  <si>
    <t>0064L000002ZgYb</t>
  </si>
  <si>
    <t>BCBSM Legacy Migration to Cloud and Managed Services</t>
  </si>
  <si>
    <t>0064L00000BoUrf</t>
  </si>
  <si>
    <t>Fund VII Launch Support</t>
  </si>
  <si>
    <t>0064L000006hXD1</t>
  </si>
  <si>
    <t>Experian Plc</t>
  </si>
  <si>
    <t>Experian Healthcare Payments Strategy Exec</t>
  </si>
  <si>
    <t>26/2/2021</t>
  </si>
  <si>
    <t>0064L00000CYPNU</t>
  </si>
  <si>
    <t>Project Minecraft - Phase 2</t>
  </si>
  <si>
    <t>0064L00000Bf9z2</t>
  </si>
  <si>
    <t>Atmos Energy Corporation</t>
  </si>
  <si>
    <t>Salesforce FS &amp; SAP FSM product SI</t>
  </si>
  <si>
    <t>Anish Shah</t>
  </si>
  <si>
    <t>0064L00000CYQ1W</t>
  </si>
  <si>
    <t>LifePoint CEO Agenda (various pursuits)</t>
  </si>
  <si>
    <t>0064L00000Bd3sf</t>
  </si>
  <si>
    <t>Enterprise Portfolio Optimization - Fit-for-Purpose</t>
  </si>
  <si>
    <t>0064L00000CYQ2G</t>
  </si>
  <si>
    <t>OR utilization and block time - physician change mgmt - Texas market</t>
  </si>
  <si>
    <t>0064L00000BoF94</t>
  </si>
  <si>
    <t>Sales excellence enablement phase 3 (RL)</t>
  </si>
  <si>
    <t>Jose Espino</t>
  </si>
  <si>
    <t>0064L00000BoUwV</t>
  </si>
  <si>
    <t>FP&amp;A COE optimization and reporting services</t>
  </si>
  <si>
    <t>Cecilia Cardetti</t>
  </si>
  <si>
    <t>0064L00000ArwM9</t>
  </si>
  <si>
    <t>HMSA MSO Strategy #HVM</t>
  </si>
  <si>
    <t>0064L00000Bn26C</t>
  </si>
  <si>
    <t>CVS Integrated Value Strategy</t>
  </si>
  <si>
    <t>0064L00000BlLqk</t>
  </si>
  <si>
    <t>HENGRUI (USA) LTD</t>
  </si>
  <si>
    <t>Hengrui Intelligent Trial Design #ClinTrialDesign</t>
  </si>
  <si>
    <t>0064L00000BlLqj</t>
  </si>
  <si>
    <t>#IOBP -- Hengrui PPM Enablement</t>
  </si>
  <si>
    <t>0064L000009ABpk</t>
  </si>
  <si>
    <t>Nasdaq, Inc.</t>
  </si>
  <si>
    <t>Listing preparedness as a service</t>
  </si>
  <si>
    <t>Maricelle Denny</t>
  </si>
  <si>
    <t>0064L00000BndYm</t>
  </si>
  <si>
    <t>Halliburton Supply Chain Emissions Baseline #ESG</t>
  </si>
  <si>
    <t>0064L00000Bmqxh</t>
  </si>
  <si>
    <t>Strategic Sourcing opt</t>
  </si>
  <si>
    <t>0064L00000BeZAh</t>
  </si>
  <si>
    <t>Enterprise Oncology Growth Strategy #XPCONC</t>
  </si>
  <si>
    <t>0064L00000DFSYM</t>
  </si>
  <si>
    <t>FP&amp;A Roadmap</t>
  </si>
  <si>
    <t>0064I00000wzESH</t>
  </si>
  <si>
    <t>Optimal Cost</t>
  </si>
  <si>
    <t>25/9/2019</t>
  </si>
  <si>
    <t>Eric Dustman</t>
  </si>
  <si>
    <t>0064L00000B2SbF</t>
  </si>
  <si>
    <t>Mobilization work for Sharecare Plus + Anthem</t>
  </si>
  <si>
    <t>0064L00000BmOyB</t>
  </si>
  <si>
    <t>Back Office Transformation - 2023 Op Model</t>
  </si>
  <si>
    <t>0064L000009ACV7</t>
  </si>
  <si>
    <t>AT&amp;T Network Financial Report Automation</t>
  </si>
  <si>
    <t>0064L0000040rRH</t>
  </si>
  <si>
    <t>Claims and Absence Strategy</t>
  </si>
  <si>
    <t>23/10/2020</t>
  </si>
  <si>
    <t>0064L000002Zwil</t>
  </si>
  <si>
    <t>AbbVie Study &amp; Vendor Oversight Strategy #ClinicalSourcing</t>
  </si>
  <si>
    <t>26/3/2021</t>
  </si>
  <si>
    <t>0064L000001wOaX</t>
  </si>
  <si>
    <t>Data and Analytics Enablement of Value Based Care</t>
  </si>
  <si>
    <t>17/8/2020</t>
  </si>
  <si>
    <t>0064L00000BoFDa</t>
  </si>
  <si>
    <t>Apps High Performing Team</t>
  </si>
  <si>
    <t>Sean McDonald</t>
  </si>
  <si>
    <t>0064L000001u8a6</t>
  </si>
  <si>
    <t>*SMART* License - UHHS</t>
  </si>
  <si>
    <t>15/6/2020</t>
  </si>
  <si>
    <t>0064L00000Bn2Ct</t>
  </si>
  <si>
    <t>KPGA Revenue/Membership Growth</t>
  </si>
  <si>
    <t>0064L00000CXpBp</t>
  </si>
  <si>
    <t>Best Buy Health - Current Health App Integration</t>
  </si>
  <si>
    <t>0064L00000Bn2DI</t>
  </si>
  <si>
    <t>KPGA Operating Income Improvement #HVM</t>
  </si>
  <si>
    <t>0064L00000B0pwM</t>
  </si>
  <si>
    <t>Digital Delivery Support</t>
  </si>
  <si>
    <t>0064L00000BgMRk</t>
  </si>
  <si>
    <t>Hershey - AEP implementation Business Integrator</t>
  </si>
  <si>
    <t>0064L00000BmqGN</t>
  </si>
  <si>
    <t>MSWM - Retirements Long Term Strategy</t>
  </si>
  <si>
    <t>23/11/2022</t>
  </si>
  <si>
    <t>0064L00000Boeja</t>
  </si>
  <si>
    <t>MSFT Trade MBO FY23 Program Support</t>
  </si>
  <si>
    <t>0064L00000B1sva</t>
  </si>
  <si>
    <t>Electric Distribution Modernization Program - Phase 1</t>
  </si>
  <si>
    <t>Brett Bisaga</t>
  </si>
  <si>
    <t>0064L0000099Mrk</t>
  </si>
  <si>
    <t>#DCT -- GSK DCT Strategy &amp; Assessment</t>
  </si>
  <si>
    <t>26/7/2021</t>
  </si>
  <si>
    <t>0064L0000099Mrm</t>
  </si>
  <si>
    <t>#ClinTrialDesign -- GSK Protocol Design Lab Strategy &amp; Assessment</t>
  </si>
  <si>
    <t>0064L00000Boemj</t>
  </si>
  <si>
    <t>MRL Unified Support Activation</t>
  </si>
  <si>
    <t>Peter Apple</t>
  </si>
  <si>
    <t>0064L00000BmqJM</t>
  </si>
  <si>
    <t>AbbVie Aesthetics Commercial Operations</t>
  </si>
  <si>
    <t>0064L00000DFbkb</t>
  </si>
  <si>
    <t>AI Ops Phase 2</t>
  </si>
  <si>
    <t>0064L00000CWYdw</t>
  </si>
  <si>
    <t>Robertsons - Finance Process Standardization</t>
  </si>
  <si>
    <t>0064L00000BdV4P</t>
  </si>
  <si>
    <t>DIRECTV - Adobe CDP</t>
  </si>
  <si>
    <t>0064L00000BoV3b</t>
  </si>
  <si>
    <t>OptumRx/OptumHealth Formulary</t>
  </si>
  <si>
    <t>0064L000004xdBx</t>
  </si>
  <si>
    <t>ADM - #QMS LIMS Selection Support</t>
  </si>
  <si>
    <t>Allison Heyboer</t>
  </si>
  <si>
    <t>0064L00000CWkIN</t>
  </si>
  <si>
    <t>DTNA - Confidential (Battery Insights)</t>
  </si>
  <si>
    <t>0064L00000BoV3q</t>
  </si>
  <si>
    <t>OptumRx Risk Adjustment</t>
  </si>
  <si>
    <t>Angie Payne</t>
  </si>
  <si>
    <t>0064L000009B6ar</t>
  </si>
  <si>
    <t>Farmacia San Pablo</t>
  </si>
  <si>
    <t>CX Strategy Phase 2</t>
  </si>
  <si>
    <t>0064L00000DFbrT</t>
  </si>
  <si>
    <t>Juniper Networks, Inc.</t>
  </si>
  <si>
    <t>Juniper - CDP implementation</t>
  </si>
  <si>
    <t>0064L00000BctYP</t>
  </si>
  <si>
    <t>Affiliate Reinsurance Structure</t>
  </si>
  <si>
    <t>Mark Rosenthal</t>
  </si>
  <si>
    <t>0064L00000BmOTI</t>
  </si>
  <si>
    <t>Comerica Bank - Contact Center Transformation Strategy #GreatAttractor</t>
  </si>
  <si>
    <t>0064L00000DFbtx</t>
  </si>
  <si>
    <t>Ryan Specialty Group LLC.</t>
  </si>
  <si>
    <t>ERP Assessment</t>
  </si>
  <si>
    <t>Paul Sherratt</t>
  </si>
  <si>
    <t>0064L00000CWHqv</t>
  </si>
  <si>
    <t>#IOBP-Portfolio Ops Resource Management: RM Pilot</t>
  </si>
  <si>
    <t>0064L000009AfRd</t>
  </si>
  <si>
    <t>Lowe's #MI</t>
  </si>
  <si>
    <t>0064L00000BfJfy</t>
  </si>
  <si>
    <t>Innovation at Scale</t>
  </si>
  <si>
    <t>0064L00000Bmqa9</t>
  </si>
  <si>
    <t>Boeing HighRadius Business Integrator</t>
  </si>
  <si>
    <t>0064L00000BogF0</t>
  </si>
  <si>
    <t>Camibia - Cost of Care and Delivery Model of Care #HVM</t>
  </si>
  <si>
    <t>0064L00000BndCa</t>
  </si>
  <si>
    <t>Aon HCS Advisory Playbook Definition</t>
  </si>
  <si>
    <t>Jay Kulkarni</t>
  </si>
  <si>
    <t>0064L000004z79d</t>
  </si>
  <si>
    <t>EPM Design for AS</t>
  </si>
  <si>
    <t>0064L00000BoDaw</t>
  </si>
  <si>
    <t>Centene Enterprise Digitization / Modernization - Phase 1</t>
  </si>
  <si>
    <t>Matthew Hill</t>
  </si>
  <si>
    <t>0064L00000CV4rA</t>
  </si>
  <si>
    <t>Kohls Salesforce Loyalty</t>
  </si>
  <si>
    <t>0064L0000097GT5</t>
  </si>
  <si>
    <t>Advanced Planning System Selection</t>
  </si>
  <si>
    <t>Wuji Fei</t>
  </si>
  <si>
    <t>0064L0000097H4G</t>
  </si>
  <si>
    <t>MSFT Data/Care Mgmt strategy</t>
  </si>
  <si>
    <t>0064L00000BdVHg</t>
  </si>
  <si>
    <t>SCJ Performance Analyzer International TPM</t>
  </si>
  <si>
    <t>0064L00000BoSdB</t>
  </si>
  <si>
    <t>0064L00000BfHjK</t>
  </si>
  <si>
    <t>Horizon - Project Flying Clothesline - A&amp;G MS Phase Zero 2022</t>
  </si>
  <si>
    <t>0064L00000DFPbS</t>
  </si>
  <si>
    <t>Workday - Talent Acquisition Strategy and Onboarding</t>
  </si>
  <si>
    <t>Stacia Wood</t>
  </si>
  <si>
    <t>0064L000003yYTI</t>
  </si>
  <si>
    <t>Citizens Financial: Accounting Opening Transformation</t>
  </si>
  <si>
    <t>James Marshall</t>
  </si>
  <si>
    <t>0064L000003yYSo</t>
  </si>
  <si>
    <t>Citizens Financial: Marketing Tech / Sales Stack</t>
  </si>
  <si>
    <t>0064L00000BoSlA</t>
  </si>
  <si>
    <t>GE Separation - Energy - DT - Microsoft (M365) Future Strategy</t>
  </si>
  <si>
    <t>Varun Joshi</t>
  </si>
  <si>
    <t>GE Separation - Energy - DT Standup Planning (Main)</t>
  </si>
  <si>
    <t>Aakash Chhablani</t>
  </si>
  <si>
    <t>0064L00000BfIRW</t>
  </si>
  <si>
    <t>State of Michigan</t>
  </si>
  <si>
    <t>SOM State Police Culture Change Management and Pilot Program</t>
  </si>
  <si>
    <t>Katherine Briceno</t>
  </si>
  <si>
    <t>0064L00000BgM5o</t>
  </si>
  <si>
    <t>Supply Chain Integration Extension</t>
  </si>
  <si>
    <t>Cameron Carlisle</t>
  </si>
  <si>
    <t>0064L00000BoSkq</t>
  </si>
  <si>
    <t>Omnichannel Planning and Mobilization</t>
  </si>
  <si>
    <t>0064L00000BoSm8</t>
  </si>
  <si>
    <t>CX / Customer Strategy with Qualtrics Discover</t>
  </si>
  <si>
    <t>0064L00000BoSkv</t>
  </si>
  <si>
    <t>GE Separation - Energy - DT -  Network Advisory</t>
  </si>
  <si>
    <t>0064L00000CXKFQ</t>
  </si>
  <si>
    <t>FIS Workday Position Management</t>
  </si>
  <si>
    <t>0064L00000DFc1X</t>
  </si>
  <si>
    <t>HPE GreenLake Managed Services Strategy</t>
  </si>
  <si>
    <t>Anna Daggs</t>
  </si>
  <si>
    <t>0064L000007VKH1</t>
  </si>
  <si>
    <t>Duty Drawback VW GoA</t>
  </si>
  <si>
    <t>0064L00000CVEE9</t>
  </si>
  <si>
    <t>Anthem - CareMore EMR Planning</t>
  </si>
  <si>
    <t>0064L00000AruIL</t>
  </si>
  <si>
    <t>LifePoint Health D&amp;A Platform Program Support</t>
  </si>
  <si>
    <t>Siddharth Doshi</t>
  </si>
  <si>
    <t>0064L00000CXmON</t>
  </si>
  <si>
    <t>WTW Anaplan COE - Managed Service</t>
  </si>
  <si>
    <t>0064I00001315ca</t>
  </si>
  <si>
    <t>Davis Polk &amp; Wardwell LLP</t>
  </si>
  <si>
    <t>14/2/2020</t>
  </si>
  <si>
    <t>0064L00000CWHIr</t>
  </si>
  <si>
    <t>Global HCP Portal Q2 2022 Design and Implementation Support</t>
  </si>
  <si>
    <t>0064L00000Bnt6v</t>
  </si>
  <si>
    <t>Cloud Strategy</t>
  </si>
  <si>
    <t>Ken Evola</t>
  </si>
  <si>
    <t>0064L00000Bct8W</t>
  </si>
  <si>
    <t>KKR Corp Procurement Managed Service #S&amp;P#POD</t>
  </si>
  <si>
    <t>0064L0000042TMl</t>
  </si>
  <si>
    <t>Blue Cross Of Idaho Health Services INC.</t>
  </si>
  <si>
    <t>Project Barbados (Phase Zero Core Admin Transformation at Blue Cross of Idaho)</t>
  </si>
  <si>
    <t>0064L00000BnbUr</t>
  </si>
  <si>
    <t>SaaS Product Commercialization - Phase 2b - Build and Deploy</t>
  </si>
  <si>
    <t>0064L00000DFc5o</t>
  </si>
  <si>
    <t>UPS - Customer Data Platform</t>
  </si>
  <si>
    <t>0064L00000Bo2Ui</t>
  </si>
  <si>
    <t>Solar Mosaic Q2C Discovery &amp; Design</t>
  </si>
  <si>
    <t>0064L000009AQmW</t>
  </si>
  <si>
    <t>Assess CORTX Software Development Practices</t>
  </si>
  <si>
    <t>0064L000009AQmM</t>
  </si>
  <si>
    <t>Assess PDP Process and PD Capabilities</t>
  </si>
  <si>
    <t>0064L00000Bo2Xr</t>
  </si>
  <si>
    <t>MSK - IT Enterprise Wide - PMO Tools Eval</t>
  </si>
  <si>
    <t>0064L00000B0mWa</t>
  </si>
  <si>
    <t>Enterprise Digital Transformation Support</t>
  </si>
  <si>
    <t>24/8/2021</t>
  </si>
  <si>
    <t>Gregory Rotz</t>
  </si>
  <si>
    <t>0064L00000AqaOO</t>
  </si>
  <si>
    <t>Value Based Planning #XPCVBB</t>
  </si>
  <si>
    <t>0064L00000BgMIs</t>
  </si>
  <si>
    <t>Supply Chain Network Model Implementation</t>
  </si>
  <si>
    <t>0064L000002Z2Dl</t>
  </si>
  <si>
    <t>Ent Credit Union</t>
  </si>
  <si>
    <t>Ent Digital Team/Transformation #&lt;$50B</t>
  </si>
  <si>
    <t>0064L00000Boeh0</t>
  </si>
  <si>
    <t>Pfizer PAP</t>
  </si>
  <si>
    <t>Venus Modabber Sobhandost</t>
  </si>
  <si>
    <t>0064L00000Apns0</t>
  </si>
  <si>
    <t>WIM WFA Cost Reduction Consulting</t>
  </si>
  <si>
    <t>Paige Pennington</t>
  </si>
  <si>
    <t>0064L00000Aplps</t>
  </si>
  <si>
    <t>NNA Supply Chain Cost &amp; Risk Mitigation</t>
  </si>
  <si>
    <t>0064L00000Bf6iB</t>
  </si>
  <si>
    <t>Carbon Digital Solutions - Design</t>
  </si>
  <si>
    <t>0064L00000BmoD6</t>
  </si>
  <si>
    <t>Securian Holding Company</t>
  </si>
  <si>
    <t>Securian Transformational OCM</t>
  </si>
  <si>
    <t>Davi Bryan</t>
  </si>
  <si>
    <t>0064L00000Bf6iV</t>
  </si>
  <si>
    <t>Shell ESG Consulting</t>
  </si>
  <si>
    <t>0064L000001u8VB</t>
  </si>
  <si>
    <t>Unitypoint Health</t>
  </si>
  <si>
    <t>*SMART* License - UnityPoint Health</t>
  </si>
  <si>
    <t>0064L000001u8XH</t>
  </si>
  <si>
    <t>*SMART* License - HSHS</t>
  </si>
  <si>
    <t>0064I000015TQMa</t>
  </si>
  <si>
    <t>Buckeye EPM selection</t>
  </si>
  <si>
    <t>14/5/2020</t>
  </si>
  <si>
    <t>0064L000001u8Wd</t>
  </si>
  <si>
    <t>Ballad Health</t>
  </si>
  <si>
    <t>*SMART* License - Ballad Health</t>
  </si>
  <si>
    <t>0064L00000B2cq1</t>
  </si>
  <si>
    <t>#QMS GMP Audit Transformation</t>
  </si>
  <si>
    <t>BMS GMP Audit Assessment</t>
  </si>
  <si>
    <t>0064L00000CVByY</t>
  </si>
  <si>
    <t>BXC TCL Detailed Design</t>
  </si>
  <si>
    <t>Nicole Baron</t>
  </si>
  <si>
    <t>0064L00000BoSL7</t>
  </si>
  <si>
    <t>Baystate - Sales Transformation</t>
  </si>
  <si>
    <t>0064L00000DJn5R</t>
  </si>
  <si>
    <t>Digital Modernization Roadmap Phase 1</t>
  </si>
  <si>
    <t>0064L00000Aplwa</t>
  </si>
  <si>
    <t>#IOBP -- Pfizer PPM Simplification Enablement</t>
  </si>
  <si>
    <t>0064L000009B3wu</t>
  </si>
  <si>
    <t>VW_Marketing Cloud_Salesforce</t>
  </si>
  <si>
    <t>0064L000009B3vw</t>
  </si>
  <si>
    <t>Nissan_Marketing Cloud_Salesforce</t>
  </si>
  <si>
    <t>0064L00000DJn9d</t>
  </si>
  <si>
    <t>CX B2B Return on Experience (ROX)</t>
  </si>
  <si>
    <t>0064L00000BnPNF</t>
  </si>
  <si>
    <t>AT&amp;T - 5G SA Core Digital Twin</t>
  </si>
  <si>
    <t>0064L00000BmoNH</t>
  </si>
  <si>
    <t>FedEx Time &amp; Attendance planning (ph1)</t>
  </si>
  <si>
    <t>0064L00000Bkygg</t>
  </si>
  <si>
    <t>Horizon - Care Model Planning #HVM</t>
  </si>
  <si>
    <t>0064L00000ArtEc</t>
  </si>
  <si>
    <t>Cedars-Sinai Medical Center</t>
  </si>
  <si>
    <t>Digital Execution Phase 1</t>
  </si>
  <si>
    <t>0064L00000AqqCH</t>
  </si>
  <si>
    <t>RIG - Working Capital</t>
  </si>
  <si>
    <t>0064L000009ARzv</t>
  </si>
  <si>
    <t>Wage Index Review and Reclass *Strategic Reimbursement*</t>
  </si>
  <si>
    <t>0064L00000Bf6w4</t>
  </si>
  <si>
    <t>*A&amp;AN* IU Health: Patient Access Transformation - Design (Phase 2)</t>
  </si>
  <si>
    <t>0064I00000vPfFJ</t>
  </si>
  <si>
    <t>URSMD Education Portfolio Assessment - 2019</t>
  </si>
  <si>
    <t>18/7/2019</t>
  </si>
  <si>
    <t>Sarah Fogel</t>
  </si>
  <si>
    <t>0064L00000CXZju</t>
  </si>
  <si>
    <t>Comerica Service Transformation</t>
  </si>
  <si>
    <t>0064L00000CXZmA</t>
  </si>
  <si>
    <t>Contact Center as a Service Telephony Strategy</t>
  </si>
  <si>
    <t>0064L00000DJnBG</t>
  </si>
  <si>
    <t>Project Beta Compliance Support</t>
  </si>
  <si>
    <t>Edward Hirsh</t>
  </si>
  <si>
    <t>0064L00000CVCgp</t>
  </si>
  <si>
    <t>KCC Corporation</t>
  </si>
  <si>
    <t>Momentive - Smart Factory Strategy</t>
  </si>
  <si>
    <t>0064L00000BoSWy</t>
  </si>
  <si>
    <t>IAC/InterActiveCorp</t>
  </si>
  <si>
    <t>Upside Broker Dealer Build</t>
  </si>
  <si>
    <t>Grace Vogel</t>
  </si>
  <si>
    <t>Brandy Rosel</t>
  </si>
  <si>
    <t>0064L00000Bmnta</t>
  </si>
  <si>
    <t>Payments End-to-End Assessment- Phase 2</t>
  </si>
  <si>
    <t>0064L000003yYd8</t>
  </si>
  <si>
    <t>MS - ETFC Acct Conversion Support - Ops #WM</t>
  </si>
  <si>
    <t>0064L000009BF5d</t>
  </si>
  <si>
    <t>Lumen-Network Implementation Process-SFDC #SiteTracker</t>
  </si>
  <si>
    <t>Haley Horton</t>
  </si>
  <si>
    <t>0064L00000DFPVK</t>
  </si>
  <si>
    <t>Global Stat Process - Enterprise Standard</t>
  </si>
  <si>
    <t>0064L00000Blm7O</t>
  </si>
  <si>
    <t>Lumen - ZBB and Unit Cost Reduction</t>
  </si>
  <si>
    <t>0064L000007xO6q</t>
  </si>
  <si>
    <t>Dominion Energy, Inc.</t>
  </si>
  <si>
    <t>D - LDC Billing System - Ohio SBS Analysis</t>
  </si>
  <si>
    <t>0064L000007xO6g</t>
  </si>
  <si>
    <t>D - LDC Billing System - WV HIPS Analysis</t>
  </si>
  <si>
    <t>0064L000007FMFd</t>
  </si>
  <si>
    <t>Digital Journey Mapping &amp; Transformation</t>
  </si>
  <si>
    <t>31/8/2021 4:20 am</t>
  </si>
  <si>
    <t>Jared Fowler</t>
  </si>
  <si>
    <t>0064L00000BlK6q</t>
  </si>
  <si>
    <t>LM - OneLM Data RFI</t>
  </si>
  <si>
    <t>0064L00000CWMby</t>
  </si>
  <si>
    <t>UA MP MarTech Assessment &amp; RFP</t>
  </si>
  <si>
    <t>&lt;499,999M</t>
  </si>
  <si>
    <t>Mary Hardy</t>
  </si>
  <si>
    <t>0064L00000Bdewh</t>
  </si>
  <si>
    <t>Healthfirst Project Persistence 2</t>
  </si>
  <si>
    <t>0064L00000BopuM</t>
  </si>
  <si>
    <t>MS - ShareWorks Architecture Assessment</t>
  </si>
  <si>
    <t>Prayas Lohalekar</t>
  </si>
  <si>
    <t>0064L00000DFhiS</t>
  </si>
  <si>
    <t>Pandemic Commercial Model Phase IV</t>
  </si>
  <si>
    <t>Ilia Gorodnichev</t>
  </si>
  <si>
    <t>0064L000006UiOR</t>
  </si>
  <si>
    <t>2021 Employee Experience / Culture</t>
  </si>
  <si>
    <t>16/2/2021</t>
  </si>
  <si>
    <t>0064L00000Blwgr</t>
  </si>
  <si>
    <t>Whirlpool Corporation</t>
  </si>
  <si>
    <t>Plant &amp; Product Optimization - Phase 2</t>
  </si>
  <si>
    <t>0064L00000Bnjn0</t>
  </si>
  <si>
    <t>Labcorp - CPQ Pricing</t>
  </si>
  <si>
    <t>19/7/2022</t>
  </si>
  <si>
    <t>0064L00000CYUjU</t>
  </si>
  <si>
    <t>Investment Management - TOM</t>
  </si>
  <si>
    <t>Brian Marsh</t>
  </si>
  <si>
    <t>0064I00000wvyM4</t>
  </si>
  <si>
    <t>FNMA_FFG_Case for Change and Stand up TMO</t>
  </si>
  <si>
    <t>21/8/2019</t>
  </si>
  <si>
    <t>0064L00000ArTYf</t>
  </si>
  <si>
    <t>UCT: Hamlet Operating Model</t>
  </si>
  <si>
    <t>0064L000001u8ak</t>
  </si>
  <si>
    <t>*SMART* License - St. Luke's Health</t>
  </si>
  <si>
    <t>0064L00000BdEAS</t>
  </si>
  <si>
    <t>Cardinal Health Electromechanical Service Strategy</t>
  </si>
  <si>
    <t>Chetan Ghatge</t>
  </si>
  <si>
    <t>Maryann Ramsey</t>
  </si>
  <si>
    <t>0064L00000CWDrJ</t>
  </si>
  <si>
    <t>Vz - Planning, Rptg &amp; Data Support</t>
  </si>
  <si>
    <t>0064L00000Bm8ye</t>
  </si>
  <si>
    <t>SIC EB Claims Op Model</t>
  </si>
  <si>
    <t>0064L00000BmJrZ</t>
  </si>
  <si>
    <t>KP -  Medi-Cal consumer Study</t>
  </si>
  <si>
    <t>0064L000001u2aW</t>
  </si>
  <si>
    <t>IT Infrastructure Assessment #COVID-19</t>
  </si>
  <si>
    <t>Samuel Nassi</t>
  </si>
  <si>
    <t>0064L00000Bl3SZ</t>
  </si>
  <si>
    <t>Project Symphony - Sign to Close - Pull-Thru - Risk Org Design</t>
  </si>
  <si>
    <t>0064L00000BoyPM</t>
  </si>
  <si>
    <t>Medicare Supplement UW/Pricing Implementation + Monitoring Dashboard</t>
  </si>
  <si>
    <t>Derek Skoog</t>
  </si>
  <si>
    <t>Julian Levin</t>
  </si>
  <si>
    <t>0064L00000B1QIu</t>
  </si>
  <si>
    <t>BL - RA for Elderly Phase 3 (US Portion)</t>
  </si>
  <si>
    <t>0064L00000CVsS6</t>
  </si>
  <si>
    <t>Pandemic Commercial Model Phase IIIB</t>
  </si>
  <si>
    <t>0064L00000BnyQI</t>
  </si>
  <si>
    <t>MCA Tech platform assessment</t>
  </si>
  <si>
    <t>0064L000002abEU</t>
  </si>
  <si>
    <t>Federated SSO program expansion</t>
  </si>
  <si>
    <t>DNU CS_Cyber_Operational_Resiliency</t>
  </si>
  <si>
    <t>Jeffrey Miller</t>
  </si>
  <si>
    <t>0064L00000CXdh5</t>
  </si>
  <si>
    <t>Major League Soccer L.l.c.</t>
  </si>
  <si>
    <t>MLS Tech strategy</t>
  </si>
  <si>
    <t>0064L00000BlMA5</t>
  </si>
  <si>
    <t>LPL / Treasury and Ops Enhancement and 17a5 Controls Review / $485,000</t>
  </si>
  <si>
    <t>0064L00000CVfsl</t>
  </si>
  <si>
    <t>TMO Phase 2</t>
  </si>
  <si>
    <t>21/3/2022</t>
  </si>
  <si>
    <t>Scott Brodrick</t>
  </si>
  <si>
    <t>0064L00000B2Jhj</t>
  </si>
  <si>
    <t>Anaplan Implementation Support</t>
  </si>
  <si>
    <t>0064L00000Boq2B</t>
  </si>
  <si>
    <t>Tatari, Inc.</t>
  </si>
  <si>
    <t>Tatari Integration Support</t>
  </si>
  <si>
    <t>Carmen Chan</t>
  </si>
  <si>
    <t>Nima Abar</t>
  </si>
  <si>
    <t>0064L00000BlD0L</t>
  </si>
  <si>
    <t>Coca-Cola ME&amp;E Phase 4 - LATAM Procurement Excellence</t>
  </si>
  <si>
    <t>Tiffany Jones</t>
  </si>
  <si>
    <t>0064L00000DJgH0</t>
  </si>
  <si>
    <t>embecta post spin HR PMO support</t>
  </si>
  <si>
    <t>Steve Schultz</t>
  </si>
  <si>
    <t>0064L00000CWuaj</t>
  </si>
  <si>
    <t>Morgan Stanley - Restricted Securities Market Entry - Central Team Support</t>
  </si>
  <si>
    <t>0064L00000DJTcr</t>
  </si>
  <si>
    <t>HP - Teradici L2C PMO, MoC</t>
  </si>
  <si>
    <t>Kristy Hull</t>
  </si>
  <si>
    <t>0064L00000CVHWu</t>
  </si>
  <si>
    <t>EGWP SHP Strategy</t>
  </si>
  <si>
    <t>0064L000009fsUx</t>
  </si>
  <si>
    <t>Anthem CX/HCD CoE Foundation #FF Phase 2</t>
  </si>
  <si>
    <t>Anthem CX/HCD CoE Foundation #FF Phase 1</t>
  </si>
  <si>
    <t>0064L00000Blmfk</t>
  </si>
  <si>
    <t>Inbound Transportation Centralization Opportunity Assessment #S&amp;P#POD</t>
  </si>
  <si>
    <t>James O'Keefe</t>
  </si>
  <si>
    <t>0064L0000099ZFk</t>
  </si>
  <si>
    <t>SoCalGas - MSP Modernization</t>
  </si>
  <si>
    <t>0064L00000BlHlL</t>
  </si>
  <si>
    <t>Treasury - Paymentus Migration</t>
  </si>
  <si>
    <t>0064L00000B2udZ</t>
  </si>
  <si>
    <t>Portfolio Central Support Q4 2022</t>
  </si>
  <si>
    <t>Madison Alley</t>
  </si>
  <si>
    <t>0064L00000B2ud1</t>
  </si>
  <si>
    <t>Portfolio Central Support Q3 2022</t>
  </si>
  <si>
    <t>0064L00000DJkpg</t>
  </si>
  <si>
    <t>MSFT MSA Xandr Change Management Support</t>
  </si>
  <si>
    <t>Julia Jones</t>
  </si>
  <si>
    <t>0064I00000wx6Gw</t>
  </si>
  <si>
    <t>Novant Health, Inc.</t>
  </si>
  <si>
    <t>*SMART* License - Novant Health</t>
  </si>
  <si>
    <t>0064L00000CVp3Q</t>
  </si>
  <si>
    <t>FSOP Market Research</t>
  </si>
  <si>
    <t>0064L00000BmoV6</t>
  </si>
  <si>
    <t>MSWM - FSS Rollover Build Out (July-Dec)</t>
  </si>
  <si>
    <t>0064L00000BoiYY</t>
  </si>
  <si>
    <t>TCCC ME&amp;E - Marketing Planning</t>
  </si>
  <si>
    <t>Nitesh Kumar</t>
  </si>
  <si>
    <t>0064L00000Bn9Bk</t>
  </si>
  <si>
    <t>Nicor Cost Reasonableness Assessment</t>
  </si>
  <si>
    <t>0064L00000CXdOb</t>
  </si>
  <si>
    <t>FYE22 Retiree Medical Valuations</t>
  </si>
  <si>
    <t>Theresa Gee</t>
  </si>
  <si>
    <t>Martin Hill</t>
  </si>
  <si>
    <t>0064L000001vDKE</t>
  </si>
  <si>
    <t>Corp Dev / M&amp;A Group Standup #FSDeals</t>
  </si>
  <si>
    <t>13/7/2020</t>
  </si>
  <si>
    <t>0064L00000BnWrr</t>
  </si>
  <si>
    <t>Healthcare Integration GTM Strategy</t>
  </si>
  <si>
    <t>0064L00000BmTtu</t>
  </si>
  <si>
    <t>USE Integration into Workday</t>
  </si>
  <si>
    <t>0064L00000BldBo</t>
  </si>
  <si>
    <t>Boston Medical Center</t>
  </si>
  <si>
    <t>IT Strategy</t>
  </si>
  <si>
    <t>Abbas Mooraj</t>
  </si>
  <si>
    <t>0064L00000B2m3V</t>
  </si>
  <si>
    <t>WHR - AWS - People: Org. Design</t>
  </si>
  <si>
    <t>0064L00000CXQJh</t>
  </si>
  <si>
    <t>Blue Point Capital Partners</t>
  </si>
  <si>
    <t>Pricing, Segmentation and Next Generation Roles</t>
  </si>
  <si>
    <t>0064L00000BoZiC</t>
  </si>
  <si>
    <t>JUBILANT PHARMOVA LIMITED</t>
  </si>
  <si>
    <t>Value Unlock- Operating Model and Benchmarking</t>
  </si>
  <si>
    <t>0064L000009AWti</t>
  </si>
  <si>
    <t>FB&amp;T nCino Discovery</t>
  </si>
  <si>
    <t>0064L00000Aq3wQ</t>
  </si>
  <si>
    <t>WGL - Transformation Office</t>
  </si>
  <si>
    <t>0064L00000CVYgv</t>
  </si>
  <si>
    <t>Takeda GTN Bluesheet Transition + Anaplan 2022</t>
  </si>
  <si>
    <t>Elissa Grover</t>
  </si>
  <si>
    <t>0064L00000BgPb5</t>
  </si>
  <si>
    <t>Pi Jersey Topco Limited</t>
  </si>
  <si>
    <t>Growth &amp; Innovation Strategy</t>
  </si>
  <si>
    <t>0064L00000CXa3m</t>
  </si>
  <si>
    <t>Syneos Health - Phase 1 Supplier Diversity Program Implementation #S&amp;P #ESG</t>
  </si>
  <si>
    <t>Kiran Annaiah</t>
  </si>
  <si>
    <t>0064L000004xRy3</t>
  </si>
  <si>
    <t>DSI Culture / Change Management / D&amp;I</t>
  </si>
  <si>
    <t>23/1/2021</t>
  </si>
  <si>
    <t>Tiffany Gallagher</t>
  </si>
  <si>
    <t>0064L00000Apc6P</t>
  </si>
  <si>
    <t>Target Corporation</t>
  </si>
  <si>
    <t>Target Inventory Shrink Remediation</t>
  </si>
  <si>
    <t>0064L00000B11rV</t>
  </si>
  <si>
    <t>Allstate - Salesforce Contact Center #FSINS</t>
  </si>
  <si>
    <t>Seth Harris</t>
  </si>
  <si>
    <t>0064L00000Bn2Me</t>
  </si>
  <si>
    <t>Cayan Oracle Salesforce Integration</t>
  </si>
  <si>
    <t>0064L00000CYPsB</t>
  </si>
  <si>
    <t>Thiele Kaolin Company</t>
  </si>
  <si>
    <t>Supply Chain Support</t>
  </si>
  <si>
    <t>Steven Tess</t>
  </si>
  <si>
    <t>Thomas Kristensen</t>
  </si>
  <si>
    <t>0064L00000AqSOV</t>
  </si>
  <si>
    <t>Healthpartners</t>
  </si>
  <si>
    <t>HealthPartners Oracle Rev &amp; Billing Integration: Phase 2</t>
  </si>
  <si>
    <t>0064L00000AqdV3</t>
  </si>
  <si>
    <t>HP LFP Digital New Markets Entry Strategy #XPCGrowth</t>
  </si>
  <si>
    <t>0064L00000BmsgO</t>
  </si>
  <si>
    <t>Medicaid Call Center Consolidation Support #GCOE #Medicaid</t>
  </si>
  <si>
    <t>Amanda Diaz</t>
  </si>
  <si>
    <t>Kristin Denton</t>
  </si>
  <si>
    <t>0064L000009g0ka</t>
  </si>
  <si>
    <t>Executive Talent Management</t>
  </si>
  <si>
    <t>0064L000007XuPn</t>
  </si>
  <si>
    <t>Trimble PDT Strategy</t>
  </si>
  <si>
    <t>0064L00000BmaOw</t>
  </si>
  <si>
    <t>Sierra Space Corporation</t>
  </si>
  <si>
    <t>Sierra Space - Strategic Planning</t>
  </si>
  <si>
    <t>0064L00000BeZ9o</t>
  </si>
  <si>
    <t>Medicare Sales Strategy</t>
  </si>
  <si>
    <t>0064L000007XuTp</t>
  </si>
  <si>
    <t>Trimble Partnership &amp; JV Strategy</t>
  </si>
  <si>
    <t>0064L00000ArDFm</t>
  </si>
  <si>
    <t>Intel - RSA Program Assessment</t>
  </si>
  <si>
    <t>0064L000007XuLt</t>
  </si>
  <si>
    <t>Trimble PaaS Strategy</t>
  </si>
  <si>
    <t>0064L00000BeWlx</t>
  </si>
  <si>
    <t>Global Account Mgmt Practices and Org Design</t>
  </si>
  <si>
    <t>0064L00000CYpkU</t>
  </si>
  <si>
    <t>Horizon - Project Olive Oil - Assessing  current vendor relationship of Facets platform for Medicaid #PayerCO&amp;ITrans</t>
  </si>
  <si>
    <t>0064L00000B23EH</t>
  </si>
  <si>
    <t>Chewy Proprietary Brands - Capabilities &amp; Op Model</t>
  </si>
  <si>
    <t>Stuart McFarland</t>
  </si>
  <si>
    <t>0064L00000CVEvc</t>
  </si>
  <si>
    <t>Real Estate Equity - Data Operations &amp; Valuations Process Support</t>
  </si>
  <si>
    <t>0064L00000DFPae</t>
  </si>
  <si>
    <t>Employee Upskilling and Learning</t>
  </si>
  <si>
    <t>0064L00000Bnc1q</t>
  </si>
  <si>
    <t>TPA Mobilization Support #PayerCO&amp;ITrans</t>
  </si>
  <si>
    <t>Sarah Guruswamy</t>
  </si>
  <si>
    <t>0064L00000BnbZd</t>
  </si>
  <si>
    <t>Lazard LTD.</t>
  </si>
  <si>
    <t>Lazard - HR vision and tech review</t>
  </si>
  <si>
    <t>Kathryn Charlton</t>
  </si>
  <si>
    <t>0064L00000CVBww</t>
  </si>
  <si>
    <t>ASU Enterprise Partners</t>
  </si>
  <si>
    <t>*CI* ASUEP- Business Planning Support</t>
  </si>
  <si>
    <t>Jenna Drevins</t>
  </si>
  <si>
    <t>0064L00000CYmqy</t>
  </si>
  <si>
    <t>CALIFORNIA PRIMARY CARE ASSOCIATION</t>
  </si>
  <si>
    <t>CHC Consumer Study</t>
  </si>
  <si>
    <t>Junaed Siddiqui</t>
  </si>
  <si>
    <t>0064L00000BnMky</t>
  </si>
  <si>
    <t>LACEWORK Inc.</t>
  </si>
  <si>
    <t>Consumption OpModel Design</t>
  </si>
  <si>
    <t>0064L00000DJZYM</t>
  </si>
  <si>
    <t>GCP Customer Support Integration Jun - Dec 2021</t>
  </si>
  <si>
    <t>Dustin Hindman</t>
  </si>
  <si>
    <t>0064L00000B0zar</t>
  </si>
  <si>
    <t>FP&amp;A management reporting and data strategy</t>
  </si>
  <si>
    <t>0064L00000B0zaI</t>
  </si>
  <si>
    <t>FP&amp;A automation and digital vision, use case and enablement</t>
  </si>
  <si>
    <t>0064L00000BeSP9</t>
  </si>
  <si>
    <t>Auto Lending - Serv Growth Strategy &amp; Value Proposition Design</t>
  </si>
  <si>
    <t>0064L00000B0zZf</t>
  </si>
  <si>
    <t>FBP Planning Transformation</t>
  </si>
  <si>
    <t>0064L000006BSFe</t>
  </si>
  <si>
    <t>Call Center Optimization - Data/Process Strategy</t>
  </si>
  <si>
    <t>0064L00000BfFA8</t>
  </si>
  <si>
    <t>Aptiv ASUX - SW Tools Rationalization PMO Support</t>
  </si>
  <si>
    <t>0064L00000BgZFE</t>
  </si>
  <si>
    <t>Oracle EPM - Account Reconciliations (ARCS)</t>
  </si>
  <si>
    <t>0064L00000BfecC</t>
  </si>
  <si>
    <t>Potential work after MS ESG Internal Audit</t>
  </si>
  <si>
    <t>0064I00000zRhLX</t>
  </si>
  <si>
    <t>SIB Charter - Phase 2</t>
  </si>
  <si>
    <t>22/11/2022</t>
  </si>
  <si>
    <t>0064L00000Aqm8k</t>
  </si>
  <si>
    <t>HOLDING CEMENTERO DEL PERU SOCIEDAD ANONIMA</t>
  </si>
  <si>
    <t>YURA - FFG</t>
  </si>
  <si>
    <t>Oscar Santa Maria</t>
  </si>
  <si>
    <t>0064L00000CYHeU</t>
  </si>
  <si>
    <t>Segra: Supply Chain Assessment</t>
  </si>
  <si>
    <t>0064L000009AOHC</t>
  </si>
  <si>
    <t>Distribution/Agent Performance Management</t>
  </si>
  <si>
    <t>0064L00000Bf2up</t>
  </si>
  <si>
    <t>Fox News Midterm Election Readiness Support</t>
  </si>
  <si>
    <t>30/1/2022</t>
  </si>
  <si>
    <t>Peter Schwartz</t>
  </si>
  <si>
    <t>0064L000002bRCf</t>
  </si>
  <si>
    <t>Harley-Davidson, Inc.</t>
  </si>
  <si>
    <t>H-D - #ESG enviro P&amp;L update and forecast</t>
  </si>
  <si>
    <t>Julie Bogas</t>
  </si>
  <si>
    <t>0064L00000Bn9T8</t>
  </si>
  <si>
    <t>FY23 SOX MYS Organizational Enablement Support - Q2</t>
  </si>
  <si>
    <t>Ashley Burgstahler</t>
  </si>
  <si>
    <t>0064L00000CXcGs</t>
  </si>
  <si>
    <t>Clayton Dubilier &amp; Rice Inc.</t>
  </si>
  <si>
    <t>Galaxy - Post Close Communications (60 Days)</t>
  </si>
  <si>
    <t>Kurt Ewen</t>
  </si>
  <si>
    <t>Vivek Narayanan</t>
  </si>
  <si>
    <t>0064L00000Bm95L</t>
  </si>
  <si>
    <t>Citi Enterprise Risk Management Training Extension: TNA - FINAL</t>
  </si>
  <si>
    <t>0064I00000zRGBy</t>
  </si>
  <si>
    <t>AECOM</t>
  </si>
  <si>
    <t>IGP - Tishman Hotel Corp - Hilton Swan and Dolphin Orlando</t>
  </si>
  <si>
    <t>16/11/2019</t>
  </si>
  <si>
    <t>0064L00000CVwx4</t>
  </si>
  <si>
    <t>Sales Performance Management - CR#3 - Option</t>
  </si>
  <si>
    <t>0064L00000DJXWO</t>
  </si>
  <si>
    <t>Google Cloud Marketing Workforce Blueprint</t>
  </si>
  <si>
    <t>15/6/2022 8:14 am</t>
  </si>
  <si>
    <t>0064L00000Be0mG</t>
  </si>
  <si>
    <t>MSWM FSS IRA Rollover - Extension - Phase 1</t>
  </si>
  <si>
    <t>0064L00000DBQEt</t>
  </si>
  <si>
    <t>Ally Smart Auction - 2.0</t>
  </si>
  <si>
    <t>0064L00000Bn2sz</t>
  </si>
  <si>
    <t>Amazon Treasury - Global Business Expansion and Banking Support</t>
  </si>
  <si>
    <t>0064L00000Bnqea</t>
  </si>
  <si>
    <t>Project Force Phase 3 - Lease Admin Transition Support</t>
  </si>
  <si>
    <t>0064L00000CXshF</t>
  </si>
  <si>
    <t>Enterprise PMO Support</t>
  </si>
  <si>
    <t>0064L00000BeiQF</t>
  </si>
  <si>
    <t>GRS Data Strategy</t>
  </si>
  <si>
    <t>0064L00000CVsZ9</t>
  </si>
  <si>
    <t>Anthem CX Strategy &amp; Vision Phase 1</t>
  </si>
  <si>
    <t>0064L00000DJiRb</t>
  </si>
  <si>
    <t>Risk Management / Middle Office Support</t>
  </si>
  <si>
    <t>0064L00000Bfeaa</t>
  </si>
  <si>
    <t>Potential work after Wells Fargo - Sustainable Finance</t>
  </si>
  <si>
    <t>0064L00000CXTXe</t>
  </si>
  <si>
    <t>Evolution of the Adult Vaccine Landscape Phase II</t>
  </si>
  <si>
    <t>0064L00000BoePa</t>
  </si>
  <si>
    <t>Prolec GE USA - ISA Migration Extension</t>
  </si>
  <si>
    <t>Nadirah Ibrahim</t>
  </si>
  <si>
    <t>Stacey Feldman</t>
  </si>
  <si>
    <t>0064L00000CY75k</t>
  </si>
  <si>
    <t>Moderna Digital Commerce - MVP Restart Acceleration</t>
  </si>
  <si>
    <t>Deena Dalal</t>
  </si>
  <si>
    <t>0064L00000DBNoM</t>
  </si>
  <si>
    <t>Reimagining Sourcing</t>
  </si>
  <si>
    <t>0064L00000CVpsn</t>
  </si>
  <si>
    <t>Anaplan Implementation - R&amp;D Phase 3</t>
  </si>
  <si>
    <t>0064L000006BQFz</t>
  </si>
  <si>
    <t>E&amp;S Strategic Review</t>
  </si>
  <si>
    <t>0064L00000ApyOR</t>
  </si>
  <si>
    <t>Finance of America Companies Inc.</t>
  </si>
  <si>
    <t>FOA - Reporting Process Optimization Phase 1</t>
  </si>
  <si>
    <t>Marcel Kanngiesser</t>
  </si>
  <si>
    <t>0064L000001ucbz</t>
  </si>
  <si>
    <t>Takeda US FP&amp;A Transformation Phase 1 (Anaplan)</t>
  </si>
  <si>
    <t>David Olivieri</t>
  </si>
  <si>
    <t>0064L000001uccE</t>
  </si>
  <si>
    <t>Wireless Field Force Operating Model Transformation</t>
  </si>
  <si>
    <t>0064L000002c6WN</t>
  </si>
  <si>
    <t>Diversity &amp; Belonging Talent Strategy</t>
  </si>
  <si>
    <t>0064L00000BfBqq</t>
  </si>
  <si>
    <t>Blue Cross Blue Shield of Michigan #ProEdge - Renewal [Brewers] (GCAP / #ProEdgexAutomation )</t>
  </si>
  <si>
    <t>Tennille Edwards</t>
  </si>
  <si>
    <t>0064L00000Bg4tj</t>
  </si>
  <si>
    <t>PEP Cost of Climate Disruption</t>
  </si>
  <si>
    <t>Molly Shepard</t>
  </si>
  <si>
    <t>0064L00000CYYK9</t>
  </si>
  <si>
    <t>HR Business Excellence FY23 H1 Org Support</t>
  </si>
  <si>
    <t>0064I00000vNdmn</t>
  </si>
  <si>
    <t>nCino Discovery #FOBComm #&lt;$50B #SCB</t>
  </si>
  <si>
    <t>0065800000jfj2M</t>
  </si>
  <si>
    <t>*SMART* License - SCL Health</t>
  </si>
  <si>
    <t>25/9/2018</t>
  </si>
  <si>
    <t>0064L00000ArLhZ</t>
  </si>
  <si>
    <t>GE Treasury - Supply chain finance</t>
  </si>
  <si>
    <t>0064L00000BcmYl</t>
  </si>
  <si>
    <t>Highroads Inc.</t>
  </si>
  <si>
    <t>Template Creation Support Q2-Q4 2022 #PayerCO&amp;ITrans</t>
  </si>
  <si>
    <t>0064L000009AMVb</t>
  </si>
  <si>
    <t>ESG Phase II Automation (Baker Hughes)</t>
  </si>
  <si>
    <t>David Washo</t>
  </si>
  <si>
    <t>0064L00000Bmxve</t>
  </si>
  <si>
    <t>Intercompany Strategic Foundations</t>
  </si>
  <si>
    <t>0064L000007EwWs</t>
  </si>
  <si>
    <t>GE Gas Power Logistics</t>
  </si>
  <si>
    <t>0064L000007wDnB</t>
  </si>
  <si>
    <t>Henry Schein Inc.</t>
  </si>
  <si>
    <t>Henry Schein Contract Management</t>
  </si>
  <si>
    <t>0064L000003yRoY</t>
  </si>
  <si>
    <t>SCL Health - Virtual Health Analytics &amp; Strategy</t>
  </si>
  <si>
    <t>22/8/2020</t>
  </si>
  <si>
    <t>0064L00000ArmgA</t>
  </si>
  <si>
    <t>0064L00000CX0nU</t>
  </si>
  <si>
    <t>Brand Strategy &amp; Change Management Support</t>
  </si>
  <si>
    <t>0064L00000CYwyL</t>
  </si>
  <si>
    <t>Confidential New Facility Build - Project Development PM/CM Services - Phase 1</t>
  </si>
  <si>
    <t>0064I000011pRsU</t>
  </si>
  <si>
    <t>First Hawaiian, Inc</t>
  </si>
  <si>
    <t>First Hawaiian Bank - nCino Discovery #&lt;$50B #SCB</t>
  </si>
  <si>
    <t>29/1/2020</t>
  </si>
  <si>
    <t>0064L00000ApwYj</t>
  </si>
  <si>
    <t>0064L00000CWPfh</t>
  </si>
  <si>
    <t>Product Management Strategy and Design #PayerCO&amp;ITrans</t>
  </si>
  <si>
    <t>0064L000009fgCL</t>
  </si>
  <si>
    <t>PU Hedging Strategy</t>
  </si>
  <si>
    <t>Jennifer Johnson</t>
  </si>
  <si>
    <t>0064L00000CXRMD</t>
  </si>
  <si>
    <t>Industria De Hamburguesas S.A.</t>
  </si>
  <si>
    <t>McDonalds Mesoamérica - Operating Model Design</t>
  </si>
  <si>
    <t>0064L0000099dsA</t>
  </si>
  <si>
    <t>Aflac Procurement on Demand and Strategy Development Opportunity #S&amp;P#POD</t>
  </si>
  <si>
    <t>0064L00000ArZPj</t>
  </si>
  <si>
    <t>nxtgenERP Activity Analysis</t>
  </si>
  <si>
    <t>0064L000009gJ8T</t>
  </si>
  <si>
    <t>Bank of Hawaii - LOS Discovery #&lt;$50B #SCB</t>
  </si>
  <si>
    <t>0064L0000040Ez9</t>
  </si>
  <si>
    <t>Dealer Services - LOS and servicing system selection strategy</t>
  </si>
  <si>
    <t>Jonathan Liu</t>
  </si>
  <si>
    <t>0064L000007EbvD</t>
  </si>
  <si>
    <t>First Hawaiian Bank SB Strategy #&lt;$50B #SCB</t>
  </si>
  <si>
    <t>22/3/2021</t>
  </si>
  <si>
    <t>0064L00000DFill</t>
  </si>
  <si>
    <t>TCCC MyCoke evolution</t>
  </si>
  <si>
    <t>0064L00000DFZ02</t>
  </si>
  <si>
    <t>AT&amp;T Indirect Channel Transformation Planning &amp; Pilot Design</t>
  </si>
  <si>
    <t>0064L000002bBqF</t>
  </si>
  <si>
    <t>Back office platform strategy &amp; roadmap #PayerCO&amp;ITrans</t>
  </si>
  <si>
    <t>0064L000001vdrv</t>
  </si>
  <si>
    <t>L3Harris - UAE Country Playbook #FFG</t>
  </si>
  <si>
    <t>23/7/2020</t>
  </si>
  <si>
    <t>0064L00000BnG1I</t>
  </si>
  <si>
    <t>ICON Business Unit COE Desktop Evaluations Extension #1</t>
  </si>
  <si>
    <t>19/3/2022</t>
  </si>
  <si>
    <t>ICON Business Unit COE Desktop Evaluations</t>
  </si>
  <si>
    <t>Nisha Asher</t>
  </si>
  <si>
    <t>0064L00000BnyTl</t>
  </si>
  <si>
    <t>New Tiger, LLC</t>
  </si>
  <si>
    <t>Tiger - Finance Org Design</t>
  </si>
  <si>
    <t>Dan Trent</t>
  </si>
  <si>
    <t>Amber Arvia</t>
  </si>
  <si>
    <t>0064L00000CX01q</t>
  </si>
  <si>
    <t>City Of Hope</t>
  </si>
  <si>
    <t>Pharma Partnership Model &amp; Growth plan #XPCONC</t>
  </si>
  <si>
    <t>0064L00000DFiCq</t>
  </si>
  <si>
    <t>PGE.com Support - Sprint 0 Detailed Design</t>
  </si>
  <si>
    <t>Joan Chan</t>
  </si>
  <si>
    <t>0064L00000DJRmG</t>
  </si>
  <si>
    <t>MSIM - Private Credit Digital Experience - PIF</t>
  </si>
  <si>
    <t>0064L00000BolKF</t>
  </si>
  <si>
    <t>PepsiCo #NFT &amp; #Metaverse Op Model Strategy</t>
  </si>
  <si>
    <t>0064L00000BolLm</t>
  </si>
  <si>
    <t>Future of Finance: Operating Model Assessment &amp; Proposal</t>
  </si>
  <si>
    <t>Eric Abrial</t>
  </si>
  <si>
    <t>0064L00000Bnhjs</t>
  </si>
  <si>
    <t>P&amp;G - EU MDR Compliance Roadmap</t>
  </si>
  <si>
    <t>Moustafa Ragab</t>
  </si>
  <si>
    <t>0064L00000BcWkU</t>
  </si>
  <si>
    <t>UCT: Service Supply Chain Assessment</t>
  </si>
  <si>
    <t>0064L00000CYBHH</t>
  </si>
  <si>
    <t>Resideo Technologies Inc.</t>
  </si>
  <si>
    <t>ADI Global - PIM</t>
  </si>
  <si>
    <t>Victoria Vossler</t>
  </si>
  <si>
    <t>0064L00000CY0ge</t>
  </si>
  <si>
    <t>Centene VBC Analytics / Enterprise Provider Platform</t>
  </si>
  <si>
    <t>Catherine Hood</t>
  </si>
  <si>
    <t>0064L000009AILc</t>
  </si>
  <si>
    <t>Cloudflare, Inc.</t>
  </si>
  <si>
    <t>Finance Service delivery model / Shared service center set-up</t>
  </si>
  <si>
    <t>Jerry Dow</t>
  </si>
  <si>
    <t>0064L00000Boiwu</t>
  </si>
  <si>
    <t>Cadence Bank Na</t>
  </si>
  <si>
    <t>Commercial Card Launch - GTM Strategy</t>
  </si>
  <si>
    <t>Grant Weaver</t>
  </si>
  <si>
    <t>0064L00000CWp5u</t>
  </si>
  <si>
    <t>CPS Energy</t>
  </si>
  <si>
    <t>Implementation Readiness</t>
  </si>
  <si>
    <t>0064L000006UDLZ</t>
  </si>
  <si>
    <t>Constellation Brands - Sales Technology Vision</t>
  </si>
  <si>
    <t>15/2/2021</t>
  </si>
  <si>
    <t>0064L00000DFWF9</t>
  </si>
  <si>
    <t>GPS - SNOW GRC (Policy mgmt)</t>
  </si>
  <si>
    <t>0064L00000DFVgT</t>
  </si>
  <si>
    <t>CVS Aetna OhioRISE Medicaid Implementation Extension #GCoE</t>
  </si>
  <si>
    <t>Ashwin Badrinarayan</t>
  </si>
  <si>
    <t>0064L00000DFVhC</t>
  </si>
  <si>
    <t>UST Healthproof Inc.</t>
  </si>
  <si>
    <t>UST - Project Endeavour - Transition Planning #CO&amp;I</t>
  </si>
  <si>
    <t>0064L000009AZ5q</t>
  </si>
  <si>
    <t>Kaluz, S.A. de C.V.</t>
  </si>
  <si>
    <t>Phase 0 - S/4 Requirements/Design Functional Support</t>
  </si>
  <si>
    <t>0065800000h1KsW</t>
  </si>
  <si>
    <t>The J.M. Smucker Company</t>
  </si>
  <si>
    <t>JMS - SWAT Support for FY20 and FY21 Planning #RGM</t>
  </si>
  <si>
    <t>0064L00000Bfa5u</t>
  </si>
  <si>
    <t>Pershing Client Interview Preparation</t>
  </si>
  <si>
    <t>0064L00000BoHlv</t>
  </si>
  <si>
    <t>Aptitude Optimization</t>
  </si>
  <si>
    <t>0064L00000BcWNX</t>
  </si>
  <si>
    <t>BU Finance Process Redesign (Midland)</t>
  </si>
  <si>
    <t>0064L00000CYtNQ</t>
  </si>
  <si>
    <t>Apollo Year End Compensation Support</t>
  </si>
  <si>
    <t>Mike Cardillo</t>
  </si>
  <si>
    <t>0064L00000B10op</t>
  </si>
  <si>
    <t>#ClinicalSourcing -- Clinical Operations Sourcing Strategy assessment</t>
  </si>
  <si>
    <t>0064L00000CYbqD</t>
  </si>
  <si>
    <t>MWI ABCForce Discovery</t>
  </si>
  <si>
    <t>Matthew Dunn</t>
  </si>
  <si>
    <t>0064L00000B1T1D</t>
  </si>
  <si>
    <t>The University of Texas Southwestern Medical Center *VBO* Rev Cycle Functions Supplemental Staffing</t>
  </si>
  <si>
    <t>0064L00000CVZJY</t>
  </si>
  <si>
    <t>Takeda GTN Bluesheet Transition + Anaplan 2022 Extension</t>
  </si>
  <si>
    <t>0064L00000BgPaX</t>
  </si>
  <si>
    <t>Texas Capital Bancshares, Inc.</t>
  </si>
  <si>
    <t>Merchant Services Strategy</t>
  </si>
  <si>
    <t>0064L000007G1bE</t>
  </si>
  <si>
    <t>BNYM - Treasury and/or Local PGH Market Strategy</t>
  </si>
  <si>
    <t>25/3/2021</t>
  </si>
  <si>
    <t>0064L00000CVjof</t>
  </si>
  <si>
    <t>NRM GBS- Playbook Training Support</t>
  </si>
  <si>
    <t>0064L00000B0qhD</t>
  </si>
  <si>
    <t>W. L. Gore &amp; Associates, Inc.</t>
  </si>
  <si>
    <t>Gore Marketing Analytics Capability Development</t>
  </si>
  <si>
    <t>Nikki Frazer</t>
  </si>
  <si>
    <t>Whitney Nystrom</t>
  </si>
  <si>
    <t>0064L00000DJbIQ</t>
  </si>
  <si>
    <t>Harwick - Integration Surge Resources</t>
  </si>
  <si>
    <t>0064L000007wOqo</t>
  </si>
  <si>
    <t>BCBSM Enterprise Dashboard</t>
  </si>
  <si>
    <t>0064L00000BnCHa</t>
  </si>
  <si>
    <t>CE Consortium Volatility Workstream Ph 1</t>
  </si>
  <si>
    <t>0064L00000B0sYZ</t>
  </si>
  <si>
    <t>University Of Missouri</t>
  </si>
  <si>
    <t>Tele-Emergency/Hospitalist Phase 4</t>
  </si>
  <si>
    <t>0064L00000BeYra</t>
  </si>
  <si>
    <t>Insulet Corporation</t>
  </si>
  <si>
    <t>Insulet Chargebacks and Rebates Vistex Blueprinting *Pricing*</t>
  </si>
  <si>
    <t>0064L00000Bmt2j</t>
  </si>
  <si>
    <t>Questar Pipelines</t>
  </si>
  <si>
    <t>Project Controls for Power Delivery Construction Portfolio</t>
  </si>
  <si>
    <t>0064L00000CWmMt</t>
  </si>
  <si>
    <t>E2E Process Review: Bank Consumer Lending</t>
  </si>
  <si>
    <t>0064L00000CXotM</t>
  </si>
  <si>
    <t>Allstate Claims and Backoffice RFI Extension #S&amp;P#POD</t>
  </si>
  <si>
    <t>0064L000002c20w</t>
  </si>
  <si>
    <t>Contessa Health Inc</t>
  </si>
  <si>
    <t>Data integration support: EMR integration, claims, playbook #PayerCO&amp;ITrans</t>
  </si>
  <si>
    <t>25/5/2021</t>
  </si>
  <si>
    <t>0064L00000BeZgO</t>
  </si>
  <si>
    <t>FIS Government Market Analysis #Alliance #SKO</t>
  </si>
  <si>
    <t>0064I000015TDCq</t>
  </si>
  <si>
    <t>Sunoco RightAngle Managed Services</t>
  </si>
  <si>
    <t>0064L00000BoGDS</t>
  </si>
  <si>
    <t>Media Intelligence Phase II</t>
  </si>
  <si>
    <t>Andres Leal</t>
  </si>
  <si>
    <t>0064L00000Beknl</t>
  </si>
  <si>
    <t>Intuit Inc.</t>
  </si>
  <si>
    <t>Oracle EPM Planning - Change Management Execution ph 2</t>
  </si>
  <si>
    <t>Oracle EPM Planning - Change Management Planning ph 1(Only)</t>
  </si>
  <si>
    <t>0064L00000Ar59H</t>
  </si>
  <si>
    <t>C&amp;W - D&amp;I Strategy</t>
  </si>
  <si>
    <t>Rachel Fellows</t>
  </si>
  <si>
    <t>0064L00000CXpe3</t>
  </si>
  <si>
    <t>Offer-to-Report Offering Presentment Simplification #TMTPricing</t>
  </si>
  <si>
    <t>0064L000007WOrZ</t>
  </si>
  <si>
    <t>Marketplace Proof of Concept #ESG #S&amp;P#POD</t>
  </si>
  <si>
    <t>David Lehnus</t>
  </si>
  <si>
    <t>0064L00000B365O</t>
  </si>
  <si>
    <t>Hess ESG Placeholder</t>
  </si>
  <si>
    <t>0064L00000Bo4Rv</t>
  </si>
  <si>
    <t>ProEdge for HPE (ELA)</t>
  </si>
  <si>
    <t>Jenny Kim</t>
  </si>
  <si>
    <t>0064L00000BndY7</t>
  </si>
  <si>
    <t>Halliburton Sustainable Products, EHS &amp; Service Quality #ESG</t>
  </si>
  <si>
    <t>0064L00000CYb5q</t>
  </si>
  <si>
    <t>Capital Portfolio Optimization - Copperleaf - Phase 1</t>
  </si>
  <si>
    <t>0064L00000Bd3yE</t>
  </si>
  <si>
    <t>#IOBP -- AMP Medical Affairs Enablement</t>
  </si>
  <si>
    <t>0064L00000BeZF3</t>
  </si>
  <si>
    <t>Sustainable1 Policies, Procedures and Controls Phase 2 - Detailed Process Design &amp; IHS/TCS Controls</t>
  </si>
  <si>
    <t>Keith Jimenez</t>
  </si>
  <si>
    <t>0064L00000Bo4bl</t>
  </si>
  <si>
    <t>LAS Discovery #FOBComm #&lt;$50B #SCB</t>
  </si>
  <si>
    <t>0064L00000Bndh9</t>
  </si>
  <si>
    <t>Malory Pty. Ltd.</t>
  </si>
  <si>
    <t>ARC Implementation</t>
  </si>
  <si>
    <t>0064L00000B35v9</t>
  </si>
  <si>
    <t>Frontier Communications Corporation</t>
  </si>
  <si>
    <t>Customer Analytics</t>
  </si>
  <si>
    <t>0064L00000CYqMP</t>
  </si>
  <si>
    <t>ERP Selection</t>
  </si>
  <si>
    <t>Ryan Lucky</t>
  </si>
  <si>
    <t>0064L00000CW8QE</t>
  </si>
  <si>
    <t>Direct Investing - Process Design</t>
  </si>
  <si>
    <t>0064L00000AqQPH</t>
  </si>
  <si>
    <t>BGS Metrics Diagnostic</t>
  </si>
  <si>
    <t>Michael Zorensky</t>
  </si>
  <si>
    <t>0064L00000CV2ri</t>
  </si>
  <si>
    <t>BHSH Epic Optimization *Rev Cycle* *RC Tech*</t>
  </si>
  <si>
    <t>0064L00000DFPaU</t>
  </si>
  <si>
    <t>Employee Value Proposition Redesign</t>
  </si>
  <si>
    <t>0064L00000BoeKF</t>
  </si>
  <si>
    <t>GE Aviation MSO Spares Forecasting</t>
  </si>
  <si>
    <t>0064L00000DJmtk</t>
  </si>
  <si>
    <t>Unifirst Corporation</t>
  </si>
  <si>
    <t>UniFirst Customer Experience Strategy</t>
  </si>
  <si>
    <t>Brendan Klein</t>
  </si>
  <si>
    <t>0064L00000BeyUT</t>
  </si>
  <si>
    <t>EFE Platform Market Evaluation</t>
  </si>
  <si>
    <t>0064L00000CWjHG</t>
  </si>
  <si>
    <t>ADI Digital Commerce Strategy</t>
  </si>
  <si>
    <t>Megan Drucker</t>
  </si>
  <si>
    <t>0064L00000CWjIY</t>
  </si>
  <si>
    <t>IBX Risk Adj Strategic Capabilities Phase 2 #HVM</t>
  </si>
  <si>
    <t>0064L00000BoeTh</t>
  </si>
  <si>
    <t>AmeriHealth Caritas RFP Support 2023 #GCOE #Medicaid</t>
  </si>
  <si>
    <t>0064L00000Bd338</t>
  </si>
  <si>
    <t>Tailored Plan Implementation Support - North Carolina #PayerCO&amp;ITrans #Medicaid</t>
  </si>
  <si>
    <t>0064L00000CYpUb</t>
  </si>
  <si>
    <t>BCBSM Behavioral Health Discovery</t>
  </si>
  <si>
    <t>0064L00000BctEj</t>
  </si>
  <si>
    <t>BCBSM Group Pricing Transparency Strategy #PayerAnalytics #HVM</t>
  </si>
  <si>
    <t>DNU: HIA_Payer_Interoperability</t>
  </si>
  <si>
    <t>James Lin</t>
  </si>
  <si>
    <t>0064L00000BctFm</t>
  </si>
  <si>
    <t>Anthem Price Trans Dashboard #xPC:PayerAnalytics #PayerAnalytics #Alliance:PwC</t>
  </si>
  <si>
    <t>0064I00000zTGns</t>
  </si>
  <si>
    <t>First Busey Corporation</t>
  </si>
  <si>
    <t>Busey Bank nCino Remediation #&lt;$50B #SCB</t>
  </si>
  <si>
    <t>0064L00000ArtMH</t>
  </si>
  <si>
    <t>UST - Project Endeavour - Operating Model #CO&amp;I</t>
  </si>
  <si>
    <t>0064L00000B32vc</t>
  </si>
  <si>
    <t>TCCC - Supply Chain Resilience</t>
  </si>
  <si>
    <t>0064L00000BcpoI</t>
  </si>
  <si>
    <t>Key Bank Media Assessment + Compliance</t>
  </si>
  <si>
    <t>Ravi Patel</t>
  </si>
  <si>
    <t>0064L00000Bf797</t>
  </si>
  <si>
    <t>Finance Evolution Design and Roadmap</t>
  </si>
  <si>
    <t>0064L00000Bp2xq</t>
  </si>
  <si>
    <t>Mercury Systems, Inc.</t>
  </si>
  <si>
    <t>Working Capital - Supply Chain &amp; SIOP Assessment</t>
  </si>
  <si>
    <t>Todd Sousa</t>
  </si>
  <si>
    <t>0064L000001uh97</t>
  </si>
  <si>
    <t>0064L000002LZtX</t>
  </si>
  <si>
    <t>ECG L&amp;D</t>
  </si>
  <si>
    <t>Ashish Jain</t>
  </si>
  <si>
    <t>0064L00000Bnoav</t>
  </si>
  <si>
    <t>Tubi International Expansion</t>
  </si>
  <si>
    <t>Kate Kennard</t>
  </si>
  <si>
    <t>0064L00000BmmAK</t>
  </si>
  <si>
    <t>Financial Operations Optimization</t>
  </si>
  <si>
    <t>0064L000006xclk</t>
  </si>
  <si>
    <t>Nielsen Media Qualtrics Phase 2</t>
  </si>
  <si>
    <t>0064L00000Bp2I3</t>
  </si>
  <si>
    <t>Amazon RME Onboarding Training Strategy Implementation</t>
  </si>
  <si>
    <t>Michael Schiro</t>
  </si>
  <si>
    <t>0064L00000BfX6u</t>
  </si>
  <si>
    <t>Media Intelligence</t>
  </si>
  <si>
    <t>Carlos Zegarra</t>
  </si>
  <si>
    <t>Eduardo Emilio Gomez</t>
  </si>
  <si>
    <t>0064L00000BgYyc</t>
  </si>
  <si>
    <t>WFRD - Supply Chain Blockchain</t>
  </si>
  <si>
    <t>0064L00000BgYys</t>
  </si>
  <si>
    <t>Project Morocco - IT #PayerCO&amp;ITrans</t>
  </si>
  <si>
    <t>0064L00000AqMA2</t>
  </si>
  <si>
    <t>Customer Digital Experience Strategy &amp; Platform</t>
  </si>
  <si>
    <t>0064L00000Bnq5G</t>
  </si>
  <si>
    <t>Airbus SE</t>
  </si>
  <si>
    <t>HAPS Market Messaging</t>
  </si>
  <si>
    <t>0064L00000CWwnC</t>
  </si>
  <si>
    <t>Gilead: Transformation #IOBP - PPM Program Assessment</t>
  </si>
  <si>
    <t>0064L00000Bo06e</t>
  </si>
  <si>
    <t>Grupo UNACEM_Proceso de Planeación Estratégica</t>
  </si>
  <si>
    <t>0064L00000997jd</t>
  </si>
  <si>
    <t>Finance and EPM Operating Model and Cloud Execution Phase 1</t>
  </si>
  <si>
    <t>0064L00000CYL81</t>
  </si>
  <si>
    <t>Talent Management Onboarding</t>
  </si>
  <si>
    <t>Shekhar Purohit</t>
  </si>
  <si>
    <t>0064L00000CYL8V</t>
  </si>
  <si>
    <t>Claims Analytics</t>
  </si>
  <si>
    <t>Sonepal Kohli</t>
  </si>
  <si>
    <t>0064L00000CYL7r</t>
  </si>
  <si>
    <t>Pension Program Strategy</t>
  </si>
  <si>
    <t>0064L00000CYL8L</t>
  </si>
  <si>
    <t>Comp Benefits Optimization</t>
  </si>
  <si>
    <t>Claudia Montgomery</t>
  </si>
  <si>
    <t>0064L00000Bky8P</t>
  </si>
  <si>
    <t>SFDC / MSFT Dynamics Assessment</t>
  </si>
  <si>
    <t>0064L00000CWeZj</t>
  </si>
  <si>
    <t>CMO Marketing Transformation Benchmarks/Practices</t>
  </si>
  <si>
    <t>22/8/2022</t>
  </si>
  <si>
    <t>0064L00000DBQVG</t>
  </si>
  <si>
    <t>5G Labs - Phase 4</t>
  </si>
  <si>
    <t>0064L00000CXFm4</t>
  </si>
  <si>
    <t>2022-2023 ASC 715 GE Postretirement  Benefits - Separation Calculations</t>
  </si>
  <si>
    <t>0064L00000CXVQZ</t>
  </si>
  <si>
    <t>STT Alpha PM + BA Support (Lazard Asset Management)</t>
  </si>
  <si>
    <t>0064L000001uxQT</t>
  </si>
  <si>
    <t>Product and benefit management: product &amp; implementation planning #PayerCO&amp;ITrans</t>
  </si>
  <si>
    <t>0064L000003yVOP</t>
  </si>
  <si>
    <t>WIM Reboot -Future state options</t>
  </si>
  <si>
    <t>0064L000009BAUx</t>
  </si>
  <si>
    <t>Revenue Forecasting POC</t>
  </si>
  <si>
    <t>0064L00000CYHdM</t>
  </si>
  <si>
    <t>ASD GTM Discovery &amp; Roadmapping</t>
  </si>
  <si>
    <t>Mallory Summers</t>
  </si>
  <si>
    <t>0064L00000DJXSv</t>
  </si>
  <si>
    <t>Product MGMT. Transformation - Case for Change</t>
  </si>
  <si>
    <t>Julie Dickinson</t>
  </si>
  <si>
    <t>0064L00000Bnmlq</t>
  </si>
  <si>
    <t>Dynamic Service Strategy</t>
  </si>
  <si>
    <t>0064L00000Bopti</t>
  </si>
  <si>
    <t>Mental Health Parity Gap Assessment</t>
  </si>
  <si>
    <t>Peter Davidson</t>
  </si>
  <si>
    <t>Anthony Weatherspoon</t>
  </si>
  <si>
    <t>0064L000006BRxu</t>
  </si>
  <si>
    <t>Data Literacy Program Roll Out</t>
  </si>
  <si>
    <t>0064L000001tRSq</t>
  </si>
  <si>
    <t>DJI - Covid Epi Data #Covid19</t>
  </si>
  <si>
    <t>29/5/2020</t>
  </si>
  <si>
    <t>0064L000009AOGA</t>
  </si>
  <si>
    <t>Omnichannel Experience Optimization</t>
  </si>
  <si>
    <t>0064L00000BoNz5</t>
  </si>
  <si>
    <t>Ardent Health Partners LLC</t>
  </si>
  <si>
    <t>UM and CM *Rev Cycle* Op Model Strategy</t>
  </si>
  <si>
    <t>Revenue Cycle *Rev Cycle* Operating Model Strategy</t>
  </si>
  <si>
    <t>0064L00000Bm956</t>
  </si>
  <si>
    <t>Towne Bank</t>
  </si>
  <si>
    <t>TowneBank ncino Discovery #&lt;$50B #SCB</t>
  </si>
  <si>
    <t>0064L00000BnC2L</t>
  </si>
  <si>
    <t>Galaxy Digital Holdings Ltd.</t>
  </si>
  <si>
    <t>Galaxy #digitalassets standup</t>
  </si>
  <si>
    <t>0064L00000Bl56p</t>
  </si>
  <si>
    <t>IT Business Planning Program Assessment</t>
  </si>
  <si>
    <t>0064L00000DJRlc</t>
  </si>
  <si>
    <t>NPS Phase 2</t>
  </si>
  <si>
    <t>0064L00000DJdCZ</t>
  </si>
  <si>
    <t>CDK Global, Inc.</t>
  </si>
  <si>
    <t>CDK Finance Assessment</t>
  </si>
  <si>
    <t>Thomas Hojnacki</t>
  </si>
  <si>
    <t>0064L00000CYbwG</t>
  </si>
  <si>
    <t>Vialto Partners- Phase 2 Payroll Implementation</t>
  </si>
  <si>
    <t>27/5/2022 6:41 am</t>
  </si>
  <si>
    <t>Soumya Kaushik</t>
  </si>
  <si>
    <t>0064L00000Bndbz</t>
  </si>
  <si>
    <t>Lamar Treasury Support</t>
  </si>
  <si>
    <t>0064L000009fM2X</t>
  </si>
  <si>
    <t>Comerica Customer Link_License_#PRO</t>
  </si>
  <si>
    <t>Comerica Customer Link_EvaluationLicense_#PRO</t>
  </si>
  <si>
    <t>0064L00000DFfkB</t>
  </si>
  <si>
    <t>Magna International Inc.</t>
  </si>
  <si>
    <t>Coupa Consolidation</t>
  </si>
  <si>
    <t>0064L00000DFfkC</t>
  </si>
  <si>
    <t>Indirect Spend Reduction</t>
  </si>
  <si>
    <t>0064L00000CX7Z9</t>
  </si>
  <si>
    <t>Jazz Pharmaceuticals Plc</t>
  </si>
  <si>
    <t>ESG Strategy, Roadmap and Year 1 Reporting</t>
  </si>
  <si>
    <t>Katherine Buckley</t>
  </si>
  <si>
    <t>0064L00000CYV8Z</t>
  </si>
  <si>
    <t>GE Energy - FieldCore Cost Reduction / Spend Assessment</t>
  </si>
  <si>
    <t>0064L00000BmjRc</t>
  </si>
  <si>
    <t>COO Risk Programs Policy Execution Support</t>
  </si>
  <si>
    <t>0064L00000Bf9ls</t>
  </si>
  <si>
    <t>GE Healthcare - Finance Op Model Baseline Assessment</t>
  </si>
  <si>
    <t>0064L00000Blfzb</t>
  </si>
  <si>
    <t>FedEx ARCS Statutory Reconciliation Assessment</t>
  </si>
  <si>
    <t>Michael Hurley</t>
  </si>
  <si>
    <t>0064L00000CXdAR</t>
  </si>
  <si>
    <t>USCO - Cobalt - Phase 3 - Extension</t>
  </si>
  <si>
    <t>US Comm Ops Redesign - Cobalt Phase 3</t>
  </si>
  <si>
    <t>0064L00000CYY1W</t>
  </si>
  <si>
    <t>Kao SAP TPM - AMS extension till 2023</t>
  </si>
  <si>
    <t>Nageswara Chilukuri</t>
  </si>
  <si>
    <t>0064L000001vU83</t>
  </si>
  <si>
    <t>Cullman Regional Medical Center</t>
  </si>
  <si>
    <t>Cullman Regional 340b *Strategic Reimbursement*</t>
  </si>
  <si>
    <t>20/7/2020</t>
  </si>
  <si>
    <t>31/7/2024</t>
  </si>
  <si>
    <t>0064L00000BnhaM</t>
  </si>
  <si>
    <t>Crypto Acceptance at POS</t>
  </si>
  <si>
    <t>Chrystal Puvabanditsin</t>
  </si>
  <si>
    <t>0064L000006xBKC</t>
  </si>
  <si>
    <t>BCBSMA PY2020 Pharmacy Assessments (4 of 4)</t>
  </si>
  <si>
    <t>28/2/2024</t>
  </si>
  <si>
    <t>0064L000006xBKB</t>
  </si>
  <si>
    <t>BCBSMA PY2020 Pharmacy Assessments (3 of 4)</t>
  </si>
  <si>
    <t>0064L00000CYAaL</t>
  </si>
  <si>
    <t>PEP North America SAP TPM Assessment</t>
  </si>
  <si>
    <t>0064L00000CYXld</t>
  </si>
  <si>
    <t>Healthfirst - Paydoc Agile Planning Support #PayerCO&amp;ITrans</t>
  </si>
  <si>
    <t>0064L00000B170T</t>
  </si>
  <si>
    <t>Sail Internet, Inc.</t>
  </si>
  <si>
    <t>SAIL - Target Operating Model Framework</t>
  </si>
  <si>
    <t>0064L00000DFhg1</t>
  </si>
  <si>
    <t>CVS Novologix Commercial Migration Change Order 2</t>
  </si>
  <si>
    <t>CVS Novologix Commercial Migration</t>
  </si>
  <si>
    <t>0064L00000BdXgd</t>
  </si>
  <si>
    <t>Catterton Management Company LLC</t>
  </si>
  <si>
    <t>Responsible Sourcing Standards</t>
  </si>
  <si>
    <t>Arvind Niranjan</t>
  </si>
  <si>
    <t>0064I00000zQp0C</t>
  </si>
  <si>
    <t>HR Transformation/Strategy</t>
  </si>
  <si>
    <t>Mike Michael</t>
  </si>
  <si>
    <t>0064L00000CXKa2</t>
  </si>
  <si>
    <t>Vital Proteins - Warehouse Master Plan</t>
  </si>
  <si>
    <t>Erika Ryback</t>
  </si>
  <si>
    <t>0064L00000AqOUt</t>
  </si>
  <si>
    <t>Del Taco Restaurants Inc.</t>
  </si>
  <si>
    <t>Fresh Flex Store Cost Improvement Assessment</t>
  </si>
  <si>
    <t>0064L00000AqqPV</t>
  </si>
  <si>
    <t>BeiGene Finance Assessment</t>
  </si>
  <si>
    <t>0064L00000CWxOU</t>
  </si>
  <si>
    <t>AMZN Finance: Global Stat Reporting PM Support Extension 6 (June 2022+)</t>
  </si>
  <si>
    <t>0064L00000BfGBl</t>
  </si>
  <si>
    <t>Aspen Snowmass Loyalty Strategy</t>
  </si>
  <si>
    <t>0064L00000DJZ2p</t>
  </si>
  <si>
    <t>Workday Process Reconciliation</t>
  </si>
  <si>
    <t>0064L00000Boa56</t>
  </si>
  <si>
    <t>Chime Financial, Inc.</t>
  </si>
  <si>
    <t>Chime Payment Processing Platform Replacement Tech Strategy</t>
  </si>
  <si>
    <t>0064L00000BcpEK</t>
  </si>
  <si>
    <t>GE Sonazoid Ultrasound Contrast Media Opportunity Assessment - US Phase 1 #XPCONC</t>
  </si>
  <si>
    <t>Josh Wang</t>
  </si>
  <si>
    <t>0064L00000BopB2</t>
  </si>
  <si>
    <t>Realtor.com Organization Review</t>
  </si>
  <si>
    <t>0064L00000BmTrK</t>
  </si>
  <si>
    <t>International Paper Company</t>
  </si>
  <si>
    <t>IP Reimagine: Tax Career Pathing</t>
  </si>
  <si>
    <t>Edyta Reid</t>
  </si>
  <si>
    <t>0064L000009fDyj</t>
  </si>
  <si>
    <t>Coca-Cola ROX/VOC</t>
  </si>
  <si>
    <t>0064L00000Ar6jB</t>
  </si>
  <si>
    <t>Liveperson Inc.</t>
  </si>
  <si>
    <t>Pricing Assessment</t>
  </si>
  <si>
    <t>0064L00000DFVJt</t>
  </si>
  <si>
    <t>Comcast Corporate Compensation Year-End Executive Reporting</t>
  </si>
  <si>
    <t>Michelle DeCaro</t>
  </si>
  <si>
    <t>0064L00000DFchi</t>
  </si>
  <si>
    <t>Managed Accounts Analytics MVP &amp; Use Case Prioritization</t>
  </si>
  <si>
    <t>Corey Cederquist</t>
  </si>
  <si>
    <t>0064L00000BgOB6</t>
  </si>
  <si>
    <t>D'IETEREN GROUP SA</t>
  </si>
  <si>
    <t>Distribution Network Optimization Strategy Ph2 - Execution Support</t>
  </si>
  <si>
    <t>Distribution Network Optimization Strategy</t>
  </si>
  <si>
    <t>0064I00000u1UFT</t>
  </si>
  <si>
    <t>*SMART* License - Rush</t>
  </si>
  <si>
    <t>13/5/2019</t>
  </si>
  <si>
    <t>0064L00000CVB7F</t>
  </si>
  <si>
    <t>MS E*TRADE Integration UAT Support</t>
  </si>
  <si>
    <t>Nisha Kumar</t>
  </si>
  <si>
    <t>0064L00000Bnp0t</t>
  </si>
  <si>
    <t>TIGER - Enterprise Fluidity</t>
  </si>
  <si>
    <t>Sandhya Banskota</t>
  </si>
  <si>
    <t>0064L00000BfecW</t>
  </si>
  <si>
    <t>Reinsurance Group of America, Incorporated</t>
  </si>
  <si>
    <t>Potential work after RGA: ESG Materiality Assessment</t>
  </si>
  <si>
    <t>0064L00000BgPZP</t>
  </si>
  <si>
    <t>Sales Audit Modernization</t>
  </si>
  <si>
    <t>22/3/2022 6:11 pm</t>
  </si>
  <si>
    <t>0064I00000wwKdW</t>
  </si>
  <si>
    <t>Insights Platform</t>
  </si>
  <si>
    <t>28/8/2019</t>
  </si>
  <si>
    <t>0064L0000099odL</t>
  </si>
  <si>
    <t>Michigan Education Assoc.</t>
  </si>
  <si>
    <t>MESSA Medical and Rx RFP</t>
  </si>
  <si>
    <t>0064L00000BoSXX</t>
  </si>
  <si>
    <t>Xpertal, S. de R.L. de C.V.</t>
  </si>
  <si>
    <t>Revision de Capacidades</t>
  </si>
  <si>
    <t>Anderson Ramires</t>
  </si>
  <si>
    <t>0064L00000Bm733</t>
  </si>
  <si>
    <t>Reimagine Campaign - Phase 1 (Assess)</t>
  </si>
  <si>
    <t>0064L000004vdbm</t>
  </si>
  <si>
    <t>Ohiohealth Corporation</t>
  </si>
  <si>
    <t>*SMART* License - OhioHealth</t>
  </si>
  <si>
    <t>0064L00000BlxGk</t>
  </si>
  <si>
    <t>Pattern Investors GP LLC</t>
  </si>
  <si>
    <t>Renewables Capital Program Delivery Capability Assessment</t>
  </si>
  <si>
    <t>0064L00000CWtgx</t>
  </si>
  <si>
    <t>Vendor Rationalization</t>
  </si>
  <si>
    <t>Michael LeVangie</t>
  </si>
  <si>
    <t>0064L0000040WrX</t>
  </si>
  <si>
    <t>BSC - ProEdge</t>
  </si>
  <si>
    <t>15/10/2020</t>
  </si>
  <si>
    <t>Steve Bowman</t>
  </si>
  <si>
    <t>0064L00000CWtn9</t>
  </si>
  <si>
    <t>Molina Quality Management Office Mobilization #GCOE</t>
  </si>
  <si>
    <t>0064L00000BnYru</t>
  </si>
  <si>
    <t>Shannon Health System</t>
  </si>
  <si>
    <t>Shannon: Pharmacy Optimization Analysis &amp; Implementation *FFG*</t>
  </si>
  <si>
    <t>Fabian Caceres</t>
  </si>
  <si>
    <t>0064L00000B0zIY</t>
  </si>
  <si>
    <t>Metaverse strategy and roadmap</t>
  </si>
  <si>
    <t>Katie Cassidy</t>
  </si>
  <si>
    <t>0064L00000Bm4nw</t>
  </si>
  <si>
    <t>Access Center Consulting Services</t>
  </si>
  <si>
    <t>0064L000002ZNlW</t>
  </si>
  <si>
    <t>Capital Project Execution Playbook</t>
  </si>
  <si>
    <t>0064L00000Aq6kh</t>
  </si>
  <si>
    <t>W.W. Grainger Inc.</t>
  </si>
  <si>
    <t>Grainger - Sourcing &amp; Supplier Management Optimization</t>
  </si>
  <si>
    <t>Mat Joiner</t>
  </si>
  <si>
    <t>0064I00000y80nM</t>
  </si>
  <si>
    <t>Grupo Bimbo, S.A.B. de C.V.</t>
  </si>
  <si>
    <t>Bimbo Bakeries RGM Diagnostic PA #RGM</t>
  </si>
  <si>
    <t>28/10/2019</t>
  </si>
  <si>
    <t>0064L00000CWcE2</t>
  </si>
  <si>
    <t>UCB SA</t>
  </si>
  <si>
    <t>UCB Zogenix Integration Support</t>
  </si>
  <si>
    <t>Mair Sanitato</t>
  </si>
  <si>
    <t>0064L00000CXx27</t>
  </si>
  <si>
    <t>U.S. Bank National Association</t>
  </si>
  <si>
    <t>U.S. BANK HOME EQUITY - CUSTOMER LINK</t>
  </si>
  <si>
    <t>Daniel Hoag</t>
  </si>
  <si>
    <t>0064L00000BnzuT</t>
  </si>
  <si>
    <t>CROSSPOINT MANAGEMENT COMPANY, LLC</t>
  </si>
  <si>
    <t>Everseen Service Deployment Transformation</t>
  </si>
  <si>
    <t>0064L00000CX1Jj</t>
  </si>
  <si>
    <t>Zebra Technologies Corporation</t>
  </si>
  <si>
    <t>Zebra: Supply Shortage Assessment</t>
  </si>
  <si>
    <t>0064L000002abEA</t>
  </si>
  <si>
    <t>The Carlyle Group Inc.</t>
  </si>
  <si>
    <t>Capital Allocation Structures</t>
  </si>
  <si>
    <t>0064L00000Ar9Mp</t>
  </si>
  <si>
    <t>API EcoSystem Architecture/Org. Structure Assessment</t>
  </si>
  <si>
    <t>Vaughn Kauffman</t>
  </si>
  <si>
    <t>Joshua Lawrence</t>
  </si>
  <si>
    <t>0064L00000BonET</t>
  </si>
  <si>
    <t>BizLink and Lubes MS Extension</t>
  </si>
  <si>
    <t>0064I0000133DZH</t>
  </si>
  <si>
    <t>FFG--Phase I Expense Roadmap</t>
  </si>
  <si>
    <t>Bruce Brodie</t>
  </si>
  <si>
    <t>0064L00000AqFrj</t>
  </si>
  <si>
    <t>WIM Policy &amp; Procedure Remediation</t>
  </si>
  <si>
    <t>0064L00000DFiS5</t>
  </si>
  <si>
    <t>AT&amp;T Business Sales Offload Time &amp; Motion Study</t>
  </si>
  <si>
    <t>0064L000002aAIV</t>
  </si>
  <si>
    <t>Hyundai Motor Company</t>
  </si>
  <si>
    <t>Hyundai Heavy Equipment org. design</t>
  </si>
  <si>
    <t>0064L00000BgTG2</t>
  </si>
  <si>
    <t>Ameritas - Software Innovation / Agile Governance</t>
  </si>
  <si>
    <t>0064L000007xhNK</t>
  </si>
  <si>
    <t>Republic Job Architecture</t>
  </si>
  <si>
    <t>15/6/2021</t>
  </si>
  <si>
    <t>0064L000006Wo7g</t>
  </si>
  <si>
    <t>Enterprise Data &amp; Analytics Op Model Definition</t>
  </si>
  <si>
    <t>0064L000009feZa</t>
  </si>
  <si>
    <t>Omnichannel Pricing Strategy</t>
  </si>
  <si>
    <t>0064L00000Bm2Ih</t>
  </si>
  <si>
    <t>Dexcom - Smart Factory PoC - ~$350k</t>
  </si>
  <si>
    <t>0064L00000CYU2G</t>
  </si>
  <si>
    <t>#IOBP - AMP e7 Upgrade Support</t>
  </si>
  <si>
    <t>0064L00000DFWTa</t>
  </si>
  <si>
    <t>Payment Hub Vendor Selection</t>
  </si>
  <si>
    <t>Taya Buranakitpaiboon</t>
  </si>
  <si>
    <t>0064I00000y7SY9</t>
  </si>
  <si>
    <t>Behavioral Segmentation Analytics</t>
  </si>
  <si>
    <t>NP.MS.EV.FALL EXCHANGE_VHNHPHLMH6Q_10FY20</t>
  </si>
  <si>
    <t>0064L00000DFiA6</t>
  </si>
  <si>
    <t>FUNDACION MAPFRE FUNDACION CULTURAL PRIVADA</t>
  </si>
  <si>
    <t>MAPFRE Customer Analytics Loyalty Pilot</t>
  </si>
  <si>
    <t>0064L000003zbSb</t>
  </si>
  <si>
    <t>IBC Transparency in Coverage analysis #D&amp;A #HVM</t>
  </si>
  <si>
    <t>0064L00000BnFgK</t>
  </si>
  <si>
    <t>#MedAffairs #RWDEvGen - - RWE Governance &amp; Operations</t>
  </si>
  <si>
    <t>Keith Morris</t>
  </si>
  <si>
    <t>0064L0000098pvZ</t>
  </si>
  <si>
    <t>USAA - LifeCo Servicing Transformation</t>
  </si>
  <si>
    <t>0064L00000DFW1W</t>
  </si>
  <si>
    <t>Charter Manufacturing Company Inc.</t>
  </si>
  <si>
    <t>Anuj Mody</t>
  </si>
  <si>
    <t>0064L00000ApcDV</t>
  </si>
  <si>
    <t>*RC Tech* *Rev Cycle*</t>
  </si>
  <si>
    <t>0064L00000CY0pS</t>
  </si>
  <si>
    <t>ACCENTURE PUBLIC LIMITED COMPANY</t>
  </si>
  <si>
    <t>Accenture_Employee Tax Inquiry Assistance_$100K</t>
  </si>
  <si>
    <t>0064L0000099127</t>
  </si>
  <si>
    <t>American Public Education Inc.</t>
  </si>
  <si>
    <t>90/10 Response Strategy</t>
  </si>
  <si>
    <t>15/7/2021</t>
  </si>
  <si>
    <t>John Capalbo</t>
  </si>
  <si>
    <t>0064I0000134fzO</t>
  </si>
  <si>
    <t>RWJ Barnabas Health, Inc.</t>
  </si>
  <si>
    <t>*SMART* OP - RWJBarnabas Health</t>
  </si>
  <si>
    <t>15/3/2020</t>
  </si>
  <si>
    <t>0064L00000CY0tx</t>
  </si>
  <si>
    <t>Terumo Corporation</t>
  </si>
  <si>
    <t>#QMS PostMarket Quality Transformation Phase 1</t>
  </si>
  <si>
    <t>Vishaka Rajaram</t>
  </si>
  <si>
    <t>0064L00000ArFrO</t>
  </si>
  <si>
    <t>Product and Engineering Transformation Phase 2</t>
  </si>
  <si>
    <t>0064L000002LS97</t>
  </si>
  <si>
    <t>FCCS Phase 2 Support</t>
  </si>
  <si>
    <t>0064L00000Ar6Z6</t>
  </si>
  <si>
    <t>C&amp;W - Brokerage Optimization - FA Pool Rollout Support</t>
  </si>
  <si>
    <t>0064L00000DJb8z</t>
  </si>
  <si>
    <t>Spire, Inc.</t>
  </si>
  <si>
    <t>Succession Planning DEI Phase 2</t>
  </si>
  <si>
    <t>0064L00000Boj3g</t>
  </si>
  <si>
    <t>CHS PRS Cash Plan *Strategic Reimbursement*</t>
  </si>
  <si>
    <t>0064L00000CY0M0</t>
  </si>
  <si>
    <t>#QMS PostMarket Quality Quality Transformation - Phase 1</t>
  </si>
  <si>
    <t>0064L00000BoywO</t>
  </si>
  <si>
    <t>Allstate Procurement Category Sourcing | Phase 2</t>
  </si>
  <si>
    <t>Brett Anton</t>
  </si>
  <si>
    <t>0064L00000CWnTK</t>
  </si>
  <si>
    <t>CBRE IM - IA&amp;R Process Optimization</t>
  </si>
  <si>
    <t>0064L00000B23hY</t>
  </si>
  <si>
    <t>Comm Real Estate LAS RFP Support</t>
  </si>
  <si>
    <t>Terry Sparks</t>
  </si>
  <si>
    <t>0064L00000DJbLo</t>
  </si>
  <si>
    <t>MSFT ENGCLA FY23 Engineering Learning Extension of Instructional Design Support</t>
  </si>
  <si>
    <t>0064L00000BfolM</t>
  </si>
  <si>
    <t>Net Zero Roadmap</t>
  </si>
  <si>
    <t>Bassem Salama</t>
  </si>
  <si>
    <t>0064L00000BnEFc</t>
  </si>
  <si>
    <t>Global Payments Revenue Leakage Assessment</t>
  </si>
  <si>
    <t>0064L000006BlRQ</t>
  </si>
  <si>
    <t>Communications and Lettering - Extension: Paperless</t>
  </si>
  <si>
    <t>0064L00000DFSnb</t>
  </si>
  <si>
    <t>Climate Literacy Program</t>
  </si>
  <si>
    <t>0064L000007wqju</t>
  </si>
  <si>
    <t>Pricing and Monetization of Digital Therapeutics and Digital Companion Apps</t>
  </si>
  <si>
    <t>0064L00000Bnvbx</t>
  </si>
  <si>
    <t>CMO Sales Strategy</t>
  </si>
  <si>
    <t>0064L00000B1dcC</t>
  </si>
  <si>
    <t>Fulton Financial Corporation</t>
  </si>
  <si>
    <t>Process Optimization - Operations</t>
  </si>
  <si>
    <t>0064L00000CY0AP</t>
  </si>
  <si>
    <t>ZimVie Inc.</t>
  </si>
  <si>
    <t>0064L00000CY0AO</t>
  </si>
  <si>
    <t>Cutera Inc.</t>
  </si>
  <si>
    <t>0064L00000CY0AT</t>
  </si>
  <si>
    <t>#QMS Fortive ASP PostMarket Quality Transformation - Phase 1</t>
  </si>
  <si>
    <t>0064L00000Boymn</t>
  </si>
  <si>
    <t>Project Magellan - Broadcast Stations</t>
  </si>
  <si>
    <t>0064L000001uZz5</t>
  </si>
  <si>
    <t>AA - Catering Supply Chain - Sourcing Cost Reduction #Profit</t>
  </si>
  <si>
    <t>Douglas Truchan</t>
  </si>
  <si>
    <t>0064L00000Bd3rl</t>
  </si>
  <si>
    <t>Partnership Design</t>
  </si>
  <si>
    <t>0064L00000Bd3rj</t>
  </si>
  <si>
    <t>Defining the Customer Experience</t>
  </si>
  <si>
    <t>0064L00000Bd3sg</t>
  </si>
  <si>
    <t>Defining IT Strategy and Operating Model</t>
  </si>
  <si>
    <t>0064L00000Bd3su</t>
  </si>
  <si>
    <t>Envisioning the Data and Analytics Design</t>
  </si>
  <si>
    <t>0064L00000BeZBB</t>
  </si>
  <si>
    <t>Oncology data-driven products and services design #XPCONC</t>
  </si>
  <si>
    <t>0064L000007wo7P</t>
  </si>
  <si>
    <t>Vitro, S.A.B. de C.V.</t>
  </si>
  <si>
    <t>FY21 - Vitro - Strategic Market Assessment for business growth</t>
  </si>
  <si>
    <t>0064L00000BntFd</t>
  </si>
  <si>
    <t>S&amp;OP Third Party Assessment - Phase 1</t>
  </si>
  <si>
    <t>0064L00000BntFi</t>
  </si>
  <si>
    <t>Aesthetics Operations - Operating Model Design</t>
  </si>
  <si>
    <t>0064L00000CVgZz</t>
  </si>
  <si>
    <t>NATIONAL RURAL TELECOMMUNICATIONS Coop.</t>
  </si>
  <si>
    <t>NRTC Sales Operating Model Assessment</t>
  </si>
  <si>
    <t>Karthikeyan Chandran</t>
  </si>
  <si>
    <t>0064L00000BnbhH</t>
  </si>
  <si>
    <t>Intel - IFS CRM Implementation Support</t>
  </si>
  <si>
    <t>0064L00000CWkAy</t>
  </si>
  <si>
    <t>Vail Resorts Inc.</t>
  </si>
  <si>
    <t>0064L00000BdCxN</t>
  </si>
  <si>
    <t>Roku Inc.</t>
  </si>
  <si>
    <t>Roku Close Acceleration Assessment</t>
  </si>
  <si>
    <t>Angela Moore</t>
  </si>
  <si>
    <t>0064L000009AfSb</t>
  </si>
  <si>
    <t>Association of National Advertisers Inc.</t>
  </si>
  <si>
    <t>ANA #MI Phase 2</t>
  </si>
  <si>
    <t>26/12/2022</t>
  </si>
  <si>
    <t>0064L000007twVw</t>
  </si>
  <si>
    <t>CUNA Mutual Corporate Performance Office Support</t>
  </si>
  <si>
    <t>0065800000gz9PJ</t>
  </si>
  <si>
    <t>Nimitz Grp.</t>
  </si>
  <si>
    <t>Mare Island Smart City Road Map Development - $350k</t>
  </si>
  <si>
    <t>0064L00000B2S7U</t>
  </si>
  <si>
    <t>AbbVie ClinOps Benchmarking #clinops</t>
  </si>
  <si>
    <t>0064L00000BoSeE</t>
  </si>
  <si>
    <t>James Hardie Industries Public Limited Company</t>
  </si>
  <si>
    <t>GPO Model Design</t>
  </si>
  <si>
    <t>Jonathan Bacon</t>
  </si>
  <si>
    <t>0064L00000BeyVM</t>
  </si>
  <si>
    <t>EFE Digital Wellness - Inorganic Strategy</t>
  </si>
  <si>
    <t>0064L00000BnbXg</t>
  </si>
  <si>
    <t>Finance Systems Roadmap</t>
  </si>
  <si>
    <t>0064L00000BnqhA</t>
  </si>
  <si>
    <t>Providence Health Plan Growth Strategy Refinement</t>
  </si>
  <si>
    <t>0064I00000y7JAv</t>
  </si>
  <si>
    <t>Sterling Bancorp</t>
  </si>
  <si>
    <t>nCino Discovery #&lt;$50B</t>
  </si>
  <si>
    <t>0064L00000CYp15</t>
  </si>
  <si>
    <t>Centerpoint Procurement Managed Service Support #S&amp;P#POD</t>
  </si>
  <si>
    <t>0064L00000B1OWt</t>
  </si>
  <si>
    <t>WHR - AWS - People: Upskilling</t>
  </si>
  <si>
    <t>0064L00000B2S6v</t>
  </si>
  <si>
    <t>AbbVie Investigator Satisfaction Survey #clinops</t>
  </si>
  <si>
    <t>0064L00000BlYYE</t>
  </si>
  <si>
    <t>The Children's Hospital Corporation</t>
  </si>
  <si>
    <t>BCH Capacity Assessment</t>
  </si>
  <si>
    <t>0064L000003zkVA</t>
  </si>
  <si>
    <t>CDW Seller Pricing Playbook</t>
  </si>
  <si>
    <t>19/4/2022 9:51 pm</t>
  </si>
  <si>
    <t>Caitlyn Gaffney</t>
  </si>
  <si>
    <t>0064L00000BkyBn</t>
  </si>
  <si>
    <t>Synovus ncino FLOOD tool &lt;$50B</t>
  </si>
  <si>
    <t>0064L000004wlVL</t>
  </si>
  <si>
    <t>Inari Medical INC.</t>
  </si>
  <si>
    <t>Inari Close Acceleration Phase 2</t>
  </si>
  <si>
    <t>0064L00000Bo0Jd</t>
  </si>
  <si>
    <t>New Fortress Energy Holdings LLC</t>
  </si>
  <si>
    <t>Project P - Phase 1</t>
  </si>
  <si>
    <t>0064L00000BewTD</t>
  </si>
  <si>
    <t>PTC (Pricing, Terms, &amp; Conditions)</t>
  </si>
  <si>
    <t>25/8/2022</t>
  </si>
  <si>
    <t>0064L00000BoB3v</t>
  </si>
  <si>
    <t>Cox Business Operating Model</t>
  </si>
  <si>
    <t>John Grendi</t>
  </si>
  <si>
    <t>0064L00000B1mzK</t>
  </si>
  <si>
    <t>Independent Bank Corporation</t>
  </si>
  <si>
    <t>Rockland Trust - Core Banking Platform Selection</t>
  </si>
  <si>
    <t>Kristin D'Ambrosio</t>
  </si>
  <si>
    <t>0064L00000Bf6Yz</t>
  </si>
  <si>
    <t>Capri Holdings Limited</t>
  </si>
  <si>
    <t>EVP/EX Measurement and Design</t>
  </si>
  <si>
    <t>Jeffrey Jolton</t>
  </si>
  <si>
    <t>0064L00000BobxY</t>
  </si>
  <si>
    <t>Supplier Code of Conduct Phase 2 #S&amp;P #ESG</t>
  </si>
  <si>
    <t>Rohini Barreto</t>
  </si>
  <si>
    <t>0064L000007W9yv</t>
  </si>
  <si>
    <t>DEI Assessment</t>
  </si>
  <si>
    <t>0064L000003ygTV</t>
  </si>
  <si>
    <t>Integris Health Inc.</t>
  </si>
  <si>
    <t>*SMART* License - Integris</t>
  </si>
  <si>
    <t>28/8/2020</t>
  </si>
  <si>
    <t>0064L00000B2A46</t>
  </si>
  <si>
    <t>IoT Roadmap</t>
  </si>
  <si>
    <t>0064L00000BmmBD</t>
  </si>
  <si>
    <t>Customer Service Quality Assessment - Worldpay</t>
  </si>
  <si>
    <t>0064L00000DJYod</t>
  </si>
  <si>
    <t>TIGER - Portfolio Planning 2.0</t>
  </si>
  <si>
    <t>0064L000009AQTe</t>
  </si>
  <si>
    <t>Cone Health</t>
  </si>
  <si>
    <t>Cone Health - DFD Release 2.2 Implementation</t>
  </si>
  <si>
    <t>0064L00000Blzcu</t>
  </si>
  <si>
    <t>Medicare Call Center Redesign and Member Experience</t>
  </si>
  <si>
    <t>0064L00000Bkwi6</t>
  </si>
  <si>
    <t>Onboard Services</t>
  </si>
  <si>
    <t>Lara Carter</t>
  </si>
  <si>
    <t>0064L0000068zqB</t>
  </si>
  <si>
    <t>Horizon - Product Management - Future of Product #PayerCO&amp;ITrans</t>
  </si>
  <si>
    <t>0064L000009B1pE</t>
  </si>
  <si>
    <t>Enabling Outcome Based Contracting</t>
  </si>
  <si>
    <t>0064L00000BnKyt</t>
  </si>
  <si>
    <t>#Coupa Supplier Enablement &amp; S2P Rapid Diagnostic</t>
  </si>
  <si>
    <t>0064L00000BgYLD</t>
  </si>
  <si>
    <t>Payments Hub Migration Plan &amp; Orchestration Layer Design</t>
  </si>
  <si>
    <t>0064L000009flAV</t>
  </si>
  <si>
    <t>0064L00000BorNK</t>
  </si>
  <si>
    <t>Cook Medical Pricing and Revenue Leakage Assessment *Pricing*</t>
  </si>
  <si>
    <t>0064L00000Bp0lh</t>
  </si>
  <si>
    <t>GP - HR Shared Service Activity Analysis + Benchmarking</t>
  </si>
  <si>
    <t>0064L00000BnlzS</t>
  </si>
  <si>
    <t>Google Services Benchmarking</t>
  </si>
  <si>
    <t>Michael Krell</t>
  </si>
  <si>
    <t>0064L000003yVAX</t>
  </si>
  <si>
    <t>Swap Dealer Phase 2</t>
  </si>
  <si>
    <t>0064L00000DJXKs</t>
  </si>
  <si>
    <t>Amrock IVR Implementation &amp; Contact Center Transformation</t>
  </si>
  <si>
    <t>0064L00000DJXNM</t>
  </si>
  <si>
    <t>Banking Operations Stand up and Technology Implementation (Extension 07)</t>
  </si>
  <si>
    <t>0064L00000BoqJ7</t>
  </si>
  <si>
    <t>Teladoc Xactly Commission Exp Accounting &amp; WDAY Integration</t>
  </si>
  <si>
    <t>0064L00000BmIAt</t>
  </si>
  <si>
    <t>Atlas Holdings, LLC</t>
  </si>
  <si>
    <t>Pricing Efficiency and Effectiveness</t>
  </si>
  <si>
    <t>0064L000006B2AE</t>
  </si>
  <si>
    <t>M&amp;A Playbook &amp; Capacity Expansion</t>
  </si>
  <si>
    <t>0064L00000BlEf5</t>
  </si>
  <si>
    <t>QUANTERIX Corp.</t>
  </si>
  <si>
    <t>Finance Close Acceleration</t>
  </si>
  <si>
    <t>0064L00000Bp14e</t>
  </si>
  <si>
    <t>Clinical Development Culture Activation</t>
  </si>
  <si>
    <t>Robyn Tierney</t>
  </si>
  <si>
    <t>0064L00000BlEkZ</t>
  </si>
  <si>
    <t>PFG Source to Pay</t>
  </si>
  <si>
    <t>0064L00000BmIPe</t>
  </si>
  <si>
    <t>Silicon Valley Campus (SVC) Capital Project Process and Control Review</t>
  </si>
  <si>
    <t>0064L00000BfpJn</t>
  </si>
  <si>
    <t>UC Health.</t>
  </si>
  <si>
    <t>GPO RFP</t>
  </si>
  <si>
    <t>0064L00000BkuZ2</t>
  </si>
  <si>
    <t>Asset Knowledge Management - Mapping Cycle Time</t>
  </si>
  <si>
    <t>0064L00000DFch9</t>
  </si>
  <si>
    <t>Inova Health - *SMART* IP License - FY23 Renewal</t>
  </si>
  <si>
    <t>Edmund Kowalski</t>
  </si>
  <si>
    <t>0064L00000DJUNx</t>
  </si>
  <si>
    <t>HCSC Clinical Technology Transformation #HVM #GCOE</t>
  </si>
  <si>
    <t>0064L00000BmsVp</t>
  </si>
  <si>
    <t>GCD NPI Baseline &amp; Assessment - PVT &amp; GA Ramp</t>
  </si>
  <si>
    <t>Alana Payne</t>
  </si>
  <si>
    <t>0064L00000Bl0yr</t>
  </si>
  <si>
    <t>MSFT HR FY22 TM Strategy and PM Support</t>
  </si>
  <si>
    <t>0064L0000099wGG</t>
  </si>
  <si>
    <t>Ochsner Health System</t>
  </si>
  <si>
    <t>Ochsner Health System - *SMART* License  IP Renewal - FY22</t>
  </si>
  <si>
    <t>0064L000009f3zV</t>
  </si>
  <si>
    <t>Walmart Co-Branded Credit Card - Vendor Data integrity &amp; controls</t>
  </si>
  <si>
    <t>Matt Seiler</t>
  </si>
  <si>
    <t>0064L00000CY3Dk</t>
  </si>
  <si>
    <t>COGS Process Improvement and System Migration Support</t>
  </si>
  <si>
    <t>0064L00000CVCFP</t>
  </si>
  <si>
    <t>THE NEW YORK TIMES COMPANY</t>
  </si>
  <si>
    <t>NYT 2022 Actuarial Services</t>
  </si>
  <si>
    <t>Ephraim Sudwerts</t>
  </si>
  <si>
    <t>Alexander Gregory</t>
  </si>
  <si>
    <t>0064L00000BfefU</t>
  </si>
  <si>
    <t>Potential work after ESG Net Zero</t>
  </si>
  <si>
    <t>0064L00000BnUPg</t>
  </si>
  <si>
    <t>Project Renew - RightAngle Upgrade</t>
  </si>
  <si>
    <t>0064L00000CXNOM</t>
  </si>
  <si>
    <t>Alts FFG Data - Business Validation Design Support #DATA</t>
  </si>
  <si>
    <t>0064L00000BcwGn</t>
  </si>
  <si>
    <t>United for Business Support</t>
  </si>
  <si>
    <t>0064L00000Bgeq0</t>
  </si>
  <si>
    <t>Grupo Bal, S.A. de C.V.</t>
  </si>
  <si>
    <t>Gestión de demanda</t>
  </si>
  <si>
    <t>0064L00000BfTVk</t>
  </si>
  <si>
    <t>CEG Bridge Phase</t>
  </si>
  <si>
    <t>Patrick Maher</t>
  </si>
  <si>
    <t>0064L00000Bfe4J</t>
  </si>
  <si>
    <t>Introducing a Consumption Pricing Capability</t>
  </si>
  <si>
    <t>0064L00000Aqypp</t>
  </si>
  <si>
    <t>SONENDO Inc.</t>
  </si>
  <si>
    <t>Rapid Product Development Tx</t>
  </si>
  <si>
    <t>0064L00000BmG0N</t>
  </si>
  <si>
    <t>#MedAffairs--Microbiome Digital Twin MSLs</t>
  </si>
  <si>
    <t>0064L00000AqwUV</t>
  </si>
  <si>
    <t>Hyster-Yale Materials Handling Inc.</t>
  </si>
  <si>
    <t>Finance Transformation - Phase 2</t>
  </si>
  <si>
    <t>Michael Mead</t>
  </si>
  <si>
    <t>0064L00000BnDdI</t>
  </si>
  <si>
    <t>TAIWAN SEMICONDUCTOR MANUFACTURING COMPANY LTD.</t>
  </si>
  <si>
    <t>HR Dashboard Support</t>
  </si>
  <si>
    <t>0064L00000BnDdJ</t>
  </si>
  <si>
    <t>HR Dashboards</t>
  </si>
  <si>
    <t>0064I00000qsg5N</t>
  </si>
  <si>
    <t>*SMART* License - Scripps</t>
  </si>
  <si>
    <t>0064I00000qsg5D</t>
  </si>
  <si>
    <t>*SMART* License - Multicare Health</t>
  </si>
  <si>
    <t>0064L00000BowLq</t>
  </si>
  <si>
    <t>Auto Modernization Pivot Strategy &amp; Planning</t>
  </si>
  <si>
    <t>Brendan Flores</t>
  </si>
  <si>
    <t>0064L0000041Pg3</t>
  </si>
  <si>
    <t>Data &amp; Analytics Op Model Design</t>
  </si>
  <si>
    <t>0064L00000BovEI</t>
  </si>
  <si>
    <t>IT Roadmap Consolidation &amp; Portfolio Management Strategy</t>
  </si>
  <si>
    <t>0064L000002Zd7h</t>
  </si>
  <si>
    <t>SPM Implementation - SoldQuota/Einstein CR #RocktheSEPipe</t>
  </si>
  <si>
    <t>0064I000011o2W2</t>
  </si>
  <si>
    <t>Imperial Investments Group &amp; Evolution Hotels</t>
  </si>
  <si>
    <t>IGP - Hilton Anatole</t>
  </si>
  <si>
    <t>17/1/2020</t>
  </si>
  <si>
    <t>Connected Solutions</t>
  </si>
  <si>
    <t>Gwen Whitman</t>
  </si>
  <si>
    <t>0064L00000Bp15D</t>
  </si>
  <si>
    <t>Promo Melga Sl</t>
  </si>
  <si>
    <t>Grupo Sese - US Task Force Support - Phase 4</t>
  </si>
  <si>
    <t>0064L00000CXRLo</t>
  </si>
  <si>
    <t>Grupo P.D.C., Sociedad Anonima</t>
  </si>
  <si>
    <t>PDC Consumo - Inorganic Growth Startegy</t>
  </si>
  <si>
    <t>0064L00000DFVXH</t>
  </si>
  <si>
    <t>FIS - Capital End to End</t>
  </si>
  <si>
    <t>22/6/2022</t>
  </si>
  <si>
    <t>Andrew Speacht</t>
  </si>
  <si>
    <t>0064L00000CXa3r</t>
  </si>
  <si>
    <t>Syneos Health - Phase 2 Supplier Diversity Program Implementation #S&amp;P #ESG</t>
  </si>
  <si>
    <t>0064L00000Bmny1</t>
  </si>
  <si>
    <t>CDW - Finance Transformation Office</t>
  </si>
  <si>
    <t>Pierre Monperrus</t>
  </si>
  <si>
    <t>Kara Blocklinger</t>
  </si>
  <si>
    <t>0064L00000CXR5u</t>
  </si>
  <si>
    <t>*SMART* OP License - Nuvance Health</t>
  </si>
  <si>
    <t>0064L00000DJRtb</t>
  </si>
  <si>
    <t>Crestview Advisors, L.L.C.</t>
  </si>
  <si>
    <t>Emerald Talent Architecture</t>
  </si>
  <si>
    <t>0064L00000B1Dsp</t>
  </si>
  <si>
    <t>MSFT Data Center Capital Project Policy and Process Assessment</t>
  </si>
  <si>
    <t>0064L00000Bnw1R</t>
  </si>
  <si>
    <t>Workday Inc</t>
  </si>
  <si>
    <t>Workday ESG Materiality Assessment RFP #ESG</t>
  </si>
  <si>
    <t>0064L00000Bn6QN</t>
  </si>
  <si>
    <t>Baker Hughes #ProEdge - Production - #ProEdgexESG</t>
  </si>
  <si>
    <t>ProEdge - #ESG #ProEdgexESG (Investment)</t>
  </si>
  <si>
    <t>Rian Oosthuizen</t>
  </si>
  <si>
    <t>0064L00000BoirB</t>
  </si>
  <si>
    <t>Zagg Inc.</t>
  </si>
  <si>
    <t>Zagg: Operations Assessment</t>
  </si>
  <si>
    <t>0064L000009Ak87</t>
  </si>
  <si>
    <t>Customer Link OI/IO</t>
  </si>
  <si>
    <t>0064L00000CYsxr</t>
  </si>
  <si>
    <t>Trimble- Reverse Logistics- Operating Model</t>
  </si>
  <si>
    <t>Nisha Bhatia</t>
  </si>
  <si>
    <t>0064L000002b7jw</t>
  </si>
  <si>
    <t>Cardinal Health Plastics Category Strategy</t>
  </si>
  <si>
    <t>0064L000002ZcnH</t>
  </si>
  <si>
    <t>SBTi Contingency Plan / Net Zero</t>
  </si>
  <si>
    <t>Alina Mackenthun</t>
  </si>
  <si>
    <t>0064L000003z2k8</t>
  </si>
  <si>
    <t>Avangrid H&amp;W Expanded Scope</t>
  </si>
  <si>
    <t>Erica Suh</t>
  </si>
  <si>
    <t>0064L00000B26mp</t>
  </si>
  <si>
    <t>Grupo Lala, S.A.B. de C.V.</t>
  </si>
  <si>
    <t>Operacionalización ESG</t>
  </si>
  <si>
    <t>Eduardo Reyes</t>
  </si>
  <si>
    <t>0064L00000BotsP</t>
  </si>
  <si>
    <t>DNaS Staff Aug Support</t>
  </si>
  <si>
    <t>0064L000009g32b</t>
  </si>
  <si>
    <t>MCL GTM Effectiveness</t>
  </si>
  <si>
    <t>0064L00000DFZuo</t>
  </si>
  <si>
    <t>Energy Infrastructure Council - #ESG Climate Market Impact Analysis</t>
  </si>
  <si>
    <t>0064L00000CWbpP</t>
  </si>
  <si>
    <t>M2GEN - Business Model Commercialization w/ ORIEN Network #RWDEvGen</t>
  </si>
  <si>
    <t>0064L000001vfnb</t>
  </si>
  <si>
    <t>AA - Fare Trace Pilot</t>
  </si>
  <si>
    <t>0064L000007E2PV</t>
  </si>
  <si>
    <t>IDBNY TOM and Capabilities Assessment #&lt;$50B #SCB</t>
  </si>
  <si>
    <t>0064L00000BlwXp</t>
  </si>
  <si>
    <t>*CI* TGH Research IP Assessment</t>
  </si>
  <si>
    <t>0064L0000099Ttu</t>
  </si>
  <si>
    <t>Shell - Greenlots Operations Execution - Charging Stations</t>
  </si>
  <si>
    <t>0064L00000CW0U8</t>
  </si>
  <si>
    <t>DE&amp;I Program: Governance and mobilization assistance</t>
  </si>
  <si>
    <t>Min Matson</t>
  </si>
  <si>
    <t>0064L00000CYYA4</t>
  </si>
  <si>
    <t>Earnings Code Review</t>
  </si>
  <si>
    <t>0064L00000CVP9n</t>
  </si>
  <si>
    <t>Finance SAP PMO and Enhancement support</t>
  </si>
  <si>
    <t>0064L00000993M6</t>
  </si>
  <si>
    <t>Blue Apron, LLC</t>
  </si>
  <si>
    <t>Media Mix Analysis</t>
  </si>
  <si>
    <t>0064L00000DJVro</t>
  </si>
  <si>
    <t>BCBSM Mainframe Architecture</t>
  </si>
  <si>
    <t>Andrew Castillo</t>
  </si>
  <si>
    <t>0064L000002asy1</t>
  </si>
  <si>
    <t>Temple University Health System</t>
  </si>
  <si>
    <t>Temple Health Digital Strategy and Roadmap</t>
  </si>
  <si>
    <t>0064L00000BfeX1</t>
  </si>
  <si>
    <t>Talent Strategy - Top Roles Planning</t>
  </si>
  <si>
    <t>0064L00000993Ni</t>
  </si>
  <si>
    <t>Media Supply Path Optimization</t>
  </si>
  <si>
    <t>0064L00000CXfgp</t>
  </si>
  <si>
    <t>KCNA TPM Assessment - S4 program</t>
  </si>
  <si>
    <t>0064L00000DJVwU</t>
  </si>
  <si>
    <t>Oncology marketing and sales excellence [placeholder]</t>
  </si>
  <si>
    <t>0064L00000CXVIg</t>
  </si>
  <si>
    <t>JetBlue Finance Operating Model / Sourcing Assessment</t>
  </si>
  <si>
    <t>0064L00000CVPBu</t>
  </si>
  <si>
    <t>Project Alpha: implementation planning and mobilization #PayerCO&amp;ITrans</t>
  </si>
  <si>
    <t>0064L00000BfCZW</t>
  </si>
  <si>
    <t>Coupa SIM Implementation</t>
  </si>
  <si>
    <t>0064L000003zepo</t>
  </si>
  <si>
    <t>El Pollo Loco Holdings Inc</t>
  </si>
  <si>
    <t>Profitability Improvement #Profit</t>
  </si>
  <si>
    <t>0064L000009AMUd</t>
  </si>
  <si>
    <t>#MedAffairs #RWDEvGen -- Evidence Generation Governance and Framework (Amgen)</t>
  </si>
  <si>
    <t>0064L00000706R8</t>
  </si>
  <si>
    <t>Microsoft Surface DaaS Phase 3 (Readiness)</t>
  </si>
  <si>
    <t>0064L00000Bl2P5</t>
  </si>
  <si>
    <t>GE GP Aero S&amp;OP</t>
  </si>
  <si>
    <t>27/8/2022</t>
  </si>
  <si>
    <t>0064L00000CWc1n</t>
  </si>
  <si>
    <t>DENSO MX Import / Export</t>
  </si>
  <si>
    <t>0064L000002ZNir</t>
  </si>
  <si>
    <t>TECHTRONIC INDUSTRIES COMPANY LIMITED</t>
  </si>
  <si>
    <t>Milwaukee Tool Performance Analyzer #RGM</t>
  </si>
  <si>
    <t>0064L000002ZNk4</t>
  </si>
  <si>
    <t>Halo Top International LLC</t>
  </si>
  <si>
    <t>Halo Top Performance Analyzer #RGM</t>
  </si>
  <si>
    <t>0064L000002ZNjV</t>
  </si>
  <si>
    <t>King's Hawaiian Holding Company Inc.</t>
  </si>
  <si>
    <t>King's Hawaiian Performance Analyzer #RGM</t>
  </si>
  <si>
    <t>0064L00000BgVHg</t>
  </si>
  <si>
    <t>Gilead:IT  Gilead NextGen Clinical Platform PoC #R&amp;DAutomation</t>
  </si>
  <si>
    <t>0064L000002ZNlM</t>
  </si>
  <si>
    <t>Klein Tools, Inc.</t>
  </si>
  <si>
    <t>Klein Tools Performance Analyzer #RGM</t>
  </si>
  <si>
    <t>0064L00000BmFZD</t>
  </si>
  <si>
    <t>GE Gas Power CoQ</t>
  </si>
  <si>
    <t>0064L00000CW061</t>
  </si>
  <si>
    <t>MassMutual Lead Generation</t>
  </si>
  <si>
    <t>Tord Tungesvik</t>
  </si>
  <si>
    <t>0064L00000CW084</t>
  </si>
  <si>
    <t>Digital Optimization</t>
  </si>
  <si>
    <t>0064L0000099h2h</t>
  </si>
  <si>
    <t>AFLAC - Dental &amp; Vision - Distribution Sales Support</t>
  </si>
  <si>
    <t>0064L00000DFZeR</t>
  </si>
  <si>
    <t>Saint Joseph's University</t>
  </si>
  <si>
    <t>*CI* Nursing Build or Buy</t>
  </si>
  <si>
    <t>0064L00000B1jve</t>
  </si>
  <si>
    <t>Fluor Corporation</t>
  </si>
  <si>
    <t>Fluor - Operations Policy &amp; Procedures Benchmarking and Compliance Review - Phase 1</t>
  </si>
  <si>
    <t>20/9/2021</t>
  </si>
  <si>
    <t>0064L00000B1kTg</t>
  </si>
  <si>
    <t>#ClinTrialDesign - CORTEX Analytics Implementation</t>
  </si>
  <si>
    <t>0064L00000CXDHK</t>
  </si>
  <si>
    <t>International Rescue Committee Inc.</t>
  </si>
  <si>
    <t>Planning, Budgeting &amp; Forecasting</t>
  </si>
  <si>
    <t>0064L000009ewje</t>
  </si>
  <si>
    <t>Live Oak Finxact Discovery #&lt;$50B</t>
  </si>
  <si>
    <t>28/6/2021</t>
  </si>
  <si>
    <t>0064L000009fYGX</t>
  </si>
  <si>
    <t>BX Real Estate Fund Administration Selection Support</t>
  </si>
  <si>
    <t>0064L00000CWQ95</t>
  </si>
  <si>
    <t>Workers Com Growth Strategy: Business Insurance</t>
  </si>
  <si>
    <t>0064L00000BnZC4</t>
  </si>
  <si>
    <t>CDW - WMS Selection</t>
  </si>
  <si>
    <t>Charles Crutchfield</t>
  </si>
  <si>
    <t>0064L000003ze0v</t>
  </si>
  <si>
    <t>RightAngle Managed Services</t>
  </si>
  <si>
    <t>0064I000014Jbum</t>
  </si>
  <si>
    <t>Baker Oracle EPM - Close Assessment #MW</t>
  </si>
  <si>
    <t>26/3/2020</t>
  </si>
  <si>
    <t>0064L00000BnIEJ</t>
  </si>
  <si>
    <t>MassMutual Extension: Service Model, HR Ops and Comms</t>
  </si>
  <si>
    <t>0064L00000BnkJp</t>
  </si>
  <si>
    <t>BCBSM - Benefit Management Strategy #PayerCO&amp;ITrans</t>
  </si>
  <si>
    <t>Andrew Furman</t>
  </si>
  <si>
    <t>0064L00000BnZJA</t>
  </si>
  <si>
    <t>Experity - Interoperability Strategy and Plan</t>
  </si>
  <si>
    <t>0064I00000u1iJE</t>
  </si>
  <si>
    <t>Analytical selling and SalesForce optimization</t>
  </si>
  <si>
    <t>17/5/2019</t>
  </si>
  <si>
    <t>Stephen Kemper</t>
  </si>
  <si>
    <t>0064L00000BmFIz</t>
  </si>
  <si>
    <t>Enterprise Analytics Strategy</t>
  </si>
  <si>
    <t>0064L00000CXTIS</t>
  </si>
  <si>
    <t>Haier US Appliance Solutions Inc.</t>
  </si>
  <si>
    <t>GE Appliances / Connected Home Ecosystem</t>
  </si>
  <si>
    <t>Rand Bailin</t>
  </si>
  <si>
    <t>0064L00000CVpGj</t>
  </si>
  <si>
    <t>0064L000006CBOq</t>
  </si>
  <si>
    <t>DRC Analytics for Customer Acquisition- Assessment #incs</t>
  </si>
  <si>
    <t>0064L00000BolVI</t>
  </si>
  <si>
    <t>Servicing Oversight Reporting</t>
  </si>
  <si>
    <t>0064I0000133DJ9</t>
  </si>
  <si>
    <t>Allina Health System</t>
  </si>
  <si>
    <t>*SMART* IP - Allina Health</t>
  </si>
  <si>
    <t>0064L00000CYx0u</t>
  </si>
  <si>
    <t>Chubb Limited</t>
  </si>
  <si>
    <t>Agent Comp Current State Assessment</t>
  </si>
  <si>
    <t>Paul Livak</t>
  </si>
  <si>
    <t>Jackie McCadden</t>
  </si>
  <si>
    <t>0064L00000Bo9QT</t>
  </si>
  <si>
    <t>CSL Plasma - City Design and Sell In</t>
  </si>
  <si>
    <t>0064L000006Wp0P</t>
  </si>
  <si>
    <t>GRM--BL/Small Commercial UW &amp; Pricing Strategy</t>
  </si>
  <si>
    <t>0064L00000Bld4J</t>
  </si>
  <si>
    <t>General Mills Inc.</t>
  </si>
  <si>
    <t>Operationalize Brand Marketing</t>
  </si>
  <si>
    <t>#InsightsFactory</t>
  </si>
  <si>
    <t>Aimee Topp</t>
  </si>
  <si>
    <t>0064L0000097NOI</t>
  </si>
  <si>
    <t>Resideo #ESG strategy and implementation plan - Phase 2</t>
  </si>
  <si>
    <t>Resideo #ESG strategy and implementation plan - Phase 1</t>
  </si>
  <si>
    <t>0064L00000CWP81</t>
  </si>
  <si>
    <t>WATTS WATER TECHNOLOGIES, INC.</t>
  </si>
  <si>
    <t>Watts-Territory Pricing Uplift</t>
  </si>
  <si>
    <t>Kris Munson</t>
  </si>
  <si>
    <t>0064L00000BgBjK</t>
  </si>
  <si>
    <t>CoP 2022/2023 Job Architecture</t>
  </si>
  <si>
    <t>Robert McIntosh</t>
  </si>
  <si>
    <t>0064L00000DJdmI</t>
  </si>
  <si>
    <t>0064L00000BoKDI</t>
  </si>
  <si>
    <t>Tampa Bay Banking Company</t>
  </si>
  <si>
    <t>Bank of Tampa - nCino Discovery #SCB #&lt;$50B</t>
  </si>
  <si>
    <t>0064L000003z34w</t>
  </si>
  <si>
    <t>IBC Payer Growth/#DVC #FFG</t>
  </si>
  <si>
    <t>0064L00000B2m3z</t>
  </si>
  <si>
    <t>WHR - AWS - People: Career Architecture</t>
  </si>
  <si>
    <t>0064L00000BgTRy</t>
  </si>
  <si>
    <t>Morgan Stanley ISG #Digitalassets</t>
  </si>
  <si>
    <t>0064L00000Ar7AC</t>
  </si>
  <si>
    <t>SK Blue Holdings, LP</t>
  </si>
  <si>
    <t>Sales / Supply Chain Optimization</t>
  </si>
  <si>
    <t>Michael Levitan</t>
  </si>
  <si>
    <t>0064L000007YIbK</t>
  </si>
  <si>
    <t>GE Corporate InterCo Remediation</t>
  </si>
  <si>
    <t>0064L000001vPwI</t>
  </si>
  <si>
    <t>Jeffrey Smith</t>
  </si>
  <si>
    <t>0064L00000BmD4l</t>
  </si>
  <si>
    <t>#QMS Health@ Organization Value Profile</t>
  </si>
  <si>
    <t>Margo Stokum</t>
  </si>
  <si>
    <t>0064L00000CWMrz</t>
  </si>
  <si>
    <t>C2R - Last Mile Process Enhancement - Phase II</t>
  </si>
  <si>
    <t>C2R - Last Mile Process Enhancement</t>
  </si>
  <si>
    <t>0064L000009AjAR</t>
  </si>
  <si>
    <t>Assess Finance Operating Model with Central Finance</t>
  </si>
  <si>
    <t>0064L000001vaq6</t>
  </si>
  <si>
    <t>22/7/2020</t>
  </si>
  <si>
    <t>0064L00000DFWdp</t>
  </si>
  <si>
    <t>MSFT MCB Learning FY23 H1</t>
  </si>
  <si>
    <t>Emily Folsom</t>
  </si>
  <si>
    <t>0064L00000BoZiq</t>
  </si>
  <si>
    <t>M&amp;A Market Scan</t>
  </si>
  <si>
    <t>0064L00000BoHO7</t>
  </si>
  <si>
    <t>Digital Product Strategy</t>
  </si>
  <si>
    <t>Ahmet Ozman</t>
  </si>
  <si>
    <t>0064L00000BfNVV</t>
  </si>
  <si>
    <t>Support for Talent Management Business Case</t>
  </si>
  <si>
    <t>0064L00000BlqnT</t>
  </si>
  <si>
    <t>Digital Supply Chain</t>
  </si>
  <si>
    <t>0064L000009fDY2</t>
  </si>
  <si>
    <t>MSK - IT Asset Management (Ph2)</t>
  </si>
  <si>
    <t>0064L00000DJbd4</t>
  </si>
  <si>
    <t>VW - Supplier Task Force SKBA - Phase 1</t>
  </si>
  <si>
    <t>0064I00000zSqbB</t>
  </si>
  <si>
    <t>ManCo Value Creation #Hawk</t>
  </si>
  <si>
    <t>0064L00000CYBTl</t>
  </si>
  <si>
    <t>#IOBP - GSK IRM Operational Reporting Support</t>
  </si>
  <si>
    <t>0064L00000ArFm4</t>
  </si>
  <si>
    <t>R&amp;D Portfolio Management</t>
  </si>
  <si>
    <t>0064L00000BoZDE</t>
  </si>
  <si>
    <t>Finance of America Growth Strategy</t>
  </si>
  <si>
    <t>0064L00000CV9UR</t>
  </si>
  <si>
    <t>AbbVie Intercompany Reconciliation</t>
  </si>
  <si>
    <t>Michael Tann</t>
  </si>
  <si>
    <t>0064L000004wRxm</t>
  </si>
  <si>
    <t>Physician Relationship Management (PRM) Pilot</t>
  </si>
  <si>
    <t>0064L00000CYRJV</t>
  </si>
  <si>
    <t>Valley Health</t>
  </si>
  <si>
    <t>Valley Health Growth Strategy &amp; Capabilities (CDS)</t>
  </si>
  <si>
    <t>0064L00000AryEw</t>
  </si>
  <si>
    <t>Alteryx Inc.</t>
  </si>
  <si>
    <t>Lead to Renewal BXT</t>
  </si>
  <si>
    <t>15/11/2021</t>
  </si>
  <si>
    <t>Chris Burke</t>
  </si>
  <si>
    <t>0064L00000CYQkm</t>
  </si>
  <si>
    <t>Pivot Bio Inc.</t>
  </si>
  <si>
    <t>Pivot - FE Phase I support</t>
  </si>
  <si>
    <t>Pivot Bio Readiness</t>
  </si>
  <si>
    <t>Steve Kenney</t>
  </si>
  <si>
    <t>0064L00000BoFse</t>
  </si>
  <si>
    <t>Everseen Limited</t>
  </si>
  <si>
    <t>POS Technology Deployment Acceleration</t>
  </si>
  <si>
    <t>0064L00000DFV6L</t>
  </si>
  <si>
    <t>Cleanroom RFP support for VCG - Media</t>
  </si>
  <si>
    <t>Ali Rizvi</t>
  </si>
  <si>
    <t>0064L00000CYRTE</t>
  </si>
  <si>
    <t>ADS - Capex Buyers #PoD</t>
  </si>
  <si>
    <t>0064L00000CWM4J</t>
  </si>
  <si>
    <t>CVR - Maximo Upgrade (Project Renew)</t>
  </si>
  <si>
    <t>Deven Oza</t>
  </si>
  <si>
    <t>0064L000006iKe5</t>
  </si>
  <si>
    <t>Strategic Option - Assistance/Go Forward Plan</t>
  </si>
  <si>
    <t>0064L00000CWnZ1</t>
  </si>
  <si>
    <t>CPQ GTM Business Strategy</t>
  </si>
  <si>
    <t>0064L000004voNi</t>
  </si>
  <si>
    <t>MS Productivity Hub</t>
  </si>
  <si>
    <t>15/12/2020</t>
  </si>
  <si>
    <t>0064L00000BlrF8</t>
  </si>
  <si>
    <t>MCL Go Forward Strategy</t>
  </si>
  <si>
    <t>0064L00000CXNKK</t>
  </si>
  <si>
    <t>Trimble, Inc. ESG Salesforce Net Zero Cloud Implementation</t>
  </si>
  <si>
    <t>0064L00000BlpNe</t>
  </si>
  <si>
    <t>Norfolk Southern Corporation</t>
  </si>
  <si>
    <t>Norfolk Southern - Capital Assessment &amp; Sourcing</t>
  </si>
  <si>
    <t>0064L00000BlpO3</t>
  </si>
  <si>
    <t>Norfolk Southern - Procurement Transformation</t>
  </si>
  <si>
    <t>0064L00000BlpMv</t>
  </si>
  <si>
    <t>Norfolk Southern - Return on Customer Experience</t>
  </si>
  <si>
    <t>0064L00000ArwkB</t>
  </si>
  <si>
    <t>BCBSM Price Transparency Strategy #PayerAnalytics #HVM</t>
  </si>
  <si>
    <t>13/11/2021</t>
  </si>
  <si>
    <t>0064L00000CVHJH</t>
  </si>
  <si>
    <t>Fairview Health Services</t>
  </si>
  <si>
    <t>Fairview Cloud Acceleration Center Startup</t>
  </si>
  <si>
    <t>0064L000001w0n8</t>
  </si>
  <si>
    <t>Kemper CustomerLink #PRO (P&amp;C)</t>
  </si>
  <si>
    <t>0064L00000CVioj</t>
  </si>
  <si>
    <t>AWS Roster Change Management Opportunity</t>
  </si>
  <si>
    <t>Kimberly Caldwell</t>
  </si>
  <si>
    <t>0064L00000BeZc7</t>
  </si>
  <si>
    <t>Project Rodeo - Migration 2.0</t>
  </si>
  <si>
    <t>0064L00000B12Fc</t>
  </si>
  <si>
    <t>FITB Healthcare TM Receivables Managed Service</t>
  </si>
  <si>
    <t>0064L00000BmshH</t>
  </si>
  <si>
    <t>Medicare Call Center Sourcing Support and Transition #GCOE #Medicare</t>
  </si>
  <si>
    <t>0064L000009B5ey</t>
  </si>
  <si>
    <t>LRM/MPOR Framework Gap Assessment Implementation</t>
  </si>
  <si>
    <t>Attilio Di Mattia</t>
  </si>
  <si>
    <t>0064L00000BoDet</t>
  </si>
  <si>
    <t>Commercial Digital Team PPM Support</t>
  </si>
  <si>
    <t>0064L00000BeGmQ</t>
  </si>
  <si>
    <t>Best Buy Health CRM Optimization - Assessment and Planning Phase</t>
  </si>
  <si>
    <t>0064L00000B0q2y</t>
  </si>
  <si>
    <t>AT&amp;T Business Pricing Strategy</t>
  </si>
  <si>
    <t>0064L000009g0ml</t>
  </si>
  <si>
    <t>Safety App Triage Process Support</t>
  </si>
  <si>
    <t>0064I0000134BI5</t>
  </si>
  <si>
    <t>BMS Gross-to-Net Revenue Leakage Diagnostic *Pricing*</t>
  </si>
  <si>
    <t>0064L00000411SS</t>
  </si>
  <si>
    <t>Experience Architecture - Pilot #Hawk</t>
  </si>
  <si>
    <t>28/10/2020</t>
  </si>
  <si>
    <t>ADV_FS_Hawk</t>
  </si>
  <si>
    <t>0064L000009Auwl</t>
  </si>
  <si>
    <t>Houston Methodist CDP-CareSense Bariatric Clinical Pipeline Integration</t>
  </si>
  <si>
    <t>0064L00000BdDy7</t>
  </si>
  <si>
    <t>EHR pre-implementation planning</t>
  </si>
  <si>
    <t>0064L00000BoUzZ</t>
  </si>
  <si>
    <t>Simply Business Holdings Ltd.</t>
  </si>
  <si>
    <t>Simply Business Market Strategy</t>
  </si>
  <si>
    <t>Matthew Shuman</t>
  </si>
  <si>
    <t>0064L00000CW8pn</t>
  </si>
  <si>
    <t>NTAM Blueprint and Digital Transformation</t>
  </si>
  <si>
    <t>Peter Rauchfuss</t>
  </si>
  <si>
    <t>0064L00000BogbV</t>
  </si>
  <si>
    <t>MSFT TrIP Risk Refresh</t>
  </si>
  <si>
    <t>Trevor Johnson</t>
  </si>
  <si>
    <t>0064L00000CWZB3</t>
  </si>
  <si>
    <t>RWJ Hamiton Strategy - Follow-Up</t>
  </si>
  <si>
    <t>RWJ Hamiton Strategy</t>
  </si>
  <si>
    <t>0064L00000CWkGM</t>
  </si>
  <si>
    <t>Cox Edge - Growth Support</t>
  </si>
  <si>
    <t>0064L00000CWkHo</t>
  </si>
  <si>
    <t>End to End Experience Strategy</t>
  </si>
  <si>
    <t>0064L00000BeH7O</t>
  </si>
  <si>
    <t>Protective Inorganic Growth Strategy</t>
  </si>
  <si>
    <t>Henry Leipold</t>
  </si>
  <si>
    <t>0064L00000CYpq3</t>
  </si>
  <si>
    <t>Duracell S2P Tech Business Case &amp; Selection</t>
  </si>
  <si>
    <t>Mabroor Wassey</t>
  </si>
  <si>
    <t>0064L00000CVgkj</t>
  </si>
  <si>
    <t>#IOBP - Illumina R&amp;D Demand vs Spend Assessment</t>
  </si>
  <si>
    <t>0064L00000Bnbwv</t>
  </si>
  <si>
    <t>S&amp;T Bancorp, Inc.</t>
  </si>
  <si>
    <t>S&amp;T Commercial TOM #&lt;$50B #SCB</t>
  </si>
  <si>
    <t>0064L00000CVEnx</t>
  </si>
  <si>
    <t>HP Insights POC</t>
  </si>
  <si>
    <t>0064L00000Bo4Dt</t>
  </si>
  <si>
    <t>Cloudflare - GL Close and Earnings Acceleration - $300K</t>
  </si>
  <si>
    <t>Eric Butts</t>
  </si>
  <si>
    <t>0064L00000DFPbr</t>
  </si>
  <si>
    <t>DEI Innovation Summit 2022</t>
  </si>
  <si>
    <t>Workforce Inclusion &amp; Diversity</t>
  </si>
  <si>
    <t>0064L00000CYNDg</t>
  </si>
  <si>
    <t>Cornerstone - IT Ops Support</t>
  </si>
  <si>
    <t>Kevin Batista</t>
  </si>
  <si>
    <t>0064L00000BfIRH</t>
  </si>
  <si>
    <t>MSFT HRDT Change Management Strategy and Delivery</t>
  </si>
  <si>
    <t>0064L00000CYpIp</t>
  </si>
  <si>
    <t>IT Operations Transformation: Phase 2 Financial Management #S&amp;P#POD</t>
  </si>
  <si>
    <t>Blake Shanahan</t>
  </si>
  <si>
    <t>0064L00000CYpJn</t>
  </si>
  <si>
    <t>SPMC Backlog Discovery and Business Integration Support</t>
  </si>
  <si>
    <t>0064L00000BoSmS</t>
  </si>
  <si>
    <t>Org Design and Workforce Architect Consulting Services (2022 - 2023)</t>
  </si>
  <si>
    <t>Robyn Lahlein</t>
  </si>
  <si>
    <t>0064L00000BoSmw</t>
  </si>
  <si>
    <t>ETX</t>
  </si>
  <si>
    <t>0064L00000Bei5v</t>
  </si>
  <si>
    <t>Loyalty financial management requirements</t>
  </si>
  <si>
    <t>0064L00000BoSqK</t>
  </si>
  <si>
    <t>Cloud L2C Integration for Mycroft</t>
  </si>
  <si>
    <t>Forrest Peralta</t>
  </si>
  <si>
    <t>0064L000007FLNb</t>
  </si>
  <si>
    <t>Co-Opting Model Transformation - Phase 1</t>
  </si>
  <si>
    <t>27/4/2022 5:02 pm</t>
  </si>
  <si>
    <t>0064L00000Aqqdm</t>
  </si>
  <si>
    <t>Real Estate Construction Portfolio Advisory</t>
  </si>
  <si>
    <t>0064L00000BoeYI</t>
  </si>
  <si>
    <t>Booz Allen Hamilton Holding Corporation</t>
  </si>
  <si>
    <t>BAH Treasury Transformation</t>
  </si>
  <si>
    <t>Justin Parkerton</t>
  </si>
  <si>
    <t>0064L00000CXJpp</t>
  </si>
  <si>
    <t>Oxy Supplier Diversity Program Strategy #ESG #S&amp;P</t>
  </si>
  <si>
    <t>Todd Cimino</t>
  </si>
  <si>
    <t>0064L00000BlKSC</t>
  </si>
  <si>
    <t>NAOU Supply Chain Strategy - Phase 2 Digital Roadmap</t>
  </si>
  <si>
    <t>0064L00000CX9pW</t>
  </si>
  <si>
    <t>WhaleClear, Inc.</t>
  </si>
  <si>
    <t>PlayAnywhere Strategic Accelerators</t>
  </si>
  <si>
    <t>0064L00000CWjTp</t>
  </si>
  <si>
    <t>KELLER WILLIAMS</t>
  </si>
  <si>
    <t>KellerWilliams FP&amp;A support</t>
  </si>
  <si>
    <t>0064L00000B339t</t>
  </si>
  <si>
    <t>Medicare Operational Analytics</t>
  </si>
  <si>
    <t>0064L00000CVF2O</t>
  </si>
  <si>
    <t>Enterprise Customer Experience</t>
  </si>
  <si>
    <t>Nicole Lapka</t>
  </si>
  <si>
    <t>0064L00000Ar0o5</t>
  </si>
  <si>
    <t>Digital Engineering Opportunity Analysis</t>
  </si>
  <si>
    <t>0064L000001t65M</t>
  </si>
  <si>
    <t>Employee Financial Wellness Program</t>
  </si>
  <si>
    <t>18/5/2020</t>
  </si>
  <si>
    <t>0064I0000131ya7</t>
  </si>
  <si>
    <t>Piedmont Healthcare Inc.</t>
  </si>
  <si>
    <t>*SMART* License - Piedmont Healthcare</t>
  </si>
  <si>
    <t>21/2/2020</t>
  </si>
  <si>
    <t>0064L00000410TY</t>
  </si>
  <si>
    <t>THR *FFG* G&amp;A Expanded Benchmarking</t>
  </si>
  <si>
    <t>27/10/2020</t>
  </si>
  <si>
    <t>0064L00000AqqAq</t>
  </si>
  <si>
    <t>RIG - Cost Take Out Phase 2</t>
  </si>
  <si>
    <t>0064L00000BlkkH</t>
  </si>
  <si>
    <t>Moderna - Clinical Operations Support</t>
  </si>
  <si>
    <t>Kellie Casey</t>
  </si>
  <si>
    <t>0064L00000CX8oj</t>
  </si>
  <si>
    <t>KPMC Accounting Assessment</t>
  </si>
  <si>
    <t>0064L00000BlkvA</t>
  </si>
  <si>
    <t>Visa_Global Talent Acquisition Strategy_$300K</t>
  </si>
  <si>
    <t>Kari Worthington</t>
  </si>
  <si>
    <t>0064L000003yXyF</t>
  </si>
  <si>
    <t>AdventHealth Physician Governance Structure &amp; Operating Model</t>
  </si>
  <si>
    <t>0064L000007Wowd</t>
  </si>
  <si>
    <t>Njoy LLC</t>
  </si>
  <si>
    <t>NJOY - Std Reporting Phase 3</t>
  </si>
  <si>
    <t>0064L00000Ard3F</t>
  </si>
  <si>
    <t>Phase 2 Inventory Improvement</t>
  </si>
  <si>
    <t>0064L000001vnDe</t>
  </si>
  <si>
    <t>*SMART* License - Adventist Health West</t>
  </si>
  <si>
    <t>0064L0000098jX8</t>
  </si>
  <si>
    <t>SAP S/4 Finance Assessment</t>
  </si>
  <si>
    <t>0064L00000DJmkJ</t>
  </si>
  <si>
    <t>Synovus Tech Org design</t>
  </si>
  <si>
    <t>0064L00000BocCn</t>
  </si>
  <si>
    <t>ORx - Underwriting Tools and Process [RFP]</t>
  </si>
  <si>
    <t>0064L000006ziYQ</t>
  </si>
  <si>
    <t>BX Procurement Phase 1 2022 Transformation #S&amp;P#POD</t>
  </si>
  <si>
    <t>James Costa</t>
  </si>
  <si>
    <t>0064L00000As0qO</t>
  </si>
  <si>
    <t>Media Intelligence POC</t>
  </si>
  <si>
    <t>0064L00000CVBW5</t>
  </si>
  <si>
    <t>AGACHE</t>
  </si>
  <si>
    <t>Sephora Mexico Commerce Assessment</t>
  </si>
  <si>
    <t>Marcelino Raygoza</t>
  </si>
  <si>
    <t>0064L000002ZtbD</t>
  </si>
  <si>
    <t>Berwind Corporation</t>
  </si>
  <si>
    <t>CRC Industries Performance Analyzer</t>
  </si>
  <si>
    <t>24/9/2023</t>
  </si>
  <si>
    <t>0064L000002ZtaZ</t>
  </si>
  <si>
    <t>Well Pet Performance Analyzer</t>
  </si>
  <si>
    <t>24/9/2024</t>
  </si>
  <si>
    <t>0064L00000CXYe6</t>
  </si>
  <si>
    <t>Assess and Optimize EPM Operating Model</t>
  </si>
  <si>
    <t>0064L00000AqobZ</t>
  </si>
  <si>
    <t>DTV - Cloud ERP Implementation Support (Augmenting Internal SI Team)</t>
  </si>
  <si>
    <t>0064L00000BobtR</t>
  </si>
  <si>
    <t>SPG Fin Optimization - Costing and Margin Analysis Optimization Phase 2</t>
  </si>
  <si>
    <t>0064L000009AqrN</t>
  </si>
  <si>
    <t>Spirit Aero - Defense Planning - Phase 1</t>
  </si>
  <si>
    <t>0064L000002LZFC</t>
  </si>
  <si>
    <t>Advisor Group Holdings, Inc.</t>
  </si>
  <si>
    <t>AG - Innovation Foundry Setup #Transformation #ESV #DDV #Digital</t>
  </si>
  <si>
    <t>Dylan Pereira</t>
  </si>
  <si>
    <t>0064L00000CX7o4</t>
  </si>
  <si>
    <t>International Org Design</t>
  </si>
  <si>
    <t>Justin Cowan</t>
  </si>
  <si>
    <t>0064L00000CVBmh</t>
  </si>
  <si>
    <t>Beachbody, LLC.</t>
  </si>
  <si>
    <t>Growth Assessment</t>
  </si>
  <si>
    <t>0064L00000BkvvE</t>
  </si>
  <si>
    <t>FDX:  Customer Journey Activation</t>
  </si>
  <si>
    <t>0064L00000BfEi9</t>
  </si>
  <si>
    <t>TE Connectivity Ltd.</t>
  </si>
  <si>
    <t>TE Connectivity-NPI Pricing</t>
  </si>
  <si>
    <t>0064L000009fLhe</t>
  </si>
  <si>
    <t>SBNY nCino Digital Asset Lending Discovery / Delivery    #&lt;$50B</t>
  </si>
  <si>
    <t>0064L00000Borgl</t>
  </si>
  <si>
    <t>Footprint International Holdco, Inc.</t>
  </si>
  <si>
    <t>Phase 0 - Product lifecycle management</t>
  </si>
  <si>
    <t>JJ Marais</t>
  </si>
  <si>
    <t>0064L00000Bnohh</t>
  </si>
  <si>
    <t>Northwestern Medicine</t>
  </si>
  <si>
    <t>Payroll and HR Outsourcing Optimization Assessment</t>
  </si>
  <si>
    <t>Lisa Herrnson</t>
  </si>
  <si>
    <t>0064L00000CYmGb</t>
  </si>
  <si>
    <t>IU Health Extended EPM HyperCare</t>
  </si>
  <si>
    <t>0064L0000040ntc</t>
  </si>
  <si>
    <t>Marketing Analytics - BU Resource Allocation/Marketing360</t>
  </si>
  <si>
    <t>0064L00000Bnomh</t>
  </si>
  <si>
    <t>PACNW CommonSpirit Reimb: VMMC FFY25-26 WI/OM/Rural IME Change Order *Strategic Reimbursement*</t>
  </si>
  <si>
    <t>0064L000009fM8z</t>
  </si>
  <si>
    <t>Wells Fargo Consumer - Digital &amp; Banking Ecosystems</t>
  </si>
  <si>
    <t>0064L00000Bmlrh</t>
  </si>
  <si>
    <t>Finance L&amp;D - Phase 2</t>
  </si>
  <si>
    <t>0064L00000Bmlrr</t>
  </si>
  <si>
    <t>Outsourcing contract review</t>
  </si>
  <si>
    <t>0064L00000BliqI</t>
  </si>
  <si>
    <t>P&amp;G Marketing Efficiency &amp; Effectiveness</t>
  </si>
  <si>
    <t>0064L00000Bg9AI</t>
  </si>
  <si>
    <t>AT&amp;T Business Cyber Strategy</t>
  </si>
  <si>
    <t>0064L00000BmKSp</t>
  </si>
  <si>
    <t>B2B Marketing and Commerce Enablement</t>
  </si>
  <si>
    <t>0064L000009B1gz</t>
  </si>
  <si>
    <t>Operational Compliance Review 2022 for Benefit Plans</t>
  </si>
  <si>
    <t>Benjamin Sellitto</t>
  </si>
  <si>
    <t>0064L00000DBPmG</t>
  </si>
  <si>
    <t>Compensation Process Review Part 3</t>
  </si>
  <si>
    <t>0064L00000BnKyy</t>
  </si>
  <si>
    <t>Camaraderie Foundation, Inc.</t>
  </si>
  <si>
    <t>*CI* Strategy and Business Planning</t>
  </si>
  <si>
    <t>0064L00000DBQNb</t>
  </si>
  <si>
    <t>Medicom Technologies, Inc.</t>
  </si>
  <si>
    <t>Medicom Biopharma Real World Data Go-to-Market #XPCONC</t>
  </si>
  <si>
    <t>0064L00000DJXiF</t>
  </si>
  <si>
    <t>EPM Ph1 - Liquidity and Investment Model POC</t>
  </si>
  <si>
    <t>0064L00000CGwmH</t>
  </si>
  <si>
    <t>KP Medi-Cal Innovaccer POC Support</t>
  </si>
  <si>
    <t>0064L00000Bfwuf</t>
  </si>
  <si>
    <t>DENSO N. America  - EPM 2.0: CaRS/FCCS Data integration and FCCS optimization</t>
  </si>
  <si>
    <t>0064L00000BoQ1I</t>
  </si>
  <si>
    <t>Cardinal Health GBS upfront analysis/RFP Support</t>
  </si>
  <si>
    <t>0064I000014LKkm</t>
  </si>
  <si>
    <t>CM Ops - Rapid Supplier Cost Reduction - Delta #S&amp;P</t>
  </si>
  <si>
    <t>Marcos Zatkulak</t>
  </si>
  <si>
    <t>0064L00000BgYa8</t>
  </si>
  <si>
    <t>Audi North America (NAR 360)</t>
  </si>
  <si>
    <t>0064L00000BmlWu</t>
  </si>
  <si>
    <t>Institutional Capital Network Inc.</t>
  </si>
  <si>
    <t>iCapital Process Review - Phase 2 - Initiative 1B</t>
  </si>
  <si>
    <t>0064L000009gLK8</t>
  </si>
  <si>
    <t>#IOBP ? Jazz Planning and Forecasting Assessment</t>
  </si>
  <si>
    <t>0064L000007VhQI</t>
  </si>
  <si>
    <t>Wells Fargo CSBB - 'Affluent Away' Proposition / Op Model</t>
  </si>
  <si>
    <t>0064L000009gLJt</t>
  </si>
  <si>
    <t>#IOBP ? Takeda Assessment</t>
  </si>
  <si>
    <t>0064I00000zRVaG</t>
  </si>
  <si>
    <t>S&amp;T nCino Remediation Discovery #&lt;$50B #SCB</t>
  </si>
  <si>
    <t>20/11/2019</t>
  </si>
  <si>
    <t>0064L00000CXxWb</t>
  </si>
  <si>
    <t>Credit-as-a-Servicing Modelling &amp; Market Research</t>
  </si>
  <si>
    <t>Alexander Kornreich</t>
  </si>
  <si>
    <t>0064L00000BecDP</t>
  </si>
  <si>
    <t>Comcast HR Op Model BXT 3</t>
  </si>
  <si>
    <t>0064L00000BfegD</t>
  </si>
  <si>
    <t>Potential work after Wells Fargo - CYB</t>
  </si>
  <si>
    <t>0064L00000BoOBV</t>
  </si>
  <si>
    <t>Fund VII Selection Support</t>
  </si>
  <si>
    <t>0064L00000DJXJK</t>
  </si>
  <si>
    <t>HIG GB CDX Strategy &amp; Op Model</t>
  </si>
  <si>
    <t>0064L00000DJiM2</t>
  </si>
  <si>
    <t>Project Orbit - Employee Services TSA Exit Support</t>
  </si>
  <si>
    <t>Priya Swaroop</t>
  </si>
  <si>
    <t>0064L00000DJiKk</t>
  </si>
  <si>
    <t>Epirus Inc.</t>
  </si>
  <si>
    <t>Epirus Growth and GTM Strategy</t>
  </si>
  <si>
    <t>0064L00000ApyuK</t>
  </si>
  <si>
    <t>FMV Modeling</t>
  </si>
  <si>
    <t>0064L000006B2Kw</t>
  </si>
  <si>
    <t>2021 Finance Transformation - Automation COE</t>
  </si>
  <si>
    <t>0064L00000Bfx4k</t>
  </si>
  <si>
    <t>HCSC IT Program Health Assessment</t>
  </si>
  <si>
    <t>0064L00000BmZKR</t>
  </si>
  <si>
    <t>NT Digital Asset Strategy</t>
  </si>
  <si>
    <t>0064L00000Bed7r</t>
  </si>
  <si>
    <t>The Ronin Project Inc</t>
  </si>
  <si>
    <t>Biopharma commercialization opportunities  #XPCONC</t>
  </si>
  <si>
    <t>0064L00000CXWK1</t>
  </si>
  <si>
    <t>Kite: Transformation: IT TechOps Support</t>
  </si>
  <si>
    <t>0064L00000CWTKq</t>
  </si>
  <si>
    <t>Operations Compete Managed Service #TMTMSO</t>
  </si>
  <si>
    <t>0064L00000BcWFP</t>
  </si>
  <si>
    <t>Resideo Supply Chain Resilience Assessment</t>
  </si>
  <si>
    <t>0064L00000CXRI2</t>
  </si>
  <si>
    <t>CBRE IM - IA&amp;R Service Delivery Support</t>
  </si>
  <si>
    <t>0064L00000DFbnk</t>
  </si>
  <si>
    <t>Oxy Chem Inflation in Capital Projects</t>
  </si>
  <si>
    <t>0064L00000CVbpD</t>
  </si>
  <si>
    <t>Fomento Económico Mexicano, S.A.B. de C.V (FEMSA)</t>
  </si>
  <si>
    <t>Consultoría para la adopción al cambio</t>
  </si>
  <si>
    <t>Francisco Briseño</t>
  </si>
  <si>
    <t>Claudia Lorena Zarco</t>
  </si>
  <si>
    <t>0064L00000B3Czp</t>
  </si>
  <si>
    <t>MS at Work: Participant Experience Transformation (Op Model) #WM</t>
  </si>
  <si>
    <t>Stefanie Stone</t>
  </si>
  <si>
    <t>0064L00000BliUI</t>
  </si>
  <si>
    <t>Pillpack Supplier CLM assessment</t>
  </si>
  <si>
    <t>Pillpack Vendor contract digitization and database opportunity</t>
  </si>
  <si>
    <t>0064L00000Bepow</t>
  </si>
  <si>
    <t>Portfolio Management Design</t>
  </si>
  <si>
    <t>0064L00000DFW0E</t>
  </si>
  <si>
    <t>Best Buy Health - Current Health Implementation Enhancement</t>
  </si>
  <si>
    <t>0064L00000ArAyA</t>
  </si>
  <si>
    <t>Danaher Life Sciences Shared Services</t>
  </si>
  <si>
    <t>0064L00000CVFDH</t>
  </si>
  <si>
    <t>AT&amp;T HALO CMS on Sanity Expansion</t>
  </si>
  <si>
    <t>0064L000009AtQZ</t>
  </si>
  <si>
    <t>Meta Global Mobility Surveys 2022</t>
  </si>
  <si>
    <t>Shebani Patel</t>
  </si>
  <si>
    <t>Vicki Wang</t>
  </si>
  <si>
    <t>0064L000009AoBZ</t>
  </si>
  <si>
    <t>Cemex, S.A.B. de C.V.</t>
  </si>
  <si>
    <t>ESG Integrated Reporting</t>
  </si>
  <si>
    <t>0064L000009BO0w</t>
  </si>
  <si>
    <t>Houston Methodist CRM - Scope Enhancement Change Order #MSFTProvider</t>
  </si>
  <si>
    <t>0064L00000BnDm7</t>
  </si>
  <si>
    <t>Houston Methodist CDP - Scheduled Appointments Enhancement</t>
  </si>
  <si>
    <t>0064L00000CXH2r</t>
  </si>
  <si>
    <t>Univar Solutions Finance Deep Dive &amp; Future State Organizational Model</t>
  </si>
  <si>
    <t>0064L00000Bnp0F</t>
  </si>
  <si>
    <t>TIGER - Org Intersection R&amp;R Initiative 2.0</t>
  </si>
  <si>
    <t>0064L00000BmF15</t>
  </si>
  <si>
    <t>Sales Recognition Event</t>
  </si>
  <si>
    <t>Karen Lee</t>
  </si>
  <si>
    <t>0064L000007FqZI</t>
  </si>
  <si>
    <t>Bark, Inc.</t>
  </si>
  <si>
    <t>Bark - #ESG net zero support</t>
  </si>
  <si>
    <t>Brian Caisman</t>
  </si>
  <si>
    <t>0064I000014LzT3</t>
  </si>
  <si>
    <t>Colonial Life Compensation Strategy - Phase 2</t>
  </si>
  <si>
    <t>17/4/2020</t>
  </si>
  <si>
    <t>0064L00000Bolbk</t>
  </si>
  <si>
    <t>S&amp;T Finance - Assessment &amp; Strategy</t>
  </si>
  <si>
    <t>0064L00000BnWqe</t>
  </si>
  <si>
    <t>Meta - Pro Serve</t>
  </si>
  <si>
    <t>0064L00000Bg5E8</t>
  </si>
  <si>
    <t>MSFT Digital Store Approach</t>
  </si>
  <si>
    <t>Cassandra Allison</t>
  </si>
  <si>
    <t>0064L00000CV8c5</t>
  </si>
  <si>
    <t>Ferro Kevin</t>
  </si>
  <si>
    <t>Operating Model and Future State Design Assessment</t>
  </si>
  <si>
    <t>0064L00000DFerl</t>
  </si>
  <si>
    <t>AUS Distribution Strategy</t>
  </si>
  <si>
    <t>0064L00000CXhHp</t>
  </si>
  <si>
    <t>Yum! Planning Market Assessment &amp; Design Requirements</t>
  </si>
  <si>
    <t>0064L00000DJZ0K</t>
  </si>
  <si>
    <t>Triumph Group, Inc.</t>
  </si>
  <si>
    <t>Triumph EPM Transformation - Phase 2</t>
  </si>
  <si>
    <t>Triumph EPM Transformation - Phase 1</t>
  </si>
  <si>
    <t>Bill Yang</t>
  </si>
  <si>
    <t>0064L00000Bkui4</t>
  </si>
  <si>
    <t>MSFT ENGCLA FY22 Engineering Learning Extension of Instructional Design Support</t>
  </si>
  <si>
    <t>MSFT Engineering Learning FY22 Instructional Design Consulting Support</t>
  </si>
  <si>
    <t>0064L00000BnENR</t>
  </si>
  <si>
    <t>MSFT HR FY22 TLI GLD H2 Q4 Extension - Manager &amp; Leader</t>
  </si>
  <si>
    <t>MSFT TLI and GLD H2 Support</t>
  </si>
  <si>
    <t>0064L00000Bm6fl</t>
  </si>
  <si>
    <t>Meta (Facebook) MIP - Media Effectiveness and Efficiency</t>
  </si>
  <si>
    <t>0064L000006z0Cc</t>
  </si>
  <si>
    <t>Dollar General Merchandising System #RocktheSEPipe</t>
  </si>
  <si>
    <t>0064L00000BnG1m</t>
  </si>
  <si>
    <t>eQMS Architect Support</t>
  </si>
  <si>
    <t>Bruce Keisler</t>
  </si>
  <si>
    <t>0064L00000BmU3B</t>
  </si>
  <si>
    <t>AH West Florida Division Physician Market Assessment</t>
  </si>
  <si>
    <t>Jeffrey Lockridge</t>
  </si>
  <si>
    <t>0064L00000CYQ9z</t>
  </si>
  <si>
    <t>Health &amp; Welfare Implementation Support</t>
  </si>
  <si>
    <t>In Sung Yuh</t>
  </si>
  <si>
    <t>0064L00000DFc8E</t>
  </si>
  <si>
    <t>ECP Management LP</t>
  </si>
  <si>
    <t>ESG Strategy</t>
  </si>
  <si>
    <t>Samuel Lederer</t>
  </si>
  <si>
    <t>0064L00000BocGQ</t>
  </si>
  <si>
    <t>USB Rapid Experimentation Testing Program</t>
  </si>
  <si>
    <t>Caitlin Winkworth</t>
  </si>
  <si>
    <t>0064L00000CXkDv</t>
  </si>
  <si>
    <t>Chemocentryx Inc.</t>
  </si>
  <si>
    <t>TAVNEOS Agency of Record Contract Audit #MI</t>
  </si>
  <si>
    <t>Caitlyn Penny</t>
  </si>
  <si>
    <t>0064L00000DJZJR</t>
  </si>
  <si>
    <t>NA Vaccines Process Improvement / Op Model Options</t>
  </si>
  <si>
    <t>Matthew Langan</t>
  </si>
  <si>
    <t>0064L000009AQFh</t>
  </si>
  <si>
    <t>Springworks Therapeutics Inc.</t>
  </si>
  <si>
    <t>Commercialization Supply Chain Roadmap</t>
  </si>
  <si>
    <t>0064L00000BfecB</t>
  </si>
  <si>
    <t>Potential work after Supplier Code of Conduct Development #ESG</t>
  </si>
  <si>
    <t>0064L00000CYHc9</t>
  </si>
  <si>
    <t>Rules Engine Backlog Discovery and Business Integration Support</t>
  </si>
  <si>
    <t>0064L00000ArNEU</t>
  </si>
  <si>
    <t>Mosaic Employee Experience Strategy and Assessment</t>
  </si>
  <si>
    <t>0064L000004wpGJ</t>
  </si>
  <si>
    <t>Wawa INC.</t>
  </si>
  <si>
    <t>Real Estate Lifecycle Management - Phase 4 System Testing</t>
  </si>
  <si>
    <t>Sean Canahuate</t>
  </si>
  <si>
    <t>0064L00000CXC5v</t>
  </si>
  <si>
    <t>AB - Neurology Market Research</t>
  </si>
  <si>
    <t>Marisol Marin</t>
  </si>
  <si>
    <t>0064L00000DJVYm</t>
  </si>
  <si>
    <t>OLD DOMINION UNIVERSITY RESEARCH FOUNDATION</t>
  </si>
  <si>
    <t>*CI* ODU-EVMS Accreditation Support</t>
  </si>
  <si>
    <t>0064L00000BeM0D</t>
  </si>
  <si>
    <t>Locke Lord LLP</t>
  </si>
  <si>
    <t>Locke Lord - Recurring Actuarial Services</t>
  </si>
  <si>
    <t>Lisa McGuire</t>
  </si>
  <si>
    <t>0064L00000CWfy4</t>
  </si>
  <si>
    <t>Evolution of the Adult Vaccine Landscape</t>
  </si>
  <si>
    <t>Calvin Kong</t>
  </si>
  <si>
    <t>0064L00000BgYZj</t>
  </si>
  <si>
    <t>BIAH Global Rep Orchestration</t>
  </si>
  <si>
    <t>0064L00000BfDBu</t>
  </si>
  <si>
    <t>Kite_Patient Portal MVP Launch_SFDC</t>
  </si>
  <si>
    <t>0064L00000DJXTK</t>
  </si>
  <si>
    <t>AT&amp;T EBIT Assessments 2021-2023</t>
  </si>
  <si>
    <t>Joseph Jackowiak</t>
  </si>
  <si>
    <t>0064L00000BdISf</t>
  </si>
  <si>
    <t>C&amp;W - Upskilling Assessment and Execution - Expansion into other CW practices</t>
  </si>
  <si>
    <t>0064L00000Bm4gg</t>
  </si>
  <si>
    <t>VONTIER Corp.</t>
  </si>
  <si>
    <t>Baseline and Future State Design Review</t>
  </si>
  <si>
    <t>Cailyn Spencer</t>
  </si>
  <si>
    <t>0064L00000BnZUh</t>
  </si>
  <si>
    <t>Amazon Bank Fee Analysis Support</t>
  </si>
  <si>
    <t>Russell Hoffman</t>
  </si>
  <si>
    <t>0064L00000CX0yy</t>
  </si>
  <si>
    <t>Driving digital adoption CoSo Money Movement, Check Printing, and W2 Printing Businesses</t>
  </si>
  <si>
    <t>0064L00000DJdmh</t>
  </si>
  <si>
    <t>MassMutual Extension: Service Model, HR Ops and Comms_updated</t>
  </si>
  <si>
    <t>0064L00000Bo8jj</t>
  </si>
  <si>
    <t>GBS: Mosaic Capability Center Extension #2</t>
  </si>
  <si>
    <t>0064L00000BmD1E</t>
  </si>
  <si>
    <t>Hain Celestial Jersey Limited</t>
  </si>
  <si>
    <t>Hain Celestial THWR Pricing Integration</t>
  </si>
  <si>
    <t>Priyal Patel</t>
  </si>
  <si>
    <t>0064L00000CYvJQ</t>
  </si>
  <si>
    <t>Lilly Social Media Competitive Benchmarking Assessment</t>
  </si>
  <si>
    <t>0064L0000041u0e</t>
  </si>
  <si>
    <t>Pension 404A Method Change</t>
  </si>
  <si>
    <t>17/11/2020</t>
  </si>
  <si>
    <t>0064L00000CXgRy</t>
  </si>
  <si>
    <t>Comcast Retail Employee Experience BXT</t>
  </si>
  <si>
    <t>0064L00000BfFyI</t>
  </si>
  <si>
    <t>Emerson - Olive Branch WMS and Warehousing PHII</t>
  </si>
  <si>
    <t>Mark Lewis</t>
  </si>
  <si>
    <t>0064L00000Bf1n4</t>
  </si>
  <si>
    <t>Nestlé NA - Finance Acceleration Assessment</t>
  </si>
  <si>
    <t>0064L000007xYfg</t>
  </si>
  <si>
    <t>New England Joint Enterprise</t>
  </si>
  <si>
    <t>NEJE PY2021 Pharmacy Assessment (2 of 4)</t>
  </si>
  <si>
    <t>NEJE PY2020 Pharmacy Assessment (1 of 4)</t>
  </si>
  <si>
    <t>0064L000007wScb</t>
  </si>
  <si>
    <t>0064L000006jwds</t>
  </si>
  <si>
    <t>H&amp;R Block Inc.</t>
  </si>
  <si>
    <t>H&amp;R Block - Media Intelligence</t>
  </si>
  <si>
    <t>17/12/2022</t>
  </si>
  <si>
    <t>Alison Lisnow</t>
  </si>
  <si>
    <t>0064L00000BlfW5</t>
  </si>
  <si>
    <t>Github Global Expansion Strategy and Program Support</t>
  </si>
  <si>
    <t>0064L00000DJgeJ</t>
  </si>
  <si>
    <t>THD - Fixed Asset Assessment - $250K</t>
  </si>
  <si>
    <t>0064L000007E2RA</t>
  </si>
  <si>
    <t>Clinical research planning</t>
  </si>
  <si>
    <t>0064L00000CXCsS</t>
  </si>
  <si>
    <t>Mayo MBD &amp; S-10 Analysis *Strategic Reimbursement*</t>
  </si>
  <si>
    <t>0064L00000CWQrm</t>
  </si>
  <si>
    <t>HRB - Aha! JBR - Implementation Support</t>
  </si>
  <si>
    <t>0064L00000DFZzo</t>
  </si>
  <si>
    <t>AMZN Finance: AP / AR System Architecture / Accounting Team Support</t>
  </si>
  <si>
    <t>0064L00000CW0Qz</t>
  </si>
  <si>
    <t>Oracle EPM - FCCS and Oracle Planning Alignment to SAP</t>
  </si>
  <si>
    <t>0064L00000DJVk4</t>
  </si>
  <si>
    <t>Metlife - Salesforce</t>
  </si>
  <si>
    <t>Gustavo Bohorquez</t>
  </si>
  <si>
    <t>Angel Mendoza</t>
  </si>
  <si>
    <t>0064L00000AqHoC</t>
  </si>
  <si>
    <t>Noble Investment Group, LLC</t>
  </si>
  <si>
    <t>Noble - Retained Functions &amp; Fund Admin Selection</t>
  </si>
  <si>
    <t>0064L00000DJgkW</t>
  </si>
  <si>
    <t>GE Separation - Energy - DT -  ITSM-Service Now Assessment</t>
  </si>
  <si>
    <t>0064L0000099DRz</t>
  </si>
  <si>
    <t>Small Commercial Customer Segmentation and Growth Model</t>
  </si>
  <si>
    <t>0064L00000DJgkM</t>
  </si>
  <si>
    <t>Finance Assessment Accelerator and Baseline</t>
  </si>
  <si>
    <t>0064L0000099DQx</t>
  </si>
  <si>
    <t>Enterprise Data Analytics, Governance and AI Optimization</t>
  </si>
  <si>
    <t>0064L00000CXCwm</t>
  </si>
  <si>
    <t>Panda Restaurant Group Inc.</t>
  </si>
  <si>
    <t>Rachael Allen</t>
  </si>
  <si>
    <t>0064L000007UsuU</t>
  </si>
  <si>
    <t>The University Of Chicago</t>
  </si>
  <si>
    <t>UChicago Referral Leakage &amp; Patient Access</t>
  </si>
  <si>
    <t>0064L000002bfdr</t>
  </si>
  <si>
    <t>Eastern Bank Corporation</t>
  </si>
  <si>
    <t>Eastern Backbase Account Opening Support</t>
  </si>
  <si>
    <t>0064L00000BmjBF</t>
  </si>
  <si>
    <t>Shorten Close Process</t>
  </si>
  <si>
    <t>Bridget Fleagle</t>
  </si>
  <si>
    <t>0064L00000CXCxu</t>
  </si>
  <si>
    <t>Planned Parenthood Federation Of America Inc.</t>
  </si>
  <si>
    <t>Workforce Planning Support</t>
  </si>
  <si>
    <t>0064L0000099Cy4</t>
  </si>
  <si>
    <t>Pigeon Corporation</t>
  </si>
  <si>
    <t>Lansinoh Supply Chain Review</t>
  </si>
  <si>
    <t>Michael Ly</t>
  </si>
  <si>
    <t>0064L00000AqYto</t>
  </si>
  <si>
    <t>CENTER FOR POLICING EQUITY</t>
  </si>
  <si>
    <t>CPE Org Design and Change Management</t>
  </si>
  <si>
    <t>0064L00000B2JxX</t>
  </si>
  <si>
    <t>Gilead: Transformation: Public Affairs- ESG Strategy/transformation</t>
  </si>
  <si>
    <t>Heidi Kavanaugh</t>
  </si>
  <si>
    <t>0064L000007w2tS</t>
  </si>
  <si>
    <t>SUMITOMO MITSUI FINANCIAL GROUP,INC.</t>
  </si>
  <si>
    <t>Customer Acquisition</t>
  </si>
  <si>
    <t>26/4/2021</t>
  </si>
  <si>
    <t>Alan Furmanov</t>
  </si>
  <si>
    <t>0064L00000BesPR</t>
  </si>
  <si>
    <t>Nisource TA Optimization</t>
  </si>
  <si>
    <t>Alex Spira-Gutner</t>
  </si>
  <si>
    <t>0064L000009fY1w</t>
  </si>
  <si>
    <t>MS Finance Workforce Strategy</t>
  </si>
  <si>
    <t>Ankur Sharma</t>
  </si>
  <si>
    <t>0064L00000DJVrK</t>
  </si>
  <si>
    <t>Synovus nCino LOS Delivery Release 1 EXTENSION FY23 #&lt;$50B #SCB</t>
  </si>
  <si>
    <t>0064L000006jg1A</t>
  </si>
  <si>
    <t>Columbia Sportswear Company - Media Intelligence</t>
  </si>
  <si>
    <t>0064L00000BopR0</t>
  </si>
  <si>
    <t>Unum HRConnect Strategy Refresh</t>
  </si>
  <si>
    <t>0064L00000BopQ7</t>
  </si>
  <si>
    <t>BMO Employee and Client Integration Support</t>
  </si>
  <si>
    <t>Aimee Wight</t>
  </si>
  <si>
    <t>0064L0000099DR2</t>
  </si>
  <si>
    <t>PI Customer Segmentation</t>
  </si>
  <si>
    <t>0064L00000BlxIc</t>
  </si>
  <si>
    <t>OTAAG - Advanced Analytics Benchmark</t>
  </si>
  <si>
    <t>0064L000004wyJf</t>
  </si>
  <si>
    <t>Payment Risk</t>
  </si>
  <si>
    <t>0064L000004wyLH</t>
  </si>
  <si>
    <t>Banking-as-a-Service Offering</t>
  </si>
  <si>
    <t>0064L00000Bec7W</t>
  </si>
  <si>
    <t>Sammons Enterprises Inc. Employee Stock Ownership Trust</t>
  </si>
  <si>
    <t>SFG Life Future State Customer Experience Roadmap</t>
  </si>
  <si>
    <t>Vince Srejma</t>
  </si>
  <si>
    <t>0064L00000BebWL</t>
  </si>
  <si>
    <t>UM/PA Automation  Automation #xPC:PayerAnalytics #AIML #HVM #PayerAnalytics</t>
  </si>
  <si>
    <t>Florian Quarre</t>
  </si>
  <si>
    <t>0064L00000Bec8o</t>
  </si>
  <si>
    <t>Atropos LLC</t>
  </si>
  <si>
    <t>Lab Growth Strategy 2022 #XPCONC</t>
  </si>
  <si>
    <t>0064L000001wGQt</t>
  </si>
  <si>
    <t>Ascension - Scheduling Analytics</t>
  </si>
  <si>
    <t>13/8/2020</t>
  </si>
  <si>
    <t>Erich Stroh</t>
  </si>
  <si>
    <t>0064L000002c6T9</t>
  </si>
  <si>
    <t>TPM Strategy Phase Zero</t>
  </si>
  <si>
    <t>0064L00000BoO9P</t>
  </si>
  <si>
    <t>Cost to Collect for Revenue Cycle *Rev Cycle*</t>
  </si>
  <si>
    <t>0064L00000BmjUM</t>
  </si>
  <si>
    <t>Granjas Carroll de México, S. de R.L. de C.V.</t>
  </si>
  <si>
    <t>Granjas Carroll de México - FY22 - Diagnóstico, definición e implementación de modelo operativo</t>
  </si>
  <si>
    <t>0064L00000BnlwT</t>
  </si>
  <si>
    <t>Global Business Services Strategy and Evaluation: GL/ P2P/ Location</t>
  </si>
  <si>
    <t>Eugene Zakharov</t>
  </si>
  <si>
    <t>0064L00000CWtnY</t>
  </si>
  <si>
    <t>ESG program assessment</t>
  </si>
  <si>
    <t>IS_ESG Assurance</t>
  </si>
  <si>
    <t>0064L000001vV5o</t>
  </si>
  <si>
    <t>Sentara Healthcare</t>
  </si>
  <si>
    <t>*SMART* License - Sentara Healthcare</t>
  </si>
  <si>
    <t>21/7/2020</t>
  </si>
  <si>
    <t>0064L00000B0zHx</t>
  </si>
  <si>
    <t>Field Ops Enhancements</t>
  </si>
  <si>
    <t>0064L00000B1Zgg</t>
  </si>
  <si>
    <t>Distribution planning - second phase</t>
  </si>
  <si>
    <t>0064L00000Bnjvd</t>
  </si>
  <si>
    <t>HIG - Next Generation Expense Management #NextGenCostingMSO</t>
  </si>
  <si>
    <t>Brendan Burke</t>
  </si>
  <si>
    <t>0064L00000Bmxwh</t>
  </si>
  <si>
    <t>Arcline Investment Management LP</t>
  </si>
  <si>
    <t>Portfolio Monitoring Op Model</t>
  </si>
  <si>
    <t>0064L00000Bg4BN</t>
  </si>
  <si>
    <t>Digital Therapeutic Assessment</t>
  </si>
  <si>
    <t>Ronan Wisdom</t>
  </si>
  <si>
    <t>0064L00000DJgDI</t>
  </si>
  <si>
    <t>British American Tobacco P.L.C.</t>
  </si>
  <si>
    <t>MSE - 2022</t>
  </si>
  <si>
    <t>Kolinjuwa Shriram</t>
  </si>
  <si>
    <t>0064L00000DJgDh</t>
  </si>
  <si>
    <t>Digital strategy and CX</t>
  </si>
  <si>
    <t>0064L000007xYgA</t>
  </si>
  <si>
    <t>BSSe Broadband Business Readiness</t>
  </si>
  <si>
    <t>0064L000003zyMw</t>
  </si>
  <si>
    <t>VBG SKU Complexity Reduction</t>
  </si>
  <si>
    <t>0064L000007FFlG</t>
  </si>
  <si>
    <t>Nokia Marketing &amp; Sales Modernization</t>
  </si>
  <si>
    <t>0064L00000ArL1O</t>
  </si>
  <si>
    <t>TD - U.S. BNPL Strategy</t>
  </si>
  <si>
    <t>0064L000004xIr6</t>
  </si>
  <si>
    <t>Post Event Analysis - TCCS Waterfall</t>
  </si>
  <si>
    <t>0064L000007wgYP</t>
  </si>
  <si>
    <t>MS Family Office Middle Office - Celonis #WM #FSProcessMining</t>
  </si>
  <si>
    <t>15/5/2021</t>
  </si>
  <si>
    <t>Jenna Pica</t>
  </si>
  <si>
    <t>0064L00000Bkrxk</t>
  </si>
  <si>
    <t>Gobrands Inc.</t>
  </si>
  <si>
    <t>GoPuff Inventory Process &amp; Systems</t>
  </si>
  <si>
    <t>0064L000004xIqr</t>
  </si>
  <si>
    <t>DFR and Trade</t>
  </si>
  <si>
    <t>0064L00000Bfe1e</t>
  </si>
  <si>
    <t>Ambulatory Current State Assessment</t>
  </si>
  <si>
    <t>0064L000006jwsI</t>
  </si>
  <si>
    <t>Rakuten Group, Inc.</t>
  </si>
  <si>
    <t>Rakuten - Media Intelligence</t>
  </si>
  <si>
    <t>0064L00000DFZhG</t>
  </si>
  <si>
    <t>Pizza Hut &amp; KFC_HCM Planning and Roadmap</t>
  </si>
  <si>
    <t>CS_AL_AA_TRANSFORM_OFFICE_CEO_02FY22_AD_SF_WEB FORM SALESFORCE ALLIANCE PAGE</t>
  </si>
  <si>
    <t>Marina Rothstein</t>
  </si>
  <si>
    <t>0064I000011rZEs</t>
  </si>
  <si>
    <t>L3Harris Working Capital &amp; Inventory Reduction</t>
  </si>
  <si>
    <t>0064L00000BoMLi</t>
  </si>
  <si>
    <t>Baker OFS Performance Management Project</t>
  </si>
  <si>
    <t>0064L00000DJgX3</t>
  </si>
  <si>
    <t>FDX Express US DEI project</t>
  </si>
  <si>
    <t>0064L00000CXDDP</t>
  </si>
  <si>
    <t>Meta: Legal Learning Training Development Vendor RFP</t>
  </si>
  <si>
    <t>Kathie Parsons</t>
  </si>
  <si>
    <t>0064L00000DJftx</t>
  </si>
  <si>
    <t>Finance Controls and SOX Operations</t>
  </si>
  <si>
    <t>Melanie Henderson</t>
  </si>
  <si>
    <t>0064L00000DJgWj</t>
  </si>
  <si>
    <t>FDX Express LATAM DEI</t>
  </si>
  <si>
    <t>0064L00000DJgXw</t>
  </si>
  <si>
    <t>FDX:  Time &amp; Attendance advisement</t>
  </si>
  <si>
    <t>0064L00000DJgYa</t>
  </si>
  <si>
    <t>FDX:  BOT HR Assessment</t>
  </si>
  <si>
    <t>0064L00000Bg59X</t>
  </si>
  <si>
    <t>Discord Treasury Setup</t>
  </si>
  <si>
    <t>Rick Chen</t>
  </si>
  <si>
    <t>0064L00000CYFjl</t>
  </si>
  <si>
    <t>SAF/Sustainable Fuel Mgmt POV (ESG)</t>
  </si>
  <si>
    <t>0064L00000ArLBs</t>
  </si>
  <si>
    <t>Illinois Tool Works Inc.</t>
  </si>
  <si>
    <t>ITW - Operations and Supply Chain Target</t>
  </si>
  <si>
    <t>0064L00000CWQek</t>
  </si>
  <si>
    <t>Intel Finance Org Assessment</t>
  </si>
  <si>
    <t>0064L00000CVNej</t>
  </si>
  <si>
    <t>Priority Health Enterprise Agility</t>
  </si>
  <si>
    <t>Win Fisher</t>
  </si>
  <si>
    <t>0064L000007E2Ya</t>
  </si>
  <si>
    <t>Reimbursement - *Strategic Reimbursement*</t>
  </si>
  <si>
    <t>Joshua Cahn</t>
  </si>
  <si>
    <t>0064L000006jgOs</t>
  </si>
  <si>
    <t>Credit Karma - Media Intelligence</t>
  </si>
  <si>
    <t>0064L000006jgOJ</t>
  </si>
  <si>
    <t>Bristol-Myers Squibb Co. - Media Intelligence</t>
  </si>
  <si>
    <t>0064L00000BmFni</t>
  </si>
  <si>
    <t>CBRE - Data Management Program</t>
  </si>
  <si>
    <t>0064L000009AMAE</t>
  </si>
  <si>
    <t>CX - Aligning approach across all of CX for Consumer</t>
  </si>
  <si>
    <t>TJ Hill</t>
  </si>
  <si>
    <t>0064L00000BoLuc</t>
  </si>
  <si>
    <t>Marqeta Inc</t>
  </si>
  <si>
    <t>MQ Escheatment Assessment</t>
  </si>
  <si>
    <t>0064L00000Blv0Q</t>
  </si>
  <si>
    <t>SC Johnson &amp; Son, Inc</t>
  </si>
  <si>
    <t>Payroll Harmonization</t>
  </si>
  <si>
    <t>Ravi Ramachandran</t>
  </si>
  <si>
    <t>0064L00000418Fb</t>
  </si>
  <si>
    <t>Data &amp; Analytics (Insight &amp; Solutions)  Restructuring</t>
  </si>
  <si>
    <t>0064L00000Aqyei</t>
  </si>
  <si>
    <t>HR Workday Assessment</t>
  </si>
  <si>
    <t>30/11/2023</t>
  </si>
  <si>
    <t>0064L00000AqWdL</t>
  </si>
  <si>
    <t>CDW Personalization Implementation Support</t>
  </si>
  <si>
    <t>Ryan Cronin</t>
  </si>
  <si>
    <t>0064L00000Aqyhq</t>
  </si>
  <si>
    <t>SCJ - Revenue Growth Management</t>
  </si>
  <si>
    <t>0064L000009BMQi</t>
  </si>
  <si>
    <t>AT&amp;T Marketing Operations - Martech Investments</t>
  </si>
  <si>
    <t>Balaji Venkatachalam</t>
  </si>
  <si>
    <t>0064L00000Aqyit</t>
  </si>
  <si>
    <t>SCJ - Digital Commerce</t>
  </si>
  <si>
    <t>Kurt Staelens</t>
  </si>
  <si>
    <t>0064L00000BnjZX</t>
  </si>
  <si>
    <t>Takeda GBS Process Assessment and Standardization</t>
  </si>
  <si>
    <t>0064L00000Ar9IX</t>
  </si>
  <si>
    <t>The Western Union Company</t>
  </si>
  <si>
    <t>Voyager II Phase 2 Design</t>
  </si>
  <si>
    <t>0064L00000BmxWt</t>
  </si>
  <si>
    <t>Boeing Supply Chain Visibility Pilot</t>
  </si>
  <si>
    <t>0064L00000BfQbV</t>
  </si>
  <si>
    <t>Palo Alto Networks ESG Assessment #ESG</t>
  </si>
  <si>
    <t>0064L00000CXdTV</t>
  </si>
  <si>
    <t>A O Smith Corporation</t>
  </si>
  <si>
    <t>Pricing Insights and Analytics</t>
  </si>
  <si>
    <t>0064L00000DJTf7</t>
  </si>
  <si>
    <t>Baptist Health South Florida</t>
  </si>
  <si>
    <t>DVC_Capacity Mgmt</t>
  </si>
  <si>
    <t>0064L00000DJTeJ</t>
  </si>
  <si>
    <t>DVC_Transformation</t>
  </si>
  <si>
    <t>0064L00000BlBSc</t>
  </si>
  <si>
    <t>CCSWB Planning and Logistics Phase 2</t>
  </si>
  <si>
    <t>0064L00000Bks8J</t>
  </si>
  <si>
    <t>HPE - ProEdge for Technical Talent - $250K - Expansion</t>
  </si>
  <si>
    <t>0064L00000Bm4VY</t>
  </si>
  <si>
    <t>Customer Loyalty</t>
  </si>
  <si>
    <t>0064L000003yaX7</t>
  </si>
  <si>
    <t>MunichRe"  Oracle In-bound OFSAA Lead</t>
  </si>
  <si>
    <t>0064L00000ArJR0</t>
  </si>
  <si>
    <t>McLeod Regional Medical Center of The Pee Dee, Inc.</t>
  </si>
  <si>
    <t>McLeod Regional Medical Center of the Pee Dee *VBO* Cerner Transition</t>
  </si>
  <si>
    <t>0064L00000BnkBR</t>
  </si>
  <si>
    <t>TIGER - Finance Transfo. - Planning and Close Improvement</t>
  </si>
  <si>
    <t>0064L00000BdKcY</t>
  </si>
  <si>
    <t>0064L000009fUrh</t>
  </si>
  <si>
    <t>Johnson Financial Group Inc.</t>
  </si>
  <si>
    <t>Johnson Financial Group - Target Operating Model #&lt;$50B #SCB</t>
  </si>
  <si>
    <t>Matthew Baltrus</t>
  </si>
  <si>
    <t>0064L00000BfQjA</t>
  </si>
  <si>
    <t>Molina ERP Planning Support</t>
  </si>
  <si>
    <t>0064L00000DJTjn</t>
  </si>
  <si>
    <t>DVC_Cost Reduction</t>
  </si>
  <si>
    <t>0064L00000BmWC5</t>
  </si>
  <si>
    <t>AWS Compliance Vendor Managed Services Setup and Design #TMTMSO</t>
  </si>
  <si>
    <t>JB Seal</t>
  </si>
  <si>
    <t>0064L000003yPKg</t>
  </si>
  <si>
    <t>Digital Upskilling &amp; Transformation - Finance</t>
  </si>
  <si>
    <t>Suzanne Fisher Roske</t>
  </si>
  <si>
    <t>0064L00000BlvBs</t>
  </si>
  <si>
    <t>Nestlé NA - Marketer of the Future</t>
  </si>
  <si>
    <t>0064L000001vv9w</t>
  </si>
  <si>
    <t>HR/Payroll capabilities in Workday, Analytics and Shared Services and Data Analytics</t>
  </si>
  <si>
    <t>0064L00000Apewr</t>
  </si>
  <si>
    <t>AdventHealth *VBO* Denials Mgmt Ongoing Low Balance Work FY23 Extension</t>
  </si>
  <si>
    <t>AdventHealth *VBO* Denials Mgmt Ongoing Low Balance Work FY22 Extension</t>
  </si>
  <si>
    <t>0064L000001vdMT</t>
  </si>
  <si>
    <t>Real Estate Data Platform</t>
  </si>
  <si>
    <t>0064L00000CWQCm</t>
  </si>
  <si>
    <t>SRC Inc</t>
  </si>
  <si>
    <t>Workforce Planning Design</t>
  </si>
  <si>
    <t>0064L00000BonSB</t>
  </si>
  <si>
    <t>CSL Center Experience Assessment</t>
  </si>
  <si>
    <t>0064L00000BonSp</t>
  </si>
  <si>
    <t>CSL In Center Training</t>
  </si>
  <si>
    <t>0064L00000CXdiD</t>
  </si>
  <si>
    <t>FOS Procedures and Training Documentation</t>
  </si>
  <si>
    <t>0064L00000B2jjO</t>
  </si>
  <si>
    <t>BMS - Adobe Workfront</t>
  </si>
  <si>
    <t>0064L00000BonTd</t>
  </si>
  <si>
    <t>Community Activation (Referral)</t>
  </si>
  <si>
    <t>0064L00000Blum2</t>
  </si>
  <si>
    <t>#PayerAnalytics-MSFT Alliance - Pop Health CC for Carefirst</t>
  </si>
  <si>
    <t>Bhautik Shah</t>
  </si>
  <si>
    <t>0064L00000Blun3</t>
  </si>
  <si>
    <t>#PayerAnalytics-MSFT Alliance-Pop Health CC for Molina</t>
  </si>
  <si>
    <t>0064L00000Blun2</t>
  </si>
  <si>
    <t>#PayerAnalytics-MSFT Alliance-Pop Halth CC for CVS</t>
  </si>
  <si>
    <t>0064L000009fgCa</t>
  </si>
  <si>
    <t>ESG Strategy &amp; Program</t>
  </si>
  <si>
    <t>0064L00000BlunH</t>
  </si>
  <si>
    <t>CDE Kaiser Perm #xPC:PayerAnalytics #Alliance:MSFT #PayerAnalytics</t>
  </si>
  <si>
    <t>0064L00000CXTJp</t>
  </si>
  <si>
    <t>Charter / Growth New Business Models</t>
  </si>
  <si>
    <t>0064L00000BlunJ</t>
  </si>
  <si>
    <t>#PayerAnalytics-MSFT Alliance-Pop Health CC for Kaiser Permanente</t>
  </si>
  <si>
    <t>0064L00000BlunT</t>
  </si>
  <si>
    <t>CDE Molina  #xPC:PayerAnalytics #Alliance:MSFT #PayerAnalytics</t>
  </si>
  <si>
    <t>0064L00000CYULO</t>
  </si>
  <si>
    <t>Retirement Partners Strategic Implementation</t>
  </si>
  <si>
    <t>0064L00000CVnFo</t>
  </si>
  <si>
    <t>SFDC - TMS Design, Migration Strategy</t>
  </si>
  <si>
    <t>0065800000gzgGJ</t>
  </si>
  <si>
    <t>Intel - Asset Lifecycle Mgmt</t>
  </si>
  <si>
    <t>23/8/2018</t>
  </si>
  <si>
    <t>21/11/2022</t>
  </si>
  <si>
    <t>0064L00000BoZuS</t>
  </si>
  <si>
    <t>DataPocalypse Work</t>
  </si>
  <si>
    <t>Rachel Dauenbaugh</t>
  </si>
  <si>
    <t>0064L00000AqhEs</t>
  </si>
  <si>
    <t>CIBC Swap Review Phase 3</t>
  </si>
  <si>
    <t>0064L000007HL9F</t>
  </si>
  <si>
    <t>F&amp;G Hybrid Leadership Strategy #Hawk #RocktheSEpipe</t>
  </si>
  <si>
    <t>Taylor Goodman</t>
  </si>
  <si>
    <t>0064L00000AqyQa</t>
  </si>
  <si>
    <t>AT&amp;T - Field Ops GIS Enablement</t>
  </si>
  <si>
    <t>Vandita Razdan</t>
  </si>
  <si>
    <t>0064L00000DJdhw</t>
  </si>
  <si>
    <t>Intel Foundry Program Advisory &amp; Support</t>
  </si>
  <si>
    <t>0064L000009AmNd</t>
  </si>
  <si>
    <t>VBG Digital Strategy and Roadmap</t>
  </si>
  <si>
    <t>0064L00000Bolee</t>
  </si>
  <si>
    <t>Grupo Alen S.A. de C.V.</t>
  </si>
  <si>
    <t>Grupo Alen - FY23 - RFP Trade Promotion Management, Assessment, Future state and Change Strategy</t>
  </si>
  <si>
    <t>0064L00000CVmx1</t>
  </si>
  <si>
    <t>Conagra SBT Setting #ESG</t>
  </si>
  <si>
    <t>Sarah Korykora</t>
  </si>
  <si>
    <t>0064L00000B0vqq</t>
  </si>
  <si>
    <t>Amerisourcebergen - MWI B2C Commerce</t>
  </si>
  <si>
    <t>0064L000001vdxe</t>
  </si>
  <si>
    <t>Contract Technology</t>
  </si>
  <si>
    <t>0064L000002b1so</t>
  </si>
  <si>
    <t>U.S. Bank Core Transformation Workshops</t>
  </si>
  <si>
    <t>0064L00000Bg1l3</t>
  </si>
  <si>
    <t>Medicare CAHPS HealthFirst #xPC:PayerAnalytics #Alliance:C3AI #PayerAnalytics</t>
  </si>
  <si>
    <t>0064L00000Bg1l2</t>
  </si>
  <si>
    <t>Medicare CAHPS Horizon #xPC:PayerAnalytics #Alliance:C3AI #PayerAnalytics</t>
  </si>
  <si>
    <t>0064L00000Bg1ks</t>
  </si>
  <si>
    <t>Medicare CAHPS CareFirst #xPC:PayerAnalytics #Alliance:C3AI #PayerAnalytics</t>
  </si>
  <si>
    <t>0064L000003zTVn</t>
  </si>
  <si>
    <t>Microsoft Linkedin Growth Strategy</t>
  </si>
  <si>
    <t>0064L00000BepNp</t>
  </si>
  <si>
    <t>Deal Workflow Redesign</t>
  </si>
  <si>
    <t>0064L00000AqWW4</t>
  </si>
  <si>
    <t>CVS: L&amp;D V/R Deployment</t>
  </si>
  <si>
    <t>26/7/2022</t>
  </si>
  <si>
    <t>Christian Putnam</t>
  </si>
  <si>
    <t>0064L00000ArkZu</t>
  </si>
  <si>
    <t>Legal FFG</t>
  </si>
  <si>
    <t>0064L00000BcjLD</t>
  </si>
  <si>
    <t>SAP Process and controls and insights</t>
  </si>
  <si>
    <t>0064L00000DFii3</t>
  </si>
  <si>
    <t>Avnet, Inc.</t>
  </si>
  <si>
    <t>Avnet Revenue Management Leakage Assessment</t>
  </si>
  <si>
    <t>0064L00000DJeRu</t>
  </si>
  <si>
    <t>FFG G&amp;A Benchmarking</t>
  </si>
  <si>
    <t>0064L00000BcjKn</t>
  </si>
  <si>
    <t>TCGM</t>
  </si>
  <si>
    <t>0064L00000DJdv5</t>
  </si>
  <si>
    <t>FY22 CR Report &amp; ESG Strategy</t>
  </si>
  <si>
    <t>19/10/2022</t>
  </si>
  <si>
    <t>Cindy Drucker</t>
  </si>
  <si>
    <t>0064L00000BfQT2</t>
  </si>
  <si>
    <t>Hyatt - Digital Marketing Strategy - Adobe</t>
  </si>
  <si>
    <t>0064L00000BmDf8</t>
  </si>
  <si>
    <t>Nestlé NA - Asset-Light Strategy</t>
  </si>
  <si>
    <t>13/2/2022</t>
  </si>
  <si>
    <t>0064L00000BmDey</t>
  </si>
  <si>
    <t>Nestlé NA - Marketing Agency Model</t>
  </si>
  <si>
    <t>0064L00000Bn6iC</t>
  </si>
  <si>
    <t>#QMS Quality Metrics</t>
  </si>
  <si>
    <t>0064L00000BoKMy</t>
  </si>
  <si>
    <t>Group Data Exchange</t>
  </si>
  <si>
    <t>0064L00000DJdzX</t>
  </si>
  <si>
    <t>PACNW CommonSpirit Reimb: Rural Health Clinic (RHC) Strategy *Strategic Reimbursement*</t>
  </si>
  <si>
    <t>0064L00000BfQY2</t>
  </si>
  <si>
    <t>Workday ESG Program TCFD Support #ESG-TMT-Wave2</t>
  </si>
  <si>
    <t>0064L00000BldMI</t>
  </si>
  <si>
    <t>Integrated ESG Due Diligence</t>
  </si>
  <si>
    <t>18/6/2022</t>
  </si>
  <si>
    <t>0064L00000Bg1wt</t>
  </si>
  <si>
    <t>Vertex - DTE EPM Project Manager</t>
  </si>
  <si>
    <t>0064L00000BfQZK</t>
  </si>
  <si>
    <t>Apple ESG Program Support #ESG-TMT-Wave2</t>
  </si>
  <si>
    <t>0064L00000DJRVy</t>
  </si>
  <si>
    <t>Separation Support</t>
  </si>
  <si>
    <t>Michael Fiore</t>
  </si>
  <si>
    <t>Projects Shuffle, Lasso and Galaxy IT Deals Support</t>
  </si>
  <si>
    <t>Multiple Client Engagement</t>
  </si>
  <si>
    <t>Robert Willison</t>
  </si>
  <si>
    <t>0064L00000Bni2V</t>
  </si>
  <si>
    <t>Samsara Inc.</t>
  </si>
  <si>
    <t>Samsara OTC</t>
  </si>
  <si>
    <t>0064L00000CWMe9</t>
  </si>
  <si>
    <t>GoDaddy - Bridge Opportunity - SFDC</t>
  </si>
  <si>
    <t>0064L000007YJEP</t>
  </si>
  <si>
    <t>Finance Transformation Wave 2 - Chart of Accounts Design</t>
  </si>
  <si>
    <t>0064L00000BlbPZ</t>
  </si>
  <si>
    <t>CELA LENS - Monitoring, Reporting, Automation, &amp; Engineering Support</t>
  </si>
  <si>
    <t>Zakkary Smith</t>
  </si>
  <si>
    <t>0064L00000CYU4R</t>
  </si>
  <si>
    <t>Westfield Insurance Company Inc.</t>
  </si>
  <si>
    <t>Westfield M&amp;A Playbook Design</t>
  </si>
  <si>
    <t>Patricio de la Mora</t>
  </si>
  <si>
    <t>0064L00000CYTRo</t>
  </si>
  <si>
    <t>Summit Partners L.P</t>
  </si>
  <si>
    <t>RIA Growth Strategy and Go to Market</t>
  </si>
  <si>
    <t>0064L00000CYU2u</t>
  </si>
  <si>
    <t>Boeing Finance L&amp;D</t>
  </si>
  <si>
    <t>0064L00000Bo98U</t>
  </si>
  <si>
    <t>Siemens Aktiengesellschaft</t>
  </si>
  <si>
    <t>SGT Costpoint Planning (Original)</t>
  </si>
  <si>
    <t>0064L000004wuJB</t>
  </si>
  <si>
    <t>FFG Assessment</t>
  </si>
  <si>
    <t>0064L00000BolAA</t>
  </si>
  <si>
    <t>FedEx - Financial Close Assessment</t>
  </si>
  <si>
    <t>0064L000007GUir</t>
  </si>
  <si>
    <t>Farmers New World Life - Post Audit - Conversion Tool Target #insconversiontool</t>
  </si>
  <si>
    <t>27/3/2021</t>
  </si>
  <si>
    <t>Britta Truskey</t>
  </si>
  <si>
    <t>0064L00000B38qv</t>
  </si>
  <si>
    <t>Hitachi GSIB Refresh</t>
  </si>
  <si>
    <t>21/8/2022</t>
  </si>
  <si>
    <t>0064L00000CYBwo</t>
  </si>
  <si>
    <t>WBA Product Operating Model</t>
  </si>
  <si>
    <t>0064L00000CXQXn</t>
  </si>
  <si>
    <t>MAR: ESPP</t>
  </si>
  <si>
    <t>Craig O'Donnell</t>
  </si>
  <si>
    <t>Jessie Gertz</t>
  </si>
  <si>
    <t>0064L00000Bo9AV</t>
  </si>
  <si>
    <t>*CI* Health Equity Assessment</t>
  </si>
  <si>
    <t>0064L000003zsMg</t>
  </si>
  <si>
    <t>Work and Asset Management Assessment #bigbet</t>
  </si>
  <si>
    <t>30/9/2020</t>
  </si>
  <si>
    <t>Todd Milligan</t>
  </si>
  <si>
    <t>0065800000h0I7R</t>
  </si>
  <si>
    <t>Source to Pay Ph 2 Implementation</t>
  </si>
  <si>
    <t>31/8/2018</t>
  </si>
  <si>
    <t>Cade Lutz</t>
  </si>
  <si>
    <t>0064L00000ApdV2</t>
  </si>
  <si>
    <t>Microsoft HRDD Strategic Deal Design #PRA</t>
  </si>
  <si>
    <t>0064L000002Lc8Y</t>
  </si>
  <si>
    <t>#IOBP Vertex PPM Strategy &amp; Biz Case</t>
  </si>
  <si>
    <t>0064L00000BmDC1</t>
  </si>
  <si>
    <t>Webster Financial Corporation</t>
  </si>
  <si>
    <t>Project Blue</t>
  </si>
  <si>
    <t>Eunis Wu</t>
  </si>
  <si>
    <t>0064L00000BoZiH</t>
  </si>
  <si>
    <t>United Therapeutics Corporation</t>
  </si>
  <si>
    <t>HCP360 Foundational Capabilities</t>
  </si>
  <si>
    <t>0064L00000CYTbP</t>
  </si>
  <si>
    <t>Meridian Bioscience, Inc.</t>
  </si>
  <si>
    <t>ERP-EPM Selection</t>
  </si>
  <si>
    <t>0064L00000DJe55</t>
  </si>
  <si>
    <t>Modern Marketing</t>
  </si>
  <si>
    <t>0064L00000Bo9KB</t>
  </si>
  <si>
    <t>CHS Empower - CDM/ Charge Master / Item Master Integration</t>
  </si>
  <si>
    <t>0064L00000Bnhjt</t>
  </si>
  <si>
    <t>P&amp;G - EU MDR Compliance Phase 2</t>
  </si>
  <si>
    <t>0064L00000DFWk2</t>
  </si>
  <si>
    <t>BCBSM WT Pension/Ret Medical Investment Advisor RFP</t>
  </si>
  <si>
    <t>Caroline Campbell</t>
  </si>
  <si>
    <t>0064L0000040ePD</t>
  </si>
  <si>
    <t>Brighthouse Financial Inc.</t>
  </si>
  <si>
    <t>BHF - EDAF Platform Support</t>
  </si>
  <si>
    <t>20/10/2020</t>
  </si>
  <si>
    <t>0064L00000BlQdk</t>
  </si>
  <si>
    <t>GRS-Salesforce Adoption &amp; Enablement</t>
  </si>
  <si>
    <t>0064L00000CY3Ex</t>
  </si>
  <si>
    <t>DPA design and implementation</t>
  </si>
  <si>
    <t>0064L00000DFhmR</t>
  </si>
  <si>
    <t>End-to-end Integration Playbook</t>
  </si>
  <si>
    <t>0064L00000BnWlo</t>
  </si>
  <si>
    <t>Inventory Reduction</t>
  </si>
  <si>
    <t>0064L00000BoK2K</t>
  </si>
  <si>
    <t>AT&amp;T - HR/Talent Role Discussion</t>
  </si>
  <si>
    <t>0064L000007GUWD</t>
  </si>
  <si>
    <t>Globe Life Inc.</t>
  </si>
  <si>
    <t>Globe Life - Conversion Tool Target #insconversiontool</t>
  </si>
  <si>
    <t>0064L00000BojRO</t>
  </si>
  <si>
    <t>*CDMCT* Qualtrics Experience</t>
  </si>
  <si>
    <t>0064L00000BoI23</t>
  </si>
  <si>
    <t>Commerce (FB Shops)</t>
  </si>
  <si>
    <t>0064L00000CYdM5</t>
  </si>
  <si>
    <t>M&amp;C Finance Transformation Agenda Support</t>
  </si>
  <si>
    <t>0064L00000CYdM6</t>
  </si>
  <si>
    <t>Anaplan Phase 1</t>
  </si>
  <si>
    <t>0064L00000DJaz9</t>
  </si>
  <si>
    <t>0064L00000DJbYs</t>
  </si>
  <si>
    <t>VARS approach and benchmarking</t>
  </si>
  <si>
    <t>0064L00000CYdMy</t>
  </si>
  <si>
    <t>M&amp;C FFG/CDS Phase 1</t>
  </si>
  <si>
    <t>0064L00000CYdND</t>
  </si>
  <si>
    <t>M&amp;C Performance Management / RPAT Phase 1</t>
  </si>
  <si>
    <t>0064L00000BcW2b</t>
  </si>
  <si>
    <t>Regions Wealth Management Automation Initiative RFP</t>
  </si>
  <si>
    <t>0064L00000B14WQ</t>
  </si>
  <si>
    <t>Abarta Inc.</t>
  </si>
  <si>
    <t>Strategic Adjacencies Assessment</t>
  </si>
  <si>
    <t>0064L00000BoXtw</t>
  </si>
  <si>
    <t>Back Office Transformation - SOW #5 Scope Outsourcing Wave 1</t>
  </si>
  <si>
    <t>0064L000002aP96</t>
  </si>
  <si>
    <t>Kilpatrick Townsend &amp; Stockton LLP</t>
  </si>
  <si>
    <t>Design/implementation of a partner nonqualified plan usIng COLI</t>
  </si>
  <si>
    <t>0064L00000BoXvY</t>
  </si>
  <si>
    <t>Finance Transformation Phase 1</t>
  </si>
  <si>
    <t>0064I00000y8gwH</t>
  </si>
  <si>
    <t>RGA - FP&amp;A Phase 1 Implementation</t>
  </si>
  <si>
    <t>Leland Thomas</t>
  </si>
  <si>
    <t>0064L00000CYv5n</t>
  </si>
  <si>
    <t>Follett Corporation</t>
  </si>
  <si>
    <t>FHE - Post Day One - FT P2P</t>
  </si>
  <si>
    <t>Robert Grady</t>
  </si>
  <si>
    <t>0064L00000Blqrf</t>
  </si>
  <si>
    <t>Fiserv Banking Product sell with</t>
  </si>
  <si>
    <t>0064L00000BlrRn</t>
  </si>
  <si>
    <t>Nestlé NA - ESG Strategy</t>
  </si>
  <si>
    <t>0064L00000BnxZR</t>
  </si>
  <si>
    <t>Cookie/Pixel discovery and assessment</t>
  </si>
  <si>
    <t>Kerry Smyth</t>
  </si>
  <si>
    <t>0064L00000BmAru</t>
  </si>
  <si>
    <t>#QMS CTDO Digital Quality strategy/roadmap</t>
  </si>
  <si>
    <t>0064L00000B26t2</t>
  </si>
  <si>
    <t>Aterian Investment Partners Ii, Lp</t>
  </si>
  <si>
    <t>Product Costing</t>
  </si>
  <si>
    <t>0064L00000ArFig</t>
  </si>
  <si>
    <t>Phase 3 Digital Insight for Aero</t>
  </si>
  <si>
    <t>Edward Poropat III</t>
  </si>
  <si>
    <t>0064L0000040wak</t>
  </si>
  <si>
    <t>Payroll Tool - Beacon</t>
  </si>
  <si>
    <t>0064L0000099B2x</t>
  </si>
  <si>
    <t>MS IIS - Institutional Digital Vault (2022) #WM</t>
  </si>
  <si>
    <t>0064L000006ju8c</t>
  </si>
  <si>
    <t>Microsoft Surface Marketing Multinational Deals Phase 2</t>
  </si>
  <si>
    <t>0064L0000099B2A</t>
  </si>
  <si>
    <t>MS IIS - Vendor Implementation Support / Analytics &amp; Reporting (2022) #WM</t>
  </si>
  <si>
    <t>0064L00000BnxaK</t>
  </si>
  <si>
    <t>China Audit Project</t>
  </si>
  <si>
    <t>Lori Driscoll</t>
  </si>
  <si>
    <t>0064L000002ZZzF</t>
  </si>
  <si>
    <t>KDP Media Intelligence</t>
  </si>
  <si>
    <t>0064L00000428vf</t>
  </si>
  <si>
    <t>Microsoft Dynamics analysis</t>
  </si>
  <si>
    <t>Ian Bonnet</t>
  </si>
  <si>
    <t>0064L00000BoIBU</t>
  </si>
  <si>
    <t>Gilead: Transformation- Commercial: Gross-to-Net Support</t>
  </si>
  <si>
    <t>0064L00000DJRLK</t>
  </si>
  <si>
    <t>Nutanix Inc.</t>
  </si>
  <si>
    <t>Nutanix - CRM Data Hygiene &amp; Governance</t>
  </si>
  <si>
    <t>17/8/2022</t>
  </si>
  <si>
    <t>0064L00000DFWEG</t>
  </si>
  <si>
    <t>SMBC CFTC Capital Requirements Reporting Gap Assessment</t>
  </si>
  <si>
    <t>Richard Thomann</t>
  </si>
  <si>
    <t>0064L00000CYCAP</t>
  </si>
  <si>
    <t>P1: CLM tool - procure to pay</t>
  </si>
  <si>
    <t>0064L00000DFVe8</t>
  </si>
  <si>
    <t>Spectrum Ready Program Standup</t>
  </si>
  <si>
    <t>0064L0000041hqP</t>
  </si>
  <si>
    <t>VBG Marketing Technology Optimization</t>
  </si>
  <si>
    <t>0064L00000DFVfp</t>
  </si>
  <si>
    <t>Billing Ops - Org Design</t>
  </si>
  <si>
    <t>0065800000Ycwyn</t>
  </si>
  <si>
    <t>UTRGV Accreditation Roadmap for Optometry, Podiatry and Pharmacy Schools</t>
  </si>
  <si>
    <t>Rhett Lankford</t>
  </si>
  <si>
    <t>0064L00000BlbDn</t>
  </si>
  <si>
    <t>Centene Claims QA Automation #PayerCO&amp;ITrans #xPC:CO&amp;I #Alliance:xAI</t>
  </si>
  <si>
    <t>0064L000001vQnC</t>
  </si>
  <si>
    <t>CMO Advisory - Media Intelligence</t>
  </si>
  <si>
    <t>0064L0000040vqc</t>
  </si>
  <si>
    <t>Supply Chain Control Tower #SupplyChain</t>
  </si>
  <si>
    <t>26/10/2020</t>
  </si>
  <si>
    <t>0064L000006VhpC</t>
  </si>
  <si>
    <t>Finance Modernization - Reinsurance Phase 2  (2021) #Hawk</t>
  </si>
  <si>
    <t>18/2/2021</t>
  </si>
  <si>
    <t>0064L000003zbie</t>
  </si>
  <si>
    <t>*CDMCT* Care Model Evolution - Quadruple Aim</t>
  </si>
  <si>
    <t>0064L00000DJbvI</t>
  </si>
  <si>
    <t>Coca-Cola Label Review &amp; Approval Optimization</t>
  </si>
  <si>
    <t>0064L000001vQo0</t>
  </si>
  <si>
    <t>TBC Holdings LLC</t>
  </si>
  <si>
    <t>0064L00000BnTiT</t>
  </si>
  <si>
    <t>United States Postal Service</t>
  </si>
  <si>
    <t>Medical and Prescription Claims Coding Audit *Rev Cycle*</t>
  </si>
  <si>
    <t>Joye Wegryn</t>
  </si>
  <si>
    <t>0064L00000DJb81</t>
  </si>
  <si>
    <t>GE Separation - Corporate - Payroll Delivery Model Optimization Services</t>
  </si>
  <si>
    <t>0064L00000BoypI</t>
  </si>
  <si>
    <t>FINRA 4210 Assessment</t>
  </si>
  <si>
    <t>0064I00000zT23X</t>
  </si>
  <si>
    <t>WM - Payroll Outsourcing Evaluation</t>
  </si>
  <si>
    <t>0064L000009AhQI</t>
  </si>
  <si>
    <t>Pfizer Claims Validation and Market Access Analytics</t>
  </si>
  <si>
    <t>0064L00000Bd5mM</t>
  </si>
  <si>
    <t>American Tower Corporation</t>
  </si>
  <si>
    <t>UST Data Center ESG Strategy</t>
  </si>
  <si>
    <t>0064L000001wRbx</t>
  </si>
  <si>
    <t>S4 Finance Functional Support</t>
  </si>
  <si>
    <t>19/8/2020</t>
  </si>
  <si>
    <t>Clark Schmidt</t>
  </si>
  <si>
    <t>0064L00000Aqub5</t>
  </si>
  <si>
    <t>Expedia Group, Inc.</t>
  </si>
  <si>
    <t>Finance Transformation - Outsourcing Selection</t>
  </si>
  <si>
    <t>0064L00000BoFq4</t>
  </si>
  <si>
    <t>Gilead: Transformation: Alliance and Collaboration Agreement Support</t>
  </si>
  <si>
    <t>0064L00000DJaYh</t>
  </si>
  <si>
    <t>P2P Assessment - Ph 1</t>
  </si>
  <si>
    <t>Matthew Hubbard</t>
  </si>
  <si>
    <t>0064L000009fcSG</t>
  </si>
  <si>
    <t>Digital Lab Services #BigBet</t>
  </si>
  <si>
    <t>0064L00000Bekvu</t>
  </si>
  <si>
    <t>Mosaic D&amp;I Data Analytics Tool</t>
  </si>
  <si>
    <t>0064L00000CXNhv</t>
  </si>
  <si>
    <t>Risk Adjustment (HCC) Coding Program Implementation *Rev Cycle*</t>
  </si>
  <si>
    <t>0064L000009AhLc</t>
  </si>
  <si>
    <t>S/4 Migration Phase 0</t>
  </si>
  <si>
    <t>Jim Gundy</t>
  </si>
  <si>
    <t>0064L00000CVHdb</t>
  </si>
  <si>
    <t>Best Buy Health - Cloud and Data Strategy</t>
  </si>
  <si>
    <t>0064L00000Boj8C</t>
  </si>
  <si>
    <t>Western Alliance Bancorporation</t>
  </si>
  <si>
    <t>WAL/AmeriHome Real Time Reporting Assessment</t>
  </si>
  <si>
    <t>Jason Cherpak</t>
  </si>
  <si>
    <t>0064L00000B1T38</t>
  </si>
  <si>
    <t>Kimberly-Clark:  CDP + Journey Orchestration</t>
  </si>
  <si>
    <t>28/1/2023</t>
  </si>
  <si>
    <t>0064L000003ynNy</t>
  </si>
  <si>
    <t>Geisinger Health</t>
  </si>
  <si>
    <t>Geisinger Telehealth Risk and Strategy #COVID</t>
  </si>
  <si>
    <t>Cory McClellan</t>
  </si>
  <si>
    <t>0064L000002La9o</t>
  </si>
  <si>
    <t>IT Operating Model - execution support #PayerCO&amp;ITrans</t>
  </si>
  <si>
    <t>0064L00000CVjkJ</t>
  </si>
  <si>
    <t>PowerPlatform CoE #MSFTProvider</t>
  </si>
  <si>
    <t>0064L00000BgPaM</t>
  </si>
  <si>
    <t>Visible - Payment Method Strategies</t>
  </si>
  <si>
    <t>0064L00000DFfUm</t>
  </si>
  <si>
    <t>AA - Loyalty Point Valuation</t>
  </si>
  <si>
    <t>Tom Savage</t>
  </si>
  <si>
    <t>0064L00000BoH8J</t>
  </si>
  <si>
    <t>Enterprise Experience &amp; Journey Mapping</t>
  </si>
  <si>
    <t>0064L000009AxiX</t>
  </si>
  <si>
    <t>GEICO Digital Finance &amp; Small Automation</t>
  </si>
  <si>
    <t>26/11/2021</t>
  </si>
  <si>
    <t>0064L00000CVZLK</t>
  </si>
  <si>
    <t>TSG Consumer Partners LP</t>
  </si>
  <si>
    <t>TPH Finance Assessment</t>
  </si>
  <si>
    <t>0064L00000B11K8</t>
  </si>
  <si>
    <t>Robust Subscriber Data Strategy</t>
  </si>
  <si>
    <t>0064L00000Blr6f</t>
  </si>
  <si>
    <t>#PayerAnalytics-MSFT Alliance-Pop Health #Alliance:MSFT CC for Anthem</t>
  </si>
  <si>
    <t>0064L00000Blr6k</t>
  </si>
  <si>
    <t>CDE Centene #xPC:PayerAnalytics #Alliance:MSFT #PayerAnalytics</t>
  </si>
  <si>
    <t>0064L00000Blr6h</t>
  </si>
  <si>
    <t>#PayerAnalytics-MSFT Alliance-Pop Health CC for Centene #Alliance:MSFT</t>
  </si>
  <si>
    <t>0064L0000069reb</t>
  </si>
  <si>
    <t>Job Catalog Simplification Support</t>
  </si>
  <si>
    <t>0064L00000Blr7T</t>
  </si>
  <si>
    <t>CDE OptumTech #xPC:PayerAnalytics #Alliance:MSFT #PayerAnalytics</t>
  </si>
  <si>
    <t>0064L00000BoWzy</t>
  </si>
  <si>
    <t>Kemper Climate Risk Support</t>
  </si>
  <si>
    <t>Graham Hall</t>
  </si>
  <si>
    <t>0064L00000Blr7s</t>
  </si>
  <si>
    <t>#PayerAnalytics-MSFT Alliance-Pop Health CC for UHG/Optum</t>
  </si>
  <si>
    <t>0064L00000BlqYu</t>
  </si>
  <si>
    <t>Lera Battle Caresource</t>
  </si>
  <si>
    <t>#PayerAnalytics-MSFT Alliance-Pop Health CC for CareSource</t>
  </si>
  <si>
    <t>0064L0000099Nef</t>
  </si>
  <si>
    <t>Return to Work PM Support #Medicaid #Medicare #GCOE</t>
  </si>
  <si>
    <t>0064L00000B0qcw</t>
  </si>
  <si>
    <t>Turo Treasury Standup</t>
  </si>
  <si>
    <t>0064L00000DJbMw</t>
  </si>
  <si>
    <t>BIOCON LIMITED</t>
  </si>
  <si>
    <t>US HR Standup and Workforce Transition Support Phase 1</t>
  </si>
  <si>
    <t>0064L00000BlqaN</t>
  </si>
  <si>
    <t>CDE CareSource #xPC:PayerAnalytics #Alliance:MSFT #PayerAnalytics</t>
  </si>
  <si>
    <t>0064L00000BlqaL</t>
  </si>
  <si>
    <t>#PayerAnalytics-MSFT Alliance-Pop Health CC for Excellus</t>
  </si>
  <si>
    <t>0064L00000Blqbm</t>
  </si>
  <si>
    <t>#PayerAnalytics-MSFT Alliance-Pop Health CC for BCBS Michigan</t>
  </si>
  <si>
    <t>0064L00000BfMoA</t>
  </si>
  <si>
    <t>GovCon Systems Design</t>
  </si>
  <si>
    <t>0064L00000BlqcG</t>
  </si>
  <si>
    <t>#PayerAnalytics-MSFT Alliance-CDE #Alliance:MSFT for Anthem</t>
  </si>
  <si>
    <t>0064L00000CYtgc</t>
  </si>
  <si>
    <t>SocialEyes Corporation</t>
  </si>
  <si>
    <t>Social Eyes Growth Strategy</t>
  </si>
  <si>
    <t>0064L00000CYthk</t>
  </si>
  <si>
    <t>Eastern Salesforce Support</t>
  </si>
  <si>
    <t>0064L00000CYtha</t>
  </si>
  <si>
    <t>Eastern Digital Banking Servicing Support</t>
  </si>
  <si>
    <t>0064L00000CYti9</t>
  </si>
  <si>
    <t>Embecta M&amp;A Strategy</t>
  </si>
  <si>
    <t>0064I00000vN9CG</t>
  </si>
  <si>
    <t>*SMART* License - Loma Linda</t>
  </si>
  <si>
    <t>26/6/2019</t>
  </si>
  <si>
    <t>0064L00000Be7jq</t>
  </si>
  <si>
    <t>China Resources Verlinvest Health Investment Limited</t>
  </si>
  <si>
    <t>Oatly Blackline Implementation</t>
  </si>
  <si>
    <t>0064L00000BogmO</t>
  </si>
  <si>
    <t>McDonald's DEI Support</t>
  </si>
  <si>
    <t>0064L00000CXpEP</t>
  </si>
  <si>
    <t>#IOBP-Portfolio Ops R&amp;D Initiative: Strategic Initiatives Framework</t>
  </si>
  <si>
    <t>0064L000009B8hp</t>
  </si>
  <si>
    <t>Digital Strategy including Digital Data Marketplace</t>
  </si>
  <si>
    <t>0064L00000BohQi</t>
  </si>
  <si>
    <t>Materials Management - Asset Management Integration</t>
  </si>
  <si>
    <t>Kurosh Kafie</t>
  </si>
  <si>
    <t>0064L00000CWmJW</t>
  </si>
  <si>
    <t>IDH Test Automation Approach</t>
  </si>
  <si>
    <t>0064L00000Arwi0</t>
  </si>
  <si>
    <t>Materials Demand Planning Assess and Design</t>
  </si>
  <si>
    <t>Scott Bailey</t>
  </si>
  <si>
    <t>0064L00000CVHFK</t>
  </si>
  <si>
    <t>Cash &amp; Working Capital</t>
  </si>
  <si>
    <t>0064L00000BoX7J</t>
  </si>
  <si>
    <t>USAA - Change Analytics CM</t>
  </si>
  <si>
    <t>0064L00000B0sQp</t>
  </si>
  <si>
    <t>Wells Fargo Enterprise Complaint Management Office Optimization</t>
  </si>
  <si>
    <t>Kevin Phelan</t>
  </si>
  <si>
    <t>0064L000002bqzQ</t>
  </si>
  <si>
    <t>Asset Mgmt Enterprise Value Framework and Implementation</t>
  </si>
  <si>
    <t>19/5/2021</t>
  </si>
  <si>
    <t>EE&amp;C 3P - Portfolio Management and Prioritization</t>
  </si>
  <si>
    <t>0064L00000BlpOr</t>
  </si>
  <si>
    <t>Norfolk Southern - ESG Strategy</t>
  </si>
  <si>
    <t>0064L00000CVYGd</t>
  </si>
  <si>
    <t>Panera Loyalty</t>
  </si>
  <si>
    <t>Anjali Fehon</t>
  </si>
  <si>
    <t>0064L00000CYbQy</t>
  </si>
  <si>
    <t>United Cargo EWR Warehouse Design and Implementation Phase 3</t>
  </si>
  <si>
    <t>0064L00000CXO0V</t>
  </si>
  <si>
    <t>CCA Risk Adjustment &amp; Encounters Assessment #HVM</t>
  </si>
  <si>
    <t>0064L0000040BYY</t>
  </si>
  <si>
    <t>Battery E2E</t>
  </si>
  <si>
    <t>0064I000011pp3R</t>
  </si>
  <si>
    <t>Microsoft FFG: Total Customer / Partner / Deal Economics &amp; ROI - Phase 2</t>
  </si>
  <si>
    <t>31/1/2020</t>
  </si>
  <si>
    <t>0064L00000CWn60</t>
  </si>
  <si>
    <t>United Airlines- Self ID Campaign</t>
  </si>
  <si>
    <t>Satannia Williams</t>
  </si>
  <si>
    <t>0064L00000CXpWE</t>
  </si>
  <si>
    <t>Wabash_SUTA Amended Return Assistance_$250K</t>
  </si>
  <si>
    <t>0064L00000Beke5</t>
  </si>
  <si>
    <t>Finance OpModel &amp; Workforce Roadmap</t>
  </si>
  <si>
    <t>Finance Vision and Workforce Strategy (phase 1)</t>
  </si>
  <si>
    <t>0064L00000CXNUn</t>
  </si>
  <si>
    <t>Onestream - data transformation support</t>
  </si>
  <si>
    <t>0064L00000BoXDq</t>
  </si>
  <si>
    <t>Dengue launch</t>
  </si>
  <si>
    <t>0064L00000B1TE1</t>
  </si>
  <si>
    <t>Rite Aid- Digital Commerce RX Evolution (Secondary)</t>
  </si>
  <si>
    <t>0064L00000CVjXW</t>
  </si>
  <si>
    <t>BCBS MA_Salesforce CPQ Implementation_SFDC</t>
  </si>
  <si>
    <t>0064L00000As7Uz</t>
  </si>
  <si>
    <t>FIS FT Transfer Agent Lift Out Support</t>
  </si>
  <si>
    <t>0064L00000BoXIR</t>
  </si>
  <si>
    <t>SIC CRM Desktop Mobilization</t>
  </si>
  <si>
    <t>15/11/2022</t>
  </si>
  <si>
    <t>Akhil Tayal</t>
  </si>
  <si>
    <t>0064L00000BmseX</t>
  </si>
  <si>
    <t>PAS Transformation Business Case &amp; Strategic Planning Roadmap</t>
  </si>
  <si>
    <t>PAS Transformation: Phase 1 - Capability Maturity &amp; Market Evaluation</t>
  </si>
  <si>
    <t>0064L00000Bmsgi</t>
  </si>
  <si>
    <t>Medicare Call Center COE #GCOE #Medicare</t>
  </si>
  <si>
    <t>0064L00000BmOc1</t>
  </si>
  <si>
    <t>Digital Assets strategy and approach</t>
  </si>
  <si>
    <t>Jim Russell</t>
  </si>
  <si>
    <t>0064L00000CVExE</t>
  </si>
  <si>
    <t>Shell Power People Training Approach</t>
  </si>
  <si>
    <t>0064L00000ArD9F</t>
  </si>
  <si>
    <t>*Strategic Reimbursement* - PRS</t>
  </si>
  <si>
    <t>0064L00000BmOcK</t>
  </si>
  <si>
    <t>Metaverse strategy and approach</t>
  </si>
  <si>
    <t>Roberto Hernandez</t>
  </si>
  <si>
    <t>0064L00000Bn0bm</t>
  </si>
  <si>
    <t>AT&amp;T - BSSe customer billing migration</t>
  </si>
  <si>
    <t>0064L000003zLs4</t>
  </si>
  <si>
    <t>GE Power CSA Simplification (Project Eagle)</t>
  </si>
  <si>
    <t>0064L000003zLru</t>
  </si>
  <si>
    <t>GE Aviation CSA Simplification (Project Eagle)</t>
  </si>
  <si>
    <t>0064L000009AfMJ</t>
  </si>
  <si>
    <t>Morgan Stanley - Marketing Cloud Implementation (Investment Services) - 2022 #FSSalesforce</t>
  </si>
  <si>
    <t>Steve Schneider</t>
  </si>
  <si>
    <t>0064L00000B0pSM</t>
  </si>
  <si>
    <t>Risk Operating Model Framework</t>
  </si>
  <si>
    <t>0064L00000DFchn</t>
  </si>
  <si>
    <t>Pagny</t>
  </si>
  <si>
    <t>VBO Support Back-end Revenue Cycle *Rev Cycle*</t>
  </si>
  <si>
    <t>0064L00000B1sTq</t>
  </si>
  <si>
    <t>DTV eCommerce Journey &amp; Acquisition</t>
  </si>
  <si>
    <t>0064L00000BmaJD</t>
  </si>
  <si>
    <t>CEX.IO Corp.</t>
  </si>
  <si>
    <t>CEX.io - Finance Capabilities Definition, Software Selection and Roadmap</t>
  </si>
  <si>
    <t>0064L00000Be80c</t>
  </si>
  <si>
    <t>US ESG Strategy</t>
  </si>
  <si>
    <t>Chloe Lamy</t>
  </si>
  <si>
    <t>0064L00000BndMu</t>
  </si>
  <si>
    <t>Project Accelerator - Net Revenue Optimization</t>
  </si>
  <si>
    <t>Megan Spindell</t>
  </si>
  <si>
    <t>0064L00000Bo4Oh</t>
  </si>
  <si>
    <t>NuVasive Deals Integration</t>
  </si>
  <si>
    <t>Sky Milch</t>
  </si>
  <si>
    <t>0064L00000B1QMR</t>
  </si>
  <si>
    <t>KOTOBUKI REALTY CO.,LTD.</t>
  </si>
  <si>
    <t>BL - Modeling innovation (US Portion)</t>
  </si>
  <si>
    <t>0064L00000B1QMW</t>
  </si>
  <si>
    <t>Mizkan Holdings Co., Ltd.</t>
  </si>
  <si>
    <t>BL - Digital Twins (US Portion)</t>
  </si>
  <si>
    <t>0064L00000BmOme</t>
  </si>
  <si>
    <t>Financial Flexibility</t>
  </si>
  <si>
    <t>0064L000004xbeJ</t>
  </si>
  <si>
    <t>Access and Physician Enterprise</t>
  </si>
  <si>
    <t>0064L00000BmOmt</t>
  </si>
  <si>
    <t>GE Gas Power Construction Effectiveness - Cost Out</t>
  </si>
  <si>
    <t>0064L00000Bd3rk</t>
  </si>
  <si>
    <t>Customer Experience Pilot</t>
  </si>
  <si>
    <t>0064L00000Bnttt</t>
  </si>
  <si>
    <t>Medicare Advantage Marketing Materials Operating Model #GCOE</t>
  </si>
  <si>
    <t>0064L00000Bd3sv</t>
  </si>
  <si>
    <t>Establishing Product Ideation Strategy</t>
  </si>
  <si>
    <t>0064L000009A31h</t>
  </si>
  <si>
    <t>Procurement Transformation Roadmapping</t>
  </si>
  <si>
    <t>Alan Pincus</t>
  </si>
  <si>
    <t>0064L000004vL1f</t>
  </si>
  <si>
    <t>Media Intelligence Pilot</t>
  </si>
  <si>
    <t>0064L000004vL1L</t>
  </si>
  <si>
    <t>Restaurant Brands International Inc.</t>
  </si>
  <si>
    <t>0064L00000ArClS</t>
  </si>
  <si>
    <t>CVS: Retail Omnichannel &amp; Digital Commerce</t>
  </si>
  <si>
    <t>0064I000013546r</t>
  </si>
  <si>
    <t>bp T&amp;S NA Gas and Trading Salesforce Community</t>
  </si>
  <si>
    <t>0064L0000041tqs</t>
  </si>
  <si>
    <t>TowneBank System Selection #&lt;$50B #SCB</t>
  </si>
  <si>
    <t>16/11/2020</t>
  </si>
  <si>
    <t>0064L000006xVMN</t>
  </si>
  <si>
    <t>GRM US--OneClick Application for BI &amp; Personal Specialty</t>
  </si>
  <si>
    <t>0064L000007WNwP</t>
  </si>
  <si>
    <t>Microsoft Content Moderation Discuss - Regulatory and Policy Strategy</t>
  </si>
  <si>
    <t>Richard Vose</t>
  </si>
  <si>
    <t>0064I000014Lbxn</t>
  </si>
  <si>
    <t>Wealth Sanderson Management Llc</t>
  </si>
  <si>
    <t>Sanderson Financial Wellness Strategy &amp; Licensing</t>
  </si>
  <si>
    <t>14/4/2020</t>
  </si>
  <si>
    <t>0064L000004wO2Y</t>
  </si>
  <si>
    <t>The Depository Trust &amp; Clearing Corporation</t>
  </si>
  <si>
    <t>DTCC Business Architecture Process Taxonomy #PRCExcellence</t>
  </si>
  <si>
    <t>DNU_CS_Enterprise_Risk_Transformation</t>
  </si>
  <si>
    <t>0064L00000BeIJQ</t>
  </si>
  <si>
    <t>Mohawk Valley Health System</t>
  </si>
  <si>
    <t>Mohawk Valley Health System *VBO* Hospital Billing A/R Support</t>
  </si>
  <si>
    <t>0064L000006AEGY</t>
  </si>
  <si>
    <t>Gas Investment Planning - Copperleaf Implementation</t>
  </si>
  <si>
    <t>0064L00000BnvIR</t>
  </si>
  <si>
    <t>Capability Driven Strategy</t>
  </si>
  <si>
    <t>0064I00000y6UHo</t>
  </si>
  <si>
    <t>CHI Franciscan - Rural Strategy - *Strategic Reimbursement*</t>
  </si>
  <si>
    <t>16/10/2019</t>
  </si>
  <si>
    <t>Brian Romine</t>
  </si>
  <si>
    <t>0064L00000BogjK</t>
  </si>
  <si>
    <t>Carvana Co.</t>
  </si>
  <si>
    <t>Carvana_Customer Journey Mapping_Salesforce</t>
  </si>
  <si>
    <t>0064L00000Bel0V</t>
  </si>
  <si>
    <t>Vornado Realty Trust</t>
  </si>
  <si>
    <t>Vornado Employee Engagement Survey with Inclusion Lens</t>
  </si>
  <si>
    <t>0064L000009AEFg</t>
  </si>
  <si>
    <t>BSC - Impact of OTC model on Credit/Collections Operations</t>
  </si>
  <si>
    <t>0064L00000BoejG</t>
  </si>
  <si>
    <t>Wellmark INC.</t>
  </si>
  <si>
    <t>PBM Market Check and Strategy</t>
  </si>
  <si>
    <t>0064L00000BctJU</t>
  </si>
  <si>
    <t>Liberty Media Corporation</t>
  </si>
  <si>
    <t>P2P Assessment</t>
  </si>
  <si>
    <t>0064L00000ApnuV</t>
  </si>
  <si>
    <t>ERP Consolidation Assessment</t>
  </si>
  <si>
    <t>0064I000011nVWl</t>
  </si>
  <si>
    <t>High-Rise Hotels</t>
  </si>
  <si>
    <t>IGP - High-Rise Hotels</t>
  </si>
  <si>
    <t>13/1/2020</t>
  </si>
  <si>
    <t>0064L000009AEDe</t>
  </si>
  <si>
    <t>BSC Capital Equipment / Service Enablement Transformation</t>
  </si>
  <si>
    <t>Kevin Lewis</t>
  </si>
  <si>
    <t>0064L000009AEDU</t>
  </si>
  <si>
    <t>BSC Clinical Trial Management Streamlining</t>
  </si>
  <si>
    <t>0064L0000041eeY</t>
  </si>
  <si>
    <t>Kettering Adventist Healthcare</t>
  </si>
  <si>
    <t>*SMART* License - Kettering Health Network</t>
  </si>
  <si>
    <t>0064L00000BmqJ7</t>
  </si>
  <si>
    <t>ABC Sellable Returns Project Execution</t>
  </si>
  <si>
    <t>0064L00000BdULe</t>
  </si>
  <si>
    <t>Small Biz Pricing Options</t>
  </si>
  <si>
    <t>0064L00000BgMTv</t>
  </si>
  <si>
    <t>Metaverse Assessment and support for Regions #metaverse</t>
  </si>
  <si>
    <t>0064L00000BnRL1</t>
  </si>
  <si>
    <t>Qualtrics EX *CDMCT*</t>
  </si>
  <si>
    <t>0064L00000Bovpy</t>
  </si>
  <si>
    <t>MSFT TrIP Risk Refresh FY23 Phase 2</t>
  </si>
  <si>
    <t>0064I00000q1AkZ</t>
  </si>
  <si>
    <t>Global Pay Equity</t>
  </si>
  <si>
    <t>24/4/2019</t>
  </si>
  <si>
    <t>0064L00000BoUQA</t>
  </si>
  <si>
    <t>BCS Outcome based models</t>
  </si>
  <si>
    <t>0064L00000BoUQ0</t>
  </si>
  <si>
    <t>BCS Pricing</t>
  </si>
  <si>
    <t>0064L0000097HAK</t>
  </si>
  <si>
    <t>LPL / BCP Program assistance</t>
  </si>
  <si>
    <t>0064L000003zMm8</t>
  </si>
  <si>
    <t>George B. Kaiser</t>
  </si>
  <si>
    <t>nCino TM Readiness - Discovery #&lt;$50B</t>
  </si>
  <si>
    <t>0064L000007Xw9W</t>
  </si>
  <si>
    <t>Global ISG Trading Controls Assessment - Phase 2</t>
  </si>
  <si>
    <t>14/4/2021</t>
  </si>
  <si>
    <t>0064L000009AEAu</t>
  </si>
  <si>
    <t>BSC AI in Quality (Bottoms Up)</t>
  </si>
  <si>
    <t>0064L000004voBD</t>
  </si>
  <si>
    <t>Virtual Health and New Care Model, including Digitally Enabled Care</t>
  </si>
  <si>
    <t>0064L00000BoDTv</t>
  </si>
  <si>
    <t>GA Phase 0 Finance Transformation</t>
  </si>
  <si>
    <t>Sona Tawney</t>
  </si>
  <si>
    <t>0064L000009AE7I</t>
  </si>
  <si>
    <t>BSC AI in Commercial / Commercial Model Maturity</t>
  </si>
  <si>
    <t>0064L00000BdE90</t>
  </si>
  <si>
    <t>CVS Health: Medicare claims platform stabilization #PayerCO&amp;ITrans</t>
  </si>
  <si>
    <t>0064L00000Bn0T4</t>
  </si>
  <si>
    <t>Medicare Marketing Materials Assessment and Redesign #GCOE #Medicare</t>
  </si>
  <si>
    <t>0064L00000CYpx4</t>
  </si>
  <si>
    <t>Wabash_1-1-2023 Employee Moves_$250K</t>
  </si>
  <si>
    <t>0064L00000AqQLA</t>
  </si>
  <si>
    <t>Phight, LLC</t>
  </si>
  <si>
    <t>Laika Portfolio Assessment</t>
  </si>
  <si>
    <t>0064L00000Bowbo</t>
  </si>
  <si>
    <t>Brookfield Renewable US Utilities Operating Model</t>
  </si>
  <si>
    <t>0064L00000CVWT1</t>
  </si>
  <si>
    <t>Ocean Spray Cranberries Inc.</t>
  </si>
  <si>
    <t>GBS Location Assessment &amp; Business Case</t>
  </si>
  <si>
    <t>0064L00000Arf4t</t>
  </si>
  <si>
    <t>Autonation INC.</t>
  </si>
  <si>
    <t>Front Office - Salesforce</t>
  </si>
  <si>
    <t>0064L000009B6TH</t>
  </si>
  <si>
    <t>GRM Global Growth Model</t>
  </si>
  <si>
    <t>0064L00000Bntdv</t>
  </si>
  <si>
    <t>HIA FFG - CO&amp;I - Government Program Claim Modernization</t>
  </si>
  <si>
    <t>CS_AL_CJ_TRANSFORM_OFFICE_CMO_02FY22_AD_MI_MICROSOFT DYNAMICS HIA NURTURE</t>
  </si>
  <si>
    <t>0064L00000BdUev</t>
  </si>
  <si>
    <t>The Robert Wood Johnson Foundation</t>
  </si>
  <si>
    <t>PAA Organization Design</t>
  </si>
  <si>
    <t>0064L00000ArU8K</t>
  </si>
  <si>
    <t>Farmers &amp; FWS Distribution &amp; Op model support</t>
  </si>
  <si>
    <t>0064L00000BmOaE</t>
  </si>
  <si>
    <t>Project River</t>
  </si>
  <si>
    <t>Andrew Knowlton</t>
  </si>
  <si>
    <t>0064L00000BmOaF</t>
  </si>
  <si>
    <t>Project Frontier</t>
  </si>
  <si>
    <t>0064L00000BoSe9</t>
  </si>
  <si>
    <t>Bayer R&amp;D Finance</t>
  </si>
  <si>
    <t>0064L000006iilE</t>
  </si>
  <si>
    <t>Virtual Health Operational Transformation</t>
  </si>
  <si>
    <t>0064L00000BoeHQ</t>
  </si>
  <si>
    <t>ADM: ESG System Implementation - Sphera Core to Cloud Migration</t>
  </si>
  <si>
    <t>Sue Wright</t>
  </si>
  <si>
    <t>0064L00000DFPbI</t>
  </si>
  <si>
    <t>0064L000001twsC</t>
  </si>
  <si>
    <t>DOW_Commercial Excellence_Salesforce #HP</t>
  </si>
  <si>
    <t>0064L00000As3Xj</t>
  </si>
  <si>
    <t>DTNA - Risk Management Transformation</t>
  </si>
  <si>
    <t>0064L00000B1qQB</t>
  </si>
  <si>
    <t>Chipotle - Loyalty Transformation</t>
  </si>
  <si>
    <t>0064L00000BoeMG</t>
  </si>
  <si>
    <t>P&amp;G: ESG System Implementation - Sphera Core to Cloud Migration</t>
  </si>
  <si>
    <t>0064L00000BeElz</t>
  </si>
  <si>
    <t>MS Contact Center Value Realization</t>
  </si>
  <si>
    <t>Elizabeth Carlson</t>
  </si>
  <si>
    <t>0064L00000BodmN</t>
  </si>
  <si>
    <t>Schreiber Foods, Inc. Employee Stock Ownership</t>
  </si>
  <si>
    <t>Schreiber Foods OCM Transformation Support</t>
  </si>
  <si>
    <t>0064L00000BoSkw</t>
  </si>
  <si>
    <t>GE Separation - Energy - DT -  EUCC Strategy</t>
  </si>
  <si>
    <t>0064L00000BoePt</t>
  </si>
  <si>
    <t>CSBB Small Business Growth Platform</t>
  </si>
  <si>
    <t>0064L00000BoSod</t>
  </si>
  <si>
    <t>Power Platform Opportunity - Finance</t>
  </si>
  <si>
    <t>0064L00000BoSon</t>
  </si>
  <si>
    <t>AT&amp;T ESG Controllership &amp; Reporting Impact</t>
  </si>
  <si>
    <t>0064L00000Bo2Mo</t>
  </si>
  <si>
    <t>SMBC Nikko - 2LoD Market Risk TOM</t>
  </si>
  <si>
    <t>Joseph Downer</t>
  </si>
  <si>
    <t>0064L00000BlKJ0</t>
  </si>
  <si>
    <t>SFDC - Treasury Management System Selection</t>
  </si>
  <si>
    <t>0065800000Uxqy0</t>
  </si>
  <si>
    <t>LMSSC Localization - KSA</t>
  </si>
  <si>
    <t>27/1/2018</t>
  </si>
  <si>
    <t>0064L00000BodtO</t>
  </si>
  <si>
    <t>SmartNews, Inc.</t>
  </si>
  <si>
    <t>SmartNews - future of work</t>
  </si>
  <si>
    <t>0064L00000CXmO2</t>
  </si>
  <si>
    <t>WTW Anaplan Support - LRP Change Order</t>
  </si>
  <si>
    <t>0064L000006ygrf</t>
  </si>
  <si>
    <t>UTSW Patient Access Assessment</t>
  </si>
  <si>
    <t>13/5/2021 7:59 pm</t>
  </si>
  <si>
    <t>0064L0000040NEX</t>
  </si>
  <si>
    <t>Deals Strategy and Support</t>
  </si>
  <si>
    <t>13/10/2020</t>
  </si>
  <si>
    <t>0064L00000BoU6P</t>
  </si>
  <si>
    <t>HP ADAPT People Plan Support - Extension</t>
  </si>
  <si>
    <t>0064L000009AQoh</t>
  </si>
  <si>
    <t>HR Benchamarking -- Talent Acquisition</t>
  </si>
  <si>
    <t>0064L00000B33E5</t>
  </si>
  <si>
    <t>BCBSM Digital Strategy - Digital Front Door</t>
  </si>
  <si>
    <t>0064L00000BoSve</t>
  </si>
  <si>
    <t>Mohegan Sun Casino</t>
  </si>
  <si>
    <t>GBS Design and Strategy</t>
  </si>
  <si>
    <t>0064L00000DFc6S</t>
  </si>
  <si>
    <t>UPS - AEM</t>
  </si>
  <si>
    <t>0064L00000As3hK</t>
  </si>
  <si>
    <t>DTNA Bus Strategy</t>
  </si>
  <si>
    <t>0064L00000CXJoS</t>
  </si>
  <si>
    <t>Univ of Chicago - Data Commercialization</t>
  </si>
  <si>
    <t>17/10/2022</t>
  </si>
  <si>
    <t>Robert Fassett</t>
  </si>
  <si>
    <t>0064L00000Ar0hE</t>
  </si>
  <si>
    <t>Netflix Production Capabilities Scaling Strategy</t>
  </si>
  <si>
    <t>0064L00000CVF4A</t>
  </si>
  <si>
    <t>DCT Strategy Phase #Medable #DCT</t>
  </si>
  <si>
    <t>0064L00000CVwwQ</t>
  </si>
  <si>
    <t>Omni Channel DVC Digital Transformation</t>
  </si>
  <si>
    <t>0064L00000CXKXr</t>
  </si>
  <si>
    <t>HR Shared Services Assessment</t>
  </si>
  <si>
    <t>0064L00000Be5dF</t>
  </si>
  <si>
    <t>Schreiber - Front &amp; Back Office Implementation</t>
  </si>
  <si>
    <t>0064L00000CVF4M</t>
  </si>
  <si>
    <t>Gilead: Transformation R&amp;D: DCT Strategy Phase #Medable #DCT</t>
  </si>
  <si>
    <t>0064L00000CVF4K</t>
  </si>
  <si>
    <t>0064L00000CVF4L</t>
  </si>
  <si>
    <t>0064L00000CVF68</t>
  </si>
  <si>
    <t>0064L00000CVF66</t>
  </si>
  <si>
    <t>0064L00000BeiIz</t>
  </si>
  <si>
    <t>Magna Powertrain Control Tower and Pitstop</t>
  </si>
  <si>
    <t>0064L00000Bo2aM</t>
  </si>
  <si>
    <t>#IOBP - Takeda Accruals &amp; Finance Optimization</t>
  </si>
  <si>
    <t>0064L000007ux2V</t>
  </si>
  <si>
    <t>BMS - Working Capital - DPO</t>
  </si>
  <si>
    <t>0064L00000AsBse</t>
  </si>
  <si>
    <t>Citizens - How to drive the national bank</t>
  </si>
  <si>
    <t>0064L00000CXYyZ</t>
  </si>
  <si>
    <t>Bed Bath &amp; Beyond Inc.</t>
  </si>
  <si>
    <t>Bed Bath / Growth Strategy</t>
  </si>
  <si>
    <t>0064L00000CXZZX</t>
  </si>
  <si>
    <t>MS Finance Controls</t>
  </si>
  <si>
    <t>0064L00000Bf6fn</t>
  </si>
  <si>
    <t>Carbon Ledger Strategy</t>
  </si>
  <si>
    <t>0064L00000Bf6hD</t>
  </si>
  <si>
    <t>Enterprise Products Company</t>
  </si>
  <si>
    <t>0064L00000B1Oq5</t>
  </si>
  <si>
    <t>Science Applications International Corporation</t>
  </si>
  <si>
    <t>SAIC Oracle Planning Support Phase 2</t>
  </si>
  <si>
    <t>Jessica Benson</t>
  </si>
  <si>
    <t>0064L000007xNse</t>
  </si>
  <si>
    <t>0064L00000Bf6iu</t>
  </si>
  <si>
    <t>0064L00000CWVzx</t>
  </si>
  <si>
    <t>OneStream - EPM Assessment</t>
  </si>
  <si>
    <t>0064L00000Bf6js</t>
  </si>
  <si>
    <t>0064L00000Bf6kR</t>
  </si>
  <si>
    <t>BP ESG Consulting</t>
  </si>
  <si>
    <t>0064L00000CXZa5</t>
  </si>
  <si>
    <t>MS Finance Regulatory EUC Simplification</t>
  </si>
  <si>
    <t>0064L00000Bf6kb</t>
  </si>
  <si>
    <t>ESG Consulting</t>
  </si>
  <si>
    <t>0064L00000CXZb3</t>
  </si>
  <si>
    <t>Compensation consulting services</t>
  </si>
  <si>
    <t>Dominic Cowler</t>
  </si>
  <si>
    <t>0064L00000B0nlg</t>
  </si>
  <si>
    <t>MS IIS - RIA Integration (2022) #WM</t>
  </si>
  <si>
    <t>0064L00000Be3il</t>
  </si>
  <si>
    <t>Expanded HR Benchmarking Services</t>
  </si>
  <si>
    <t>0064L000009ARzl</t>
  </si>
  <si>
    <t>Outsourced Reimbursement Functions *Strategic Reimbursement*</t>
  </si>
  <si>
    <t>0064L0000042DUF</t>
  </si>
  <si>
    <t>#QMS QMS Transformation</t>
  </si>
  <si>
    <t>24/11/2020</t>
  </si>
  <si>
    <t>0064L0000042DW6</t>
  </si>
  <si>
    <t>#QMS ISO Batch Release - Roche</t>
  </si>
  <si>
    <t>0064L0000042DUy</t>
  </si>
  <si>
    <t>#QMS ISO Batch Release - BMS</t>
  </si>
  <si>
    <t>0064L00000BoBRE</t>
  </si>
  <si>
    <t>Baker OFS Inflation Analytics</t>
  </si>
  <si>
    <t>0064L000004v8mF</t>
  </si>
  <si>
    <t>#QMS Bayer CSV Compliance Organizational Strategy</t>
  </si>
  <si>
    <t>0064L00000BmoPr</t>
  </si>
  <si>
    <t>Ginkgo Bioworks</t>
  </si>
  <si>
    <t>Procurement Op Model Assessment</t>
  </si>
  <si>
    <t>0064L00000B2cg1</t>
  </si>
  <si>
    <t>Victoria's Secret &amp; Co</t>
  </si>
  <si>
    <t>VS&amp;Co Strategy and Digital Contact Solutions</t>
  </si>
  <si>
    <t>Brandy Smith</t>
  </si>
  <si>
    <t>0064L000001uHbr</t>
  </si>
  <si>
    <t>Gulfstream Supplier Performance Assessment</t>
  </si>
  <si>
    <t>0064L00000B2cah</t>
  </si>
  <si>
    <t>ADC - Managed Care Business Case $250K #XPCDigital</t>
  </si>
  <si>
    <t>Andrew Miller</t>
  </si>
  <si>
    <t>0064L00000DFPUb</t>
  </si>
  <si>
    <t>PEP Supplier Diversity Growth Strategy #S&amp;P #ESG</t>
  </si>
  <si>
    <t>0064L00000DFPWD</t>
  </si>
  <si>
    <t>New Balance Inc.</t>
  </si>
  <si>
    <t>Project Fresh Phase 2 PMO Support</t>
  </si>
  <si>
    <t>0064L00000BnPXU</t>
  </si>
  <si>
    <t>Endress+Hauser AG</t>
  </si>
  <si>
    <t>E+H US HR Shared Services Retainer</t>
  </si>
  <si>
    <t>24/3/2023</t>
  </si>
  <si>
    <t>Jonathan Roberts</t>
  </si>
  <si>
    <t>0064L00000CVx1U</t>
  </si>
  <si>
    <t>Kirin Holdings Company, Limited</t>
  </si>
  <si>
    <t>o9 SC Control Tower: Phase 1</t>
  </si>
  <si>
    <t>Adam Goldberg</t>
  </si>
  <si>
    <t>0064L000003yXv1</t>
  </si>
  <si>
    <t>RGA - Financial Planning &amp; Data Strategy</t>
  </si>
  <si>
    <t>0064L00000CWWsF</t>
  </si>
  <si>
    <t>Marketing Capabilities Assessment</t>
  </si>
  <si>
    <t>0064L00000Blm9Z</t>
  </si>
  <si>
    <t>Morgan Stanley / Data CoE Celonis Support / $250,000 #FSProcessIntelligence</t>
  </si>
  <si>
    <t>0064L00000CVg3A</t>
  </si>
  <si>
    <t>2023 AOP Support</t>
  </si>
  <si>
    <t>Usamah Rashid</t>
  </si>
  <si>
    <t>0064L000007wJu2</t>
  </si>
  <si>
    <t>Cleary Gottlieb Steen &amp; Hamilton LLP</t>
  </si>
  <si>
    <t>Design/implementation of a partner nonqualified plan using POLI</t>
  </si>
  <si>
    <t>Yosef Ziegler</t>
  </si>
  <si>
    <t>0064L00000BoeEb</t>
  </si>
  <si>
    <t>Abbott: ESG System Implementation - Sphera Carbon Accounting (EA)</t>
  </si>
  <si>
    <t>0064L00000BoScS</t>
  </si>
  <si>
    <t>Bayer Policy Review</t>
  </si>
  <si>
    <t>0064L00000DJnMI</t>
  </si>
  <si>
    <t>Process Automations</t>
  </si>
  <si>
    <t>0064L00000CX7W5</t>
  </si>
  <si>
    <t>HCA Standard Program Pricing Framework Implementation Support</t>
  </si>
  <si>
    <t>Travis Zhan</t>
  </si>
  <si>
    <t>0064L00000B1MKN</t>
  </si>
  <si>
    <t>WHR - SF - Franchisee Loyalty Strategy</t>
  </si>
  <si>
    <t>0064L00000As0uQ</t>
  </si>
  <si>
    <t>DTNA/DTFS CX Strategy</t>
  </si>
  <si>
    <t>0064L00000BfXNR</t>
  </si>
  <si>
    <t>Astra 2.0 (LE Forecasting) - Design Phase</t>
  </si>
  <si>
    <t>0064L00000Bf5io</t>
  </si>
  <si>
    <t>CDE HealthFirst #xPC:PayerAnalytics #Alliance:MSFT #PayerAnalytics</t>
  </si>
  <si>
    <t>Praveen Akella</t>
  </si>
  <si>
    <t>0064L00000AraYU</t>
  </si>
  <si>
    <t>Rivian HR Transformation</t>
  </si>
  <si>
    <t>0064L00000Bg8nY</t>
  </si>
  <si>
    <t>Trading Controls Assessment Phase 2</t>
  </si>
  <si>
    <t>Trading Controls Assessment</t>
  </si>
  <si>
    <t>0064L000002ZS38</t>
  </si>
  <si>
    <t>#QMS Quality &amp; Digital Transformation - Merck</t>
  </si>
  <si>
    <t>15/3/2021</t>
  </si>
  <si>
    <t>0064L00000CXYbS</t>
  </si>
  <si>
    <t>Iridium Communications Inc.</t>
  </si>
  <si>
    <t>Iridium Satellite / IoT Growth</t>
  </si>
  <si>
    <t>0064L000002ZS4f</t>
  </si>
  <si>
    <t>#QMS Quality &amp; Digital Transformation - Merck KGaA</t>
  </si>
  <si>
    <t>0064L000009BAyY</t>
  </si>
  <si>
    <t>Synovus Cost Assessment</t>
  </si>
  <si>
    <t>0064L000002ZS41</t>
  </si>
  <si>
    <t>AstraZeneca Plc</t>
  </si>
  <si>
    <t>#QMS Quality &amp; Digital Transformation - Astra Zeneca</t>
  </si>
  <si>
    <t>0064L00000DJksu</t>
  </si>
  <si>
    <t>Marketing procurement</t>
  </si>
  <si>
    <t>0064L000009Aqu7</t>
  </si>
  <si>
    <t>Fairlife Packaging Strategy - Phase 2</t>
  </si>
  <si>
    <t>0064L00000Bou25</t>
  </si>
  <si>
    <t>VS&amp;Co - Technology Landscape Assessment</t>
  </si>
  <si>
    <t>Eric Shea</t>
  </si>
  <si>
    <t>0064L0000040o0s</t>
  </si>
  <si>
    <t>Marketing - Dynamic OBPPC</t>
  </si>
  <si>
    <t>0064L00000CXjgN</t>
  </si>
  <si>
    <t>AT&amp;T - HR Leadership Development</t>
  </si>
  <si>
    <t>0064L00000BlYh1</t>
  </si>
  <si>
    <t>AP Outsourcing Advisory</t>
  </si>
  <si>
    <t>0064L00000Bo0LP</t>
  </si>
  <si>
    <t>DVC</t>
  </si>
  <si>
    <t>0064L00000CXjhC</t>
  </si>
  <si>
    <t>AT&amp;T - Employee Rewards</t>
  </si>
  <si>
    <t>Brandon Yerre</t>
  </si>
  <si>
    <t>0064L000001uVku</t>
  </si>
  <si>
    <t>CMO Advisory</t>
  </si>
  <si>
    <t>Soumyajyoti Datta</t>
  </si>
  <si>
    <t>0064L00000BfXVV</t>
  </si>
  <si>
    <t>0064L00000CX7cc</t>
  </si>
  <si>
    <t>Serco Group Plc</t>
  </si>
  <si>
    <t>HCM Vendor Search and Selection</t>
  </si>
  <si>
    <t>0064L00000CYmkv</t>
  </si>
  <si>
    <t>ATC Close &amp; Consolidation - Intercompany Workstream</t>
  </si>
  <si>
    <t>0064L00000CYnOM</t>
  </si>
  <si>
    <t>Wex Inc.</t>
  </si>
  <si>
    <t>WEX - Coupa EMEA (Ent Install Campaign)</t>
  </si>
  <si>
    <t>0064L00000Bg8z0</t>
  </si>
  <si>
    <t>Plant finance operational improvement</t>
  </si>
  <si>
    <t>0064L00000Bf5xZ</t>
  </si>
  <si>
    <t>Trimble - Legal Entity/Distribution Channel Optimization</t>
  </si>
  <si>
    <t>0064L00000CX7kH</t>
  </si>
  <si>
    <t>MSFT HR FY23 TR/HRBI - PM &amp; CM Support</t>
  </si>
  <si>
    <t>Carrie Morgan</t>
  </si>
  <si>
    <t>0064L00000Bo153</t>
  </si>
  <si>
    <t>14/7/2022</t>
  </si>
  <si>
    <t>0064L000001vHap</t>
  </si>
  <si>
    <t>NGC Data &amp; Reporting Persona Design - Defense</t>
  </si>
  <si>
    <t>15/7/2020</t>
  </si>
  <si>
    <t>0064L00000CWVn3</t>
  </si>
  <si>
    <t>*CI* Floyd-Polk Healthcare Foundation/Health Equity</t>
  </si>
  <si>
    <t>0064L00000Bd0XF</t>
  </si>
  <si>
    <t>Finance Talent Support / Assistance</t>
  </si>
  <si>
    <t>0064L00000B0kTF</t>
  </si>
  <si>
    <t>Northwest Bancshares</t>
  </si>
  <si>
    <t>Multi-channel sales &amp; effectiveness strategy</t>
  </si>
  <si>
    <t>0064L00000CWG1s</t>
  </si>
  <si>
    <t>VBR optimization #hvm</t>
  </si>
  <si>
    <t>Senthilkumar Jayachandran</t>
  </si>
  <si>
    <t>0064L00000CYLWw</t>
  </si>
  <si>
    <t>Intuit MarTech Capability Assessment</t>
  </si>
  <si>
    <t>Cord Phillips</t>
  </si>
  <si>
    <t>0064L00000Bf6d1</t>
  </si>
  <si>
    <t>GHG MRV Follow-Up</t>
  </si>
  <si>
    <t>0064L00000BouF0</t>
  </si>
  <si>
    <t>Healthfirst - PNM - Provider Portal Assessment</t>
  </si>
  <si>
    <t>Jackie Sharlow</t>
  </si>
  <si>
    <t>0064L00000Bf6dp</t>
  </si>
  <si>
    <t>0064L00000ArNmW</t>
  </si>
  <si>
    <t>Digital Channel Strategy</t>
  </si>
  <si>
    <t>0064L00000Arr2U</t>
  </si>
  <si>
    <t>DTNA Supply Chain Strategy - Operations</t>
  </si>
  <si>
    <t>0064L00000AqLLJ</t>
  </si>
  <si>
    <t>IP - Reimagine Enterprise</t>
  </si>
  <si>
    <t>Catherine Cothern</t>
  </si>
  <si>
    <t>0064L00000CW41k</t>
  </si>
  <si>
    <t>AST2 Project IMS extension</t>
  </si>
  <si>
    <t>0064L00000CWx8B</t>
  </si>
  <si>
    <t>Web3 entertainment strategy</t>
  </si>
  <si>
    <t>0064L00000AqLMM</t>
  </si>
  <si>
    <t>IP - Reimagine Finance</t>
  </si>
  <si>
    <t>0064L000002azU4</t>
  </si>
  <si>
    <t>#QMS Quality &amp; Digital Transformation - Daiichi Sankyo</t>
  </si>
  <si>
    <t>0064L00000BfEeq</t>
  </si>
  <si>
    <t>Evercore Inc</t>
  </si>
  <si>
    <t>Procurement Op Model and Spend Assessment #S2P</t>
  </si>
  <si>
    <t>0064L00000Bf5H5</t>
  </si>
  <si>
    <t>Prisma Health</t>
  </si>
  <si>
    <t>Prisma Health Transfer DRG *Strategic Reimbursement*</t>
  </si>
  <si>
    <t>0064L000002azWi</t>
  </si>
  <si>
    <t>#QMS Quality &amp; Digital Transformation - AbbVie</t>
  </si>
  <si>
    <t>0064L000002azXC</t>
  </si>
  <si>
    <t>#QMS Quality &amp; Digital Transformation - Astellas</t>
  </si>
  <si>
    <t>0064L000002azXD</t>
  </si>
  <si>
    <t>#QMS Quality &amp; Digital Transformation - Bayer</t>
  </si>
  <si>
    <t>0064L00000AqLQ9</t>
  </si>
  <si>
    <t>Access Analytics Product</t>
  </si>
  <si>
    <t>0064L000002azYP</t>
  </si>
  <si>
    <t>#QMS Quality &amp; Digital Transformation - Novo Nordisk</t>
  </si>
  <si>
    <t>0064L00000Bnocc</t>
  </si>
  <si>
    <t>SLIPSTREAM GROUP Inc.</t>
  </si>
  <si>
    <t>Slipstream Delaware client onboarding</t>
  </si>
  <si>
    <t>0064L000002azYf</t>
  </si>
  <si>
    <t>#QMS Quality &amp; Digital Transformation - Roche</t>
  </si>
  <si>
    <t>0064L000002azXS</t>
  </si>
  <si>
    <t>#QMS Quality &amp; Digital Transformation - GSK</t>
  </si>
  <si>
    <t>0064L00000BfhMp</t>
  </si>
  <si>
    <t>FIS Government Capture Support #Alliance #SKO</t>
  </si>
  <si>
    <t>0064L000002azXR</t>
  </si>
  <si>
    <t>#QMS Quality &amp; Digital Transformation - BMS</t>
  </si>
  <si>
    <t>0064L000002azXl</t>
  </si>
  <si>
    <t>#QMS Quality &amp; Digital Transformation - Eli Lilly</t>
  </si>
  <si>
    <t>0064L00000BmmBh</t>
  </si>
  <si>
    <t>Payments &amp; Cash In / Cash Out Market Assessment</t>
  </si>
  <si>
    <t>0064L000003zJSE</t>
  </si>
  <si>
    <t>Media Intelligence Platform &amp; Allstate</t>
  </si>
  <si>
    <t>15/9/2020</t>
  </si>
  <si>
    <t>David Fontanez</t>
  </si>
  <si>
    <t>0064L000002azYK</t>
  </si>
  <si>
    <t>MYLAN N.V.</t>
  </si>
  <si>
    <t>#QMS Quality &amp; Digital Transformation - Mylan</t>
  </si>
  <si>
    <t>0064L00000CVS8G</t>
  </si>
  <si>
    <t>AA - Benefits Management</t>
  </si>
  <si>
    <t>0064L00000DJYnQ</t>
  </si>
  <si>
    <t>Johnson Development Associates, Inc.</t>
  </si>
  <si>
    <t>Data Platform Implementation - Phase 2</t>
  </si>
  <si>
    <t>0064L0000042T3F</t>
  </si>
  <si>
    <t>SMB Quality Transformation #QMS</t>
  </si>
  <si>
    <t>30/11/2020</t>
  </si>
  <si>
    <t>0064L000002aiJH</t>
  </si>
  <si>
    <t>Supplier Pit Stop</t>
  </si>
  <si>
    <t>0064L00000Bg90D</t>
  </si>
  <si>
    <t>Mfg. Plant Optimization</t>
  </si>
  <si>
    <t>0064L00000CVRZO</t>
  </si>
  <si>
    <t>IDP Contract Management</t>
  </si>
  <si>
    <t>0064L00000BfFQp</t>
  </si>
  <si>
    <t>Shell NA terminal modernization</t>
  </si>
  <si>
    <t>0064L00000BmKEt</t>
  </si>
  <si>
    <t>Morgan Stanley / Map Program Support / $250,000</t>
  </si>
  <si>
    <t>0064L000009foCN</t>
  </si>
  <si>
    <t>Horizon- AI-Enabled Claims Adjustment Optimization  Automation #xPC:PayerAnalytics #AIML #Alliance:xAI #PayerAnalytics</t>
  </si>
  <si>
    <t>0064L00000B2sGG</t>
  </si>
  <si>
    <t>Southwest - Salesforce Trading Cloud Pilot for Fuel Management</t>
  </si>
  <si>
    <t>0064L000002ZSL1</t>
  </si>
  <si>
    <t>Teva Pharmaceutical Industries Ltd</t>
  </si>
  <si>
    <t>#QMS Quality &amp; Digital Transformation - Teva</t>
  </si>
  <si>
    <t>0064L00000Boc2x</t>
  </si>
  <si>
    <t>*CDMCT* Performance Improvement</t>
  </si>
  <si>
    <t>0064L00000Bnoox</t>
  </si>
  <si>
    <t>AMZN Finance Transformation</t>
  </si>
  <si>
    <t>Barbara Allen</t>
  </si>
  <si>
    <t>0064L00000CXHHr</t>
  </si>
  <si>
    <t>Blue Cross Blue Shield Tennessee</t>
  </si>
  <si>
    <t>BCBS RFI: EIT Demand and Capacity Best Practices</t>
  </si>
  <si>
    <t>0064L00000Bot7Y</t>
  </si>
  <si>
    <t>NTAS Productivity Assessment</t>
  </si>
  <si>
    <t>0064L00000Be35o</t>
  </si>
  <si>
    <t>Predictive Turnover Analytics Pilot Phase 1 (China Market)</t>
  </si>
  <si>
    <t>0064L00000BnNRU</t>
  </si>
  <si>
    <t>Revenue Cycle *Rev Cycle* Operating Model Strategy - Phase 2</t>
  </si>
  <si>
    <t>0064L00000CVSGr</t>
  </si>
  <si>
    <t>FFY 2024-2026 USC Keck RRC Reclass - *Reimbursement*</t>
  </si>
  <si>
    <t>0064L00000Bo05g</t>
  </si>
  <si>
    <t>Grupo UNACEM_Growth Strategy for UNACEM Chile</t>
  </si>
  <si>
    <t>0064L00000BoQXJ</t>
  </si>
  <si>
    <t>UCM Medicare Advantage Strategy Services</t>
  </si>
  <si>
    <t>Igor Belokrinitsky</t>
  </si>
  <si>
    <t>0064L00000Borxw</t>
  </si>
  <si>
    <t>IMMUNITYBIO Inc.</t>
  </si>
  <si>
    <t>Immunity Bio - Org Design &amp; SWFP - $250K</t>
  </si>
  <si>
    <t>0064L00000Bp2Wy</t>
  </si>
  <si>
    <t>Sierra Space Workforce Planning$2500</t>
  </si>
  <si>
    <t>Carolyn Steger</t>
  </si>
  <si>
    <t>0064L00000BlztH</t>
  </si>
  <si>
    <t>ADM - Sustainable Procurement</t>
  </si>
  <si>
    <t>0064L00000B1MPc</t>
  </si>
  <si>
    <t>Seaboard Corporation</t>
  </si>
  <si>
    <t>US Cash &amp; Banking Transformation Phase I</t>
  </si>
  <si>
    <t>0064L00000BfXGB</t>
  </si>
  <si>
    <t>0064L00000CVPmB</t>
  </si>
  <si>
    <t>BD Pricing POC</t>
  </si>
  <si>
    <t>0064L00000CVPmk</t>
  </si>
  <si>
    <t>Cardinal Health Automation AI Solutions</t>
  </si>
  <si>
    <t>0064L00000CXVtd</t>
  </si>
  <si>
    <t>0064L00000BeRbE</t>
  </si>
  <si>
    <t>Legacy Aetna Distribution Management Majesco Staff Aug</t>
  </si>
  <si>
    <t>0064L00000BgYK5</t>
  </si>
  <si>
    <t>0064L00000CWTUG</t>
  </si>
  <si>
    <t>MA and ACA Campaign Performance Assessment</t>
  </si>
  <si>
    <t>0064L00000CGwmb</t>
  </si>
  <si>
    <t>CareSource IT Consulting/Contractor Labor</t>
  </si>
  <si>
    <t>Sidharth Arora</t>
  </si>
  <si>
    <t>0064L00000Bp1G6</t>
  </si>
  <si>
    <t>Liberty Bank</t>
  </si>
  <si>
    <t>Liberty Bank - Change Management, Culture and Employee Onboarding Strategy #&lt;$50B #SCB</t>
  </si>
  <si>
    <t>0064L000003ziI5</t>
  </si>
  <si>
    <t>National Railway Labor Conference</t>
  </si>
  <si>
    <t>NRLC 2020 Ben Admin RFI</t>
  </si>
  <si>
    <t>0064L00000Bfh3J</t>
  </si>
  <si>
    <t>UM/PA Automation Automation #xPC:PayerAnalytics #AIML #Alliance:OliveAI #HVM #PayerAnalytics</t>
  </si>
  <si>
    <t>0065800000h0RtK</t>
  </si>
  <si>
    <t>Vidant Health</t>
  </si>
  <si>
    <t>*SMART* License - Vidant Health</t>
  </si>
  <si>
    <t>0064L00000Be0l3</t>
  </si>
  <si>
    <t>Quipt Home Medical Corp</t>
  </si>
  <si>
    <t>Tech-Enabled Growth Transformation</t>
  </si>
  <si>
    <t>0064L00000BmlI8</t>
  </si>
  <si>
    <t>S+N Rebate Optimization</t>
  </si>
  <si>
    <t>0064L000006BT0H</t>
  </si>
  <si>
    <t>Hospital at Home Strategy #H@H</t>
  </si>
  <si>
    <t>Alena Taylor</t>
  </si>
  <si>
    <t>0064L00000BliFh</t>
  </si>
  <si>
    <t>UM/PA Automation #BCBSAR  Automation #xPC:PayerAnalytics #AIML #Alliance:OliveAI #HVM #PayerAnalytics</t>
  </si>
  <si>
    <t>0064L00000Be0mp</t>
  </si>
  <si>
    <t>Reliable Medical Supply Inc</t>
  </si>
  <si>
    <t>0064L00000DJZ7u</t>
  </si>
  <si>
    <t>GE Gas Power - Fieldcore Productivity Improvement Ph 1</t>
  </si>
  <si>
    <t>0064L00000DJZ8T</t>
  </si>
  <si>
    <t>Intel Talent Acquisition</t>
  </si>
  <si>
    <t>0065800000h0Rnq</t>
  </si>
  <si>
    <t>Beth Israel Lahey Health Inc.</t>
  </si>
  <si>
    <t>*SMART* License - BILH</t>
  </si>
  <si>
    <t>0064L00000BmZo2</t>
  </si>
  <si>
    <t>Workday HR</t>
  </si>
  <si>
    <t>0064L00000BlGKY</t>
  </si>
  <si>
    <t>MSWM - Alternative Reconciliations Support QB #DVC</t>
  </si>
  <si>
    <t>0064L00000CVskT</t>
  </si>
  <si>
    <t>Charles Schwab Supplier Diversity Assessment</t>
  </si>
  <si>
    <t>0064L00000BlWnq</t>
  </si>
  <si>
    <t>NetJets Anaplan Implementation Phase 3 -  Qtrly Release #2</t>
  </si>
  <si>
    <t>0064I00000zSizy</t>
  </si>
  <si>
    <t>Digital Upskilling/Automation/ProEdge - Expansion</t>
  </si>
  <si>
    <t>0064L00000Be0zF</t>
  </si>
  <si>
    <t>Supercare Inc</t>
  </si>
  <si>
    <t>0064L00000Be0zo</t>
  </si>
  <si>
    <t>Linde Public Limited Company</t>
  </si>
  <si>
    <t>0064L00000BgZEu</t>
  </si>
  <si>
    <t>EV Transition Strategy</t>
  </si>
  <si>
    <t>0064L00000BnN9b</t>
  </si>
  <si>
    <t>Claims Optimization #PayerCO&amp;ITrans</t>
  </si>
  <si>
    <t>Abijit Raghunath</t>
  </si>
  <si>
    <t>0064L00000CGwFC</t>
  </si>
  <si>
    <t>Houston Methodist CRM - Application Support</t>
  </si>
  <si>
    <t>Provider_Customer_DRM</t>
  </si>
  <si>
    <t>0064L00000CYHWD</t>
  </si>
  <si>
    <t>FIS A2A Payments</t>
  </si>
  <si>
    <t>0064L00000BebhJ</t>
  </si>
  <si>
    <t>UM/PA Automation  Automation #xPC:PayerAnalytics #AIML #Alliance:OliveAI #HVM #PayerAnalytics</t>
  </si>
  <si>
    <t>0064L00000AqK0j</t>
  </si>
  <si>
    <t>Talent Acquisition Op Model Assessment</t>
  </si>
  <si>
    <t>0064L00000BebhE</t>
  </si>
  <si>
    <t>0064L00000Bebgu</t>
  </si>
  <si>
    <t>UM/PA Automation Automation #xPC:PayerAnalytics #AIML #Alliance:OliveAI #PayerAnalytics</t>
  </si>
  <si>
    <t>0064L000007E4mo</t>
  </si>
  <si>
    <t>Grange Insurance Company</t>
  </si>
  <si>
    <t>Distribution/Go to Market &amp; Partnership Strategy Refresh</t>
  </si>
  <si>
    <t>0064L00000CXWA3</t>
  </si>
  <si>
    <t>Anthem Driver Based Planning</t>
  </si>
  <si>
    <t>0064L00000BoOJZ</t>
  </si>
  <si>
    <t>Project Clarity Near-Term Implementation Support</t>
  </si>
  <si>
    <t>0064L00000BoNhu</t>
  </si>
  <si>
    <t>#ClinTrialDesign -- AI Enabled Clinical Design Optimization</t>
  </si>
  <si>
    <t>Lorie Wijntjes</t>
  </si>
  <si>
    <t>Claire Litherland</t>
  </si>
  <si>
    <t>0064L00000BoNkA</t>
  </si>
  <si>
    <t>0064L00000DJXSq</t>
  </si>
  <si>
    <t>Workday Sales Compensation Process Redesign</t>
  </si>
  <si>
    <t>Workday Sales Compensation Support</t>
  </si>
  <si>
    <t>0064L00000BoNjl</t>
  </si>
  <si>
    <t>Christian Bowers</t>
  </si>
  <si>
    <t>0064L00000BeRQQ</t>
  </si>
  <si>
    <t>NXP Semiconductors N.V.</t>
  </si>
  <si>
    <t>IBP assessment</t>
  </si>
  <si>
    <t>0064L00000BoNni</t>
  </si>
  <si>
    <t>Gilead: Transformation- R&amp;D: #ClinTrialDesign -- AI Enabled Clinical Design Optimization</t>
  </si>
  <si>
    <t>0064L00000BfCu5</t>
  </si>
  <si>
    <t>Veritiv - ERG Launch and Support</t>
  </si>
  <si>
    <t>0064L00000Bg5xg</t>
  </si>
  <si>
    <t>iFIT Brand Experience Measurement</t>
  </si>
  <si>
    <t>0064L00000Be0Sa</t>
  </si>
  <si>
    <t>AdaptHealth Corp.</t>
  </si>
  <si>
    <t>0064L000002avst</t>
  </si>
  <si>
    <t>Lifepoint CRM Strategy</t>
  </si>
  <si>
    <t>0064L00000CWTI3</t>
  </si>
  <si>
    <t>Onboarding and Turnover Product</t>
  </si>
  <si>
    <t>Maria Alberico</t>
  </si>
  <si>
    <t>0064L00000CWTIl</t>
  </si>
  <si>
    <t>Digital Upskilling</t>
  </si>
  <si>
    <t>0064L000007v3KX</t>
  </si>
  <si>
    <t>Access Analytics for BMHCC</t>
  </si>
  <si>
    <t>0064L00000BoNwG</t>
  </si>
  <si>
    <t>Johnson Controls International Public Limited Company</t>
  </si>
  <si>
    <t>JCI - ESG Tech-Enabled Reporting Transformation</t>
  </si>
  <si>
    <t>0064L00000CXWQN</t>
  </si>
  <si>
    <t>Northwest Natural Holding Company</t>
  </si>
  <si>
    <t>Renewable: Target Operating Model assess and consult</t>
  </si>
  <si>
    <t>0064L00000ArNJF</t>
  </si>
  <si>
    <t>Workflow Tool Selection</t>
  </si>
  <si>
    <t>0064L00000CVPlI</t>
  </si>
  <si>
    <t>McKesson PSaS Sales/Ops AI</t>
  </si>
  <si>
    <t>0064L00000B2pPy</t>
  </si>
  <si>
    <t>Cintas Corporation</t>
  </si>
  <si>
    <t>Cintas 2022 ESG Data and Technology Roadmap #ESG</t>
  </si>
  <si>
    <t>Cintas - #ESG GHG emissions reduction roadmap</t>
  </si>
  <si>
    <t>Ryan Mullen</t>
  </si>
  <si>
    <t>0064L00000CXtZM</t>
  </si>
  <si>
    <t>Sustainable1 ESG Scores Media Stakeholder Analysis (MSA) &amp; IOSCO Recommendation Assessment</t>
  </si>
  <si>
    <t>0064L00000CYLLr</t>
  </si>
  <si>
    <t>Spirent Communications Plc</t>
  </si>
  <si>
    <t>S2P Zycus Implementation Support- Coupa US team support PwC UK</t>
  </si>
  <si>
    <t>Pranav Sunil Gokhale</t>
  </si>
  <si>
    <t>0064L00000DJVsD</t>
  </si>
  <si>
    <t>MS CIS Business Admin Support</t>
  </si>
  <si>
    <t>0064L00000BoNSB</t>
  </si>
  <si>
    <t>Pfizer Cost to Serve - Hospitals BU</t>
  </si>
  <si>
    <t>0064L00000DFWQg</t>
  </si>
  <si>
    <t>Firmwide Marketing PMO Support</t>
  </si>
  <si>
    <t>0064L00000BoZlL</t>
  </si>
  <si>
    <t>Counterparty Risk Management Platform-Model Risk Management</t>
  </si>
  <si>
    <t>Counterparty Risk Management Platform Enhancement</t>
  </si>
  <si>
    <t>0064L00000Bfee2</t>
  </si>
  <si>
    <t>Mutual of Omaha Insurance Company</t>
  </si>
  <si>
    <t>Potential work after ESG Materiality Assessment Support</t>
  </si>
  <si>
    <t>0064L000003yLkG</t>
  </si>
  <si>
    <t>MS Technology Asset Inventory roadmap</t>
  </si>
  <si>
    <t>0064L00000BlogL</t>
  </si>
  <si>
    <t>MS IIS - Scrum Master Support 2022 #WM</t>
  </si>
  <si>
    <t>0064L0000097hUV</t>
  </si>
  <si>
    <t>Hunterdon Healthcare System Inc.</t>
  </si>
  <si>
    <t>Hunterdon FY22 &amp; FY23 Reimbursement Analysis - *Strategic Reimbursement*</t>
  </si>
  <si>
    <t>0064L000003ygJa</t>
  </si>
  <si>
    <t>Hilton Worldwide Holdings, Inc.</t>
  </si>
  <si>
    <t>Hilton IGP Deployment - Chicago Market - Year 4-5</t>
  </si>
  <si>
    <t>0064L000002bhj8</t>
  </si>
  <si>
    <t>MS Finance IM Investment Structure Re-evaluation</t>
  </si>
  <si>
    <t>0064L00000Bkv58</t>
  </si>
  <si>
    <t>Onestream EPM Legacy &amp; Acct. Rec. Assessment</t>
  </si>
  <si>
    <t>0064L00000CXDh3</t>
  </si>
  <si>
    <t>CAR-T Operations Strategy</t>
  </si>
  <si>
    <t>0064L00000BnY85</t>
  </si>
  <si>
    <t>VBG Strategy - Secondment</t>
  </si>
  <si>
    <t>0064L00000DJRmH</t>
  </si>
  <si>
    <t>MSIM / EV Website Redesign QB - Phase 2</t>
  </si>
  <si>
    <t>0064L00000CXtEJ</t>
  </si>
  <si>
    <t>Digital Supply Chain Strategy</t>
  </si>
  <si>
    <t>0064L000007xYfh</t>
  </si>
  <si>
    <t>NEJE PY2020 Pharmacy Assessment (3 of 4)</t>
  </si>
  <si>
    <t>0064L000007xYfi</t>
  </si>
  <si>
    <t>NEJE PY2020 Pharmacy Assessment (4 of 4)</t>
  </si>
  <si>
    <t>0064L000001wS0J</t>
  </si>
  <si>
    <t>Zhuhai Hengxinfengye Technology Co. Ltd</t>
  </si>
  <si>
    <t>Lexmark P&amp;O Actuarial Services 2020</t>
  </si>
  <si>
    <t>0064L00000BmtAJ</t>
  </si>
  <si>
    <t>Grupo Coppel, S.A. de C.V.</t>
  </si>
  <si>
    <t>Automatización Inteligente</t>
  </si>
  <si>
    <t>Raul Garcia</t>
  </si>
  <si>
    <t>Raul Campero</t>
  </si>
  <si>
    <t>0064I000011os6M</t>
  </si>
  <si>
    <t>IGP - Hilton Orlando</t>
  </si>
  <si>
    <t>23/1/2020</t>
  </si>
  <si>
    <t>0064L000009BO4j</t>
  </si>
  <si>
    <t>Global Communications Interpretation Strategy Phase 2</t>
  </si>
  <si>
    <t>0064L00000DJRR8</t>
  </si>
  <si>
    <t>SGT Costpoint Planning (v2)</t>
  </si>
  <si>
    <t>Michael Arbus</t>
  </si>
  <si>
    <t>0064L000007x0Ui</t>
  </si>
  <si>
    <t>0064L00000CXor1</t>
  </si>
  <si>
    <t>MS at Work - Compliance Channel Commercialization Capability Design &amp; Execution</t>
  </si>
  <si>
    <t>0064I000014KHew</t>
  </si>
  <si>
    <t>Eaton Digital Strategy &amp; Commercialization</t>
  </si>
  <si>
    <t>0064L00000Bp0ue</t>
  </si>
  <si>
    <t>Shionogi &amp; Co., Ltd.</t>
  </si>
  <si>
    <t>622 BRM Facilitation Support</t>
  </si>
  <si>
    <t>Meghan Self</t>
  </si>
  <si>
    <t>0064L00000BnL0p</t>
  </si>
  <si>
    <t>SPB #Coupa S2P Implementation: Solution Design</t>
  </si>
  <si>
    <t>0064L00000BloAy</t>
  </si>
  <si>
    <t>Implementación Oficina de Proyectos</t>
  </si>
  <si>
    <t>0064L00000CWu0l</t>
  </si>
  <si>
    <t>Pfizer Supplier Diversity Baselining &amp; Opportunity Assessment #S&amp;P #ESG</t>
  </si>
  <si>
    <t>0064L00000Bl2vQ</t>
  </si>
  <si>
    <t>Wells CIB- Whole Loan Trading Implementation-Project Planning#Core</t>
  </si>
  <si>
    <t>0064L00000ArJSS</t>
  </si>
  <si>
    <t>Children's Hospitals&amp;clinics Of Minnesota</t>
  </si>
  <si>
    <t>RevElate transition *RC Tech* *Rev Cycle*</t>
  </si>
  <si>
    <t>0064L000002bvja</t>
  </si>
  <si>
    <t>Credit Ops - RPA Automation P2</t>
  </si>
  <si>
    <t>0064L00000CY2z4</t>
  </si>
  <si>
    <t>Data - classification, lineage, and data quality practices</t>
  </si>
  <si>
    <t>0064L000009B8dE</t>
  </si>
  <si>
    <t>MSFT ENGCLA FY22 Instructional Design Support Extension</t>
  </si>
  <si>
    <t>0064L00000BoFDQ</t>
  </si>
  <si>
    <t>Leland Stanford Junior University</t>
  </si>
  <si>
    <t>Payroll Process Assessment</t>
  </si>
  <si>
    <t>Thomas Tarangioli</t>
  </si>
  <si>
    <t>0064L00000Bl9t2</t>
  </si>
  <si>
    <t>PricewaterhouseCoopers LLC</t>
  </si>
  <si>
    <t>#NLHR [Client Name] Workday HR Optimization Project</t>
  </si>
  <si>
    <t>31/12/2021</t>
  </si>
  <si>
    <t>Trisha Hernandez</t>
  </si>
  <si>
    <t>0064L00000Bmo8p</t>
  </si>
  <si>
    <t>Moderna Customer Registration Process</t>
  </si>
  <si>
    <t>0064L000009APuZ</t>
  </si>
  <si>
    <t>Eastern Maine Healthcare Systems</t>
  </si>
  <si>
    <t>Cerner Transition *RC Tech* *Rev Cycle*</t>
  </si>
  <si>
    <t>0064L00000BfFTZ</t>
  </si>
  <si>
    <t>Capital Digestive Care Llc</t>
  </si>
  <si>
    <t>Back-Office Revenue Cycle Assessment &amp; Contracting Support *Rev Cycle*</t>
  </si>
  <si>
    <t>0064L00000BorYN</t>
  </si>
  <si>
    <t>TTS Negotiated Documentation Operating Model - Design Phase</t>
  </si>
  <si>
    <t>William DeLuca</t>
  </si>
  <si>
    <t>0064L00000Bfefj</t>
  </si>
  <si>
    <t>Potential work after MassMutual ESG Product Development Framework</t>
  </si>
  <si>
    <t>0064L00000BeIWZ</t>
  </si>
  <si>
    <t>MS at Work - Designated Brokerage Operating Model Design Addendum (Feb 2022)</t>
  </si>
  <si>
    <t>0064L00000Bn0Sk</t>
  </si>
  <si>
    <t>Takeda Model N Data Analytics Implementation</t>
  </si>
  <si>
    <t>Sajid Abbasi</t>
  </si>
  <si>
    <t>0064L00000BoUZq</t>
  </si>
  <si>
    <t>MSFT HR FY22 TLI-GTM Sponsorship Comparative Scan</t>
  </si>
  <si>
    <t>0064L00000BeF5G</t>
  </si>
  <si>
    <t>Takeda Model N Data Analytics Strategy</t>
  </si>
  <si>
    <t>Thomas Bogle</t>
  </si>
  <si>
    <t>0064L000002ZrT9</t>
  </si>
  <si>
    <t>Channel Assessment</t>
  </si>
  <si>
    <t>0064L00000BfEtR</t>
  </si>
  <si>
    <t>Automobile Club Of So. California</t>
  </si>
  <si>
    <t>Automobile Club Of So. California - Actuarial Services OPEB Plan</t>
  </si>
  <si>
    <t>30/6/2025</t>
  </si>
  <si>
    <t>Kenneth Lindquist</t>
  </si>
  <si>
    <t>0064L00000Aqlt6</t>
  </si>
  <si>
    <t>Aon ProEdge Pilot #ProEdge - Expansion</t>
  </si>
  <si>
    <t>Satpreet Grewal</t>
  </si>
  <si>
    <t>0064L00000BoiJi</t>
  </si>
  <si>
    <t>EPM Refresh : FDMEE - HANA Connection</t>
  </si>
  <si>
    <t>Will Chen</t>
  </si>
  <si>
    <t>0064L00000CYWao</t>
  </si>
  <si>
    <t>Merck MilliporeSigma:  Dynamic Pricing Assessment and Pilot-Extension</t>
  </si>
  <si>
    <t>Merck MilliporeSigma:  Dynamic Pricing Assessment and Pilot</t>
  </si>
  <si>
    <t>0064L000007uerH</t>
  </si>
  <si>
    <t>Microsoft HRDD FY22 Strategic Deal Assessment #PRA</t>
  </si>
  <si>
    <t>0064L00000Bfef0</t>
  </si>
  <si>
    <t>Potential work after KKR - ESG PortCo Reporting Support</t>
  </si>
  <si>
    <t>0064L00000Bfeev</t>
  </si>
  <si>
    <t>0064L000009ezby</t>
  </si>
  <si>
    <t>THL - ERP Selection</t>
  </si>
  <si>
    <t>0064L00000CXx0z</t>
  </si>
  <si>
    <t>Froedtert Health: Pharmacy Optimization (Phase 1: Assessment) *FFG*</t>
  </si>
  <si>
    <t>0064L00000DJRbN</t>
  </si>
  <si>
    <t>Gilead Global Pricing Data Lake Migration - Azure to AWS</t>
  </si>
  <si>
    <t>0064L00000As7Hv</t>
  </si>
  <si>
    <t>Shutts &amp; Bowen Llp</t>
  </si>
  <si>
    <t>2022 - 2025 Administrative Outsourcing</t>
  </si>
  <si>
    <t>0064L00000BctUN</t>
  </si>
  <si>
    <t>Safety stock and risk buy process</t>
  </si>
  <si>
    <t>0064L00000BoV5h</t>
  </si>
  <si>
    <t>CPR Workflow Tool Development Support</t>
  </si>
  <si>
    <t>Marina Veber</t>
  </si>
  <si>
    <t>0064L00000B1kEM</t>
  </si>
  <si>
    <t>Anthem HCD E-Commerce</t>
  </si>
  <si>
    <t>0064L00000Bn9Yb</t>
  </si>
  <si>
    <t>5G Labs Q2: Consumer and Business Support</t>
  </si>
  <si>
    <t>0064L00000Bn9ZK</t>
  </si>
  <si>
    <t>5G Labs Q2: Operations and AWS Support</t>
  </si>
  <si>
    <t>0064L00000CXg8S</t>
  </si>
  <si>
    <t>Essentia Health</t>
  </si>
  <si>
    <t>Ambulatory Scheduling Optimization</t>
  </si>
  <si>
    <t>0064L00000DJggt</t>
  </si>
  <si>
    <t>Curia Global, Inc.</t>
  </si>
  <si>
    <t>Compensation Support</t>
  </si>
  <si>
    <t>Chris Hamilton</t>
  </si>
  <si>
    <t>Alex Dimond</t>
  </si>
  <si>
    <t>0064L00000DJVgg</t>
  </si>
  <si>
    <t>Northwestern Wellbeing Strategy &amp; Assessment</t>
  </si>
  <si>
    <t>Melissa Gradie</t>
  </si>
  <si>
    <t>0064L00000BfvKJ</t>
  </si>
  <si>
    <t>Thrive Stock Plan Vendor Search &amp; Implementation</t>
  </si>
  <si>
    <t>Gina Klein</t>
  </si>
  <si>
    <t>0064L00000DJgiq</t>
  </si>
  <si>
    <t>Univar - EPM implementation guidelines and roadmap</t>
  </si>
  <si>
    <t>0064L00000DJVoL</t>
  </si>
  <si>
    <t>Genuine Parts Company</t>
  </si>
  <si>
    <t>0064L000004vdnT</t>
  </si>
  <si>
    <t>HCSC - Market Enablement</t>
  </si>
  <si>
    <t>0064L00000Bf1l3</t>
  </si>
  <si>
    <t>Employment Tax - Recurring Consulting</t>
  </si>
  <si>
    <t>Mike Lane</t>
  </si>
  <si>
    <t>0064L00000CXwdb</t>
  </si>
  <si>
    <t>Timex - Phase 3b</t>
  </si>
  <si>
    <t>0064L00000CXfeJ</t>
  </si>
  <si>
    <t>AT&amp;T Public Sector P&amp;L &amp; Ops Portal POC</t>
  </si>
  <si>
    <t>0064L0000099Cnu</t>
  </si>
  <si>
    <t>Argus Dental and Vision - AWS</t>
  </si>
  <si>
    <t>0064L00000BebTq</t>
  </si>
  <si>
    <t>Lowe's Change Management and AVP Transformation</t>
  </si>
  <si>
    <t>Rachel Cala-Slaton</t>
  </si>
  <si>
    <t>0064L00000BesX1</t>
  </si>
  <si>
    <t>SYF Origination Testing</t>
  </si>
  <si>
    <t>Justine Zordan</t>
  </si>
  <si>
    <t>0064L00000DJVz4</t>
  </si>
  <si>
    <t>Meta Business Messaging CPQ Process Enhancement</t>
  </si>
  <si>
    <t>Ryan Caruso</t>
  </si>
  <si>
    <t>0064L00000CWQK6</t>
  </si>
  <si>
    <t>ARKEMA</t>
  </si>
  <si>
    <t>Arkema - Benchmarking Opportunity</t>
  </si>
  <si>
    <t>0064L000001vgq7</t>
  </si>
  <si>
    <t>Goodwin Procter LLP</t>
  </si>
  <si>
    <t>26/7/2020</t>
  </si>
  <si>
    <t>0064L00000BmFTE</t>
  </si>
  <si>
    <t>Yondr Americas - Strategic PMO Support - Pilot Phase</t>
  </si>
  <si>
    <t>20/8/2022</t>
  </si>
  <si>
    <t>0064L00000CVq0c</t>
  </si>
  <si>
    <t>Candor Technology Inc.</t>
  </si>
  <si>
    <t>Demand Gen Strategy</t>
  </si>
  <si>
    <t>Craig Kallin</t>
  </si>
  <si>
    <t>0064L00000CVonw</t>
  </si>
  <si>
    <t>Nuvance MAA Analysis *Strategic Reimbursement*</t>
  </si>
  <si>
    <t>0064L00000BoLbG</t>
  </si>
  <si>
    <t>Blackstone RE - BREP Data &amp; Analytics Operating Model - Phase 1</t>
  </si>
  <si>
    <t>0064L00000CWPvx</t>
  </si>
  <si>
    <t>Webasto Beteiligungs Verwaltung Gbr</t>
  </si>
  <si>
    <t>SMC Market Study</t>
  </si>
  <si>
    <t>0064L00000BoMDy</t>
  </si>
  <si>
    <t>Aep Holdings, Inc.</t>
  </si>
  <si>
    <t>EPM Cons &amp; FP&amp;A SW Selection</t>
  </si>
  <si>
    <t>John Watts</t>
  </si>
  <si>
    <t>0064L00000DFZca</t>
  </si>
  <si>
    <t>Braze Inc.</t>
  </si>
  <si>
    <t>GBS and Location Strategy Assessment</t>
  </si>
  <si>
    <t>0064L000009fYRk</t>
  </si>
  <si>
    <t>Indigo Agriculture Inc.</t>
  </si>
  <si>
    <t>Global Shared Services Phase II (Buildout)</t>
  </si>
  <si>
    <t>0064L00000BoLi7</t>
  </si>
  <si>
    <t>Affimed N.V. Niederlassung Deutschland</t>
  </si>
  <si>
    <t>Oncology Launch Strategy</t>
  </si>
  <si>
    <t>Ben Rhee</t>
  </si>
  <si>
    <t>0064L00000DJfsA</t>
  </si>
  <si>
    <t>Digital Service Activation and Monitoring</t>
  </si>
  <si>
    <t>0064L00000DJfse</t>
  </si>
  <si>
    <t>PH and Agent Service Operations</t>
  </si>
  <si>
    <t>0064L00000Bonn9</t>
  </si>
  <si>
    <t>SLM Corporation (Sallie Mae)</t>
  </si>
  <si>
    <t>Forbearance Efficacy</t>
  </si>
  <si>
    <t>0064L00000BonpF</t>
  </si>
  <si>
    <t>LPL / Escheatment Process Enhancement / $200,000</t>
  </si>
  <si>
    <t>0064I00000wveA4</t>
  </si>
  <si>
    <t>Erie Indemnity Co</t>
  </si>
  <si>
    <t>Erie- Digital Workplace Assessment and Approach</t>
  </si>
  <si>
    <t>16/8/2019</t>
  </si>
  <si>
    <t>Scott McMillen</t>
  </si>
  <si>
    <t>Damanjit Singh</t>
  </si>
  <si>
    <t>0064L000002cHSR</t>
  </si>
  <si>
    <t>DXC #Endurance Resource Mgmt and Deployment | 0064L000002cHSRQA2</t>
  </si>
  <si>
    <t>Victoria Miskel</t>
  </si>
  <si>
    <t>0064L00000Bnm2N</t>
  </si>
  <si>
    <t>iCapital FFG / Operating Model Diagnostic</t>
  </si>
  <si>
    <t>0064L00000CX3G0</t>
  </si>
  <si>
    <t>Real Estate Loan / Asset Servicing Company</t>
  </si>
  <si>
    <t>0064L00000CWcII</t>
  </si>
  <si>
    <t>CNX Resources Corp</t>
  </si>
  <si>
    <t>Liquidity review (Minimum liquidity analysis)</t>
  </si>
  <si>
    <t>0064L00000DFirA</t>
  </si>
  <si>
    <t>Novant Health MAA Analysis - *Strategic Reimbursement*</t>
  </si>
  <si>
    <t>0064L00000BoKUO</t>
  </si>
  <si>
    <t>Lockton Inc.</t>
  </si>
  <si>
    <t>International Target DD Support</t>
  </si>
  <si>
    <t>Vikram Latawa</t>
  </si>
  <si>
    <t>0064L00000CXuP8</t>
  </si>
  <si>
    <t>Citi TTS Libor Transition Business Program - ext. H2'2022</t>
  </si>
  <si>
    <t>Citi TTS Libor Transition Business Program - ext. H1'2022</t>
  </si>
  <si>
    <t>Joseph Turton</t>
  </si>
  <si>
    <t>0064L00000AqWbx</t>
  </si>
  <si>
    <t>USAA FSB Retail Banking &amp; Payments Strategic Roadmap</t>
  </si>
  <si>
    <t>GX_FY22_XLOS_BS_Payments</t>
  </si>
  <si>
    <t>Susan Hough</t>
  </si>
  <si>
    <t>0064L000003zeIV</t>
  </si>
  <si>
    <t>Media Intelligence Platform - Ally Financial</t>
  </si>
  <si>
    <t>0064L00000Ar9Lq</t>
  </si>
  <si>
    <t>The Home Depot México, S. de R.L. de C.V.</t>
  </si>
  <si>
    <t>Home Depot México - FY22 - Workforce transformation / Digital Upskilling / HR Analytics</t>
  </si>
  <si>
    <t>0064L00000CXdWK</t>
  </si>
  <si>
    <t>Change Management &amp; Communications</t>
  </si>
  <si>
    <t>Matthew Morrison</t>
  </si>
  <si>
    <t>0064L0000040gdg</t>
  </si>
  <si>
    <t>IOTG - Portfolio Management</t>
  </si>
  <si>
    <t>0064L00000DJg17</t>
  </si>
  <si>
    <t>Temple Medical Center IT Roadmap</t>
  </si>
  <si>
    <t>Carl Miller</t>
  </si>
  <si>
    <t>0064L00000CWbAy</t>
  </si>
  <si>
    <t>Mt Sinai Concurrent Coding Compliance</t>
  </si>
  <si>
    <t>0064L00000Bm4f4</t>
  </si>
  <si>
    <t>DVC_OptumCare Phase 1</t>
  </si>
  <si>
    <t>0064L00000CXdjp</t>
  </si>
  <si>
    <t>RWJF - PAA Function Redesign</t>
  </si>
  <si>
    <t>Heather O'Neil</t>
  </si>
  <si>
    <t>0064L00000CYULX</t>
  </si>
  <si>
    <t>Project Par 280G Calculations</t>
  </si>
  <si>
    <t>David Lebolt</t>
  </si>
  <si>
    <t>Nathan Swartz</t>
  </si>
  <si>
    <t>0064L00000Bnhpb</t>
  </si>
  <si>
    <t>Carveout in a Box - Infrastructure Phase 1 - Argos</t>
  </si>
  <si>
    <t>Todd Rumsey</t>
  </si>
  <si>
    <t>0064L00000CXQif</t>
  </si>
  <si>
    <t>AT&amp;T Indirect Channel Recurring Benchmark</t>
  </si>
  <si>
    <t>0064L00000BmTnd</t>
  </si>
  <si>
    <t>HPE - NPI / NSI redesign</t>
  </si>
  <si>
    <t>0064L00000AqhEd</t>
  </si>
  <si>
    <t>Contract Digitization-- Arteria</t>
  </si>
  <si>
    <t>0064L00000Apdcb</t>
  </si>
  <si>
    <t>The Irvine Company</t>
  </si>
  <si>
    <t>Irvine Company / Tenant Engagement Platform &amp; Strategy Assessment</t>
  </si>
  <si>
    <t>Tim Meade</t>
  </si>
  <si>
    <t>0064L00000ApdeI</t>
  </si>
  <si>
    <t>VGX3100 Launch Strategy - US Patient Market Mapping</t>
  </si>
  <si>
    <t>0064L00000AqWKh</t>
  </si>
  <si>
    <t>FedEx BPO Assessment</t>
  </si>
  <si>
    <t>Chuck Christensen</t>
  </si>
  <si>
    <t>0064L00000BoKEV</t>
  </si>
  <si>
    <t>Yondr Americas - DC Operational Process Development</t>
  </si>
  <si>
    <t>0064L00000BoJhM</t>
  </si>
  <si>
    <t>MSIM Content - Phase 2</t>
  </si>
  <si>
    <t>MSIM Content Assessment &amp; Strategy</t>
  </si>
  <si>
    <t>0064L00000B2m40</t>
  </si>
  <si>
    <t>WHR - AWS - People: Customer Onboarding Tech</t>
  </si>
  <si>
    <t>0064L00000BcjLC</t>
  </si>
  <si>
    <t>Automation of external financial reporting</t>
  </si>
  <si>
    <t>0064L000001wG07</t>
  </si>
  <si>
    <t>Panera Indirect / Store DTV / Transformation #S&amp;P #Profit</t>
  </si>
  <si>
    <t>0064L00000BmDfD</t>
  </si>
  <si>
    <t>Nestlé NA - Success in Acquisitions</t>
  </si>
  <si>
    <t>0064L00000DJdsz</t>
  </si>
  <si>
    <t>Indirect Procurement#S&amp;P#POD</t>
  </si>
  <si>
    <t>Vikram Negi</t>
  </si>
  <si>
    <t>0064L000009f4e5</t>
  </si>
  <si>
    <t>Lifespan Corporation</t>
  </si>
  <si>
    <t>HCC and DRG Validation Support *Rev Cycle*</t>
  </si>
  <si>
    <t>0064L00000BoJqT</t>
  </si>
  <si>
    <t>Treasury Function Migration</t>
  </si>
  <si>
    <t>0064L00000BnFQ7</t>
  </si>
  <si>
    <t>ACI Issuer Offerings Market Assessment</t>
  </si>
  <si>
    <t>David Durovy</t>
  </si>
  <si>
    <t>Sanjib Banerjee</t>
  </si>
  <si>
    <t>0064L00000Bo94X</t>
  </si>
  <si>
    <t>CHS Empower - EPM Part 2 FCCS</t>
  </si>
  <si>
    <t>0064L00000BnWVC</t>
  </si>
  <si>
    <t>Total Rewards Comms - Deal Support</t>
  </si>
  <si>
    <t>Sean Bard</t>
  </si>
  <si>
    <t>0064L00000B2WnB</t>
  </si>
  <si>
    <t>0064L00000BmTc5</t>
  </si>
  <si>
    <t>HPE - Supply Chain Blockchain</t>
  </si>
  <si>
    <t>0064L00000BmTbW</t>
  </si>
  <si>
    <t>HPE - Supply Chain Advance Planning System</t>
  </si>
  <si>
    <t>0064L00000DJe4C</t>
  </si>
  <si>
    <t>Mayo Rochester FFY24-25 Wage Index Strategy *Strategic Reimbursement*</t>
  </si>
  <si>
    <t>0064L0000040vLK</t>
  </si>
  <si>
    <t>FNF:  Oracle Cloud Migration #Hawk #Oracle_INS</t>
  </si>
  <si>
    <t>0064L00000CYThS</t>
  </si>
  <si>
    <t>RRT Expansion &amp; Enhancement</t>
  </si>
  <si>
    <t>0064L00000BoHMz</t>
  </si>
  <si>
    <t>Giant Eagle INC.</t>
  </si>
  <si>
    <t>Real Estate Lifecycle Assessment</t>
  </si>
  <si>
    <t>0064L00000Bd7OW</t>
  </si>
  <si>
    <t>WestRock - Intransit Automation</t>
  </si>
  <si>
    <t>Allison LeClair</t>
  </si>
  <si>
    <t>0064L000006juBr</t>
  </si>
  <si>
    <t>Microsoft Surface Engineering Warranty Phase 2</t>
  </si>
  <si>
    <t>0064L00000Boith</t>
  </si>
  <si>
    <t>The Hartford - Medical/Rx RFP</t>
  </si>
  <si>
    <t>Ronald Barlow</t>
  </si>
  <si>
    <t>0064L00000BoXvJ</t>
  </si>
  <si>
    <t>Azz Inc.</t>
  </si>
  <si>
    <t>AZZ - EPM Strategy</t>
  </si>
  <si>
    <t>0064L00000CYC1E</t>
  </si>
  <si>
    <t>Arrow Electronics, Inc.</t>
  </si>
  <si>
    <t>Arrow ESG Technology Deployment - Microsoft - #ESGMSFT</t>
  </si>
  <si>
    <t>0064L00000CYC0Q</t>
  </si>
  <si>
    <t>NetApp ESG Technology Deployment - Microsoft - #ESGMSFT</t>
  </si>
  <si>
    <t>0064L00000CV9I1</t>
  </si>
  <si>
    <t>#Metaverse market entry analysis</t>
  </si>
  <si>
    <t>0064I00000tJHQC</t>
  </si>
  <si>
    <t>ET RightAngle Managed Services</t>
  </si>
  <si>
    <t>0064L00000CYT8X</t>
  </si>
  <si>
    <t>Inova Health - *SMART* OP License</t>
  </si>
  <si>
    <t>0064L00000Bn4Xi</t>
  </si>
  <si>
    <t>0064L00000CWN3y</t>
  </si>
  <si>
    <t>Stryker_2021 Employment Tax Refunds_$200K</t>
  </si>
  <si>
    <t>0064L00000DFWAn</t>
  </si>
  <si>
    <t>BCBS NC Statutory Accounting Advisory and Assistance</t>
  </si>
  <si>
    <t>David Knipe</t>
  </si>
  <si>
    <t>0064L00000DJRPq</t>
  </si>
  <si>
    <t>Lennox International INC.</t>
  </si>
  <si>
    <t>FYE2022 / FY2023</t>
  </si>
  <si>
    <t>Amy Beert</t>
  </si>
  <si>
    <t>0064L00000DFVfa</t>
  </si>
  <si>
    <t>Paper Bill Redesign</t>
  </si>
  <si>
    <t>0064L00000CYBdp</t>
  </si>
  <si>
    <t>Deferred Comp Plan Support - 2022</t>
  </si>
  <si>
    <t>0064L00000CYTH0</t>
  </si>
  <si>
    <t>#QMS #OWT CQO Support</t>
  </si>
  <si>
    <t>0064L00000DFVjh</t>
  </si>
  <si>
    <t>UST - Project Endeavour - People Strategy #CO&amp;I</t>
  </si>
  <si>
    <t>0064L00000Boypw</t>
  </si>
  <si>
    <t>HPE - Ordering Process? Design #TMTPricing</t>
  </si>
  <si>
    <t>0064L00000Boyqa</t>
  </si>
  <si>
    <t>HPE - Partner Enablement Value Proposition #TMTPricing</t>
  </si>
  <si>
    <t>0064L00000BgPYN</t>
  </si>
  <si>
    <t>Payments Innovation Strategy</t>
  </si>
  <si>
    <t>0064L00000Boyql</t>
  </si>
  <si>
    <t>HPE - Partner Program/ Incentives/ Comp #TMTPricing</t>
  </si>
  <si>
    <t>0064L000007xB1w</t>
  </si>
  <si>
    <t>MSFT Trade Modern Workplace PoC</t>
  </si>
  <si>
    <t>Bob Woods</t>
  </si>
  <si>
    <t>0064L00000Boyqu</t>
  </si>
  <si>
    <t>HPE - Renewal and Expansion Process Design #TMTPricing</t>
  </si>
  <si>
    <t>0064L00000Bnvp1</t>
  </si>
  <si>
    <t>No Duns Code In D&amp;b Database</t>
  </si>
  <si>
    <t>Demand Planning</t>
  </si>
  <si>
    <t>0064L000009fcS1</t>
  </si>
  <si>
    <t>Gas Operations Data Assessment</t>
  </si>
  <si>
    <t>0064L00000BgPZO</t>
  </si>
  <si>
    <t>Cost of Payments Analysis</t>
  </si>
  <si>
    <t>0064L00000BgPZQ</t>
  </si>
  <si>
    <t>0064L00000BoWsJ</t>
  </si>
  <si>
    <t>Product Management Model Playbook and Training Plan</t>
  </si>
  <si>
    <t>0064L00000BoH6N</t>
  </si>
  <si>
    <t>Enterprise Digital &amp; Data Op Model</t>
  </si>
  <si>
    <t>0064L00000CYB10</t>
  </si>
  <si>
    <t>RTR Healthcheck - Implementation</t>
  </si>
  <si>
    <t>0064L00000Ar5FF</t>
  </si>
  <si>
    <t>Deere OneStream Implementation</t>
  </si>
  <si>
    <t>0064L00000BoXXg</t>
  </si>
  <si>
    <t>Vontier_Salesforce &amp; Tech Roadmap_SFDC</t>
  </si>
  <si>
    <t>0064L00000BgPaW</t>
  </si>
  <si>
    <t>Branded Payments Innovation Strategy</t>
  </si>
  <si>
    <t>0064L00000BnvzL</t>
  </si>
  <si>
    <t>Beaumont Health</t>
  </si>
  <si>
    <t>Beaumont Health System S-10 Services</t>
  </si>
  <si>
    <t>0064L000009g2eP</t>
  </si>
  <si>
    <t>Construction Project Management Vendor Selection</t>
  </si>
  <si>
    <t>0064L000007wqBa</t>
  </si>
  <si>
    <t>Fleet / Logistics Assessment</t>
  </si>
  <si>
    <t>0064L00000DJbKW</t>
  </si>
  <si>
    <t>AAPL - Supply Chain Emissions Assessment</t>
  </si>
  <si>
    <t>0064L00000DJamo</t>
  </si>
  <si>
    <t>ACI Market Scan</t>
  </si>
  <si>
    <t>Jennie Goldstein</t>
  </si>
  <si>
    <t>0064L00000DJbT9</t>
  </si>
  <si>
    <t>FDA Project Optimus</t>
  </si>
  <si>
    <t>0064L00000Bfore</t>
  </si>
  <si>
    <t>Canon Inc.</t>
  </si>
  <si>
    <t>CPQ Transformation PMO</t>
  </si>
  <si>
    <t>Kaihei Takagi</t>
  </si>
  <si>
    <t>0065800000ji5Ch</t>
  </si>
  <si>
    <t>*SMART* License - Advocate</t>
  </si>
  <si>
    <t>31/10/2018</t>
  </si>
  <si>
    <t>0064L00000Bfq72</t>
  </si>
  <si>
    <t>ANTH #Alliance:MSFT Health/Care Value Management #HVM</t>
  </si>
  <si>
    <t>Azure Payer Cloud-migration  #PayerAnalytics #Alliance:MSFT</t>
  </si>
  <si>
    <t>0064L00000BojOe</t>
  </si>
  <si>
    <t>HPE - CPQ Requirements #TMTPricing</t>
  </si>
  <si>
    <t>0064L00000BojOo</t>
  </si>
  <si>
    <t>HPE - Friction Free Program Management</t>
  </si>
  <si>
    <t>0064L00000BojOU</t>
  </si>
  <si>
    <t>HPE - Pre-qualification process #TMTPricing</t>
  </si>
  <si>
    <t>0064L000002ZHet</t>
  </si>
  <si>
    <t>AI tools</t>
  </si>
  <si>
    <t>Susan Ready</t>
  </si>
  <si>
    <t>0064L0000041yH0</t>
  </si>
  <si>
    <t>Intel - Capital Lifecycle Management - Assessment</t>
  </si>
  <si>
    <t>18/11/2020</t>
  </si>
  <si>
    <t>0064L00000BoX0S</t>
  </si>
  <si>
    <t>Elara HoldingsL.L.C.</t>
  </si>
  <si>
    <t>Elara DSNP Specialty Strategy  #GCOE #Medicare</t>
  </si>
  <si>
    <t>0064L00000CYbLt</t>
  </si>
  <si>
    <t>MSHS Pop Health Member Services Zendesk Optimization #PayerAnalytics</t>
  </si>
  <si>
    <t>0064L000004yFgi</t>
  </si>
  <si>
    <t>GRS Op Model Transformation - Change Management-Pull-Through</t>
  </si>
  <si>
    <t>GRS--Global Digital Roadmap #Digital</t>
  </si>
  <si>
    <t>0064L00000Bogw9</t>
  </si>
  <si>
    <t>Bank of Tampa - LOS System Selection #SCB #&lt;$50B</t>
  </si>
  <si>
    <t>0064L00000CY00O</t>
  </si>
  <si>
    <t>Alaska Air Group Inc.</t>
  </si>
  <si>
    <t>Alaska Air ESG and SEC Climate Change Support #ESG</t>
  </si>
  <si>
    <t>0064L00000CXO0p</t>
  </si>
  <si>
    <t>ADX eQMS Change Order</t>
  </si>
  <si>
    <t>Veeva QMS Implementation #QMS</t>
  </si>
  <si>
    <t>0064L00000BoFZM</t>
  </si>
  <si>
    <t>Corbett Technology Solutions - Finance Value Accelerator</t>
  </si>
  <si>
    <t>0064L00000CWn6e</t>
  </si>
  <si>
    <t>United Airlines- Early Careers Program</t>
  </si>
  <si>
    <t>0064L000001vQ4b</t>
  </si>
  <si>
    <t>0064L00000BnUCD</t>
  </si>
  <si>
    <t>TSMC AZ Offboarding</t>
  </si>
  <si>
    <t>0064L00000BcwJD</t>
  </si>
  <si>
    <t>Lehigh Valley Health Network, Inc.</t>
  </si>
  <si>
    <t>LVHN 3M Engage One CDI Implementation Assistance *Rev Cycle*</t>
  </si>
  <si>
    <t>0064L00000CYQbH</t>
  </si>
  <si>
    <t>Lilly Market Research Core</t>
  </si>
  <si>
    <t>0064L00000CWmaC</t>
  </si>
  <si>
    <t>Kao - agile product development support</t>
  </si>
  <si>
    <t>Maki Futami</t>
  </si>
  <si>
    <t>0064L0000042WGl</t>
  </si>
  <si>
    <t>Coca-Cola Bottlers' Sales &amp; Services Company LLC</t>
  </si>
  <si>
    <t>Payment/Pricing Root Cause Analysis</t>
  </si>
  <si>
    <t>0064L00000CXoHr</t>
  </si>
  <si>
    <t>Luminace Customer Team and Portal Selection</t>
  </si>
  <si>
    <t>Kristin Kelsch</t>
  </si>
  <si>
    <t>0064L00000DJNXv</t>
  </si>
  <si>
    <t>PHELPS DODGE FOUNDATION.</t>
  </si>
  <si>
    <t>Freeport - OneStream design phase</t>
  </si>
  <si>
    <t>0064L00000BogW6</t>
  </si>
  <si>
    <t>Amendment 02 - Global Diversity &amp; Inclusion 2022 Report</t>
  </si>
  <si>
    <t>Barbara Poenisch</t>
  </si>
  <si>
    <t>0064L00000DFSUA</t>
  </si>
  <si>
    <t>Renewable Natural Gas (RNG) Target Operating Model Assessment</t>
  </si>
  <si>
    <t>0064L00000BoUy7</t>
  </si>
  <si>
    <t>Kaiser_Net Zero Implementation_SFDC</t>
  </si>
  <si>
    <t>0064L00000DFcwE</t>
  </si>
  <si>
    <t>Shell - Chemicals - Louisiana Corridor ESG Risk Assessment Phase 2</t>
  </si>
  <si>
    <t>Shell - Chemicals - Louisiana Corridor ESG Risk Assessment</t>
  </si>
  <si>
    <t>Megan Haas</t>
  </si>
  <si>
    <t>0064L00000DFSZU</t>
  </si>
  <si>
    <t>GCP Trust Research</t>
  </si>
  <si>
    <t>0064L00000BmOyp</t>
  </si>
  <si>
    <t>PwC Germany</t>
  </si>
  <si>
    <t>#QMS Olympus Risk Management Assessment</t>
  </si>
  <si>
    <t>0064L0000040aCS</t>
  </si>
  <si>
    <t>US Banking RFP</t>
  </si>
  <si>
    <t>17/10/2020</t>
  </si>
  <si>
    <t>0064L00000Aq0MF</t>
  </si>
  <si>
    <t>Procurement Roadmapping</t>
  </si>
  <si>
    <t>0064L00000Aq0Ll</t>
  </si>
  <si>
    <t>Aon Procurement Roadmapping</t>
  </si>
  <si>
    <t>0064L00000BoyGF</t>
  </si>
  <si>
    <t>CPM Portfolio Analytics</t>
  </si>
  <si>
    <t>0064L00000BoyGj</t>
  </si>
  <si>
    <t>HPE Talent Assessment - CTO Pilot</t>
  </si>
  <si>
    <t>Nishi Vijay</t>
  </si>
  <si>
    <t>0064L000009enST</t>
  </si>
  <si>
    <t>MUB Resiliency/BCP  #resilience</t>
  </si>
  <si>
    <t>0064L00000BgMS9</t>
  </si>
  <si>
    <t>Exelixis Inc.</t>
  </si>
  <si>
    <t>Exelixis - QMR #QualityManagedServices</t>
  </si>
  <si>
    <t>0064L00000Bn0EO</t>
  </si>
  <si>
    <t>Project Playbook</t>
  </si>
  <si>
    <t>Aaron Higley</t>
  </si>
  <si>
    <t>0064L00000BoemP</t>
  </si>
  <si>
    <t>RL Customer Mindset</t>
  </si>
  <si>
    <t>0064L00000B23Pt</t>
  </si>
  <si>
    <t>First Midwest Bancorp INC.</t>
  </si>
  <si>
    <t>TM Platform Integration w/ Core DDA Support</t>
  </si>
  <si>
    <t>0064L00000CXmfw</t>
  </si>
  <si>
    <t>Unum MDM Program Assessment</t>
  </si>
  <si>
    <t>0064L000009fsP5</t>
  </si>
  <si>
    <t>CX-AX extension - move money</t>
  </si>
  <si>
    <t>Tina Cruz</t>
  </si>
  <si>
    <t>0064L00000BoDPe</t>
  </si>
  <si>
    <t>AMI Program Assurance</t>
  </si>
  <si>
    <t>0064L00000CYqQg</t>
  </si>
  <si>
    <t>Rollins Inc.</t>
  </si>
  <si>
    <t>EPM - Close and Consolidations Healthcheck</t>
  </si>
  <si>
    <t>0064L00000AqbEU</t>
  </si>
  <si>
    <t>DTCC - Deals Strategy</t>
  </si>
  <si>
    <t>Michael McKenna</t>
  </si>
  <si>
    <t>0064L00000CVWGr</t>
  </si>
  <si>
    <t>Leon Medical Centers</t>
  </si>
  <si>
    <t>leon Medical Center Physician Education</t>
  </si>
  <si>
    <t>0064L00000DFcTg</t>
  </si>
  <si>
    <t>Tony's Factory B.V.</t>
  </si>
  <si>
    <t>US Brand Positioning</t>
  </si>
  <si>
    <t>Carrie Shea</t>
  </si>
  <si>
    <t>Priyanka Gupta</t>
  </si>
  <si>
    <t>0064L0000099oYk</t>
  </si>
  <si>
    <t>MESSA PBM RFP</t>
  </si>
  <si>
    <t>0064L00000B35a8</t>
  </si>
  <si>
    <t>CenterPoint - Jana risk model SAP integration</t>
  </si>
  <si>
    <t>0064L00000BfmNw</t>
  </si>
  <si>
    <t>Sierra Space ESG Program Assistance 2022 Expansion 1</t>
  </si>
  <si>
    <t>Diana O'Connor</t>
  </si>
  <si>
    <t>0064L00000BnRcq</t>
  </si>
  <si>
    <t>NetJets Chart of Accounts Redesign</t>
  </si>
  <si>
    <t>0065800000jijot</t>
  </si>
  <si>
    <t>Multi-dimensional Profitability / Reporting</t>
  </si>
  <si>
    <t>0064L00000Aru9J</t>
  </si>
  <si>
    <t>UST Innovation - Energy Pilots</t>
  </si>
  <si>
    <t>0064L000009fooX</t>
  </si>
  <si>
    <t>Jackson Financial Inc.</t>
  </si>
  <si>
    <t>JFI - ESG 2021 - $200K</t>
  </si>
  <si>
    <t>0064L000002blwO</t>
  </si>
  <si>
    <t>Advantasure Risk Adj. &amp; Stars Market Assessment #HVM</t>
  </si>
  <si>
    <t>0064L000007wJn6</t>
  </si>
  <si>
    <t>BSC Enterprise Performance Dashboard</t>
  </si>
  <si>
    <t>0064L00000BoSnz</t>
  </si>
  <si>
    <t>Giant Eagle IWMS Vendor Selection</t>
  </si>
  <si>
    <t>Emily Godward</t>
  </si>
  <si>
    <t>0064L00000CYq1V</t>
  </si>
  <si>
    <t>280G Consulting</t>
  </si>
  <si>
    <t>0064L00000BlllV</t>
  </si>
  <si>
    <t>Shell - IT - Sector Decarbonization Digital Advisory Support</t>
  </si>
  <si>
    <t>0064L000007vzZ0</t>
  </si>
  <si>
    <t>Finance Function of the Future</t>
  </si>
  <si>
    <t>0064L00000BlmQz</t>
  </si>
  <si>
    <t>Regions Bank - MSR Valuation Support</t>
  </si>
  <si>
    <t>Matthew Keller</t>
  </si>
  <si>
    <t>0064L00000Bo2Vq</t>
  </si>
  <si>
    <t>Underground Program (Investment)</t>
  </si>
  <si>
    <t>Hector Rodriguez</t>
  </si>
  <si>
    <t>0064L000009A12x</t>
  </si>
  <si>
    <t>CMS Command Center - 2021-22</t>
  </si>
  <si>
    <t>0064L00000BfZee</t>
  </si>
  <si>
    <t>Spirit Airlines Inc.</t>
  </si>
  <si>
    <t>Spirit 280G</t>
  </si>
  <si>
    <t>0064I000014JlOl</t>
  </si>
  <si>
    <t>Northrop Oracle EPM</t>
  </si>
  <si>
    <t>28/3/2020</t>
  </si>
  <si>
    <t>0064L00000BeyiG</t>
  </si>
  <si>
    <t>Process Intelligence CoE Support</t>
  </si>
  <si>
    <t>Yuliya Harris</t>
  </si>
  <si>
    <t>0064L00000CYLZz</t>
  </si>
  <si>
    <t>Springfield Memorial Hospital</t>
  </si>
  <si>
    <t>2024 Medicare Wage Index - *Strategic Reimbursement*</t>
  </si>
  <si>
    <t>0064L00000DJmOr</t>
  </si>
  <si>
    <t>For-Profit Business Line Financial and Strategic Assessment</t>
  </si>
  <si>
    <t>David Liang</t>
  </si>
  <si>
    <t>0064L000002aYyW</t>
  </si>
  <si>
    <t>Talent Upskilling Strategy--Finance</t>
  </si>
  <si>
    <t>0064L000001vKm5</t>
  </si>
  <si>
    <t>Talent Upskilling Strategy--Data/Analytics</t>
  </si>
  <si>
    <t>16/7/2020</t>
  </si>
  <si>
    <t>Taylor Beckmann</t>
  </si>
  <si>
    <t>0064L000009BFB6</t>
  </si>
  <si>
    <t>HR M&amp;A Support</t>
  </si>
  <si>
    <t>Jamie Traynor</t>
  </si>
  <si>
    <t>0064L00000BdRrD</t>
  </si>
  <si>
    <t>Provider Data Management Automation</t>
  </si>
  <si>
    <t>0064L00000BoSS8</t>
  </si>
  <si>
    <t>Oceanview Clearwater Data Support</t>
  </si>
  <si>
    <t>0064L00000Boe5t</t>
  </si>
  <si>
    <t>Parker-Hannifin Corporation</t>
  </si>
  <si>
    <t>FCG Electrical Connectors Market Growth Strategy</t>
  </si>
  <si>
    <t>0064L00000BnrVe</t>
  </si>
  <si>
    <t>Acquisition Medicare Risk Adj Subject Matter Expertise #HVM</t>
  </si>
  <si>
    <t>0064L00000CXK3u</t>
  </si>
  <si>
    <t>Legend Biotec, Corp.</t>
  </si>
  <si>
    <t>LBT - OneStream Implementation</t>
  </si>
  <si>
    <t>Nicholas Lordi</t>
  </si>
  <si>
    <t>0064L000007wlxA</t>
  </si>
  <si>
    <t>Abbott Laboratories #ProEdge Production License - Expansion</t>
  </si>
  <si>
    <t>0064L00000422gc</t>
  </si>
  <si>
    <t>PG&amp;E_Customer_Experience_Vision</t>
  </si>
  <si>
    <t>0064L00000DJmlW</t>
  </si>
  <si>
    <t>PROVIDENT FINANCIAL SERVICES Inc.</t>
  </si>
  <si>
    <t>ESG Climate Program and Emissions</t>
  </si>
  <si>
    <t>Ed Hsu</t>
  </si>
  <si>
    <t>0064L00000CVBQR</t>
  </si>
  <si>
    <t>LivaNova Plc</t>
  </si>
  <si>
    <t>#QMS Risk Management Support</t>
  </si>
  <si>
    <t>0064L00000CVRtd</t>
  </si>
  <si>
    <t>Wabash National - Front Office Tech Strategy</t>
  </si>
  <si>
    <t>Back-office Digital Transformation</t>
  </si>
  <si>
    <t>0064L00000Bo0D6</t>
  </si>
  <si>
    <t>HealthPartners Rev Cycle Support</t>
  </si>
  <si>
    <t>0064L00000CW58F</t>
  </si>
  <si>
    <t>DD Accounting Operations</t>
  </si>
  <si>
    <t>Derek Rose</t>
  </si>
  <si>
    <t>0064L00000BewSy</t>
  </si>
  <si>
    <t>OBPPC (Pricing)</t>
  </si>
  <si>
    <t>0064L00000Bf6R5</t>
  </si>
  <si>
    <t>Citizens - Total Experience Initiative</t>
  </si>
  <si>
    <t>0064L00000CXjfj</t>
  </si>
  <si>
    <t>AT&amp;T - HR Learning Data and Insight Capabilities</t>
  </si>
  <si>
    <t>0064L00000Bf6Qb</t>
  </si>
  <si>
    <t>Citizens - People Retention Strategy</t>
  </si>
  <si>
    <t>0064L00000BoQlp</t>
  </si>
  <si>
    <t>0064L00000CYnK5</t>
  </si>
  <si>
    <t>2022 / 2023 Listen Platform</t>
  </si>
  <si>
    <t>Nik Shah</t>
  </si>
  <si>
    <t>Dylan Galaty</t>
  </si>
  <si>
    <t>0064L00000CWgeJ</t>
  </si>
  <si>
    <t>SoftBank Group Corp.</t>
  </si>
  <si>
    <t>Ampere Inventory Management</t>
  </si>
  <si>
    <t>Shuyi Chang</t>
  </si>
  <si>
    <t>0064L00000BoQnR</t>
  </si>
  <si>
    <t>0064L00000BevwE</t>
  </si>
  <si>
    <t>NFT &amp; #Metaverse Strategy #Digitalassets</t>
  </si>
  <si>
    <t>0064L00000CW5GB</t>
  </si>
  <si>
    <t>DD Alteryx dev</t>
  </si>
  <si>
    <t>0064L00000CW5Hk</t>
  </si>
  <si>
    <t>DD Coupa</t>
  </si>
  <si>
    <t>0064L000002ZcBQ</t>
  </si>
  <si>
    <t>MRI Job Costing</t>
  </si>
  <si>
    <t>0064L000001v6tL</t>
  </si>
  <si>
    <t>Gowri Sundaresan</t>
  </si>
  <si>
    <t>0064I00000zRBt8</t>
  </si>
  <si>
    <t>InnVest Hotels LP</t>
  </si>
  <si>
    <t>IGP - Innvest Hotels</t>
  </si>
  <si>
    <t>15/11/2019</t>
  </si>
  <si>
    <t>0064L00000CX7oT</t>
  </si>
  <si>
    <t>Excellus Project Golden Flyer - Vendor Management May 2022</t>
  </si>
  <si>
    <t>0064L000009AbbP</t>
  </si>
  <si>
    <t>MSK - Hygiene</t>
  </si>
  <si>
    <t>0064L00000BlWvQ</t>
  </si>
  <si>
    <t>Walmart Packaging</t>
  </si>
  <si>
    <t>Chris OBrien</t>
  </si>
  <si>
    <t>0064L00000Bmlch</t>
  </si>
  <si>
    <t>Baupost Group GP, LLC</t>
  </si>
  <si>
    <t>Expense Allocations Support</t>
  </si>
  <si>
    <t>0064L000002aiKe</t>
  </si>
  <si>
    <t>Dicerna Pharmaceuticals Inc.</t>
  </si>
  <si>
    <t>Advanced Therapy FFG: Dicerna Process Development &amp; Manufacturing Strategy</t>
  </si>
  <si>
    <t>0064L00000997zS</t>
  </si>
  <si>
    <t>Teleo Capital Management LLC</t>
  </si>
  <si>
    <t>Digital TPA Transformation - Mobilization</t>
  </si>
  <si>
    <t>0064L00000DJZSJ</t>
  </si>
  <si>
    <t>Perforce Software Holdings, Inc</t>
  </si>
  <si>
    <t>Project Puppet - Integration Support</t>
  </si>
  <si>
    <t>Angela Fuentes</t>
  </si>
  <si>
    <t>0064L00000DJkTU</t>
  </si>
  <si>
    <t>Lucid ESG Technology Consulting</t>
  </si>
  <si>
    <t>Matthew Bucher</t>
  </si>
  <si>
    <t>0064L00000Blieb</t>
  </si>
  <si>
    <t>HP Supplies Forecasting</t>
  </si>
  <si>
    <t>Desiree Jensen</t>
  </si>
  <si>
    <t>0064L00000DFpLt</t>
  </si>
  <si>
    <t>Exelon Corporation</t>
  </si>
  <si>
    <t>Private LTE Network Assessment</t>
  </si>
  <si>
    <t>0064L00000BoQPK</t>
  </si>
  <si>
    <t>LPL / Advisory Billing Root Cause Assessment (Phase II) / $200,000</t>
  </si>
  <si>
    <t>0064L00000CWxI8</t>
  </si>
  <si>
    <t>NT Automation Assessment</t>
  </si>
  <si>
    <t>0064L00000Bp2U4</t>
  </si>
  <si>
    <t>Gilead U.S. Contracting System Vendor Assessment</t>
  </si>
  <si>
    <t>Manav Saranathan</t>
  </si>
  <si>
    <t>0064I00000y7mqP</t>
  </si>
  <si>
    <t>TE Innovation Strategy</t>
  </si>
  <si>
    <t>0064L00000BdR88</t>
  </si>
  <si>
    <t>State Of California</t>
  </si>
  <si>
    <t>*SMART* License - UCI Medical Center</t>
  </si>
  <si>
    <t>0064L00000BmJoQ</t>
  </si>
  <si>
    <t>Roku HR Change Management</t>
  </si>
  <si>
    <t>Roku HR optimization implementation</t>
  </si>
  <si>
    <t>0064L000009AaiF</t>
  </si>
  <si>
    <t>UM Rural Health Clinic opportunity *Strategic Reimbursement*</t>
  </si>
  <si>
    <t>0064L0000099J0N</t>
  </si>
  <si>
    <t>Cost Baseline &amp; Diagnostic Refresh (FFG Ph 1)</t>
  </si>
  <si>
    <t>0064I000011p5l4</t>
  </si>
  <si>
    <t>Five Guys Holdings LLC</t>
  </si>
  <si>
    <t>26/1/2020</t>
  </si>
  <si>
    <t>Amanda Kennedy</t>
  </si>
  <si>
    <t>0064I00000y7mqo</t>
  </si>
  <si>
    <t>TE Digital Ops</t>
  </si>
  <si>
    <t>18/9/2022</t>
  </si>
  <si>
    <t>0064L000009Aaen</t>
  </si>
  <si>
    <t>Advocate-Aurora Rural Health Clinic *Strategic Reimbursement*</t>
  </si>
  <si>
    <t>0064L00000ArQ07</t>
  </si>
  <si>
    <t>#QMS BD Complaints Efficiency &amp; Automation</t>
  </si>
  <si>
    <t>0064L00000BlZ6k</t>
  </si>
  <si>
    <t>Genentech Commercial Operations and Pricing Support</t>
  </si>
  <si>
    <t>26/10/2022</t>
  </si>
  <si>
    <t>0064L00000CXFTD</t>
  </si>
  <si>
    <t>IT/MA PMO Support</t>
  </si>
  <si>
    <t>0064L00000CY8V0</t>
  </si>
  <si>
    <t>Jackson Health System</t>
  </si>
  <si>
    <t>Price Transparency Compliance *rev cycle*</t>
  </si>
  <si>
    <t>0064L00000CGwfz</t>
  </si>
  <si>
    <t>Baker Hughes Workforce Planning</t>
  </si>
  <si>
    <t>0064L00000CY7wx</t>
  </si>
  <si>
    <t>0064L00000CtjLI</t>
  </si>
  <si>
    <t>Warby Parker Inc.</t>
  </si>
  <si>
    <t>Coupa Reintegration Support</t>
  </si>
  <si>
    <t>0064L00000CVruz</t>
  </si>
  <si>
    <t>Comcast Business - Fed Gov GTM Strategy, Managed Services</t>
  </si>
  <si>
    <t>Joe Palladino</t>
  </si>
  <si>
    <t>0064L00000Bg81U</t>
  </si>
  <si>
    <t>Loyalty Strategy - US in Support of UK/DE</t>
  </si>
  <si>
    <t>0064L00000CY8b2</t>
  </si>
  <si>
    <t>Nursing Workforce Transformation</t>
  </si>
  <si>
    <t>0064L00000BliFq</t>
  </si>
  <si>
    <t>Associated LOS RFP #FOBComm #&lt;$50B #SCB</t>
  </si>
  <si>
    <t>0064L00000CVsaM</t>
  </si>
  <si>
    <t>Trimble, Inc. ESG Green Growth Strategy</t>
  </si>
  <si>
    <t>0064L000002a1uk</t>
  </si>
  <si>
    <t>Dynamic Credit Surveillance + Growth ideas #credit</t>
  </si>
  <si>
    <t>Ashish Garg</t>
  </si>
  <si>
    <t>0064L00000DJZCa</t>
  </si>
  <si>
    <t>HPE - Contra - Partner Benefits</t>
  </si>
  <si>
    <t>0064L00000DJWb8</t>
  </si>
  <si>
    <t>5G MIL Support</t>
  </si>
  <si>
    <t>0064L00000CVPM3</t>
  </si>
  <si>
    <t>PANW MSSP Technical Writing support</t>
  </si>
  <si>
    <t>0064L000006Xf57</t>
  </si>
  <si>
    <t>Heineken Holding N.V.</t>
  </si>
  <si>
    <t>Heineken USA - Innovation: Project Nebula  - Phase 2</t>
  </si>
  <si>
    <t>24/2/2021</t>
  </si>
  <si>
    <t>0064L000001vjQv</t>
  </si>
  <si>
    <t>Sandy Spring Wealth Management Strategy #&lt;$50B #SCB</t>
  </si>
  <si>
    <t>28/7/2020</t>
  </si>
  <si>
    <t>0064L000003zGjA</t>
  </si>
  <si>
    <t>PennyMac Financial Services, Inc.</t>
  </si>
  <si>
    <t>MSR Model Implementation Support</t>
  </si>
  <si>
    <t>0064L00000CGwIk</t>
  </si>
  <si>
    <t>St Jude Childrens Research Hospital</t>
  </si>
  <si>
    <t>Graduate School Accreditation Assessment</t>
  </si>
  <si>
    <t>0064L00000Bopba</t>
  </si>
  <si>
    <t>Sysco Cyber PMO Support #PMaaS Extension2</t>
  </si>
  <si>
    <t>0064I0000131dXR</t>
  </si>
  <si>
    <t>BMS Pricing &amp; Reimbursement Modernization *Pricing*</t>
  </si>
  <si>
    <t>19/2/2020</t>
  </si>
  <si>
    <t>0064L00000CGwPI</t>
  </si>
  <si>
    <t>Power &amp; Energy Assessment</t>
  </si>
  <si>
    <t>0064L00000B1mc6</t>
  </si>
  <si>
    <t>Micro Focus International PLC</t>
  </si>
  <si>
    <t>Micro Focus Sales Ops Org Design</t>
  </si>
  <si>
    <t>0064L000002Zc7t</t>
  </si>
  <si>
    <t>iManage Cloud Upgrade</t>
  </si>
  <si>
    <t>0064L00000DJiRv</t>
  </si>
  <si>
    <t>FEMSA - OneStream Implementation - Phase 1 (US Portion)</t>
  </si>
  <si>
    <t>FEMSA - Consolidation  - OneStream Implementation</t>
  </si>
  <si>
    <t>0064L00000BmjfU</t>
  </si>
  <si>
    <t>Xignux / Viakable - FY22 - Return on Experience / Voice of Customer</t>
  </si>
  <si>
    <t>0064L00000BopoJ</t>
  </si>
  <si>
    <t>FA Digital Service Capability Assessment</t>
  </si>
  <si>
    <t>Steven Kavallaris</t>
  </si>
  <si>
    <t>0064L00000DJj8L</t>
  </si>
  <si>
    <t>ESG - Scenario Analysis</t>
  </si>
  <si>
    <t>0064L00000DJj7c</t>
  </si>
  <si>
    <t>ESG - Circularity at Scale - Phase 1</t>
  </si>
  <si>
    <t>0064L00000CYHiq</t>
  </si>
  <si>
    <t>MoO HQ Readiness Assessment - Ph 1 - Culture Assessment</t>
  </si>
  <si>
    <t>Siddarth Bhatia</t>
  </si>
  <si>
    <t>0064L0000099XVA</t>
  </si>
  <si>
    <t>Pennsylvania National Mutual Casualty Insurance Company</t>
  </si>
  <si>
    <t>Alternative Distribution Strategy</t>
  </si>
  <si>
    <t>0064L000004wkDf</t>
  </si>
  <si>
    <t>Compliance Data Access Support</t>
  </si>
  <si>
    <t>0064L000002c9XA</t>
  </si>
  <si>
    <t>High Value Service Co - Feasibility #SS&amp;O #PayerCO&amp;ITrans</t>
  </si>
  <si>
    <t>28/5/2021</t>
  </si>
  <si>
    <t>0064L00000BlgoU</t>
  </si>
  <si>
    <t>Bank of Missouri - FY23 Transformation Office #SCB #&lt;$50B</t>
  </si>
  <si>
    <t>0064L00000BmIRB</t>
  </si>
  <si>
    <t>COP - Treasury IHB Design</t>
  </si>
  <si>
    <t>0064L00000CX1GQ</t>
  </si>
  <si>
    <t>ADS Functional Support</t>
  </si>
  <si>
    <t>0064L00000BnKqL</t>
  </si>
  <si>
    <t>Travel POS Financing (US portion of UK Program)</t>
  </si>
  <si>
    <t>Chelsea Hamilton</t>
  </si>
  <si>
    <t>0064L000009AWII</t>
  </si>
  <si>
    <t>Cardinal Health Tech Services Change Control Process Phase 2</t>
  </si>
  <si>
    <t>0064L000009A39b</t>
  </si>
  <si>
    <t>Google MATI Support</t>
  </si>
  <si>
    <t>Jac Crocker</t>
  </si>
  <si>
    <t>0064L00000CWBUz</t>
  </si>
  <si>
    <t>Programa para la creación de valor compartido y el diseño de negocios inclusivos</t>
  </si>
  <si>
    <t>0064L0000041qmn</t>
  </si>
  <si>
    <t>Microsoft Office of CTO AirSim Strategy</t>
  </si>
  <si>
    <t>0064I000014JVcO</t>
  </si>
  <si>
    <t>ncino DAO #&gt;$50B #Comm50B+</t>
  </si>
  <si>
    <t>0064L00000CY8La</t>
  </si>
  <si>
    <t>SPS CPQ Sales Enablement Discovery</t>
  </si>
  <si>
    <t>0064L00000DJe2p</t>
  </si>
  <si>
    <t>DSP Job Architecture</t>
  </si>
  <si>
    <t>0064L00000Bo0gI</t>
  </si>
  <si>
    <t>Compensation consulting</t>
  </si>
  <si>
    <t>0064L00000B2uXk</t>
  </si>
  <si>
    <t>Investment Pipeline Support Q4 2022</t>
  </si>
  <si>
    <t>0064L00000B2uXL</t>
  </si>
  <si>
    <t>Investment Pipeline Support Q3 2022</t>
  </si>
  <si>
    <t>0064L00000CYmXw</t>
  </si>
  <si>
    <t>Synchrony - Coupa CRA Enhancement</t>
  </si>
  <si>
    <t>Grant Good</t>
  </si>
  <si>
    <t>0064L00000CVxD9</t>
  </si>
  <si>
    <t>Comcast Business - Orion CO - Dev to Deploy Support</t>
  </si>
  <si>
    <t>0064L00000DFc34</t>
  </si>
  <si>
    <t>PwC Spain</t>
  </si>
  <si>
    <t>Bodylogical Pilot - Spain</t>
  </si>
  <si>
    <t>Marianne DeWitt</t>
  </si>
  <si>
    <t>0064L00000CYal7</t>
  </si>
  <si>
    <t>Amazon GTC AP FinOps Support (June - September 2022)</t>
  </si>
  <si>
    <t>26/5/2022 7:58 pm</t>
  </si>
  <si>
    <t>0064L00000BlOD6</t>
  </si>
  <si>
    <t>Signature - ncino CMF/Deployment #2 CO1   #&lt;$50B</t>
  </si>
  <si>
    <t>0064L00000CW8mt</t>
  </si>
  <si>
    <t>Aon ITPS BusOps support</t>
  </si>
  <si>
    <t>17/7/2022</t>
  </si>
  <si>
    <t>Shai Zorea</t>
  </si>
  <si>
    <t>0064L00000DJnNa</t>
  </si>
  <si>
    <t>BMS-Turning Point Integration: 280G and Equity Compensation</t>
  </si>
  <si>
    <t>Scott Falkner</t>
  </si>
  <si>
    <t>0064L00000CY7SU</t>
  </si>
  <si>
    <t>EV Charging Strategy</t>
  </si>
  <si>
    <t>26/5/2022 6:52 pm</t>
  </si>
  <si>
    <t>0064L00000Bfedi</t>
  </si>
  <si>
    <t>Potential work after SEC ESG Guidelines - Compliance Assessment</t>
  </si>
  <si>
    <t>0064I000011ov73</t>
  </si>
  <si>
    <t>IGP - The Duniway and Hilton Portland Downtown</t>
  </si>
  <si>
    <t>0064L00000CVWHZ</t>
  </si>
  <si>
    <t>NetApp Phase 1 User Story Development - Change Order 1</t>
  </si>
  <si>
    <t>Raghuveer Reddy Thummala</t>
  </si>
  <si>
    <t>0064L00000CXwey</t>
  </si>
  <si>
    <t>Insulet Acton Smart Inventory Flow #MedTech</t>
  </si>
  <si>
    <t>0064L00000CWuMN</t>
  </si>
  <si>
    <t>VCI Contract Management System Assessment - OCM</t>
  </si>
  <si>
    <t>VCI Contract Management System Assessment</t>
  </si>
  <si>
    <t>0064L00000BoZt5</t>
  </si>
  <si>
    <t>Kimball International, Inc.</t>
  </si>
  <si>
    <t>Kimball Intl - 2022 H&amp;W Consulting</t>
  </si>
  <si>
    <t>Abigail Cape</t>
  </si>
  <si>
    <t>0064L000004xhWn</t>
  </si>
  <si>
    <t>Roche Canada - Advisory - Ecosystems Journey AI Solutions Ph1</t>
  </si>
  <si>
    <t>19/8/2021 10:55 pm</t>
  </si>
  <si>
    <t>Philip Bradley</t>
  </si>
  <si>
    <t>0064L00000BoG46</t>
  </si>
  <si>
    <t>Innovation Pilot Boost</t>
  </si>
  <si>
    <t>0064L00000BmniX</t>
  </si>
  <si>
    <t>OPPD VOD/Qualtrics Services</t>
  </si>
  <si>
    <t>0064L00000CYU0U</t>
  </si>
  <si>
    <t>PL - Actuarial Valuation &amp; Pension Plan Benefit Administration</t>
  </si>
  <si>
    <t>0064L00000BoSby</t>
  </si>
  <si>
    <t>United Mine Workers Of America</t>
  </si>
  <si>
    <t>UMWA 2024 EGWP Analysis</t>
  </si>
  <si>
    <t>0064L00000CYXuz</t>
  </si>
  <si>
    <t>SVB PMO - Strategic and Regulatory Initiatives Support - Change Order 3</t>
  </si>
  <si>
    <t>SVB PMO - Strategic and Regulatory Initiatives Support</t>
  </si>
  <si>
    <t>Bridget Koessler</t>
  </si>
  <si>
    <t>0064L00000DJiLY</t>
  </si>
  <si>
    <t>Stone Point Capital LLC</t>
  </si>
  <si>
    <t>Project Titan - 280G Consulting</t>
  </si>
  <si>
    <t>Wendy Vitale</t>
  </si>
  <si>
    <t>0064L000002b3Q1</t>
  </si>
  <si>
    <t>JLL Vendor Data Clean-up Phase II#S&amp;P#POD</t>
  </si>
  <si>
    <t>0064L00000CXwsC</t>
  </si>
  <si>
    <t>Geo Expansion - C &amp; F</t>
  </si>
  <si>
    <t>0064L00000DJTi6</t>
  </si>
  <si>
    <t>Morgan Stanley - Finance Academy #ProEdgexWorkforce (Phase 1)</t>
  </si>
  <si>
    <t>0064L000004wtnm</t>
  </si>
  <si>
    <t>*SMART* License - SB Cottage Hospitals</t>
  </si>
  <si>
    <t>0064L00000CWMjN</t>
  </si>
  <si>
    <t>UCB U.S. Neurology Workshop</t>
  </si>
  <si>
    <t>0064L00000DFVsF</t>
  </si>
  <si>
    <t>Eisai Aspire Core Q2'22 Change Order</t>
  </si>
  <si>
    <t>Rohit Aggarwal</t>
  </si>
  <si>
    <t>0064L000009BLQD</t>
  </si>
  <si>
    <t>Target Inventory Accuracy &amp; Shrink Project</t>
  </si>
  <si>
    <t>0064L00000Bnvyr</t>
  </si>
  <si>
    <t>TSMC NA SuccessFactors Recruiting and Onboarding</t>
  </si>
  <si>
    <t>0064L00000DFlpG</t>
  </si>
  <si>
    <t>Orasure Technologies Inc.</t>
  </si>
  <si>
    <t>Microbiome Market Analysis</t>
  </si>
  <si>
    <t>0064L000009gJme</t>
  </si>
  <si>
    <t>0064L00000DFYSt</t>
  </si>
  <si>
    <t>Magna MMLE Plant Improvement Ph. 1</t>
  </si>
  <si>
    <t>0064L00000Bmxg0</t>
  </si>
  <si>
    <t>UI Path Sales Comp Operational Assessment</t>
  </si>
  <si>
    <t>0064L00000BolVN</t>
  </si>
  <si>
    <t>Ramsbury Invest AB</t>
  </si>
  <si>
    <t>H&amp;M Payroll Assessment</t>
  </si>
  <si>
    <t>0064L00000BlasV</t>
  </si>
  <si>
    <t>Block S2P Contingent Workforce Strategy Assess &amp; Design</t>
  </si>
  <si>
    <t>0064L00000BmTZ6</t>
  </si>
  <si>
    <t>HPE - Aruba Supply Chain planning and reporting diagnostic</t>
  </si>
  <si>
    <t>0064L0000099tMR</t>
  </si>
  <si>
    <t>Workiva Stat Assessment</t>
  </si>
  <si>
    <t>0064L00000BnvuV</t>
  </si>
  <si>
    <t>BOM / Catalog Optimization</t>
  </si>
  <si>
    <t>0064L00000BoyeF</t>
  </si>
  <si>
    <t>Payroll Process Change (current to arrears and change effective dates)</t>
  </si>
  <si>
    <t>0064L00000B1tMb</t>
  </si>
  <si>
    <t>UST Innovation - Shared RAN</t>
  </si>
  <si>
    <t>0064L00000CXK0S</t>
  </si>
  <si>
    <t>FAS / xCenda Project Mgtm Support</t>
  </si>
  <si>
    <t>0064L00000CWj5p</t>
  </si>
  <si>
    <t>Comparion - Agent Life Sales Assessment</t>
  </si>
  <si>
    <t>0064L000007wIC3</t>
  </si>
  <si>
    <t>MSFT FastTrack BOM and Support - Azure</t>
  </si>
  <si>
    <t>Daniel Jorgensen</t>
  </si>
  <si>
    <t>0064L00000CVSej</t>
  </si>
  <si>
    <t>MIZUHO FINANCIAL GROUP, INC.</t>
  </si>
  <si>
    <t>Mizuho - Risk, IT, Ops, Rotational Program</t>
  </si>
  <si>
    <t>0064L00000Bm8TX</t>
  </si>
  <si>
    <t>Future of Work, Enterprise Operations People Strategy</t>
  </si>
  <si>
    <t>0064L00000Bp0n4</t>
  </si>
  <si>
    <t>Honorhealth</t>
  </si>
  <si>
    <t>Honorhealth - Talent Acquisition Re-design Phase 3</t>
  </si>
  <si>
    <t>0064L00000BlGHt</t>
  </si>
  <si>
    <t>Mike Sinyard</t>
  </si>
  <si>
    <t>Specialized Bicycle Components - EPM Assessment</t>
  </si>
  <si>
    <t>0064L00000DFlxo</t>
  </si>
  <si>
    <t>Avangrid OpCo Pension Plan Mergers</t>
  </si>
  <si>
    <t>Tim Lynch</t>
  </si>
  <si>
    <t>0064L00000Bn9vp</t>
  </si>
  <si>
    <t>Clinical Data Reporting Strategy</t>
  </si>
  <si>
    <t>0064L00000Bnq4w</t>
  </si>
  <si>
    <t>Strategy Support Q3'22 Extension</t>
  </si>
  <si>
    <t>0064L00000BecLJ</t>
  </si>
  <si>
    <t>09 Solutions, Inc</t>
  </si>
  <si>
    <t>09 Solutions - DEI</t>
  </si>
  <si>
    <t>Tony Berlingeri</t>
  </si>
  <si>
    <t>0064L00000BmITR</t>
  </si>
  <si>
    <t>Waggener Edstrom Worldwide, Inc.</t>
  </si>
  <si>
    <t>Waggener Edstrom Worldwide - Hiring Journey Assessment</t>
  </si>
  <si>
    <t>0064L0000042FRI</t>
  </si>
  <si>
    <t>340B Optimization - Patient Referral Arrangement - *Strategic Reimbursement*</t>
  </si>
  <si>
    <t>0064I000011pRqT</t>
  </si>
  <si>
    <t>W Minneapolis OpCp VII LLC</t>
  </si>
  <si>
    <t>IGP - Minneapolis Hilton</t>
  </si>
  <si>
    <t>0064L00000CYWZ2</t>
  </si>
  <si>
    <t>BIAH Core Flex Agreement</t>
  </si>
  <si>
    <t>Gianfranco Carrion</t>
  </si>
  <si>
    <t>0064L00000Bn27Z</t>
  </si>
  <si>
    <t>Aetna ACA Strategy Review P2 - Survey</t>
  </si>
  <si>
    <t>Aetna ACA Strategy Review P1</t>
  </si>
  <si>
    <t>0064L000009AOdr</t>
  </si>
  <si>
    <t>MSFT HR FY22 H2 ECD - Aspire Communications</t>
  </si>
  <si>
    <t>0064L00000DJYkl</t>
  </si>
  <si>
    <t>MS Pricing Horizontal - Q3 Extension</t>
  </si>
  <si>
    <t>Justin Lau</t>
  </si>
  <si>
    <t>0064L00000DFVU3</t>
  </si>
  <si>
    <t>Laboratorios Pisa, S.A. de C.V.</t>
  </si>
  <si>
    <t>Diagnóstico organizacional</t>
  </si>
  <si>
    <t>0064L00000DBOBE</t>
  </si>
  <si>
    <t>MSFT HR FY23 H1 TLI GLD First Year Learning</t>
  </si>
  <si>
    <t>Workforce Transformation Monthly Newsletter: Master List</t>
  </si>
  <si>
    <t>0064L00000DJVSZ</t>
  </si>
  <si>
    <t>Inventory and Demand Planning</t>
  </si>
  <si>
    <t>0064L00000DFVrl</t>
  </si>
  <si>
    <t>Eisai SP Expansion Extension</t>
  </si>
  <si>
    <t>0064L00000BoZkD</t>
  </si>
  <si>
    <t>Stephen Gould Paper Co.</t>
  </si>
  <si>
    <t>Stephen Gould - 2022 Inventory Process Gap Analysis</t>
  </si>
  <si>
    <t>Tom Yetman</t>
  </si>
  <si>
    <t>0064L00000CXsf9</t>
  </si>
  <si>
    <t>AT&amp;T Credit Market Scan - 2022</t>
  </si>
  <si>
    <t>0064L000007GEgt</t>
  </si>
  <si>
    <t>Finance Modernization - Data and Reporting Strategy #Hawk  #RocktheSEpipe</t>
  </si>
  <si>
    <t>0064L00000CY0N8</t>
  </si>
  <si>
    <t>BIAH Product Launch War Games</t>
  </si>
  <si>
    <t>0064L00000Bn1se</t>
  </si>
  <si>
    <t>Crr Holdings, Llc</t>
  </si>
  <si>
    <t>Vendor Selection</t>
  </si>
  <si>
    <t>0064L000001uk4e</t>
  </si>
  <si>
    <t>Constellation Brands Spend Analysis #S&amp;P#POD</t>
  </si>
  <si>
    <t>0064L00000Bf8fx</t>
  </si>
  <si>
    <t>ESG Strategy Proposal</t>
  </si>
  <si>
    <t>0064L00000CWxsP</t>
  </si>
  <si>
    <t>GTM Alliances Phase 2 #TMTPricing</t>
  </si>
  <si>
    <t>0064L0000099Z1Y</t>
  </si>
  <si>
    <t>News Corp Spend Analysis and Monthly Refresh - #S&amp;P#POD</t>
  </si>
  <si>
    <t>0064L00000BgZKE</t>
  </si>
  <si>
    <t>162m calculations</t>
  </si>
  <si>
    <t>0064L00000BfeeD</t>
  </si>
  <si>
    <t>The Progressive Corporation</t>
  </si>
  <si>
    <t>Potential work after Protective Sustainability Program Review and Roadmap</t>
  </si>
  <si>
    <t>0064L00000BcmuS</t>
  </si>
  <si>
    <t>GE Nuclear Medicine Tracers Opportunity Assessment - US Phase 2 #XPCONC</t>
  </si>
  <si>
    <t>0064L00000DFlkV</t>
  </si>
  <si>
    <t>Comcast_Cable Consent Management Platform - Product Owner Jul Dec 2022</t>
  </si>
  <si>
    <t>Gretchen Tipton</t>
  </si>
  <si>
    <t>0064L00000BmFvI</t>
  </si>
  <si>
    <t>MSFT DLS FY22 Project Denali (ABK) - IMO Standup</t>
  </si>
  <si>
    <t>0064L00000BoHry</t>
  </si>
  <si>
    <t>MSFT DLS FY22 Project Denali (ABK) - IMO Standup CO1</t>
  </si>
  <si>
    <t>0064L00000Boxz8</t>
  </si>
  <si>
    <t>HR M&amp;A Playbook</t>
  </si>
  <si>
    <t>0064L00000DJkrm</t>
  </si>
  <si>
    <t>New Residential Investment Corp.</t>
  </si>
  <si>
    <t>Shellpoint Investor Accounting and Investor Reporting Technology Assessment 1</t>
  </si>
  <si>
    <t>13/6/2023</t>
  </si>
  <si>
    <t>Shellpoint Investor Accounting and Investor Reporting Technology Assessment</t>
  </si>
  <si>
    <t>0064I000011oup9</t>
  </si>
  <si>
    <t>BALTIMORE HOTEL Corp.</t>
  </si>
  <si>
    <t>IGP - Hilton Baltimore</t>
  </si>
  <si>
    <t>0064L00000BnPZz</t>
  </si>
  <si>
    <t>MSFT HR FY22 TLI BEX BM</t>
  </si>
  <si>
    <t>0064L00000CX6tk</t>
  </si>
  <si>
    <t>Mirion Technologies Inc.</t>
  </si>
  <si>
    <t>Treasury Strategy &amp; Liquidity Management</t>
  </si>
  <si>
    <t>0064L00000BlYYs</t>
  </si>
  <si>
    <t>Resolution Life Group Holdings Ltd</t>
  </si>
  <si>
    <t>ResLife DTO VA - M&amp;A Playbook</t>
  </si>
  <si>
    <t>0064L000007wjfO</t>
  </si>
  <si>
    <t>Future of Commerce - Omnichannel Capability Roadmap</t>
  </si>
  <si>
    <t>Brooks Future of Commerce Phase 1 - Voice of Customer (VoC)</t>
  </si>
  <si>
    <t>0064L00000BocF3</t>
  </si>
  <si>
    <t>Hershey Trust Company</t>
  </si>
  <si>
    <t>MHS Strategic Workforce Planning Phase 2</t>
  </si>
  <si>
    <t>0064L00000BotFc</t>
  </si>
  <si>
    <t>C&amp;IS Digital Blueprint and Roadmap - Ext. 1</t>
  </si>
  <si>
    <t>0064L00000Bg8pj</t>
  </si>
  <si>
    <t>JBG Smith Properties</t>
  </si>
  <si>
    <t>Finance Function Assessment</t>
  </si>
  <si>
    <t>0064L00000BocNR</t>
  </si>
  <si>
    <t>Third Rock Ventures</t>
  </si>
  <si>
    <t>WT _ FY22 FY23 payroll loan staff</t>
  </si>
  <si>
    <t>Sharmon Priaulx</t>
  </si>
  <si>
    <t>0064L00000DJkxk</t>
  </si>
  <si>
    <t>Google Finance - Poland Site Lead Support</t>
  </si>
  <si>
    <t>0064L000009B1NG</t>
  </si>
  <si>
    <t>PSHP Performance Improvement</t>
  </si>
  <si>
    <t>0064L00000BevzD</t>
  </si>
  <si>
    <t>AdventHealth *VBO* Legacy Epic Infusion Services FY23 Extension</t>
  </si>
  <si>
    <t>AdventHealth *VBO* Legacy Epic Infusion Services</t>
  </si>
  <si>
    <t>0064L00000BoS7U</t>
  </si>
  <si>
    <t>401(k) Adhoc Support</t>
  </si>
  <si>
    <t>0064L000009B1OE</t>
  </si>
  <si>
    <t>Supply chain optimization</t>
  </si>
  <si>
    <t>0064L00000CWVnN</t>
  </si>
  <si>
    <t>INGR - Forecasting (Ops through Finance)</t>
  </si>
  <si>
    <t>0064L000009AOhU</t>
  </si>
  <si>
    <t>BPY Administrator Platform Support and Advice</t>
  </si>
  <si>
    <t>0064L00000ArPpT</t>
  </si>
  <si>
    <t>Grange - DC recordkeeping DD</t>
  </si>
  <si>
    <t>0064L00000BkyZ6</t>
  </si>
  <si>
    <t>E&amp;I Medical Policy Optimization Assessment</t>
  </si>
  <si>
    <t>0064L00000CYmAs</t>
  </si>
  <si>
    <t>Advent International Corporation</t>
  </si>
  <si>
    <t>FY22 #ESG Strategy &amp; Prioritization</t>
  </si>
  <si>
    <t>0064L000007FL9S</t>
  </si>
  <si>
    <t>Payer Services Transformation</t>
  </si>
  <si>
    <t>0064L000003zlKw</t>
  </si>
  <si>
    <t>Rocket Mortgage - Leasing tool vendor selection</t>
  </si>
  <si>
    <t>26/9/2020</t>
  </si>
  <si>
    <t>0064L00000CYL1z</t>
  </si>
  <si>
    <t>IFS Marketing Dashboards</t>
  </si>
  <si>
    <t>0064L00000CYn4g</t>
  </si>
  <si>
    <t>T-Mobile Wholesale and IoT Growth</t>
  </si>
  <si>
    <t>0064L00000BlHRk</t>
  </si>
  <si>
    <t>Change Management Op Model--Visualization/Navigator</t>
  </si>
  <si>
    <t>0064L00000DBQMO</t>
  </si>
  <si>
    <t>Toll Brothers</t>
  </si>
  <si>
    <t>Toll Brothers - SW Innovation</t>
  </si>
  <si>
    <t>0064L00000CWD2q</t>
  </si>
  <si>
    <t>August A White Institute for Healthcare Equality Inc</t>
  </si>
  <si>
    <t>Augustus White Institute</t>
  </si>
  <si>
    <t>0064L00000AqJnk</t>
  </si>
  <si>
    <t>Grupo Proeza, S.A.P.I. de C.V.</t>
  </si>
  <si>
    <t>Citrofrut - FY22 - Standard Costing</t>
  </si>
  <si>
    <t>0064L00000BlEyg</t>
  </si>
  <si>
    <t>Shine Time Management, LLC</t>
  </si>
  <si>
    <t>Woodie?s Wash Shack - Finance Project</t>
  </si>
  <si>
    <t>Frank Nowicki</t>
  </si>
  <si>
    <t>0064L00000CVsZJ</t>
  </si>
  <si>
    <t>Trimble, Inc. SEC Readiness Evaluation for ESG Disclosures</t>
  </si>
  <si>
    <t>0064L00000DBQVf</t>
  </si>
  <si>
    <t>Archroma Holdings S.a.r.l</t>
  </si>
  <si>
    <t>Adinah SK IT and Cyber DD</t>
  </si>
  <si>
    <t>Chetan Shetty</t>
  </si>
  <si>
    <t>0064L00000DFoGi</t>
  </si>
  <si>
    <t>CMO M&amp;E Culture Project</t>
  </si>
  <si>
    <t>John Colaruotolo</t>
  </si>
  <si>
    <t>0064L00000CXWlC</t>
  </si>
  <si>
    <t>Angelo, Gordon &amp; Co., L.P.</t>
  </si>
  <si>
    <t>Arc Home Mortgage Originations Process Assessment</t>
  </si>
  <si>
    <t>0064L00000B2MSh</t>
  </si>
  <si>
    <t>FB: IBOS as a Service</t>
  </si>
  <si>
    <t>0064L00000BliTd</t>
  </si>
  <si>
    <t>AR/ VR Ecommerce Strategy and Prototype</t>
  </si>
  <si>
    <t>0064I000011ouq2</t>
  </si>
  <si>
    <t>CORCORAN JENNISON HOSPITALITY LLC</t>
  </si>
  <si>
    <t>IGP - DoubleTree by Hilton Boston Downtown</t>
  </si>
  <si>
    <t>0064L00000BlERD</t>
  </si>
  <si>
    <t>Amsted Industries Inc.</t>
  </si>
  <si>
    <t>Amsted - H&amp;W Benefits</t>
  </si>
  <si>
    <t>0064L00000BfecX</t>
  </si>
  <si>
    <t>Potential work after MetLife Environmental Goals Implementation - Extension</t>
  </si>
  <si>
    <t>0064L00000BmI6m</t>
  </si>
  <si>
    <t>UNIBAIL RODAMCO WESTFIELD SE</t>
  </si>
  <si>
    <t>Finance Transformation Phase 3</t>
  </si>
  <si>
    <t>0064L00000DJiEr</t>
  </si>
  <si>
    <t>Radnet Inc.</t>
  </si>
  <si>
    <t>RadNet - HR Assessment</t>
  </si>
  <si>
    <t>0064L00000CXW6L</t>
  </si>
  <si>
    <t>AMZN Finance: Scribe Process Improvement Support</t>
  </si>
  <si>
    <t>0064L0000042A6o</t>
  </si>
  <si>
    <t>Groom Law Group Chartered</t>
  </si>
  <si>
    <t>Roth savings opportunity leveraging COLI policies</t>
  </si>
  <si>
    <t>22/11/2020</t>
  </si>
  <si>
    <t>0064L00000CGwLt</t>
  </si>
  <si>
    <t>Prima Mortgage Investment Trust, Llc</t>
  </si>
  <si>
    <t>Organizational Redesign</t>
  </si>
  <si>
    <t>0064L00000BcmmY</t>
  </si>
  <si>
    <t>NAR Rebate Strategy Assessment *Pricing*</t>
  </si>
  <si>
    <t>0064I00000ww30O</t>
  </si>
  <si>
    <t>NQ Plan Financing</t>
  </si>
  <si>
    <t>23/8/2019</t>
  </si>
  <si>
    <t>0064I00000ww31H</t>
  </si>
  <si>
    <t>Simpson Thacher &amp; Bartlett LLP</t>
  </si>
  <si>
    <t>0064L00000BfCtW</t>
  </si>
  <si>
    <t>Veritiv - Supplier Diversity</t>
  </si>
  <si>
    <t>0064L00000Bopvo</t>
  </si>
  <si>
    <t>Frontline Workforce strategy</t>
  </si>
  <si>
    <t>0064L00000B1n5X</t>
  </si>
  <si>
    <t>MSFT PowerApps target</t>
  </si>
  <si>
    <t>0064L00000BopwD</t>
  </si>
  <si>
    <t>THATGAMECOMPANY Inc.</t>
  </si>
  <si>
    <t>Performance Management Strategy - That Game Company</t>
  </si>
  <si>
    <t>0064L00000CY8Nl</t>
  </si>
  <si>
    <t>Liftoff Global Payroll RFI</t>
  </si>
  <si>
    <t>Nellie Bloom</t>
  </si>
  <si>
    <t>0064L00000CYIS5</t>
  </si>
  <si>
    <t>Expense Allocation Review #NextGenCostingMSO</t>
  </si>
  <si>
    <t>0064L00000BlX3e</t>
  </si>
  <si>
    <t>Walmart Energy as a Service (EaaS)</t>
  </si>
  <si>
    <t>0064L000004v5AJ</t>
  </si>
  <si>
    <t>DCC Public Limited Company</t>
  </si>
  <si>
    <t>DCC P&amp;O (Tax) - H&amp;W Plan Consolidation Consulting - Phase I</t>
  </si>
  <si>
    <t>0064L000009fGaX</t>
  </si>
  <si>
    <t>NGES Cost Model 2.0 Roadmap</t>
  </si>
  <si>
    <t>0064L000004vBod</t>
  </si>
  <si>
    <t>0064L00000CXfWG</t>
  </si>
  <si>
    <t>Universal Parks &amp; Resorts Tag Audit</t>
  </si>
  <si>
    <t>0064L00000CX3SD</t>
  </si>
  <si>
    <t>Development Process Diagnostic Assessment</t>
  </si>
  <si>
    <t>0064L00000Bn8zA</t>
  </si>
  <si>
    <t>Cape Fear Valley Health Systems</t>
  </si>
  <si>
    <t>*SMART* License - Cape Fear Valley Health Systems</t>
  </si>
  <si>
    <t>Peyton Alexander</t>
  </si>
  <si>
    <t>0064L000001vVAA</t>
  </si>
  <si>
    <t>*SMART* License - Northside Hospital</t>
  </si>
  <si>
    <t>0064L000001vVAK</t>
  </si>
  <si>
    <t>*SMART* License - Wellstar Health</t>
  </si>
  <si>
    <t>0064L00000DFlhg</t>
  </si>
  <si>
    <t>Performance Management Assessment</t>
  </si>
  <si>
    <t>Elizabeth Gauf</t>
  </si>
  <si>
    <t>0064L00000Bff8R</t>
  </si>
  <si>
    <t>Meta Ads and Mission Control Headcount Process Rationalization</t>
  </si>
  <si>
    <t>0064L00000DFlkf</t>
  </si>
  <si>
    <t>Corbett Technology Solutions - SSC Assessment &amp; Standup</t>
  </si>
  <si>
    <t>0064L000009gJQT</t>
  </si>
  <si>
    <t>American Standard B&amp;K México, S. de R.L. de C.V.</t>
  </si>
  <si>
    <t>FY22 - Lixil México - Optimización procesos comerciales Unidad Negocios México</t>
  </si>
  <si>
    <t>0064L00000CXfnQ</t>
  </si>
  <si>
    <t>NVA P2P Assessment: Coupa and Oracle</t>
  </si>
  <si>
    <t>ERP (Oracle Cloud)-Global BluePrint</t>
  </si>
  <si>
    <t>Steve Carlson</t>
  </si>
  <si>
    <t>0064L00000CXW2G</t>
  </si>
  <si>
    <t>AMZN Finance: Blackline Secondary Account Reconciliation</t>
  </si>
  <si>
    <t>0064L000001vV5p</t>
  </si>
  <si>
    <t>Northeast Georgia Health System</t>
  </si>
  <si>
    <t>*SMART* License - Northeast Georgia</t>
  </si>
  <si>
    <t>0064L00000CYxsI</t>
  </si>
  <si>
    <t>LifePoint Health Managed Care Strategy *Reimbursement*</t>
  </si>
  <si>
    <t>Kimberly Carlozzi</t>
  </si>
  <si>
    <t>0064L00000BoKtd</t>
  </si>
  <si>
    <t>Process Assessment via Process Mining Phase 1</t>
  </si>
  <si>
    <t>0064L00000CXD6G</t>
  </si>
  <si>
    <t>United Airlines- Fuel Management System Selection</t>
  </si>
  <si>
    <t>0064L00000BlCXT</t>
  </si>
  <si>
    <t>Avenue One Holdings LP</t>
  </si>
  <si>
    <t>Tech and Operational Assessment</t>
  </si>
  <si>
    <t>0064L000009fYQm</t>
  </si>
  <si>
    <t>Digital Upskilling (Finance)</t>
  </si>
  <si>
    <t>0064L00000BmFcV</t>
  </si>
  <si>
    <t>Freeman Decorating Co.</t>
  </si>
  <si>
    <t>Employee Preference analytics</t>
  </si>
  <si>
    <t>Nathan Mathews</t>
  </si>
  <si>
    <t>0064L00000CXvdk</t>
  </si>
  <si>
    <t>University System Of Georgia</t>
  </si>
  <si>
    <t>Investment Advisor &amp; Participant Financial Education Due Diligence</t>
  </si>
  <si>
    <t>0064L000009fYRC</t>
  </si>
  <si>
    <t>Finance Org Design Phase II (Buildout)</t>
  </si>
  <si>
    <t>0064L00000417ks</t>
  </si>
  <si>
    <t>UBS - Bank Charter/Structure review</t>
  </si>
  <si>
    <t>0064L00000Bgej4</t>
  </si>
  <si>
    <t>LEO plan redesign</t>
  </si>
  <si>
    <t>0064L00000BoKbZ</t>
  </si>
  <si>
    <t>ESG - Sustainability Assessment</t>
  </si>
  <si>
    <t>0064L00000BfQiW</t>
  </si>
  <si>
    <t>Fiber Build Process Improvement</t>
  </si>
  <si>
    <t>Jonathan Turner</t>
  </si>
  <si>
    <t>0064L00000BonFR</t>
  </si>
  <si>
    <t>Ascot Group Limited</t>
  </si>
  <si>
    <t>ETHOS Technology Strategy</t>
  </si>
  <si>
    <t>Matthew Wolff</t>
  </si>
  <si>
    <t>0064L00000BdLDv</t>
  </si>
  <si>
    <t>Cruise Llc</t>
  </si>
  <si>
    <t>Values, Behaviors and Ways of Working</t>
  </si>
  <si>
    <t>Adam Gerstein</t>
  </si>
  <si>
    <t>0064L00000DJTkI</t>
  </si>
  <si>
    <t>FFY24 Bellin Wage Index Analysis</t>
  </si>
  <si>
    <t>0064L000001w3tE</t>
  </si>
  <si>
    <t>*Rev Cycle* - Lifepoint</t>
  </si>
  <si>
    <t>0064L00000CX0xa</t>
  </si>
  <si>
    <t>Customer Engagement Technology Stack Assessment</t>
  </si>
  <si>
    <t>0064L00000CYxcP</t>
  </si>
  <si>
    <t>Nutrien Ltd.</t>
  </si>
  <si>
    <t>#IOBP -- Nutrien Portfolio and Capital Planning</t>
  </si>
  <si>
    <t>0064L00000Ar8so</t>
  </si>
  <si>
    <t>BD Global Pricing - Project Revolution - Extension *Pricing*</t>
  </si>
  <si>
    <t>BD Global Pricing - Vendavo Project - Phase 1a Extension *Pricing*</t>
  </si>
  <si>
    <t>0064L000001w3tY</t>
  </si>
  <si>
    <t>*Rev Cycle* - LVHN</t>
  </si>
  <si>
    <t>0064L000001wDuq</t>
  </si>
  <si>
    <t>Cameron Enterprises A Limited Partnership</t>
  </si>
  <si>
    <t>Finance Modernization - Phase 1</t>
  </si>
  <si>
    <t>0064L00000BnJ36</t>
  </si>
  <si>
    <t>Duracell Master Data Management Discovery</t>
  </si>
  <si>
    <t>0064L00000BoM69</t>
  </si>
  <si>
    <t>GLL Diversification phase 3</t>
  </si>
  <si>
    <t>0065800000gzgFL</t>
  </si>
  <si>
    <t>Intel - Mobileye for Smart City</t>
  </si>
  <si>
    <t>0064L00000Bnhsa</t>
  </si>
  <si>
    <t>Procurement Diagnostic</t>
  </si>
  <si>
    <t>0064L00000BolZt</t>
  </si>
  <si>
    <t>Tanium Inc.</t>
  </si>
  <si>
    <t>Tanium Growth</t>
  </si>
  <si>
    <t>Jeff Allen</t>
  </si>
  <si>
    <t>0064L00000Bo9VY</t>
  </si>
  <si>
    <t>Markus-Stiftung (Aldi-Nord)</t>
  </si>
  <si>
    <t>Merchandising Operating Model</t>
  </si>
  <si>
    <t>0064L00000CXd3v</t>
  </si>
  <si>
    <t>CVS - Kidney Care Production Prep</t>
  </si>
  <si>
    <t>Matthew Young</t>
  </si>
  <si>
    <t>0064L00000CX0U6</t>
  </si>
  <si>
    <t>Veritone Inc.</t>
  </si>
  <si>
    <t>Veritone - SW Innovation &amp; Prod Mgmt Op Model</t>
  </si>
  <si>
    <t>0064L00000CY3Vj</t>
  </si>
  <si>
    <t>Beachbody - Commissions Benchmarking &amp; Cost Analysis</t>
  </si>
  <si>
    <t>0064L00000Bg2Fl</t>
  </si>
  <si>
    <t>Navistar Well Being</t>
  </si>
  <si>
    <t>0064L000003zU1x</t>
  </si>
  <si>
    <t>AISIN CORPORATION</t>
  </si>
  <si>
    <t>Aisin - H&amp;W Benefits Assessment</t>
  </si>
  <si>
    <t>0064L00000B29Qj</t>
  </si>
  <si>
    <t>Bridger Aerospace LLC</t>
  </si>
  <si>
    <t>IPO Readiness</t>
  </si>
  <si>
    <t>0064L00000BfA2L</t>
  </si>
  <si>
    <t>Luminar Technologies, Inc.</t>
  </si>
  <si>
    <t>Luminar Location Assessment and Business Case</t>
  </si>
  <si>
    <t>0064L00000BfQSs</t>
  </si>
  <si>
    <t>ADM - Outsourcing Contracts</t>
  </si>
  <si>
    <t>0064L00000BfsXD</t>
  </si>
  <si>
    <t>Christiana Care Health System INC.</t>
  </si>
  <si>
    <t>*SMART* License - Christiana Care</t>
  </si>
  <si>
    <t>0064L000001vU67</t>
  </si>
  <si>
    <t>Cullman Regional RHC *Strategic Reimbursement*</t>
  </si>
  <si>
    <t>0064L00000DFi4X</t>
  </si>
  <si>
    <t>Children'S Health System Of Texas</t>
  </si>
  <si>
    <t>Complex Care Medical Services Assessment *Rev Cycle*</t>
  </si>
  <si>
    <t>Chandra Stephenson</t>
  </si>
  <si>
    <t>0064L00000BoHtp</t>
  </si>
  <si>
    <t>ALG Integration Planning</t>
  </si>
  <si>
    <t>0064L00000CYvUL</t>
  </si>
  <si>
    <t>Embecta Hedging Program Launch</t>
  </si>
  <si>
    <t>0064L00000Bm1mv</t>
  </si>
  <si>
    <t>Discover Digital Bank</t>
  </si>
  <si>
    <t>0064L00000DFiD0</t>
  </si>
  <si>
    <t>GALEN MEDICAL GROUP, P.C.</t>
  </si>
  <si>
    <t>Galen Medical Group Rev Cycle Assessment</t>
  </si>
  <si>
    <t>Lauren Christian</t>
  </si>
  <si>
    <t>0064L000007vogw</t>
  </si>
  <si>
    <t>NUSA Direct to Consumer Strategy</t>
  </si>
  <si>
    <t>0064L00000BlQgj</t>
  </si>
  <si>
    <t>Secure eCommerce Value Pricing Training</t>
  </si>
  <si>
    <t>0064L00000Be9ul</t>
  </si>
  <si>
    <t>DEI Employee Sentiment</t>
  </si>
  <si>
    <t>0064L00000BdGte</t>
  </si>
  <si>
    <t>Scopely Inc.</t>
  </si>
  <si>
    <t>0064L00000BnDsj</t>
  </si>
  <si>
    <t>FPL - SAP Customer Transformation Roadmap and Business Case</t>
  </si>
  <si>
    <t>0064L000007EbFF</t>
  </si>
  <si>
    <t>The Clorox Company</t>
  </si>
  <si>
    <t>Clorox Procurement &amp; Supply Chain Capability Assessment</t>
  </si>
  <si>
    <t>0064L00000BnyG3</t>
  </si>
  <si>
    <t>HOPCo Group Holdings LP</t>
  </si>
  <si>
    <t>PNS Standalone and TSA Support</t>
  </si>
  <si>
    <t>Clay Hale</t>
  </si>
  <si>
    <t>0064L00000CWpA1</t>
  </si>
  <si>
    <t>Engineering inventory management</t>
  </si>
  <si>
    <t>0064L00000CWpD5</t>
  </si>
  <si>
    <t>Vz - FPAS Capacity Management</t>
  </si>
  <si>
    <t>0064L00000Bfa5k</t>
  </si>
  <si>
    <t>FP&amp;A Automation Enablement</t>
  </si>
  <si>
    <t>Andrea Fishman</t>
  </si>
  <si>
    <t>Twilio - Super Enablement Services</t>
  </si>
  <si>
    <t>0064L00000BmBgE</t>
  </si>
  <si>
    <t>Teladoc Sales Planning &amp; TQM Detailed Scoping</t>
  </si>
  <si>
    <t>0064L00000BlbHf</t>
  </si>
  <si>
    <t>Payward, Inc.</t>
  </si>
  <si>
    <t>2022 Global Equity Consulting</t>
  </si>
  <si>
    <t>Sonia Bhasin</t>
  </si>
  <si>
    <t>0064L00000CYtIR</t>
  </si>
  <si>
    <t>ATT Biz Joe Blount Support</t>
  </si>
  <si>
    <t>0064L000007wr6F</t>
  </si>
  <si>
    <t>Microsoft Surface New Device #1 GTM Research Study - Phase 2</t>
  </si>
  <si>
    <t>0064L00000Bo6La</t>
  </si>
  <si>
    <t>Bath &amp; Body Works, Inc.</t>
  </si>
  <si>
    <t>Bath &amp; Body Works Loss Prevention Program Design</t>
  </si>
  <si>
    <t>0064L00000BfN5r</t>
  </si>
  <si>
    <t>ADM - Food Traceability (Seed-to-Fork) #InsightsFactory</t>
  </si>
  <si>
    <t>0064L000002ZGgy</t>
  </si>
  <si>
    <t>GM Aftermarket support</t>
  </si>
  <si>
    <t>0064L000001wRbY</t>
  </si>
  <si>
    <t>KOBE STEEL, LTD.</t>
  </si>
  <si>
    <t>H&amp;W Cost Assessment</t>
  </si>
  <si>
    <t>0064L00000BnvrC</t>
  </si>
  <si>
    <t>GDIT Finance Optimization</t>
  </si>
  <si>
    <t>0064L000009ftVb</t>
  </si>
  <si>
    <t>Customer Link POC/Pilot for Gerber Life</t>
  </si>
  <si>
    <t>0064L00000Boj6k</t>
  </si>
  <si>
    <t>HPE - Clari &amp; Anaplan Interlock</t>
  </si>
  <si>
    <t>0064L00000Boj7x</t>
  </si>
  <si>
    <t>HR Transformation &amp; Total Rewards</t>
  </si>
  <si>
    <t>Jade Dallon</t>
  </si>
  <si>
    <t>0064L00000DFfRT</t>
  </si>
  <si>
    <t>AA - Fuels Operating Model</t>
  </si>
  <si>
    <t>0064L00000CVHf3</t>
  </si>
  <si>
    <t>Okta, Inc.</t>
  </si>
  <si>
    <t>Okta Assessment of ESG Reporting Systems and Data Platform #ESG-TMT-Wave2</t>
  </si>
  <si>
    <t>0064L00000CVHfX</t>
  </si>
  <si>
    <t>0064L00000BoXXv</t>
  </si>
  <si>
    <t>Open Innovation</t>
  </si>
  <si>
    <t>Jorge Canto</t>
  </si>
  <si>
    <t>0064L00000Bo79V</t>
  </si>
  <si>
    <t>Dreambox Learning, Inc.</t>
  </si>
  <si>
    <t>Annual Strategic Planning Leadership Workshop</t>
  </si>
  <si>
    <t>0064L000007Ume6</t>
  </si>
  <si>
    <t>International Banking Strategy / Support</t>
  </si>
  <si>
    <t>0064L00000CYsxc</t>
  </si>
  <si>
    <t>Payables RFP</t>
  </si>
  <si>
    <t>Chuck Kreuter</t>
  </si>
  <si>
    <t>0064L00000CVkVj</t>
  </si>
  <si>
    <t>WM Market Deep Dive</t>
  </si>
  <si>
    <t>0064L00000CWmB3</t>
  </si>
  <si>
    <t>Vialto - Partner Compensation Strategy</t>
  </si>
  <si>
    <t>Andrew Skor</t>
  </si>
  <si>
    <t>0064L00000Boglp</t>
  </si>
  <si>
    <t>Marsh &amp; McLennan Companies, Inc.</t>
  </si>
  <si>
    <t>Marsh - Treasury Practices Design Support</t>
  </si>
  <si>
    <t>Marsh - TMS Selection</t>
  </si>
  <si>
    <t>0064L00000BogmT</t>
  </si>
  <si>
    <t>Profit in Inventory 2022 - Hologic</t>
  </si>
  <si>
    <t>Matthew Bruckerhoff</t>
  </si>
  <si>
    <t>0064L00000Bognb</t>
  </si>
  <si>
    <t>Altaris Capital Partners LLC.</t>
  </si>
  <si>
    <t>Kindeva Ops Assessment Ph 2</t>
  </si>
  <si>
    <t>0064L00000CXpM9</t>
  </si>
  <si>
    <t>Employee Preference Tool (Rewards)</t>
  </si>
  <si>
    <t>0064L00000BlpMW</t>
  </si>
  <si>
    <t>Aon Responsible Sourcing</t>
  </si>
  <si>
    <t>0064I0000132pRb</t>
  </si>
  <si>
    <t>*SMART* License - Indiana University Health, Inc - OP</t>
  </si>
  <si>
    <t>27/2/2020</t>
  </si>
  <si>
    <t>0064L00000AqSSD</t>
  </si>
  <si>
    <t>Cintas 2022 ESG Strategy and Targets #ESG</t>
  </si>
  <si>
    <t>Abigail Paris</t>
  </si>
  <si>
    <t>0064L00000BdXKc</t>
  </si>
  <si>
    <t>Ally Smart Auction - Canada PMO</t>
  </si>
  <si>
    <t>Margaret Kunkel</t>
  </si>
  <si>
    <t>0064L00000CVGzR</t>
  </si>
  <si>
    <t>Eli Lilly Clinical Trials Technology Strategy #medable</t>
  </si>
  <si>
    <t>Siddhartha Bhattacharya</t>
  </si>
  <si>
    <t>0064L00000Bd3sL</t>
  </si>
  <si>
    <t>Tackling the War-on-Talent</t>
  </si>
  <si>
    <t>0064L00000Bd3ri</t>
  </si>
  <si>
    <t>Managing Enterprise-Wide Transformation</t>
  </si>
  <si>
    <t>0064L00000Bd3rh</t>
  </si>
  <si>
    <t>Definition and Pilot of an Enterprise-Wide Agile Framework</t>
  </si>
  <si>
    <t>0064L00000CW8jG</t>
  </si>
  <si>
    <t>Currency Billing Support - Phase 2</t>
  </si>
  <si>
    <t>Indira Persad</t>
  </si>
  <si>
    <t>0064L00000DJNdZ</t>
  </si>
  <si>
    <t>Vital Proteins - S&amp;OP Toolkit Enablement</t>
  </si>
  <si>
    <t>0064L00000CXoXQ</t>
  </si>
  <si>
    <t>Capabilities Assessment</t>
  </si>
  <si>
    <t>Alexandra Blair Van den Berg</t>
  </si>
  <si>
    <t>0064L00000CV5mp</t>
  </si>
  <si>
    <t>Materials Demand Planning Assess and Design - Major Projects</t>
  </si>
  <si>
    <t>0064L00000CW8sS</t>
  </si>
  <si>
    <t>Innovaccer SI Opportunity - Elevate Health</t>
  </si>
  <si>
    <t>0064L000009AvMZ</t>
  </si>
  <si>
    <t>Wintrust Balance Sheet Planning and Multi-Dimensional  Profitability</t>
  </si>
  <si>
    <t>0064L00000BnCAy</t>
  </si>
  <si>
    <t>Hay Island Holding Corporation</t>
  </si>
  <si>
    <t>Procurement Roadmap Assessment</t>
  </si>
  <si>
    <t>0064L000009AUi4</t>
  </si>
  <si>
    <t>CFTC CCO Program Enhancement</t>
  </si>
  <si>
    <t>0064L00000B1szX</t>
  </si>
  <si>
    <t>CVS: D365/PowerPlatform target</t>
  </si>
  <si>
    <t>0064L00000BoUHw</t>
  </si>
  <si>
    <t>R&amp;D Talent Market Assessment</t>
  </si>
  <si>
    <t>0064L00000CYqEy</t>
  </si>
  <si>
    <t>curology Inc.</t>
  </si>
  <si>
    <t>Employee Experience Assessment and Design</t>
  </si>
  <si>
    <t>0064L00000BgMSi</t>
  </si>
  <si>
    <t>BMS Finance - Commercial_Above Market Extension</t>
  </si>
  <si>
    <t>Zachary Massa</t>
  </si>
  <si>
    <t>0064L0000099O2j</t>
  </si>
  <si>
    <t>Intel supply chain resiliency</t>
  </si>
  <si>
    <t>0064L00000CWkEl</t>
  </si>
  <si>
    <t>DTNA - Marketing Cloud POC</t>
  </si>
  <si>
    <t>0064L00000CWkEk</t>
  </si>
  <si>
    <t>GM - MarTech/Customer 360</t>
  </si>
  <si>
    <t>0064L000003zMnG</t>
  </si>
  <si>
    <t>Commercial Deposit Account Opening - Discovery</t>
  </si>
  <si>
    <t>0064L00000B22hI</t>
  </si>
  <si>
    <t>Peacehealth</t>
  </si>
  <si>
    <t>*SMART* License OP - Peacehealth</t>
  </si>
  <si>
    <t>0064L00000CWHkZ</t>
  </si>
  <si>
    <t>US Bank_Union Bank Payroll Tax Assistance_$150K</t>
  </si>
  <si>
    <t>0064L00000CWHnN</t>
  </si>
  <si>
    <t>Salesforce CRM Enhancements</t>
  </si>
  <si>
    <t>0064I00000r3cZ1</t>
  </si>
  <si>
    <t>DIGITAL REALTY TRUST, INC.</t>
  </si>
  <si>
    <t>Supply Chain Optimization</t>
  </si>
  <si>
    <t>Sean Ballington</t>
  </si>
  <si>
    <t>0064L00000BdEEo</t>
  </si>
  <si>
    <t>VETERINARY EMERGENCY GROUP P.C.</t>
  </si>
  <si>
    <t>Leadership Competency Framework and Assessment</t>
  </si>
  <si>
    <t>0064L00000DFSCf</t>
  </si>
  <si>
    <t>Farmers Insurance Exchange</t>
  </si>
  <si>
    <t>Farmers Agent Talent Strategy</t>
  </si>
  <si>
    <t>0064I00000vQF7A</t>
  </si>
  <si>
    <t>WellPet - Trade Program Structuring #RGM</t>
  </si>
  <si>
    <t>30/7/2019</t>
  </si>
  <si>
    <t>0064L000002blnM</t>
  </si>
  <si>
    <t>Accounting / ERP TAM</t>
  </si>
  <si>
    <t>0064L00000CXJjr</t>
  </si>
  <si>
    <t>HCSC - Change Navigator</t>
  </si>
  <si>
    <t>0064L000007UWnK</t>
  </si>
  <si>
    <t>ESG Prioritization Mapping &amp; Diagnostic</t>
  </si>
  <si>
    <t>0064L000007wK5d</t>
  </si>
  <si>
    <t>Microsoft Surface New Device #2 GTM Research Study</t>
  </si>
  <si>
    <t>0064L00000Boeco</t>
  </si>
  <si>
    <t>Crocs Inc.</t>
  </si>
  <si>
    <t>Crocs - Hey Dude Ops integration extension</t>
  </si>
  <si>
    <t>Kunjal Harshavat</t>
  </si>
  <si>
    <t>0064L000002al6G</t>
  </si>
  <si>
    <t>Design and Project Management Process Mining Pilot</t>
  </si>
  <si>
    <t>0064L00000Bf6fb</t>
  </si>
  <si>
    <t>Meta - Infra Benchmarking</t>
  </si>
  <si>
    <t>0064L00000BmoCm</t>
  </si>
  <si>
    <t>UHC Medical Policy Optimization Phase 2</t>
  </si>
  <si>
    <t>Mickelle Shults</t>
  </si>
  <si>
    <t>0064L00000Bo0h1</t>
  </si>
  <si>
    <t>Stride, Inc</t>
  </si>
  <si>
    <t>Sales compensation consulting</t>
  </si>
  <si>
    <t>0064L00000B2SIX</t>
  </si>
  <si>
    <t>Blue Cross Blue Shield Vermont</t>
  </si>
  <si>
    <t>Salesforce Platform Health Assessment</t>
  </si>
  <si>
    <t>0064L000009AC2Z</t>
  </si>
  <si>
    <t>E&amp;I New Market Entry Strategy Support</t>
  </si>
  <si>
    <t>0064L00000Bmns3</t>
  </si>
  <si>
    <t>Cycle Counts/PI's and Shrink Inventory Analysis</t>
  </si>
  <si>
    <t>0064L00000DJmb7</t>
  </si>
  <si>
    <t>BD PFS traceability- stakeholders mapping</t>
  </si>
  <si>
    <t>23/7/2022</t>
  </si>
  <si>
    <t>0064L00000Bnqzn</t>
  </si>
  <si>
    <t>Platinum Equity, LLC</t>
  </si>
  <si>
    <t>Edutainment Market Research</t>
  </si>
  <si>
    <t>0064L00000B2vej</t>
  </si>
  <si>
    <t>LP Template Support Q4 2022</t>
  </si>
  <si>
    <t>0064L00000B2vdD</t>
  </si>
  <si>
    <t>LP Template Support Q3 2022</t>
  </si>
  <si>
    <t>0064L00000Bp0ns</t>
  </si>
  <si>
    <t>Secretaría de Turismo</t>
  </si>
  <si>
    <t>Actualización ACB</t>
  </si>
  <si>
    <t>Jose Antonio Aguilar</t>
  </si>
  <si>
    <t>0064L00000CY7FL</t>
  </si>
  <si>
    <t>Health Actuarial Modernization - Ops Model Assessment</t>
  </si>
  <si>
    <t>George Kentros</t>
  </si>
  <si>
    <t>0064L00000BoyH3</t>
  </si>
  <si>
    <t>RDOF Extension</t>
  </si>
  <si>
    <t>0064L00000CYqNS</t>
  </si>
  <si>
    <t>MS at Work - Participant Activation June/July 2022</t>
  </si>
  <si>
    <t>Edmond Cheuk</t>
  </si>
  <si>
    <t>0064L00000CVgn3</t>
  </si>
  <si>
    <t>Permira Holdings Limited</t>
  </si>
  <si>
    <t>Value Capture - Change Order Management</t>
  </si>
  <si>
    <t>Elisa Borman</t>
  </si>
  <si>
    <t>0064L00000Ard7W</t>
  </si>
  <si>
    <t>Mitsui Fudosan Co., Ltd.</t>
  </si>
  <si>
    <t>Mitsui Fudosan America - Finance Assessment</t>
  </si>
  <si>
    <t>Renzo Donizetti</t>
  </si>
  <si>
    <t>0064L00000DFRia</t>
  </si>
  <si>
    <t>2022 BMS Finance Integration (LER/Rhine) - Addendum #3 (EAMT)</t>
  </si>
  <si>
    <t>0064L00000BoLyP</t>
  </si>
  <si>
    <t>AES Clean Energy Finance Assessment Close to Report</t>
  </si>
  <si>
    <t>0064L00000BonSC</t>
  </si>
  <si>
    <t>CSL Web Design Extension</t>
  </si>
  <si>
    <t>0064L00000BoZsv</t>
  </si>
  <si>
    <t>Saratoga Benchmarking license (US and Global) winback - Willis Towers Watson</t>
  </si>
  <si>
    <t>Phuong Tran</t>
  </si>
  <si>
    <t>0064L00000CYtBF</t>
  </si>
  <si>
    <t>Fulfillment Chargeback Assessment</t>
  </si>
  <si>
    <t>0064L00000Bf6Vv</t>
  </si>
  <si>
    <t>Waymo Phase 2 Supplier Diversity Future State &amp; Roadmap #ESG</t>
  </si>
  <si>
    <t>Waymo Phase 1 Supplier Diversity Mission / Vision &amp; Exec Preso #ESG</t>
  </si>
  <si>
    <t>0064L00000BnyIJ</t>
  </si>
  <si>
    <t>Torquest Partners Inc.</t>
  </si>
  <si>
    <t>Thomas Dallaire</t>
  </si>
  <si>
    <t>0064L00000DJVwF</t>
  </si>
  <si>
    <t>MUFG LIBOR CLM - Phase 3</t>
  </si>
  <si>
    <t>Jacob Kindberg</t>
  </si>
  <si>
    <t>0064L00000Aqbr2</t>
  </si>
  <si>
    <t>International Business Machines Corporation</t>
  </si>
  <si>
    <t>Saratoga Benchmarking renewal license - IBM</t>
  </si>
  <si>
    <t>0064I00001317Gl</t>
  </si>
  <si>
    <t>Millennium Hotel</t>
  </si>
  <si>
    <t>IGP - Millennium Hilton Hotel</t>
  </si>
  <si>
    <t>0064L00000BmzWg</t>
  </si>
  <si>
    <t>Internal Audit 2022 Competency Assessment</t>
  </si>
  <si>
    <t>Stefanie Goldberg</t>
  </si>
  <si>
    <t>0064L00000BoDIs</t>
  </si>
  <si>
    <t>Altos  Labs, Inc.</t>
  </si>
  <si>
    <t>ERP Software Selection</t>
  </si>
  <si>
    <t>0064L00000CYq8C</t>
  </si>
  <si>
    <t>HR Maturity Assessment</t>
  </si>
  <si>
    <t>0064L00000Bo2RZ</t>
  </si>
  <si>
    <t>GE Separation - 2022-2023 ASC 712 Postemployment Benefits</t>
  </si>
  <si>
    <t>Warren Cheung See Kit</t>
  </si>
  <si>
    <t>0064L00000BlUrv</t>
  </si>
  <si>
    <t>Transformación Centralizadores Coppel</t>
  </si>
  <si>
    <t>31/3/2022 4:49 pm</t>
  </si>
  <si>
    <t>0064L00000BoQBh</t>
  </si>
  <si>
    <t>University Of Utah Hospitals And Clinics</t>
  </si>
  <si>
    <t>*CDMCT* Experience Transition to Qualtrics</t>
  </si>
  <si>
    <t>0064L00000BnNNN</t>
  </si>
  <si>
    <t>Airline Pilots Association International</t>
  </si>
  <si>
    <t>FedEx ALPA - pension plan consulting</t>
  </si>
  <si>
    <t>Eric Nelson</t>
  </si>
  <si>
    <t>0064L00000CVRlP</t>
  </si>
  <si>
    <t>HPE Sustainability GTM #ESG-TMT-Wave1</t>
  </si>
  <si>
    <t>0064L00000BlExd</t>
  </si>
  <si>
    <t>Ascension Health | WebMD/Krames/Salesforce work</t>
  </si>
  <si>
    <t>0064L00000BfwxZ</t>
  </si>
  <si>
    <t>VillageMD</t>
  </si>
  <si>
    <t>VBC Assessment</t>
  </si>
  <si>
    <t>Glynn Davis</t>
  </si>
  <si>
    <t>0064L00000BeRQC</t>
  </si>
  <si>
    <t>Pivot Bio - Impact Reporting and Roadmap</t>
  </si>
  <si>
    <t>0064L00000CYY4L</t>
  </si>
  <si>
    <t>Aeye, INC</t>
  </si>
  <si>
    <t>Coupa P2I (Corp)</t>
  </si>
  <si>
    <t>0064L000009fY0j</t>
  </si>
  <si>
    <t>Indigo Workforce Transformation</t>
  </si>
  <si>
    <t>Elizabeth Wardwell</t>
  </si>
  <si>
    <t>0064L00000BmFWN</t>
  </si>
  <si>
    <t>Live Oak Next Gen product discovery  #&lt;$50B</t>
  </si>
  <si>
    <t>0064L00000BgekM</t>
  </si>
  <si>
    <t>Shell - Terminal Modernization Catalyst Event</t>
  </si>
  <si>
    <t>0064L00000CWQIZ</t>
  </si>
  <si>
    <t>0064L00000BoKOG</t>
  </si>
  <si>
    <t>MS at Work - Participant Activation May 2022</t>
  </si>
  <si>
    <t>0064L00000Bm2He</t>
  </si>
  <si>
    <t>Access Industries, Inc.</t>
  </si>
  <si>
    <t>Crypto/NFT Set-up</t>
  </si>
  <si>
    <t>Robert Roman</t>
  </si>
  <si>
    <t>0064L00000CYAlS</t>
  </si>
  <si>
    <t>Global Payroll Design Phase 1</t>
  </si>
  <si>
    <t>0064L00000CYBRB</t>
  </si>
  <si>
    <t>Citrix CDP Assessment &amp; Design</t>
  </si>
  <si>
    <t>0064L00000CYBRk</t>
  </si>
  <si>
    <t>Citrix CDP Implementation</t>
  </si>
  <si>
    <t>0064L00000DFWFd</t>
  </si>
  <si>
    <t>VIRGIN GROUP HOLDINGS LIMITED</t>
  </si>
  <si>
    <t>Financial-Model Support</t>
  </si>
  <si>
    <t>Jonas Niermann</t>
  </si>
  <si>
    <t>0064L000009AI8T</t>
  </si>
  <si>
    <t>Aspirus Inc.</t>
  </si>
  <si>
    <t>Acension Acquisition FICA Refund Opportunity</t>
  </si>
  <si>
    <t>0064L00000CVIC2</t>
  </si>
  <si>
    <t>Robins Kaplan LLP</t>
  </si>
  <si>
    <t>WT - 2022 Cash Balance Plan Feasibility and Implementation</t>
  </si>
  <si>
    <t>Shep Price</t>
  </si>
  <si>
    <t>0064L000007wquP</t>
  </si>
  <si>
    <t>PwC Partner Affairs Surveys</t>
  </si>
  <si>
    <t>0064L00000CYQNW</t>
  </si>
  <si>
    <t>MSFT HR TLI FY23 Q1 Leadership Signals Support</t>
  </si>
  <si>
    <t>Matthew Hylton</t>
  </si>
  <si>
    <t>0064L00000CXMxI</t>
  </si>
  <si>
    <t>FIS Payment Solution for GSK</t>
  </si>
  <si>
    <t>0064L00000BntPx</t>
  </si>
  <si>
    <t>Barings_Change Management &amp; Technology #FOW</t>
  </si>
  <si>
    <t>Danielle Casale</t>
  </si>
  <si>
    <t>0064I000015Td0g</t>
  </si>
  <si>
    <t>UofMizzou Transfer DRG Analysis *Strategic Reimbursement*</t>
  </si>
  <si>
    <t>15/5/2020</t>
  </si>
  <si>
    <t>0064L00000BoeMH</t>
  </si>
  <si>
    <t>CF Industries Inc.</t>
  </si>
  <si>
    <t>CF: ESG System Implementation - Sphera Core to Cloud Migration</t>
  </si>
  <si>
    <t>0064L00000BoeN4</t>
  </si>
  <si>
    <t>Sun Chemical Corporation</t>
  </si>
  <si>
    <t>SunChemical: ESG System Implementation - Sphera Core to Cloud Migration</t>
  </si>
  <si>
    <t>0064L00000BoeNJ</t>
  </si>
  <si>
    <t>Air Products &amp; Chemicals Inc.</t>
  </si>
  <si>
    <t>AirProducts: ESG System Implementation - Sphera Core to Cloud Migration</t>
  </si>
  <si>
    <t>0064L00000BodxG</t>
  </si>
  <si>
    <t>COGS Modeling</t>
  </si>
  <si>
    <t>0064L00000Bgeq2</t>
  </si>
  <si>
    <t>Onboarding Equipos Agiles TI</t>
  </si>
  <si>
    <t>28/6/2022</t>
  </si>
  <si>
    <t>0064L0000097chx</t>
  </si>
  <si>
    <t>State Of Alabama</t>
  </si>
  <si>
    <t>University of Alabama Health - *SMART* IP and OP License Renewal - FY22</t>
  </si>
  <si>
    <t>0064L000009B1eK</t>
  </si>
  <si>
    <t>Employers Mutual Casualty Company</t>
  </si>
  <si>
    <t>EMC Small Commercial Strategy</t>
  </si>
  <si>
    <t>0064L00000BnN4f</t>
  </si>
  <si>
    <t>Weatherford - Sustainability Workshop #ESG</t>
  </si>
  <si>
    <t>0064L00000BmI84</t>
  </si>
  <si>
    <t>MS at Work - Retirement Controls Review Addendum 1</t>
  </si>
  <si>
    <t>0064L00000DFo3A</t>
  </si>
  <si>
    <t>Fiber Telco Colocation Analysis</t>
  </si>
  <si>
    <t>0064L00000CYF2Z</t>
  </si>
  <si>
    <t>Whirlpool FY22 #ESG Materiality Assessment</t>
  </si>
  <si>
    <t>0064L00000CXczf</t>
  </si>
  <si>
    <t>ADM - Llamasoft Coach</t>
  </si>
  <si>
    <t>0064L00000DJTuv</t>
  </si>
  <si>
    <t>Gilead Global Pricing SAP Integration Extension</t>
  </si>
  <si>
    <t>0064L00000BgT2Z</t>
  </si>
  <si>
    <t>Project Connect AP/AR Support</t>
  </si>
  <si>
    <t>0064L00000CYtin</t>
  </si>
  <si>
    <t>Amazon Finance: HFM PM Support - Extension 3</t>
  </si>
  <si>
    <t>0064L00000CVm3m</t>
  </si>
  <si>
    <t>Vizio Holding Corp</t>
  </si>
  <si>
    <t>Equity Stabilization &amp; Payroll Tax Health Check</t>
  </si>
  <si>
    <t>Giovanni Zammiello</t>
  </si>
  <si>
    <t>0064L00000CYBaH</t>
  </si>
  <si>
    <t>Stericycle INC.</t>
  </si>
  <si>
    <t>Car allowance tax analysis</t>
  </si>
  <si>
    <t>0064L000009AzAh</t>
  </si>
  <si>
    <t>Citrofrut - FY22 - Implementation Fit for Growth Phase 1</t>
  </si>
  <si>
    <t>27/11/2021</t>
  </si>
  <si>
    <t>0064L00000BoymY</t>
  </si>
  <si>
    <t>PAN - LTQ Initiative</t>
  </si>
  <si>
    <t>Holly Kelley</t>
  </si>
  <si>
    <t>0064L000003zN87</t>
  </si>
  <si>
    <t>HBSE Holdco LP</t>
  </si>
  <si>
    <t>Supplier Diversity Assessment - #PCS #ESG</t>
  </si>
  <si>
    <t>0064L000009AfPS</t>
  </si>
  <si>
    <t>Hershey Entertainment &amp; Resorts Company</t>
  </si>
  <si>
    <t>Customer Link - Hershey Entertainment &amp; Resorts</t>
  </si>
  <si>
    <t>Dan Renner</t>
  </si>
  <si>
    <t>AD_DT_AA_DIGITAL_TRANSCEND TECH_10FY22_CUSTOMER LINK CMSWIRE CONTENT SYNDICATION</t>
  </si>
  <si>
    <t>Krishna Shah</t>
  </si>
  <si>
    <t>0064L00000CVgP6</t>
  </si>
  <si>
    <t>MS at Work - Retirement Solutions Controls and Roadmap</t>
  </si>
  <si>
    <t>0064L00000BmN68</t>
  </si>
  <si>
    <t>Stormont-Vail Health Care Inc.</t>
  </si>
  <si>
    <t>Stormont-Vail Rural Health Clinic Conversion *Strategic Reimbursement*</t>
  </si>
  <si>
    <t>0064L000004woKP</t>
  </si>
  <si>
    <t>Amentum Holdings Llc</t>
  </si>
  <si>
    <t>DC Investment Advisor Record Keeper Diligence</t>
  </si>
  <si>
    <t>0064L00000BlQ97</t>
  </si>
  <si>
    <t>Internal Partner Affairs- Feedback Tool</t>
  </si>
  <si>
    <t>Courtney Lennartz</t>
  </si>
  <si>
    <t>0064L00000Bo4gC</t>
  </si>
  <si>
    <t>MS Banks IT Change Management Addendum 2</t>
  </si>
  <si>
    <t>0064L00000Bp2M0</t>
  </si>
  <si>
    <t>GWLifeCo 2022 IT Leadership Workshop Support</t>
  </si>
  <si>
    <t>0064L00000B2vdH</t>
  </si>
  <si>
    <t>LP1P Support Q4 2022</t>
  </si>
  <si>
    <t>0064L00000B2vdC</t>
  </si>
  <si>
    <t>LP1P Support Q3 2022</t>
  </si>
  <si>
    <t>0064L00000DFm5P</t>
  </si>
  <si>
    <t>Super Kiosko, S.A. de C.V.</t>
  </si>
  <si>
    <t>Digital Wallet Market Entry Strategy Evaluation</t>
  </si>
  <si>
    <t>Ankit Sharma</t>
  </si>
  <si>
    <t>0064L00000CWN3A</t>
  </si>
  <si>
    <t>Portfolio Management and Project Controls Assessment Refresh and Roadmap</t>
  </si>
  <si>
    <t>0064L00000BntPT</t>
  </si>
  <si>
    <t>National Rural Electric Cooperative</t>
  </si>
  <si>
    <t>NRECA GBP claims assessment</t>
  </si>
  <si>
    <t>Nathan Scavello</t>
  </si>
  <si>
    <t>0064L00000DJiOX</t>
  </si>
  <si>
    <t>W. P. Carey Inc</t>
  </si>
  <si>
    <t>D&amp;I Education Session Phase 2</t>
  </si>
  <si>
    <t>0064L00000CY93Z</t>
  </si>
  <si>
    <t>MSFT DLS FY22 EXO IMO Support - Change Order 6</t>
  </si>
  <si>
    <t>Savanna Milton</t>
  </si>
  <si>
    <t>0064L00000BnPZp</t>
  </si>
  <si>
    <t>MSFT HR FY22 TLI TLX Course Intake Process Design</t>
  </si>
  <si>
    <t>0064I00000zRBwl</t>
  </si>
  <si>
    <t>The Silver Hotel Group Ruparell Foundation</t>
  </si>
  <si>
    <t>IGP - The Silver Hotel Group</t>
  </si>
  <si>
    <t>0064L00000Bmzki</t>
  </si>
  <si>
    <t>Oxy - ESG - Occupational Health Software Selection</t>
  </si>
  <si>
    <t>0064L00000BoldW</t>
  </si>
  <si>
    <t>MSFT MAVS HR FY22 ABK HR PMO Launch SOW</t>
  </si>
  <si>
    <t>25/5/2022 2:12 am</t>
  </si>
  <si>
    <t>Sara Slayton</t>
  </si>
  <si>
    <t>0064L00000CYTi6</t>
  </si>
  <si>
    <t>PepsiCo GBS Digital Factory Tech Staff Aug</t>
  </si>
  <si>
    <t>Mike Stachowiak</t>
  </si>
  <si>
    <t>0064L00000Bo6p6</t>
  </si>
  <si>
    <t>Grid Mod OT PMO - PD Phase B #PMaaS</t>
  </si>
  <si>
    <t>0064L00000BnTcK</t>
  </si>
  <si>
    <t>FMR LLC</t>
  </si>
  <si>
    <t>Reinsurance management compensation benchmarking</t>
  </si>
  <si>
    <t>0064I000014Jkd1</t>
  </si>
  <si>
    <t>Coding Assessment *Rev Cycle*</t>
  </si>
  <si>
    <t>27/3/2020</t>
  </si>
  <si>
    <t>April Puzauskas</t>
  </si>
  <si>
    <t>0064I00000zRCSR</t>
  </si>
  <si>
    <t>MH Hotels (Meadowvale) Ltd.</t>
  </si>
  <si>
    <t>IGP - MH Hotels</t>
  </si>
  <si>
    <t>0064I000011ouwk</t>
  </si>
  <si>
    <t>INTEGRATED CAPITAL LLC</t>
  </si>
  <si>
    <t>IGP - DoubleTree Resort by Hilton Myrtle Beach Oceanfront</t>
  </si>
  <si>
    <t>0064L00000Bd6Wy</t>
  </si>
  <si>
    <t>Wakemed</t>
  </si>
  <si>
    <t>*SMART* License - OP- WakeMed Health &amp; Hospitals</t>
  </si>
  <si>
    <t>0064L0000041PGe</t>
  </si>
  <si>
    <t>Grupo Jumex, S.A. de C.V.</t>
  </si>
  <si>
    <t>Finance RPA</t>
  </si>
  <si>
    <t>0064L00000CWWsU</t>
  </si>
  <si>
    <t>MembershipConnect Alteryx</t>
  </si>
  <si>
    <t>0064L0000070nom</t>
  </si>
  <si>
    <t>ESG Strategy &amp; Reporting</t>
  </si>
  <si>
    <t>0064L000009ARkv</t>
  </si>
  <si>
    <t>Deere - Workiva Implementation Support</t>
  </si>
  <si>
    <t>0064L000007xO7t</t>
  </si>
  <si>
    <t>Employment Tax Consulting</t>
  </si>
  <si>
    <t>0064L00000BfzLU</t>
  </si>
  <si>
    <t>Atwell LLC</t>
  </si>
  <si>
    <t>Atwell HR data review</t>
  </si>
  <si>
    <t>Rikki Schwartz</t>
  </si>
  <si>
    <t>0064L000002ZRXn</t>
  </si>
  <si>
    <t>Novartis AG</t>
  </si>
  <si>
    <t>#QMS Quality &amp; Digital Transformation - Novartis</t>
  </si>
  <si>
    <t>0064L000001uhHQ</t>
  </si>
  <si>
    <t>26/5/2023</t>
  </si>
  <si>
    <t>0064L000002ZS2Z</t>
  </si>
  <si>
    <t>Ancala Bioenergy Holdco Limited</t>
  </si>
  <si>
    <t>#QMS Quality &amp; Digital Transformation - Biogen</t>
  </si>
  <si>
    <t>0064L00000BocKD</t>
  </si>
  <si>
    <t>Wellington Management Group LLP</t>
  </si>
  <si>
    <t>WT FY22 - FY23 MD Life Insurance global tax diligence</t>
  </si>
  <si>
    <t>0064L00000CWxao</t>
  </si>
  <si>
    <t>Geisinger Health: Pharmacy Optimization *FFG*</t>
  </si>
  <si>
    <t>0064L000001uhLc</t>
  </si>
  <si>
    <t>0064L00000CWxdp</t>
  </si>
  <si>
    <t>Memorial Hermann: Cost Optimization *FFG*</t>
  </si>
  <si>
    <t>0064L000002ZRWL</t>
  </si>
  <si>
    <t>SANOFI</t>
  </si>
  <si>
    <t>#QMS Digital Quality Transformation - Sanofi</t>
  </si>
  <si>
    <t>0064L000002ZRWM</t>
  </si>
  <si>
    <t>#QMS Quality &amp; Digital Transformation - Sanofi</t>
  </si>
  <si>
    <t>0064L00000BfFuz</t>
  </si>
  <si>
    <t>Pricing Roadmap and Architecture</t>
  </si>
  <si>
    <t>0064L00000BoS41</t>
  </si>
  <si>
    <t>Garland Industries INC.</t>
  </si>
  <si>
    <t>Garland Industries 2022 ESOP Consulting</t>
  </si>
  <si>
    <t>Chad Longa</t>
  </si>
  <si>
    <t>0064L00000Bp2r4</t>
  </si>
  <si>
    <t>Valero - OneStream implementation design Phase 0</t>
  </si>
  <si>
    <t>0064L00000B1mz5</t>
  </si>
  <si>
    <t>VCI Subscription Model support - assess and recommend (audi reLease)</t>
  </si>
  <si>
    <t>0064L000001uh89</t>
  </si>
  <si>
    <t>Brunswick Corporation</t>
  </si>
  <si>
    <t>0064L000001uy8L</t>
  </si>
  <si>
    <t>RPM International</t>
  </si>
  <si>
    <t>0064L000001uy8M</t>
  </si>
  <si>
    <t>Snap-On Incorporated</t>
  </si>
  <si>
    <t>Oracle Cloud - On Prem Hyperion to the Cloud (Tools Group)</t>
  </si>
  <si>
    <t>0064L00000CX7oO</t>
  </si>
  <si>
    <t>Enhance Customer Profile with Social Handle Data</t>
  </si>
  <si>
    <t>0064L00000997NA</t>
  </si>
  <si>
    <t>P&amp;G - Medical Device Software Work Process Development</t>
  </si>
  <si>
    <t>Michael Argadine</t>
  </si>
  <si>
    <t>0064L00000DJZFU</t>
  </si>
  <si>
    <t>TBOM BaaS  Provider Assessment / Evaluation CO1 - Extension</t>
  </si>
  <si>
    <t>0064L000007FLC5</t>
  </si>
  <si>
    <t>Change Healthcare Integration</t>
  </si>
  <si>
    <t>0064L00000B330N</t>
  </si>
  <si>
    <t>Revelstoke Capital Partners LLC</t>
  </si>
  <si>
    <t>Beacon Orthopaedic Partners *VBO* Project Jade A/R Analysis</t>
  </si>
  <si>
    <t>Maliah Gleaton</t>
  </si>
  <si>
    <t>0064L00000ArqYo</t>
  </si>
  <si>
    <t>Qurate - Martech Advisory</t>
  </si>
  <si>
    <t>0064L00000Bg7p4</t>
  </si>
  <si>
    <t>Best Buy Health - Tech Portfolio Op Model and Roadmap</t>
  </si>
  <si>
    <t>0064L00000Bew2M</t>
  </si>
  <si>
    <t>WM IE&amp;D Data Tools and Analysis</t>
  </si>
  <si>
    <t>0064L00000BgYrg</t>
  </si>
  <si>
    <t>Peter G Angelos Revocable Trust</t>
  </si>
  <si>
    <t>Baltimore Orioles NFT Strategy</t>
  </si>
  <si>
    <t>SC_TMT_AA_TRANSFORM_INDUSTRY_CEO_03FY22_SPORTS_OUTLOOK_FORM_FILLS</t>
  </si>
  <si>
    <t>0064L00000DJkUc</t>
  </si>
  <si>
    <t>USB Marketo Developer Support</t>
  </si>
  <si>
    <t>0064L00000CWgEO</t>
  </si>
  <si>
    <t>Pm Pediatrics Management Group LLC</t>
  </si>
  <si>
    <t>PM Pediatrics FP&amp;A MS</t>
  </si>
  <si>
    <t>0064L00000Bcq2B</t>
  </si>
  <si>
    <t>0064L0000068zob</t>
  </si>
  <si>
    <t>DTCC - FP&amp;A</t>
  </si>
  <si>
    <t>AD_CA_FFG_EV_FFG_BUSINESS TRANSFORMATION_QWNTHX4TC43_12FY21_FP&amp;A ROUNDTABLE</t>
  </si>
  <si>
    <t>0064L00000CXzjw</t>
  </si>
  <si>
    <t>BJC HealthCare</t>
  </si>
  <si>
    <t>BJC - Strategy, M/A</t>
  </si>
  <si>
    <t>0064L00000Bkwhc</t>
  </si>
  <si>
    <t>Roku - Financial Close Optimization</t>
  </si>
  <si>
    <t>0064L00000BoPpW</t>
  </si>
  <si>
    <t>Spotify - Talent Acquisition Automation &amp; Dashboard</t>
  </si>
  <si>
    <t>0064L00000BobWD</t>
  </si>
  <si>
    <t>Blackstone RE - Deal Management Process Analysis</t>
  </si>
  <si>
    <t>0064L0000099l3R</t>
  </si>
  <si>
    <t>Jones Day Limited Partnership</t>
  </si>
  <si>
    <t>Jones Day Procurement on Demand/Org Design #S&amp;P#POD</t>
  </si>
  <si>
    <t>0064L00000Bdayk</t>
  </si>
  <si>
    <t>AT&amp;T Business - AEP</t>
  </si>
  <si>
    <t>0064L00000CXYPg</t>
  </si>
  <si>
    <t>Embecta Marketing Competencies</t>
  </si>
  <si>
    <t>0064L00000Bo08L</t>
  </si>
  <si>
    <t>GBS Benchmark &amp; Advisory Services -</t>
  </si>
  <si>
    <t>0064L00000BoPz2</t>
  </si>
  <si>
    <t>Ideal Integrations LLC</t>
  </si>
  <si>
    <t>Finance platform #Intacct</t>
  </si>
  <si>
    <t>Daniel Moses</t>
  </si>
  <si>
    <t>0064L000009Aajh</t>
  </si>
  <si>
    <t>Mayo Rural Health Clinic *Strategic Reimbursement*</t>
  </si>
  <si>
    <t>0064L000009AakL</t>
  </si>
  <si>
    <t>Ascension Healthcare PLC</t>
  </si>
  <si>
    <t>Ascension Rural Health Clinics *Strategic Reimbursement*</t>
  </si>
  <si>
    <t>0064L00000CYL4j</t>
  </si>
  <si>
    <t>NFR Function Project Management Support</t>
  </si>
  <si>
    <t>Sharon Samuel</t>
  </si>
  <si>
    <t>0064L00000CXXs6</t>
  </si>
  <si>
    <t>RJ - CRM Tool to Improve FA Experience &amp; Product Support</t>
  </si>
  <si>
    <t>0064L0000099l66</t>
  </si>
  <si>
    <t>AMN Healthcare Services, Inc.</t>
  </si>
  <si>
    <t>AMN Procurement on Demand #S&amp;P#POD</t>
  </si>
  <si>
    <t>0064L00000CYIUP</t>
  </si>
  <si>
    <t>Bank Optimization and Rationalization</t>
  </si>
  <si>
    <t>0064L00000CXWWA</t>
  </si>
  <si>
    <t>DEI Leadership Experiences</t>
  </si>
  <si>
    <t>Devon Van Buren</t>
  </si>
  <si>
    <t>0064L00000CVru6</t>
  </si>
  <si>
    <t>Comcast Business - Sales Comp Design</t>
  </si>
  <si>
    <t>0064L00000CVc3j</t>
  </si>
  <si>
    <t>American Physiological Society</t>
  </si>
  <si>
    <t>2022 APS Compensation Consulting</t>
  </si>
  <si>
    <t>Emily Sinclair</t>
  </si>
  <si>
    <t>0064L00000CGwjr</t>
  </si>
  <si>
    <t>BD - Contract Mgmt Analysis</t>
  </si>
  <si>
    <t>Jessa Davis</t>
  </si>
  <si>
    <t>0064L0000041Lw3</t>
  </si>
  <si>
    <t>TD Bank_Card strategy support</t>
  </si>
  <si>
    <t>0064L00000DJk1z</t>
  </si>
  <si>
    <t>MS Project Apollo - Addendum 1</t>
  </si>
  <si>
    <t>Gaurav Shukla</t>
  </si>
  <si>
    <t>Daniel Pack</t>
  </si>
  <si>
    <t>0064L00000Bg849</t>
  </si>
  <si>
    <t>Retail Media - US in Support of UK/DE</t>
  </si>
  <si>
    <t>0064I00000vPyiV</t>
  </si>
  <si>
    <t>DTCC - Workforce of the Future</t>
  </si>
  <si>
    <t>0064L00000CVsa2</t>
  </si>
  <si>
    <t>Project Switzerland: Access &amp; SFDC</t>
  </si>
  <si>
    <t>0064L00000BgZ8c</t>
  </si>
  <si>
    <t>Front Office Capability</t>
  </si>
  <si>
    <t>Josh Peters</t>
  </si>
  <si>
    <t>Sara Miller</t>
  </si>
  <si>
    <t>0064L000007xYtA</t>
  </si>
  <si>
    <t>Wilsquare Capital LLC</t>
  </si>
  <si>
    <t>Versare ERC Analysis</t>
  </si>
  <si>
    <t>Tom Klein</t>
  </si>
  <si>
    <t>0064L00000CWUEO</t>
  </si>
  <si>
    <t>HP CS SSC MDM Additional PS Automation</t>
  </si>
  <si>
    <t>HP CS SSC MDM Governance CO</t>
  </si>
  <si>
    <t>0064L000007xYwn</t>
  </si>
  <si>
    <t>Harbour Group Industries Inc.</t>
  </si>
  <si>
    <t>Thibault/WF Enterprises, Inc. ERC Analysis and Calculations</t>
  </si>
  <si>
    <t>0064L000007xYwJ</t>
  </si>
  <si>
    <t>CPS Products - ERC Analysis and Computations</t>
  </si>
  <si>
    <t>0064L000007xYvG</t>
  </si>
  <si>
    <t>Cattron  ERC Analysis and Calculations</t>
  </si>
  <si>
    <t>0064L000001u31S</t>
  </si>
  <si>
    <t>Pension Live Online Administration System</t>
  </si>
  <si>
    <t>Shedonne Lawrence</t>
  </si>
  <si>
    <t>0064L00000CWwQE</t>
  </si>
  <si>
    <t>BBYH - Revenue Cycle Management Phase 0</t>
  </si>
  <si>
    <t>0064L00000DFoXV</t>
  </si>
  <si>
    <t>Legal Business Services</t>
  </si>
  <si>
    <t>0064L00000BnN9G</t>
  </si>
  <si>
    <t>Marketing Analytics Roadmap</t>
  </si>
  <si>
    <t>0064L000009fIIE</t>
  </si>
  <si>
    <t>LifePoint Medicare &amp; Medicaid Reimbursement Assessment - *Strategic Reimbursement*</t>
  </si>
  <si>
    <t>0064L00000BlESL</t>
  </si>
  <si>
    <t>Barack Ferrazzano Kirschbaum &amp; Nagelberg LLP</t>
  </si>
  <si>
    <t>BFKN - H&amp;W Benefits</t>
  </si>
  <si>
    <t>0064I00000wwTGq</t>
  </si>
  <si>
    <t>General Ledger Standardization</t>
  </si>
  <si>
    <t>31/8/2019</t>
  </si>
  <si>
    <t>0064L00000DJhfh</t>
  </si>
  <si>
    <t>Inovio Budget Process Support</t>
  </si>
  <si>
    <t>0064L000003zGlV</t>
  </si>
  <si>
    <t>Country CLIC 2.0 Life PAS Transformation Mobilization</t>
  </si>
  <si>
    <t>Matthew Hurlbut</t>
  </si>
  <si>
    <t>0064L00000CYI9o</t>
  </si>
  <si>
    <t>PaloAltoNetworks - Renewals Testing Support</t>
  </si>
  <si>
    <t>0064L00000Bnmb2</t>
  </si>
  <si>
    <t>Contracts and Tenders Assessment</t>
  </si>
  <si>
    <t>0064L00000Bfx20</t>
  </si>
  <si>
    <t>FCCS - Application Migration (new SKU)</t>
  </si>
  <si>
    <t>0064L00000DJXOo</t>
  </si>
  <si>
    <t>Mt Sinai: Digital Marketing Transformation</t>
  </si>
  <si>
    <t>0064L00000BmIAj</t>
  </si>
  <si>
    <t>Corn Syrup / Supply Chain Commodity Solutions</t>
  </si>
  <si>
    <t>Mahadevan Thantry</t>
  </si>
  <si>
    <t>0064L00000BoOGu</t>
  </si>
  <si>
    <t>ESG - Reporting - Workiva</t>
  </si>
  <si>
    <t>0064L000004vxy2</t>
  </si>
  <si>
    <t>Cornell University</t>
  </si>
  <si>
    <t>WCMC Mission Based Assessment</t>
  </si>
  <si>
    <t>0064L00000BfCmg</t>
  </si>
  <si>
    <t>TX Marketplace Remediation</t>
  </si>
  <si>
    <t>0064L000004xM9X</t>
  </si>
  <si>
    <t>RGM as Service</t>
  </si>
  <si>
    <t>0064L00000BnKiM</t>
  </si>
  <si>
    <t>HP CX Pilot PM Extension</t>
  </si>
  <si>
    <t>0064L00000CYYgP</t>
  </si>
  <si>
    <t>Employee Resource Group (ERG) Relaunch</t>
  </si>
  <si>
    <t>0064L0000099GXN</t>
  </si>
  <si>
    <t>#QMS Digital Quality Transformation</t>
  </si>
  <si>
    <t>0064L00000CYYjJ</t>
  </si>
  <si>
    <t>HC Upskilling (recruiting function)</t>
  </si>
  <si>
    <t>0064L00000CYYip</t>
  </si>
  <si>
    <t>Global Self- ID Campaign</t>
  </si>
  <si>
    <t>0064L00000CWSg1</t>
  </si>
  <si>
    <t>StoneX Global Payments Enterprise Agile</t>
  </si>
  <si>
    <t>0064L00000CWSgQ</t>
  </si>
  <si>
    <t>StoneX Global Payments Brand Awareness</t>
  </si>
  <si>
    <t>0064L00000ArNDh</t>
  </si>
  <si>
    <t>Inclusion/Engagement Survey</t>
  </si>
  <si>
    <t>0064L00000CXz1L</t>
  </si>
  <si>
    <t>Ulteig Engineers Inc.</t>
  </si>
  <si>
    <t>High Value Engineering</t>
  </si>
  <si>
    <t>0064L0000040kyu</t>
  </si>
  <si>
    <t>MITSUBISHI CHEMICAL HOLDINGS CORPORATION</t>
  </si>
  <si>
    <t>#QMS Veeva Platform Analysis, Business Case</t>
  </si>
  <si>
    <t>0064L00000B1n4P</t>
  </si>
  <si>
    <t>Rush Health Systems Inc.</t>
  </si>
  <si>
    <t>0064L00000CWTMh</t>
  </si>
  <si>
    <t>Revene Growth - Data Monetization</t>
  </si>
  <si>
    <t>0064L0000099WoG</t>
  </si>
  <si>
    <t>CNA - ESG Target</t>
  </si>
  <si>
    <t>0064L000009BABl</t>
  </si>
  <si>
    <t>MCA Advisors Operating Model Expense Refresh</t>
  </si>
  <si>
    <t>0064L000001v79m</t>
  </si>
  <si>
    <t>Emory University *VBO* Support Epic Implementation</t>
  </si>
  <si>
    <t>0064L00000AqZGO</t>
  </si>
  <si>
    <t>Duracell Supplier Diversity Program - Design &amp; Implementation</t>
  </si>
  <si>
    <t>0064L00000DFZtH</t>
  </si>
  <si>
    <t>Cloudflare Sales Compensation Administration</t>
  </si>
  <si>
    <t>0064L000001vUj9</t>
  </si>
  <si>
    <t>Mimecast UK Limited</t>
  </si>
  <si>
    <t>Mimecast POINTS Assessment Follow-up</t>
  </si>
  <si>
    <t>Nevenka Mattenet</t>
  </si>
  <si>
    <t>Aditi Ahuja</t>
  </si>
  <si>
    <t>0064L0000041mQg</t>
  </si>
  <si>
    <t>UBS - WMAP Azure related #WMA</t>
  </si>
  <si>
    <t>13/11/2020</t>
  </si>
  <si>
    <t>Michelle Casey</t>
  </si>
  <si>
    <t>0064I0000132es0</t>
  </si>
  <si>
    <t>Church &amp; Dwight Co., Inc.</t>
  </si>
  <si>
    <t>Church &amp; Dwight #RGM</t>
  </si>
  <si>
    <t>0064L00000DJVdc</t>
  </si>
  <si>
    <t>Hannon Armstrong Sustainable Infrastructure Capital, Inc.</t>
  </si>
  <si>
    <t>Equator Principles Implementation</t>
  </si>
  <si>
    <t>0064I0000132etY</t>
  </si>
  <si>
    <t>Heineken #RGM</t>
  </si>
  <si>
    <t>0064L00000BesGP</t>
  </si>
  <si>
    <t>The Queen's Health Systems</t>
  </si>
  <si>
    <t>The Queen's Health Systems *Strategic Reimbursement*</t>
  </si>
  <si>
    <t>0064I0000132euz</t>
  </si>
  <si>
    <t>Dairy Farmers Of America Inc.</t>
  </si>
  <si>
    <t>Dairy Farmers of America #RGM</t>
  </si>
  <si>
    <t>0064L000006xNB0</t>
  </si>
  <si>
    <t>Spire Integrated Planning</t>
  </si>
  <si>
    <t>Steve Korn</t>
  </si>
  <si>
    <t>0064I0000132eyh</t>
  </si>
  <si>
    <t>Johnsonville Sausage LLC</t>
  </si>
  <si>
    <t>Johnsonville Sausage #RGM</t>
  </si>
  <si>
    <t>0064L00000BopHj</t>
  </si>
  <si>
    <t>Landfill Decarbonization Extension</t>
  </si>
  <si>
    <t>0064L000007v0RV</t>
  </si>
  <si>
    <t>#QMS (Managed Service) MTPC Complaints</t>
  </si>
  <si>
    <t>0064L00000Bet1p</t>
  </si>
  <si>
    <t>Pension Plan Redesign</t>
  </si>
  <si>
    <t>0064L00000CYYGC</t>
  </si>
  <si>
    <t>CRWS, Inc. and Subsidiaries</t>
  </si>
  <si>
    <t>Mexico Site Location Strategy</t>
  </si>
  <si>
    <t>Alberto Vargas</t>
  </si>
  <si>
    <t>0064L00000CXwfc</t>
  </si>
  <si>
    <t>UHG C&amp;S 2023 Operations Migration Support - Project Igloo - #PayerCO&amp;ITrans</t>
  </si>
  <si>
    <t>0065800000ScUA6</t>
  </si>
  <si>
    <t>Indiana Farm Bureau Insurance</t>
  </si>
  <si>
    <t>CC Business Case &amp; Implementation</t>
  </si>
  <si>
    <t>20/4/2015</t>
  </si>
  <si>
    <t>ADV_FS_FFG</t>
  </si>
  <si>
    <t>Imran Ilyas</t>
  </si>
  <si>
    <t>0064I00000zR5w4</t>
  </si>
  <si>
    <t>Ashford Hospitality Trust Inc.</t>
  </si>
  <si>
    <t>IGP - Embassy Santa Clara-Silicon Valley SNCCA</t>
  </si>
  <si>
    <t>13/11/2019</t>
  </si>
  <si>
    <t>0064L00000BlEGa</t>
  </si>
  <si>
    <t>Banner &amp; Witcoff</t>
  </si>
  <si>
    <t>Banner &amp; Witcoff - H&amp;W Benefits</t>
  </si>
  <si>
    <t>0064L00000BmYKa</t>
  </si>
  <si>
    <t>Gilead: Transformation: Commercial: Gross-to-Net Diagnostic</t>
  </si>
  <si>
    <t>0064L000009fY0P</t>
  </si>
  <si>
    <t>Indigo Equity Clean Up</t>
  </si>
  <si>
    <t>0064L00000DJVxc</t>
  </si>
  <si>
    <t>ESG Deals Integration</t>
  </si>
  <si>
    <t>0064L00000BnKOM</t>
  </si>
  <si>
    <t>Meta Anaplan Implementation</t>
  </si>
  <si>
    <t>0064L000002bwRS</t>
  </si>
  <si>
    <t>Kemper Actuarial Modernization</t>
  </si>
  <si>
    <t>0064L00000BmYNy</t>
  </si>
  <si>
    <t>ADM - Safety Quality</t>
  </si>
  <si>
    <t>0064L00000CVPEd</t>
  </si>
  <si>
    <t>Dayvigo Patient Journey</t>
  </si>
  <si>
    <t>Esha Basole</t>
  </si>
  <si>
    <t>0064L00000Bcn8Z</t>
  </si>
  <si>
    <t>*RC Tech* *Rev Cycle* Tenet</t>
  </si>
  <si>
    <t>0064L000004xYak</t>
  </si>
  <si>
    <t>Consumer 360</t>
  </si>
  <si>
    <t>Christen Kostaroff</t>
  </si>
  <si>
    <t>0064L00000BoO8b</t>
  </si>
  <si>
    <t>Bayview - Funding &amp; Capital Markets FFG Lite Diagnostic</t>
  </si>
  <si>
    <t>0064L00000DJgBC</t>
  </si>
  <si>
    <t>IAT Insurance Group Inc.</t>
  </si>
  <si>
    <t>IAT Duck Creek Claims Implementation Support - Assessment</t>
  </si>
  <si>
    <t>Augusto Ornelas</t>
  </si>
  <si>
    <t>0064L00000Blusb</t>
  </si>
  <si>
    <t>P&amp;G - NA TPM Design #Pricing #RGM</t>
  </si>
  <si>
    <t>0064L00000BmVsU</t>
  </si>
  <si>
    <t>HIG GB Claims Automation</t>
  </si>
  <si>
    <t>0064L00000Bm65h</t>
  </si>
  <si>
    <t>Morgan Stanley / Automation Strategy / $100,000</t>
  </si>
  <si>
    <t>0064L00000ApxKY</t>
  </si>
  <si>
    <t>AT&amp;T Mobile Traffic Optimization with BandwidthX</t>
  </si>
  <si>
    <t>0064I0000132f54</t>
  </si>
  <si>
    <t>Reckitt Benckiser Group PLC</t>
  </si>
  <si>
    <t>Reckitt Benckiser #RGM</t>
  </si>
  <si>
    <t>0064L00000DBMnv</t>
  </si>
  <si>
    <t>Evergy - Risk System evaluation</t>
  </si>
  <si>
    <t>0064L00000BgVMC</t>
  </si>
  <si>
    <t>Supply Chain Transformation Support</t>
  </si>
  <si>
    <t>0064L000009AMRt</t>
  </si>
  <si>
    <t>FY22 Strategic Opportunity:  Bringing the Advents Together</t>
  </si>
  <si>
    <t>0064L00000DFZao</t>
  </si>
  <si>
    <t>Starwood Capital Group, L.L.C.</t>
  </si>
  <si>
    <t>SH Hotels Decarbonization Project #ESG</t>
  </si>
  <si>
    <t>0064L00000DJfpQ</t>
  </si>
  <si>
    <t>Bridgewater - HQ Relocation</t>
  </si>
  <si>
    <t>0064L00000BmFae</t>
  </si>
  <si>
    <t>CBRE IM | IAR Administrator 2022 Fee Analysis</t>
  </si>
  <si>
    <t>0064L00000DFlIH</t>
  </si>
  <si>
    <t>The Jordan Company LP</t>
  </si>
  <si>
    <t>0064L000006CTbF</t>
  </si>
  <si>
    <t>Treehouse Foods Inc.</t>
  </si>
  <si>
    <t>Treehouse - RGM Managed Service #RGM</t>
  </si>
  <si>
    <t>0064L000009AoFv</t>
  </si>
  <si>
    <t>INGR - Time to Market for new products</t>
  </si>
  <si>
    <t>0064L000009AoFw</t>
  </si>
  <si>
    <t>INGR - Demand Forecasting</t>
  </si>
  <si>
    <t>0064L000009AoHh</t>
  </si>
  <si>
    <t>INGR - Capital Allocation</t>
  </si>
  <si>
    <t>0064L00000B1kTC</t>
  </si>
  <si>
    <t>Hologic Digital Finance</t>
  </si>
  <si>
    <t>0064L00000Bop2j</t>
  </si>
  <si>
    <t>Project Brown - Financial Reporting &amp; Treasury Addendum</t>
  </si>
  <si>
    <t>0064L000002cHQd</t>
  </si>
  <si>
    <t>AT&amp;T Biz Partnership Opportunities</t>
  </si>
  <si>
    <t>0064L000006jwlL</t>
  </si>
  <si>
    <t>GBS Automation - O2C Process Intelligence</t>
  </si>
  <si>
    <t>0064L00000Bf1Tn</t>
  </si>
  <si>
    <t>Centene Enterprise Spans &amp; Layers Analysis</t>
  </si>
  <si>
    <t>Kristen Basa</t>
  </si>
  <si>
    <t>0064L00000DJVYS</t>
  </si>
  <si>
    <t>Vorwerk Verwaltung SE</t>
  </si>
  <si>
    <t>Neato Robotics Cost Assessment</t>
  </si>
  <si>
    <t>Amit Verma</t>
  </si>
  <si>
    <t>Daren Mann</t>
  </si>
  <si>
    <t>0064I0000132eFi</t>
  </si>
  <si>
    <t>Shiseido Company, Limited</t>
  </si>
  <si>
    <t>Shiseido Company #RGM</t>
  </si>
  <si>
    <t>0064L000009AoGA</t>
  </si>
  <si>
    <t>INGR - Plant Optimization | SMART Factory</t>
  </si>
  <si>
    <t>0064L00000Bl2gk</t>
  </si>
  <si>
    <t>Nasdaq Revenue Optimization and Process Mining</t>
  </si>
  <si>
    <t>0064L000002ZKnQ</t>
  </si>
  <si>
    <t>Heartland Food Products Group</t>
  </si>
  <si>
    <t>Heartland Foods Performance Analyzer #RGM</t>
  </si>
  <si>
    <t>27/8/2023</t>
  </si>
  <si>
    <t>Dina Zhou</t>
  </si>
  <si>
    <t>0064L00000B2Zcf</t>
  </si>
  <si>
    <t>BHF - Future of Distributions</t>
  </si>
  <si>
    <t>0064L000001uaec</t>
  </si>
  <si>
    <t>Charles Schwab New Abnormal/RTW #COVID-19</t>
  </si>
  <si>
    <t>Mark Noga</t>
  </si>
  <si>
    <t>0064L000002bBca</t>
  </si>
  <si>
    <t>Clark Enterprises Inc.</t>
  </si>
  <si>
    <t>Atkinson - Compensation Consulting</t>
  </si>
  <si>
    <t>31/7/2021 5:12 pm</t>
  </si>
  <si>
    <t>0064L000007xVZy</t>
  </si>
  <si>
    <t>Credit Card of the Future</t>
  </si>
  <si>
    <t>0064L00000B2ZcG</t>
  </si>
  <si>
    <t>BHF - Future of Product</t>
  </si>
  <si>
    <t>0064L00000B2Zbh</t>
  </si>
  <si>
    <t>BHF - Enterprise Performance Analysis</t>
  </si>
  <si>
    <t>0064L00000Bm4QT</t>
  </si>
  <si>
    <t>HR SSC Greater Asia Assessment</t>
  </si>
  <si>
    <t>0064L00000Bm3sH</t>
  </si>
  <si>
    <t>Cox Auto - M&amp;A Integration Governance model consulting</t>
  </si>
  <si>
    <t>Christina Scherma</t>
  </si>
  <si>
    <t>Amit Patel</t>
  </si>
  <si>
    <t>0064L00000991Mv</t>
  </si>
  <si>
    <t>HCSC AI Pilot #xPC:PayerAnalytics #Alliance:C3AI #PayerAnalytics</t>
  </si>
  <si>
    <t>0064L00000Blv9w</t>
  </si>
  <si>
    <t>NFLX - Customer Experience</t>
  </si>
  <si>
    <t>0064L00000ArJQ2</t>
  </si>
  <si>
    <t>Scheduling Analytics *RC Tech* *Rev Cycle*</t>
  </si>
  <si>
    <t>0064L00000DJUK1</t>
  </si>
  <si>
    <t>Inspira Health: Microsoft CRM Pilot #MSFTProvider</t>
  </si>
  <si>
    <t>0064L00000DJUM6</t>
  </si>
  <si>
    <t>UPMC: Microsoft CRM Strategy #MSFTProvider</t>
  </si>
  <si>
    <t>0064L00000DBLt3</t>
  </si>
  <si>
    <t>Kainos Capital LLC</t>
  </si>
  <si>
    <t>Distribution and Logistics - 2022</t>
  </si>
  <si>
    <t>0064L00000DJTlU</t>
  </si>
  <si>
    <t>Bellin Cost Report Reimbursement Analysis - FY 2021 and Prior</t>
  </si>
  <si>
    <t>0064L00000DJTmw</t>
  </si>
  <si>
    <t>Intel Marketplace Bridge_Change Order</t>
  </si>
  <si>
    <t>Intel Marketplace Bridge</t>
  </si>
  <si>
    <t>0064L000004yIib</t>
  </si>
  <si>
    <t>Sentry Assessment</t>
  </si>
  <si>
    <t>30/1/2021</t>
  </si>
  <si>
    <t>0064L00000991LE</t>
  </si>
  <si>
    <t>BCBSMA AI pilot #xPC:PayerAnalytics #Alliance:C3AI #HVM</t>
  </si>
  <si>
    <t>0064L00000991Kk</t>
  </si>
  <si>
    <t>BSC Citizen-Led AI pilot #xPC:PayerAnalytics #Alliance:C3AI #PayerAnalytics</t>
  </si>
  <si>
    <t>0064L00000991Kb</t>
  </si>
  <si>
    <t>AmeriHealth AI pilot #xPC:PayerAnalytics #Alliance:C3AI #PayerAnalytics</t>
  </si>
  <si>
    <t>0064L00000CYFDC</t>
  </si>
  <si>
    <t>Black Rifle Coffee Company</t>
  </si>
  <si>
    <t>0064L000009f4GW</t>
  </si>
  <si>
    <t>Fairview Health Services *VBO* FY23</t>
  </si>
  <si>
    <t>30/8/2021 7:27 pm</t>
  </si>
  <si>
    <t>0064L000002ZKbZ</t>
  </si>
  <si>
    <t>All Market Inc.</t>
  </si>
  <si>
    <t>Vita Coco Performance Analyzer #RGM</t>
  </si>
  <si>
    <t>27/8/2024</t>
  </si>
  <si>
    <t>0064L000003yb3w</t>
  </si>
  <si>
    <t>Employee Financial Education and Wellness</t>
  </si>
  <si>
    <t>Danielle LeStrange</t>
  </si>
  <si>
    <t>0064L00000CYWHN</t>
  </si>
  <si>
    <t>Pfizer HADEA Tender Support</t>
  </si>
  <si>
    <t>0064L00000DJV6T</t>
  </si>
  <si>
    <t>WT _ FY22 FY23 payroll operational and tax review</t>
  </si>
  <si>
    <t>0064L000002bco4</t>
  </si>
  <si>
    <t>BC Idaho - Ops / Compliance Transformation - Medicare Intelli-Hub #GcoE #Automation</t>
  </si>
  <si>
    <t>0064L00000CYEmZ</t>
  </si>
  <si>
    <t>Vertex Control Tower</t>
  </si>
  <si>
    <t>0064L00000CYEmC</t>
  </si>
  <si>
    <t>Vertex Supply Chain RFS</t>
  </si>
  <si>
    <t>0064L00000AqhD2</t>
  </si>
  <si>
    <t>Tmx Group Inc.</t>
  </si>
  <si>
    <t>TSX VENTURE EXCHANGE INC.:  Oracle RMB Opportunity #ORACLE_BCM</t>
  </si>
  <si>
    <t>0064L00000AqhD1</t>
  </si>
  <si>
    <t>CME Group Inc.</t>
  </si>
  <si>
    <t>CME:  Oracle RMB Opportunity #ORACLE_BCM</t>
  </si>
  <si>
    <t>0064L00000AqhD6</t>
  </si>
  <si>
    <t>NASDAQ:  Oracle Revenue Leakage Analysis #ORACLE_BCM</t>
  </si>
  <si>
    <t>0064L00000CY2o1</t>
  </si>
  <si>
    <t>IU Health: RRC IME + 340B *Strategic Reimbursement*</t>
  </si>
  <si>
    <t>0064L000003z2WB</t>
  </si>
  <si>
    <t>Boeing Engineering Effectiveness</t>
  </si>
  <si>
    <t>0064L000007xhVd</t>
  </si>
  <si>
    <t>P66 Aligne, MorningStar Replacement assessment</t>
  </si>
  <si>
    <t>0064L00000CVms6</t>
  </si>
  <si>
    <t>BIAH - Equine Omnichannel Excellence (Phase 1)</t>
  </si>
  <si>
    <t>0064L0000099duz</t>
  </si>
  <si>
    <t>Kohl's Procurement on Demand #S&amp;P#POD</t>
  </si>
  <si>
    <t>0065800000Sc5cY</t>
  </si>
  <si>
    <t>Indiana Farmers Mutual Insurance Company</t>
  </si>
  <si>
    <t>Claims Inception Phase</t>
  </si>
  <si>
    <t>21/4/2015</t>
  </si>
  <si>
    <t>0064L00000BgTOV</t>
  </si>
  <si>
    <t>People Analytics -- Personas and Observational Research</t>
  </si>
  <si>
    <t>0064L000009Alhh</t>
  </si>
  <si>
    <t>Agile product delivery model implementation</t>
  </si>
  <si>
    <t>0064L00000BfA1m</t>
  </si>
  <si>
    <t>Voya Analytics - Use Case Prioritization - Workshop</t>
  </si>
  <si>
    <t>0064L00000CX0bb</t>
  </si>
  <si>
    <t>RSI_Procurement Integration Support</t>
  </si>
  <si>
    <t>0064L00000Bft8s</t>
  </si>
  <si>
    <t>Commonwealth Care Alliance - Project Diehard - SFDC Platform Assessment</t>
  </si>
  <si>
    <t>0064L00000BoJoX</t>
  </si>
  <si>
    <t>INGR - Compensation Plan Alignment</t>
  </si>
  <si>
    <t>0064L00000BoKRj</t>
  </si>
  <si>
    <t>Sony Group Corporation</t>
  </si>
  <si>
    <t>Equity Payroll Assistance</t>
  </si>
  <si>
    <t>0064L00000BldLo</t>
  </si>
  <si>
    <t>CapVest Partners LLP</t>
  </si>
  <si>
    <t>Datasite Sales Comp Assessment</t>
  </si>
  <si>
    <t>0064L00000CXsK1</t>
  </si>
  <si>
    <t>FIS Loyalty - Pay with Points</t>
  </si>
  <si>
    <t>0064L00000CVmEk</t>
  </si>
  <si>
    <t>W&amp;C Evaluation of tax treatment of non-US partners in US pension plans</t>
  </si>
  <si>
    <t>0064L000004vPLZ</t>
  </si>
  <si>
    <t>#QMS ISO Batch Release - Kyowa Kirin</t>
  </si>
  <si>
    <t>0064L00000BoIOx</t>
  </si>
  <si>
    <t>Project Kickstart - FIMO &amp; R2R+O2C Integration Support</t>
  </si>
  <si>
    <t>Joshua Vollmer</t>
  </si>
  <si>
    <t>0064I000015SUTU</t>
  </si>
  <si>
    <t>Brown Rudnick Llp</t>
  </si>
  <si>
    <t>Pension actuarial/admin services</t>
  </si>
  <si>
    <t>0064L00000BmvQA</t>
  </si>
  <si>
    <t>AT&amp;T Network Process Simplification</t>
  </si>
  <si>
    <t>0064L00000BlbO2</t>
  </si>
  <si>
    <t>ICON Business Unit CoE Design</t>
  </si>
  <si>
    <t>Bryan Vodicka</t>
  </si>
  <si>
    <t>0064L00000BlbOC</t>
  </si>
  <si>
    <t>ICON Business Unit CoE Implementation Planning PMO</t>
  </si>
  <si>
    <t>0064L00000BlbOH</t>
  </si>
  <si>
    <t>ICON Demand and Capacity Management Capability</t>
  </si>
  <si>
    <t>0064L00000DFVtN</t>
  </si>
  <si>
    <t>Eisai IT Roadmap Support Jun-Aug'22</t>
  </si>
  <si>
    <t>0064L000009AjIk</t>
  </si>
  <si>
    <t>BMS - Supply Chain Metrics</t>
  </si>
  <si>
    <t>Bernard Student</t>
  </si>
  <si>
    <t>Amy Joe</t>
  </si>
  <si>
    <t>0064L00000CYCSA</t>
  </si>
  <si>
    <t>Workforce Capabilities Assessment</t>
  </si>
  <si>
    <t>Kyle Schneider</t>
  </si>
  <si>
    <t>0064L000009BJk6</t>
  </si>
  <si>
    <t>HealthPartners Oracle OHI #PayerCO&amp;ITrans</t>
  </si>
  <si>
    <t>0064L00000BlbTM</t>
  </si>
  <si>
    <t>R2R - Finance Transformation</t>
  </si>
  <si>
    <t>0064L000003zR7x</t>
  </si>
  <si>
    <t>*Rev Cycle* of the Future Discussion/Opportunity</t>
  </si>
  <si>
    <t>0064L00000CWpX1</t>
  </si>
  <si>
    <t>ITTL OCM &amp; Program write up</t>
  </si>
  <si>
    <t>IT Org Transformation - workshop</t>
  </si>
  <si>
    <t>0064L00000Aq3nT</t>
  </si>
  <si>
    <t>AWS - Country Requirements Gathering</t>
  </si>
  <si>
    <t>0064L00000BeMGp</t>
  </si>
  <si>
    <t>Sports Betting at DIRECTV</t>
  </si>
  <si>
    <t>0064L00000DJe0A</t>
  </si>
  <si>
    <t>PACNW CommonSpirit Reimb: Critical Access Hospital (CAH) Strategy *Strategic Reimbursement*</t>
  </si>
  <si>
    <t>0064L00000Bnhg5</t>
  </si>
  <si>
    <t>Plantronics, Inc.</t>
  </si>
  <si>
    <t>Compensation Tax Consulting - Additional Fees</t>
  </si>
  <si>
    <t>Bryce Tholen</t>
  </si>
  <si>
    <t>0064L00000ArHY9</t>
  </si>
  <si>
    <t>FY22 Strategic Opportunity:  Digital as a Service</t>
  </si>
  <si>
    <t>0064L00000BlQab</t>
  </si>
  <si>
    <t>Intel - Capital Lifecycle Management - IA Support Q1FY22</t>
  </si>
  <si>
    <t>0064L00000DJe5e</t>
  </si>
  <si>
    <t>BSC Shared Services Location Analysis RFP</t>
  </si>
  <si>
    <t>0064L00000Bg25v</t>
  </si>
  <si>
    <t>K-C Supply Chain</t>
  </si>
  <si>
    <t>0064L00000BgAub</t>
  </si>
  <si>
    <t>RCG Strategy &amp; Competitor Offsite</t>
  </si>
  <si>
    <t>0064L0000099aay</t>
  </si>
  <si>
    <t>AEA Investors LP</t>
  </si>
  <si>
    <t>compensation consulting</t>
  </si>
  <si>
    <t>Jen Savard</t>
  </si>
  <si>
    <t>0064L00000DFhlz</t>
  </si>
  <si>
    <t>The Nature Conservancy</t>
  </si>
  <si>
    <t>2022 TNC Compensation Review</t>
  </si>
  <si>
    <t>0064L00000Bo9NF</t>
  </si>
  <si>
    <t>Alleghany Corporation</t>
  </si>
  <si>
    <t>0064L000004w13t</t>
  </si>
  <si>
    <t>Capital Blue Cross</t>
  </si>
  <si>
    <t>CBC Cyber Security</t>
  </si>
  <si>
    <t>FI FY22 Cybersecurity &amp; Privacy Targeting</t>
  </si>
  <si>
    <t>0064L00000ArkDL</t>
  </si>
  <si>
    <t>Supplier Diversity- Tier 1 Program Support</t>
  </si>
  <si>
    <t>0064L00000AqhAg</t>
  </si>
  <si>
    <t>CCMP Capital GP, LLC</t>
  </si>
  <si>
    <t>BGIS:  Oracle RMB Opportunity #ORACLE_PE</t>
  </si>
  <si>
    <t>0064L000004xi7A</t>
  </si>
  <si>
    <t>#QMS Quality Transparency</t>
  </si>
  <si>
    <t>28/1/2021</t>
  </si>
  <si>
    <t>0064L00000CYAhf</t>
  </si>
  <si>
    <t>Ocwen Financial Corporation</t>
  </si>
  <si>
    <t>Pipe/Ware Model Assessment</t>
  </si>
  <si>
    <t>0064L000009AILN</t>
  </si>
  <si>
    <t>Billing system update</t>
  </si>
  <si>
    <t>0064L000001wDi6</t>
  </si>
  <si>
    <t>FB_Data Center Supply Chain</t>
  </si>
  <si>
    <t>0064L00000DFh0o</t>
  </si>
  <si>
    <t>SLR Global Lux S.à r.l.</t>
  </si>
  <si>
    <t>Project Solar 280G Consulting</t>
  </si>
  <si>
    <t>0064L00000ApcD6</t>
  </si>
  <si>
    <t>0064L00000Cvhe7</t>
  </si>
  <si>
    <t>UPMC: Pharmacy Optimization *FFG*</t>
  </si>
  <si>
    <t>0064L000009AILD</t>
  </si>
  <si>
    <t>Statutory Accounting Outsourcing (US and International)</t>
  </si>
  <si>
    <t>0065800000jhQ1p</t>
  </si>
  <si>
    <t>Okta - B2E IAM</t>
  </si>
  <si>
    <t>18/10/2018</t>
  </si>
  <si>
    <t>Brian George</t>
  </si>
  <si>
    <t>0065800000eHA95</t>
  </si>
  <si>
    <t>Digital Culture/Upskilling - WoF</t>
  </si>
  <si>
    <t>19/7/2018</t>
  </si>
  <si>
    <t>James Curtin</t>
  </si>
  <si>
    <t>UK BD Campaign to track Opps and activities</t>
  </si>
  <si>
    <t>0064L00000DFhCV</t>
  </si>
  <si>
    <t>Inception Fertility Holdings LLC</t>
  </si>
  <si>
    <t>Project Prolific 280G Consulting</t>
  </si>
  <si>
    <t>0064L00000Bfa1U</t>
  </si>
  <si>
    <t>Customer Centricity Analytics Pilot</t>
  </si>
  <si>
    <t>0064L00000Bfa1T</t>
  </si>
  <si>
    <t>0064L00000Bfa23</t>
  </si>
  <si>
    <t>0064L00000Bfa22</t>
  </si>
  <si>
    <t>0064L00000Bfa1N</t>
  </si>
  <si>
    <t>0064L00000Bfa1M</t>
  </si>
  <si>
    <t>0064L00000Bfa1L</t>
  </si>
  <si>
    <t>0064L00000Bfa1K</t>
  </si>
  <si>
    <t>The Northern Trust Company</t>
  </si>
  <si>
    <t>0064L00000Bfa1J</t>
  </si>
  <si>
    <t>Citizens Financial Corp.</t>
  </si>
  <si>
    <t>0064L00000Bfa1V</t>
  </si>
  <si>
    <t>0064L00000Bfa1u</t>
  </si>
  <si>
    <t>0064L00000Bfa1t</t>
  </si>
  <si>
    <t>0064L00000Bfa1s</t>
  </si>
  <si>
    <t>0064L00000Bfa2N</t>
  </si>
  <si>
    <t>0064L00000Bfa2M</t>
  </si>
  <si>
    <t>0064L00000Bfa1k</t>
  </si>
  <si>
    <t>0064L00000Bfa1j</t>
  </si>
  <si>
    <t>0064L00000Bfa1i</t>
  </si>
  <si>
    <t>0064L00000CYCD8</t>
  </si>
  <si>
    <t>Rev Cycle - cost approach</t>
  </si>
  <si>
    <t>0064L00000Bfa2Y</t>
  </si>
  <si>
    <t>Farmers Mutual Insurance Company</t>
  </si>
  <si>
    <t>0064L00000Bfa2X</t>
  </si>
  <si>
    <t>0064L00000Bfa2W</t>
  </si>
  <si>
    <t>0064I00000wzT0S</t>
  </si>
  <si>
    <t>Wingstop Inc</t>
  </si>
  <si>
    <t>Restaurant Profitability Improvement #Profit</t>
  </si>
  <si>
    <t>26/9/2019</t>
  </si>
  <si>
    <t>0064L00000Bfa2g</t>
  </si>
  <si>
    <t>Genworth Financial Inc.</t>
  </si>
  <si>
    <t>0064L00000CYCDI</t>
  </si>
  <si>
    <t>PBM and Pharma</t>
  </si>
  <si>
    <t>0064L00000CYCDX</t>
  </si>
  <si>
    <t>Finance Analytics</t>
  </si>
  <si>
    <t>0064L00000CYCDY</t>
  </si>
  <si>
    <t>Finance FFG</t>
  </si>
  <si>
    <t>0064L00000CYCDc</t>
  </si>
  <si>
    <t>Trust for enterprise</t>
  </si>
  <si>
    <t>0064L000009A87j</t>
  </si>
  <si>
    <t>Selendy &amp; Gay PLLC.</t>
  </si>
  <si>
    <t>Culture &amp; Leadership alignment workshop</t>
  </si>
  <si>
    <t>0064L00000CWpER</t>
  </si>
  <si>
    <t>UPSTART HOLDINGS Inc.</t>
  </si>
  <si>
    <t>Upstart - Assistance with driving auto lending growth through Prodigy acquisition</t>
  </si>
  <si>
    <t>Amy Meyer</t>
  </si>
  <si>
    <t>0064L00000CYbkt</t>
  </si>
  <si>
    <t>Simplify SSC CME Testing Support</t>
  </si>
  <si>
    <t>0064L000004x30C</t>
  </si>
  <si>
    <t>Skidmore Owings &amp; Merrill Llp</t>
  </si>
  <si>
    <t>SOM - H&amp;W Strategy</t>
  </si>
  <si>
    <t>0064L000006VUTS</t>
  </si>
  <si>
    <t>Telco Energy Management</t>
  </si>
  <si>
    <t>0064L00000Bo770</t>
  </si>
  <si>
    <t>MSFT HR FY22 TR/HRBI Program Management and Change Management Support</t>
  </si>
  <si>
    <t>0064L00000Bnvz6</t>
  </si>
  <si>
    <t>2022 Stripe Recharge Project</t>
  </si>
  <si>
    <t>0064L00000BnTyB</t>
  </si>
  <si>
    <t>HR transformation (Customer Experience &amp; Underlying technology)</t>
  </si>
  <si>
    <t>0064I000011posJ</t>
  </si>
  <si>
    <t>Actuarial/Administration of DB Plan</t>
  </si>
  <si>
    <t>James Horvath</t>
  </si>
  <si>
    <t>0064L00000Bfohe</t>
  </si>
  <si>
    <t>Chris Carmody: Analytics</t>
  </si>
  <si>
    <t>0064L00000CVYqW</t>
  </si>
  <si>
    <t>Coursera, Inc.</t>
  </si>
  <si>
    <t>Procurement on Demand Procurement Start Up #S&amp;P#POD</t>
  </si>
  <si>
    <t>0064L00000CVYtB</t>
  </si>
  <si>
    <t>2022 ORSA Support</t>
  </si>
  <si>
    <t>0064L00000BfolC</t>
  </si>
  <si>
    <t>Finance Transformation Assessment &amp; Roadmap</t>
  </si>
  <si>
    <t>0064L00000Boigr</t>
  </si>
  <si>
    <t>VA Capital Company LLC</t>
  </si>
  <si>
    <t>Executive compensation consulting</t>
  </si>
  <si>
    <t>0064L00000Bo6do</t>
  </si>
  <si>
    <t>Qurate - Workplace Capital Management</t>
  </si>
  <si>
    <t>0064L00000426Kw</t>
  </si>
  <si>
    <t>ERP Implementation - Phase 0</t>
  </si>
  <si>
    <t>0064L00000CYPce</t>
  </si>
  <si>
    <t>Supply Chain Planning System Selection</t>
  </si>
  <si>
    <t>0064L000007vLqE</t>
  </si>
  <si>
    <t>Market Disruption Management #archegos</t>
  </si>
  <si>
    <t>0064L00000BnBhh</t>
  </si>
  <si>
    <t>50 South FFG/Automation Diagnostic</t>
  </si>
  <si>
    <t>0064L000004yFu3</t>
  </si>
  <si>
    <t>P32H Digital Strategy</t>
  </si>
  <si>
    <t>0064L00000BndmY</t>
  </si>
  <si>
    <t>PAN - Master data</t>
  </si>
  <si>
    <t>0064L00000BeHrl</t>
  </si>
  <si>
    <t>CBRE - IA&amp;R ESG Reporting</t>
  </si>
  <si>
    <t>0064L00000BnU0g</t>
  </si>
  <si>
    <t>0064L00000BeZX2</t>
  </si>
  <si>
    <t>Harvard Services - 2022 - Financial Close Improvement - Private</t>
  </si>
  <si>
    <t>0064L00000BlpLx</t>
  </si>
  <si>
    <t>Fuel Our Growth Phase 2 - Procurement Capability Assessment</t>
  </si>
  <si>
    <t>0064L00000BeZWF</t>
  </si>
  <si>
    <t>Harvard Services - 2022 - OBS Oct Acquisition - Private</t>
  </si>
  <si>
    <t>0064L000007VOmo</t>
  </si>
  <si>
    <t>Saratoga Benchmarking winback - Takeda</t>
  </si>
  <si>
    <t>Andi Elliott</t>
  </si>
  <si>
    <t>0064I00000y5b1K</t>
  </si>
  <si>
    <t>Talent Strategy (WFoF) #workforce</t>
  </si>
  <si>
    <t>0064L00000Bd654</t>
  </si>
  <si>
    <t>Leave Management Review</t>
  </si>
  <si>
    <t>17/9/2022</t>
  </si>
  <si>
    <t>0064L00000Bd64k</t>
  </si>
  <si>
    <t>eQMS Selection</t>
  </si>
  <si>
    <t>ERP Selection and Roadmap - Quality Support</t>
  </si>
  <si>
    <t>0064L00000CYt8k</t>
  </si>
  <si>
    <t>Logistics Go to Market</t>
  </si>
  <si>
    <t>0064L00000CYt8a</t>
  </si>
  <si>
    <t>Ground Operations Excellence</t>
  </si>
  <si>
    <t>0064L00000BnU9s</t>
  </si>
  <si>
    <t>Renown Health</t>
  </si>
  <si>
    <t>0064L000007YGkb</t>
  </si>
  <si>
    <t>Sentiment Analysis / Customer Insight</t>
  </si>
  <si>
    <t>0064L00000CXO6X</t>
  </si>
  <si>
    <t>Ugi Corporation</t>
  </si>
  <si>
    <t>Amerigas RightAngle reconciliation support</t>
  </si>
  <si>
    <t>0064L000003zQ1F</t>
  </si>
  <si>
    <t>Enterprise Services - Zero-based Budgeting #ZBB</t>
  </si>
  <si>
    <t>17/9/2020</t>
  </si>
  <si>
    <t>Katie Edwards</t>
  </si>
  <si>
    <t>0064L00000BnUA7</t>
  </si>
  <si>
    <t>0064L00000BoXEA</t>
  </si>
  <si>
    <t>Tech innovation in patient services</t>
  </si>
  <si>
    <t>0064L00000As7Uv</t>
  </si>
  <si>
    <t>Temple Health: Pharmacy Optimization *FFG*</t>
  </si>
  <si>
    <t>0064L00000As7Uu</t>
  </si>
  <si>
    <t>Christus Health: Pharmacy Optimization *FFG*</t>
  </si>
  <si>
    <t>0064L000002ZGna</t>
  </si>
  <si>
    <t>ProEdge - Broader Roll out across Rocket - Expansion</t>
  </si>
  <si>
    <t>0064L00000BnUF2</t>
  </si>
  <si>
    <t>Phase 2 - Career Lattice Program</t>
  </si>
  <si>
    <t>0064L000009B7ux</t>
  </si>
  <si>
    <t>Customer Link - Segmentation</t>
  </si>
  <si>
    <t>Anoop Singh</t>
  </si>
  <si>
    <t>0064L00000As7Wm</t>
  </si>
  <si>
    <t>BJC HealthCare: Pharmacy Optimization *FFG*</t>
  </si>
  <si>
    <t>0064L00000As7Z1</t>
  </si>
  <si>
    <t>HonorHealth: Pharmacy Optimization *FFG*</t>
  </si>
  <si>
    <t>0064L00000BfMNn</t>
  </si>
  <si>
    <t>STD Program Analysis</t>
  </si>
  <si>
    <t>0064L00000As7Yh</t>
  </si>
  <si>
    <t>Multicare: Pharmacy Optimization *FFG*</t>
  </si>
  <si>
    <t>0064L00000As7ZG</t>
  </si>
  <si>
    <t>SSM Health: Pharmacy Optimization *FFG*</t>
  </si>
  <si>
    <t>0064L00000As7Ys</t>
  </si>
  <si>
    <t>Sentara: Pharmacy Optimization *FFG*</t>
  </si>
  <si>
    <t>0064L00000As7ZW</t>
  </si>
  <si>
    <t>Scripps Health: Pharmacy Optimization *FFG*</t>
  </si>
  <si>
    <t>0064L00000As7Zf</t>
  </si>
  <si>
    <t>Asante Health System</t>
  </si>
  <si>
    <t>Asante: Pharmacy Optimization *FFG*</t>
  </si>
  <si>
    <t>0064L00000As7Za</t>
  </si>
  <si>
    <t>Northwell Health: Pharmacy Optimization *FFG*</t>
  </si>
  <si>
    <t>0064L00000BfN1Y</t>
  </si>
  <si>
    <t>KeyBank Sustainable Finance ESG</t>
  </si>
  <si>
    <t>Juan Fuentes Martin</t>
  </si>
  <si>
    <t>0064L00000BdVJI</t>
  </si>
  <si>
    <t>VZ Catapult - Unicorns Partnerships &amp; Commercialization</t>
  </si>
  <si>
    <t>Paul-Marc Schweitzer</t>
  </si>
  <si>
    <t>0064L000009B6Dd</t>
  </si>
  <si>
    <t>Qurate - Digital Value Creation #DVC</t>
  </si>
  <si>
    <t>0064L00000DFchT</t>
  </si>
  <si>
    <t>RFP Development Support *Rev Cycle*</t>
  </si>
  <si>
    <t>0064L000004xQfh</t>
  </si>
  <si>
    <t>#QMS Kyowa Kirin - QRM Module Implementation</t>
  </si>
  <si>
    <t>0064L000009fs0d</t>
  </si>
  <si>
    <t>MetLife Stat Automation</t>
  </si>
  <si>
    <t>0064L000004xcMz</t>
  </si>
  <si>
    <t>Finance Transformation - Upskilling Pro-Edge</t>
  </si>
  <si>
    <t>0064L00000BdETA</t>
  </si>
  <si>
    <t>EOG Resources, Inc.</t>
  </si>
  <si>
    <t>ESG Reporting Strategy</t>
  </si>
  <si>
    <t>0064L00000BoUtl</t>
  </si>
  <si>
    <t>HP CS SSC MDM Governance CO#2</t>
  </si>
  <si>
    <t>0064L00000BndZA</t>
  </si>
  <si>
    <t>ADM - Asset Optimization and Retirement</t>
  </si>
  <si>
    <t>0064L00000DFSXd</t>
  </si>
  <si>
    <t>EU Health Emergency Preparedness Plan Support</t>
  </si>
  <si>
    <t>Adam Fitzpatrick</t>
  </si>
  <si>
    <t>0064L00000CYaWW</t>
  </si>
  <si>
    <t>CDW - Finance Forward Phase 2</t>
  </si>
  <si>
    <t>Jason Murray</t>
  </si>
  <si>
    <t>0064L0000040s1v</t>
  </si>
  <si>
    <t>UBS Asset Management - Environmental, Social &amp; Governance (ESG)</t>
  </si>
  <si>
    <t>0064L000006AEOE</t>
  </si>
  <si>
    <t>Product Rationalization</t>
  </si>
  <si>
    <t>0064L00000Bmqzi</t>
  </si>
  <si>
    <t>Warsaw -  procurement contract review</t>
  </si>
  <si>
    <t>0064L00000BfmgC</t>
  </si>
  <si>
    <t>#TMTMSO - Change Management aaS</t>
  </si>
  <si>
    <t>0064L00000As719</t>
  </si>
  <si>
    <t>Coupa - Post implementation support #S&amp;P#POD</t>
  </si>
  <si>
    <t>0064L00000Bfmgk</t>
  </si>
  <si>
    <t>#TMTMSO - Learning Management</t>
  </si>
  <si>
    <t>0064L00000424Qb</t>
  </si>
  <si>
    <t>ASTELLAS PHARMA AUSTRALIA PTY LTD</t>
  </si>
  <si>
    <t>#QMS eQMS Vendor Selection</t>
  </si>
  <si>
    <t>0064L00000BgNjV</t>
  </si>
  <si>
    <t>Eleox LLC</t>
  </si>
  <si>
    <t>Blockchain Strategy</t>
  </si>
  <si>
    <t>0064L00000BoFCX</t>
  </si>
  <si>
    <t>Breakshit labs - Ongoing Support &amp; Delivery</t>
  </si>
  <si>
    <t>0064L00000CYsBJ</t>
  </si>
  <si>
    <t>Akerman LLP</t>
  </si>
  <si>
    <t>Design and implementation of a partner cash balance plan</t>
  </si>
  <si>
    <t>0064L000002bLaw</t>
  </si>
  <si>
    <t>Comcast Chatbot: Xfinity Assistant</t>
  </si>
  <si>
    <t>0064L00000Bel0a</t>
  </si>
  <si>
    <t>Vornado Supplier Diversity</t>
  </si>
  <si>
    <t>0064L00000CVfxb</t>
  </si>
  <si>
    <t>Actuarial Forecast Model Support</t>
  </si>
  <si>
    <t>0064L00000BnQfK</t>
  </si>
  <si>
    <t>Munson Healthcare</t>
  </si>
  <si>
    <t>0064L0000097Z36</t>
  </si>
  <si>
    <t>Lilac Services Ltd.</t>
  </si>
  <si>
    <t>Data Strategy &amp; Reporting</t>
  </si>
  <si>
    <t>0064L00000ArAyy</t>
  </si>
  <si>
    <t>Danaher Life Sciences Expanding Services Business</t>
  </si>
  <si>
    <t>0064L00000Behtp</t>
  </si>
  <si>
    <t>Alico Services Corp.</t>
  </si>
  <si>
    <t>0064L00000Behvb</t>
  </si>
  <si>
    <t>0064L00000BehvY</t>
  </si>
  <si>
    <t>1st Source Corporation</t>
  </si>
  <si>
    <t>0064L00000BehvX</t>
  </si>
  <si>
    <t>Flagstar Bancorp Inc.</t>
  </si>
  <si>
    <t>0064L00000BehvW</t>
  </si>
  <si>
    <t>OTTO BREMER FOUNDATION</t>
  </si>
  <si>
    <t>0064L00000Behw5</t>
  </si>
  <si>
    <t>0064L00000Behvg</t>
  </si>
  <si>
    <t>YOUNG CORPORATION</t>
  </si>
  <si>
    <t>0064L00000Bnbr7</t>
  </si>
  <si>
    <t>Adobe UX Design Opportunity</t>
  </si>
  <si>
    <t>Tanay Rajore</t>
  </si>
  <si>
    <t>0064L00000BnbqE</t>
  </si>
  <si>
    <t>StoneX - Payments Strategy</t>
  </si>
  <si>
    <t>0064I000011nWCS</t>
  </si>
  <si>
    <t>P66 - PRA Replacement Strategy</t>
  </si>
  <si>
    <t>14/1/2020</t>
  </si>
  <si>
    <t>0064L00000Bovwa</t>
  </si>
  <si>
    <t>Workday Order form Data Flow Mapping Proposal</t>
  </si>
  <si>
    <t>Kevin Mork</t>
  </si>
  <si>
    <t>0064L00000BlmpL</t>
  </si>
  <si>
    <t>0064L00000BowZd</t>
  </si>
  <si>
    <t>DEI Landscape Assessment</t>
  </si>
  <si>
    <t>0064L000009AE85</t>
  </si>
  <si>
    <t>BSC ESG as a Differentiator</t>
  </si>
  <si>
    <t>0064L00000B22ed</t>
  </si>
  <si>
    <t>Equifax Inc.</t>
  </si>
  <si>
    <t>ProEdge in EWS</t>
  </si>
  <si>
    <t>0064L0000099oaC</t>
  </si>
  <si>
    <t>Key Procurement on Demand #S&amp;P#POD</t>
  </si>
  <si>
    <t>0064L000009B6TI</t>
  </si>
  <si>
    <t>GRM Portfolio Review</t>
  </si>
  <si>
    <t>0064L000009g2A5</t>
  </si>
  <si>
    <t>CUNA:  Oracle In-bound ERP/EPM Opportunity  #ORACLE_INS</t>
  </si>
  <si>
    <t>0064I00000qscZJ</t>
  </si>
  <si>
    <t>CCB CRM Assessment #Comm50B+</t>
  </si>
  <si>
    <t>21/3/2019</t>
  </si>
  <si>
    <t>0064L00000BoUcG</t>
  </si>
  <si>
    <t>Twitter Inc.</t>
  </si>
  <si>
    <t>2022/2023 Global Equity Consulting</t>
  </si>
  <si>
    <t>0064L0000041Shz</t>
  </si>
  <si>
    <t>Chiesa Shahinian &amp; Giantomasi PC</t>
  </si>
  <si>
    <t>Cash Balance Plan Redesign</t>
  </si>
  <si>
    <t>0064L0000099lmW</t>
  </si>
  <si>
    <t>Covington &amp; Burling LLP</t>
  </si>
  <si>
    <t>PRT consultant to Cov client</t>
  </si>
  <si>
    <t>0064L00000AqpwY</t>
  </si>
  <si>
    <t>Vertex: VX-2030: Cell &amp; Gene Therapy Market Access</t>
  </si>
  <si>
    <t>0064L000003yXsW</t>
  </si>
  <si>
    <t>CVS LDTI Strategy</t>
  </si>
  <si>
    <t>Long Duration</t>
  </si>
  <si>
    <t>0064L00000Aqpxb</t>
  </si>
  <si>
    <t>Vertex: Supply Chain Resiliency</t>
  </si>
  <si>
    <t>0064L00000CYpHI</t>
  </si>
  <si>
    <t>New Product Launch Planning and Support</t>
  </si>
  <si>
    <t>0064L000009B4EA</t>
  </si>
  <si>
    <t>Legal &amp; General Group Plc</t>
  </si>
  <si>
    <t>State Tax Pension Reporting Requirements and</t>
  </si>
  <si>
    <t>0064L00000B20K2</t>
  </si>
  <si>
    <t>Hologic Treasury / Tax Structuring</t>
  </si>
  <si>
    <t>0064L00000CYpKR</t>
  </si>
  <si>
    <t>BIAH - Equine Omnichannel Excellence (Phase 2)</t>
  </si>
  <si>
    <t>0064L00000CWzh6</t>
  </si>
  <si>
    <t>Yale New Haven Health System</t>
  </si>
  <si>
    <t>Yale FY21 Organ &amp; Beds *Strategic reimbursement*</t>
  </si>
  <si>
    <t>0064L00000DFc0F</t>
  </si>
  <si>
    <t>Forward Air Corporation</t>
  </si>
  <si>
    <t>FP&amp;A Operating Model</t>
  </si>
  <si>
    <t>0064L00000CYpLt</t>
  </si>
  <si>
    <t>BIAH - Equine Omnichannel Excellence (Phase 3)</t>
  </si>
  <si>
    <t>0064I00000zSfIb</t>
  </si>
  <si>
    <t>ESPP Administrative Oversight Support</t>
  </si>
  <si>
    <t>Pam Weems</t>
  </si>
  <si>
    <t>0064L00000Artek</t>
  </si>
  <si>
    <t>OrangeDot, Inc.</t>
  </si>
  <si>
    <t>Headspace Revenue Cycle Assessment *rev cycle*</t>
  </si>
  <si>
    <t>0064L00000CYpPC</t>
  </si>
  <si>
    <t>BIAH - Equine Omnichannel Excellence (Phase 4)</t>
  </si>
  <si>
    <t>0064L00000421hT</t>
  </si>
  <si>
    <t>Pension Actuarial Valuation</t>
  </si>
  <si>
    <t>Gina Uhrich</t>
  </si>
  <si>
    <t>0064L00000BnbTF</t>
  </si>
  <si>
    <t>Rapid Finance Diagnostic &amp; Roadmap</t>
  </si>
  <si>
    <t>0064L000007FmnO</t>
  </si>
  <si>
    <t>Salesforce Field Service Lightning Optimization</t>
  </si>
  <si>
    <t>0064I000015SqAU</t>
  </si>
  <si>
    <t>BILH // Virtual Care -Clin-Ops and Workflow</t>
  </si>
  <si>
    <t>Linda Craib</t>
  </si>
  <si>
    <t>0064L000001tED4</t>
  </si>
  <si>
    <t>Future of Compliance #COVID-19</t>
  </si>
  <si>
    <t>0064L00000CX9qj</t>
  </si>
  <si>
    <t>MSK: Pharmacy Optimization *FFG*</t>
  </si>
  <si>
    <t>0064L00000Bo2Zd</t>
  </si>
  <si>
    <t>John Hancock Worksite Support</t>
  </si>
  <si>
    <t>0064L00000Boebb</t>
  </si>
  <si>
    <t>2022 401(k) Operational Compliance Assessment</t>
  </si>
  <si>
    <t>0065800000jftEs</t>
  </si>
  <si>
    <t>Microsoft - Data Center Predictive Maintenance - $100k</t>
  </si>
  <si>
    <t>27/9/2018</t>
  </si>
  <si>
    <t>0064L0000042TFp</t>
  </si>
  <si>
    <t>Essentia Health *VBO*</t>
  </si>
  <si>
    <t>0064L00000CVDqq</t>
  </si>
  <si>
    <t>ProMedica Health System - *SMART* Outpatient License</t>
  </si>
  <si>
    <t>0064I000015TQfN</t>
  </si>
  <si>
    <t>Vehicle M&amp;A Targeting</t>
  </si>
  <si>
    <t>0064L00000As3sm</t>
  </si>
  <si>
    <t>iManage LLC</t>
  </si>
  <si>
    <t>ERG Governance and Deployment</t>
  </si>
  <si>
    <t>0064L00000BeykW</t>
  </si>
  <si>
    <t>Panera data &amp; analytics strategy</t>
  </si>
  <si>
    <t>GX_FY22_XLOS "Beyond Digital" Transformation</t>
  </si>
  <si>
    <t>0064L000007WNpY</t>
  </si>
  <si>
    <t>DoorDash Policy and Regulatory Intelligence (PRI)</t>
  </si>
  <si>
    <t>0064L00000CW4xN</t>
  </si>
  <si>
    <t>Gilead: Transformation - Finance/ D&amp;A: GTN Support *Pricing*</t>
  </si>
  <si>
    <t>0064L000003zKl2</t>
  </si>
  <si>
    <t>Griffin Health Services Corporation</t>
  </si>
  <si>
    <t>*SMART* License - Griffin Health</t>
  </si>
  <si>
    <t>0064I0000131yc8</t>
  </si>
  <si>
    <t>HOSP BOARD OF DIRS OF LEE CNTY D/B/A LEE MEMORIAL HLTH SYS</t>
  </si>
  <si>
    <t>*SMART* License - Lee Memorial Health</t>
  </si>
  <si>
    <t>0064L00000AqqCI</t>
  </si>
  <si>
    <t>RIG - ESG/Carbon Ledger</t>
  </si>
  <si>
    <t>0064L00000Bnqsh</t>
  </si>
  <si>
    <t>UCT Singapore SAP Support</t>
  </si>
  <si>
    <t>Paul Deneys</t>
  </si>
  <si>
    <t>0064L000007DzNS</t>
  </si>
  <si>
    <t>Honda Smart Factory Proof of Concept</t>
  </si>
  <si>
    <t>0064L00000CWWhj</t>
  </si>
  <si>
    <t>Taylor Morrison Treasury Services</t>
  </si>
  <si>
    <t>Heela Popal</t>
  </si>
  <si>
    <t>0064L00000CWFiD</t>
  </si>
  <si>
    <t>University Of Wisconsin Medical Foundati</t>
  </si>
  <si>
    <t>Lauren Serpan</t>
  </si>
  <si>
    <t>0064L00000AqqLJ</t>
  </si>
  <si>
    <t>Merck: Working Capital Reduction</t>
  </si>
  <si>
    <t>19/9/2022</t>
  </si>
  <si>
    <t>0064L00000DJnG1</t>
  </si>
  <si>
    <t>Covid Blue Health, Inc.</t>
  </si>
  <si>
    <t>Business Model Review</t>
  </si>
  <si>
    <t>Lora Leigh Nunnelley</t>
  </si>
  <si>
    <t>0064L00000CWWrD</t>
  </si>
  <si>
    <t>KP Product Management Strategy</t>
  </si>
  <si>
    <t>HIA FFG-Back Office Admin</t>
  </si>
  <si>
    <t>0064L00000AqqMq</t>
  </si>
  <si>
    <t>Merck Life Sciences: Supply Chain Resiliency</t>
  </si>
  <si>
    <t>0064L00000DFPXu</t>
  </si>
  <si>
    <t>Trillium Health Resources</t>
  </si>
  <si>
    <t>Actuarial Support 2022</t>
  </si>
  <si>
    <t>Sarah Poserina</t>
  </si>
  <si>
    <t>0064L00000AqqNy</t>
  </si>
  <si>
    <t>Merck MilliporeSigma: eCommerce Upgrade</t>
  </si>
  <si>
    <t>0064L00000DFWRK</t>
  </si>
  <si>
    <t>T. Marzetti SAP TPM Reporting Test Support CO 3</t>
  </si>
  <si>
    <t>T. Marzetti SAP TPM Reporting Test Support CO 2</t>
  </si>
  <si>
    <t>0064L00000ApcFM</t>
  </si>
  <si>
    <t>0064L00000Boh9I</t>
  </si>
  <si>
    <t>Global COVID-19 Launch Workshop</t>
  </si>
  <si>
    <t>0064L00000BljmC</t>
  </si>
  <si>
    <t>Bridgewater Associates - Compensation and Benefits</t>
  </si>
  <si>
    <t>0064L00000Bp2Xh</t>
  </si>
  <si>
    <t>CBRE - IA&amp;R - Time Tracking Advice</t>
  </si>
  <si>
    <t>0064L00000BgM9b</t>
  </si>
  <si>
    <t>SFBLI - Data Warehouse Solution Design</t>
  </si>
  <si>
    <t>0064L00000Bp0ma</t>
  </si>
  <si>
    <t>Secretaría de Comunicaciones y Transportes</t>
  </si>
  <si>
    <t>Estudio de mercado y actualizar ACB, Aeropuerto Tamuin</t>
  </si>
  <si>
    <t>0064L00000CW93Q</t>
  </si>
  <si>
    <t>Knowledge Transition Training</t>
  </si>
  <si>
    <t>Elizabeth Daniel</t>
  </si>
  <si>
    <t>0064L00000CVC7a</t>
  </si>
  <si>
    <t>Payroll and HR Compliance - SCOPE REVISION</t>
  </si>
  <si>
    <t>0064L00000Borry</t>
  </si>
  <si>
    <t>Jabil Inc.</t>
  </si>
  <si>
    <t>Jabil - FYE 2022 Retirement Plan Valuations</t>
  </si>
  <si>
    <t>0064L00000BfCnT</t>
  </si>
  <si>
    <t>2022 Pulse Survey Support</t>
  </si>
  <si>
    <t>0064L00000BerhA</t>
  </si>
  <si>
    <t>Wec Energy Group, Inc.</t>
  </si>
  <si>
    <t>Resource Demand Model - POC</t>
  </si>
  <si>
    <t>0064L00000Bldb3</t>
  </si>
  <si>
    <t>2022 Pension Services</t>
  </si>
  <si>
    <t>Humza Khan</t>
  </si>
  <si>
    <t>0064L00000DJe0o</t>
  </si>
  <si>
    <t>Fever Labs, Inc.</t>
  </si>
  <si>
    <t>Fever FY2022 ASC 718 Support</t>
  </si>
  <si>
    <t>0064L00000CV5ow</t>
  </si>
  <si>
    <t>Scripps_Health Online Payment Support</t>
  </si>
  <si>
    <t>Stuart Kass</t>
  </si>
  <si>
    <t>0064L00000Boimp</t>
  </si>
  <si>
    <t>BCBSNC RBC Analysis</t>
  </si>
  <si>
    <t>Dave Grieshaber</t>
  </si>
  <si>
    <t>0064L00000Bowch</t>
  </si>
  <si>
    <t>Becle, S.A.B. de C.V.</t>
  </si>
  <si>
    <t>FY23-Estrategia ESG-BECLE</t>
  </si>
  <si>
    <t>Miguel Angel Avendaño</t>
  </si>
  <si>
    <t>0064L00000BfTVz</t>
  </si>
  <si>
    <t>Partner Payment Process for Agency Model #TMTPricing</t>
  </si>
  <si>
    <t>0064L00000CXdtY</t>
  </si>
  <si>
    <t>Ballard Spahr LLP</t>
  </si>
  <si>
    <t>2022 Ballard Spahr Bonus Review</t>
  </si>
  <si>
    <t>0064L00000BnIop</t>
  </si>
  <si>
    <t>Sedgwick WT SBC Accounting and Val 2022</t>
  </si>
  <si>
    <t>Lexie Li</t>
  </si>
  <si>
    <t>0064L00000CYEBo</t>
  </si>
  <si>
    <t>United Talent Agency LLC</t>
  </si>
  <si>
    <t>Project Strike - Global Benefits Diligence</t>
  </si>
  <si>
    <t>0064L00000BnyP5</t>
  </si>
  <si>
    <t>Microsoft "GSMO" Social Entrepreneurship Phase 2 - US Market Research</t>
  </si>
  <si>
    <t>0064L00000BmqzJ</t>
  </si>
  <si>
    <t>Fair Isaac Corporation</t>
  </si>
  <si>
    <t>FY22 and FY23 162(m) Consulting</t>
  </si>
  <si>
    <t>31/10/2023</t>
  </si>
  <si>
    <t>Fernanda Valdes Solis</t>
  </si>
  <si>
    <t>0064L00000B2cPF</t>
  </si>
  <si>
    <t>Hilite Industries Inc.</t>
  </si>
  <si>
    <t>Hilite Employee Retention Credit</t>
  </si>
  <si>
    <t>Chris King</t>
  </si>
  <si>
    <t>0064L00000BfIQs</t>
  </si>
  <si>
    <t>American Chemical Society</t>
  </si>
  <si>
    <t>Employee Engagement Survey</t>
  </si>
  <si>
    <t>0064L00000AqoS8</t>
  </si>
  <si>
    <t>Microsoft Surface Marketing Compete: Consumer Expansion</t>
  </si>
  <si>
    <t>0064L00000CXjcG</t>
  </si>
  <si>
    <t>Project Galaxy - Post-Close Talent ESG Scorecard Support</t>
  </si>
  <si>
    <t>Katie Samargya</t>
  </si>
  <si>
    <t>0064L00000BnN25</t>
  </si>
  <si>
    <t>Payroll Process and Controls Assessment</t>
  </si>
  <si>
    <t>0064L00000Apyha</t>
  </si>
  <si>
    <t>Invercer Sa</t>
  </si>
  <si>
    <t>FY22 - Lamosa - S4 Hanna Migration</t>
  </si>
  <si>
    <t>0064L00000BfeeH</t>
  </si>
  <si>
    <t>Potential work after Progressive ESG Assurance</t>
  </si>
  <si>
    <t>0064I00000u1oaG</t>
  </si>
  <si>
    <t>Conrad Indianapolis - IGP</t>
  </si>
  <si>
    <t>20/5/2019</t>
  </si>
  <si>
    <t>0064L00000Bogtt</t>
  </si>
  <si>
    <t>FY23-ESG Strategy-BECLE</t>
  </si>
  <si>
    <t>Cristian Jaramillo</t>
  </si>
  <si>
    <t>0064L00000CYSvn</t>
  </si>
  <si>
    <t>Providence Equity Partners Inc.</t>
  </si>
  <si>
    <t>VSTG Golden Parachute Consulting (2022)</t>
  </si>
  <si>
    <t>Michael Giampa</t>
  </si>
  <si>
    <t>Michael Shapson</t>
  </si>
  <si>
    <t>0064L00000DFcmT</t>
  </si>
  <si>
    <t>Fisher Brothers Financial And Development Company L.p.</t>
  </si>
  <si>
    <t>A15 New Business Plan</t>
  </si>
  <si>
    <t>0064L00000BnbWi</t>
  </si>
  <si>
    <t>NMG Parent LLC</t>
  </si>
  <si>
    <t>Jeffrey Yen</t>
  </si>
  <si>
    <t>0064L00000Bnqct</t>
  </si>
  <si>
    <t>Centessa Pharmaceuticals plc</t>
  </si>
  <si>
    <t>Centessa FY22 Compensation Tax Matters</t>
  </si>
  <si>
    <t>0064I000011pIGv</t>
  </si>
  <si>
    <t>Rrh Corporation</t>
  </si>
  <si>
    <t>IGP - Doubletree Los Angeles Westside</t>
  </si>
  <si>
    <t>28/1/2020</t>
  </si>
  <si>
    <t>0064L00000DJZ8x</t>
  </si>
  <si>
    <t>Alphaeon Corporation</t>
  </si>
  <si>
    <t>Evolus - ESG benchmarking</t>
  </si>
  <si>
    <t>0064I000011pII8</t>
  </si>
  <si>
    <t>Hines Interests Limited Partnership</t>
  </si>
  <si>
    <t>IGP - Conrad Washington DC</t>
  </si>
  <si>
    <t>0064L00000DFciv</t>
  </si>
  <si>
    <t>NEXSTAR MEDIA GROUP, INC.</t>
  </si>
  <si>
    <t>2021 Forms 5500 - Nexstar / Tribune</t>
  </si>
  <si>
    <t>0064I000011o2p9</t>
  </si>
  <si>
    <t>San Jose Hilton</t>
  </si>
  <si>
    <t>IGP - San Jose Hilton</t>
  </si>
  <si>
    <t>0064L00000DBPqr</t>
  </si>
  <si>
    <t>Bridgewater Workday Integration Support 2022 (July extension)</t>
  </si>
  <si>
    <t>Ajay Kohli</t>
  </si>
  <si>
    <t>0064L00000DJiN5</t>
  </si>
  <si>
    <t>Yahoo - HR Analytics</t>
  </si>
  <si>
    <t>0064L00000BoNi9</t>
  </si>
  <si>
    <t>2022 PRP Multi-Rater Feedback Program</t>
  </si>
  <si>
    <t>0064L00000BmvWI</t>
  </si>
  <si>
    <t>0064L00000BlmxF</t>
  </si>
  <si>
    <t>FedEx ARCS Reporting</t>
  </si>
  <si>
    <t>0064L00000AplpY</t>
  </si>
  <si>
    <t>Gates Stock Comp DTA support - IFRS</t>
  </si>
  <si>
    <t>0064L00000Blkch</t>
  </si>
  <si>
    <t>SOCIETE BIC</t>
  </si>
  <si>
    <t>Bic - Commodity &amp; Inflation Analytics Capability #pricing</t>
  </si>
  <si>
    <t>0064I000011o1il</t>
  </si>
  <si>
    <t>Heafey Group (florida) Inc.</t>
  </si>
  <si>
    <t>IGP - Conrad Fort Lauderdale</t>
  </si>
  <si>
    <t>16/1/2020</t>
  </si>
  <si>
    <t>0064I000011pQ1P</t>
  </si>
  <si>
    <t>IGP - C Baldwin Hotel Houston</t>
  </si>
  <si>
    <t>0064I00000y8XsW</t>
  </si>
  <si>
    <t>Ecd Company Inc</t>
  </si>
  <si>
    <t>IGP - theWit Hotel</t>
  </si>
  <si>
    <t>0064L00000Bn2Ta</t>
  </si>
  <si>
    <t>Documentación de Procesos para generación de Reportes Regulatorios</t>
  </si>
  <si>
    <t>0064L0000068w6g</t>
  </si>
  <si>
    <t>COLI financing SupeRoth Phase I</t>
  </si>
  <si>
    <t>Tobiah Mintz</t>
  </si>
  <si>
    <t>0064L00000CWcQa</t>
  </si>
  <si>
    <t>Wellington - WT - Providing subject-matter advice on a defined benefit plan</t>
  </si>
  <si>
    <t>0064L00000BebTH</t>
  </si>
  <si>
    <t>Lowe's Listening Strategy - Stay Program</t>
  </si>
  <si>
    <t>0064L00000BlxJj</t>
  </si>
  <si>
    <t>SVB Procurement/TPRM/Cyber Transformation PMO</t>
  </si>
  <si>
    <t>0064L000001uC9i</t>
  </si>
  <si>
    <t>MSFT RE&amp;S Operations Risk and Control Assessment - Advisory</t>
  </si>
  <si>
    <t>Stephen Little</t>
  </si>
  <si>
    <t>0064L00000CY2Mq</t>
  </si>
  <si>
    <t>Shell Mobility Deal Support</t>
  </si>
  <si>
    <t>0064L00000CY2bg</t>
  </si>
  <si>
    <t>Coupa - Optimization</t>
  </si>
  <si>
    <t>0064L00000BoZph</t>
  </si>
  <si>
    <t>Chico's FAS, Inc.</t>
  </si>
  <si>
    <t>Chico's Lucernex Assessment</t>
  </si>
  <si>
    <t>Matt Nichols</t>
  </si>
  <si>
    <t>0064L00000CYBHR</t>
  </si>
  <si>
    <t>DEVELOP MOBILIER INDUSTRIEL</t>
  </si>
  <si>
    <t>Finance Transformation Planning</t>
  </si>
  <si>
    <t>0064L000009AILO</t>
  </si>
  <si>
    <t>FP&amp;A Optimization (Anaplan)</t>
  </si>
  <si>
    <t>0064I00000q0uY1</t>
  </si>
  <si>
    <t>Intel Construction Fraud Program Support</t>
  </si>
  <si>
    <t>16/4/2019</t>
  </si>
  <si>
    <t>0064L00000CWnLI</t>
  </si>
  <si>
    <t>BX Insurance Outsource Assessment</t>
  </si>
  <si>
    <t>0064L00000Ar5CQ</t>
  </si>
  <si>
    <t>Qualified Plan Compliance Assistance</t>
  </si>
  <si>
    <t>0064L00000BnvzB</t>
  </si>
  <si>
    <t>Global Equity Consulting</t>
  </si>
  <si>
    <t>0064L00000BfocZ</t>
  </si>
  <si>
    <t>American Safety Workforce Transformation Project</t>
  </si>
  <si>
    <t>Caroline Griffin</t>
  </si>
  <si>
    <t>0064I000011pora</t>
  </si>
  <si>
    <t>Design/Implementation of New DB Plans</t>
  </si>
  <si>
    <t>0064L00000DJbSV</t>
  </si>
  <si>
    <t>Kinder - 280G 162m support - post diligence support</t>
  </si>
  <si>
    <t>Katie McGonigal</t>
  </si>
  <si>
    <t>Kanth Sishtla</t>
  </si>
  <si>
    <t>0064L00000Bogs7</t>
  </si>
  <si>
    <t>The Crawford Group Inc</t>
  </si>
  <si>
    <t>EFM - Fleet Process Improvement</t>
  </si>
  <si>
    <t>0064L000009AVxA</t>
  </si>
  <si>
    <t>Successor Employer Analysis</t>
  </si>
  <si>
    <t>Samuel Kalvass Jr</t>
  </si>
  <si>
    <t>0064L00000Bn2cD</t>
  </si>
  <si>
    <t>Evolving DEI in WFT</t>
  </si>
  <si>
    <t>0064L00000CY0C5</t>
  </si>
  <si>
    <t>Sheppard Mullin Richter &amp; Hampton</t>
  </si>
  <si>
    <t>WT - 2023 Actuarial Valuation for Sheppard Mullin Cash Balance Plan</t>
  </si>
  <si>
    <t>0064L000009g0o3</t>
  </si>
  <si>
    <t>HP Inc. Employment Tax Refunds</t>
  </si>
  <si>
    <t>0064L00000BncpW</t>
  </si>
  <si>
    <t>Shell - IT - Safety Environment Carbon (SEC) Market Scan</t>
  </si>
  <si>
    <t>0064L00000CYb1A</t>
  </si>
  <si>
    <t>FY23 Beneficiary Financial Counseling</t>
  </si>
  <si>
    <t>0064L000009eq4E</t>
  </si>
  <si>
    <t>KKDC US Controllership Finance Value Accelerator</t>
  </si>
  <si>
    <t>24/6/2021</t>
  </si>
  <si>
    <t>Benjamin Vanderver</t>
  </si>
  <si>
    <t>0064L00000BgMNn</t>
  </si>
  <si>
    <t>Project Kinder - 162(m) and 280G Analysis</t>
  </si>
  <si>
    <t>Jeffrey Petrous</t>
  </si>
  <si>
    <t>0064L00000BowUO</t>
  </si>
  <si>
    <t>Udemy, Inc.</t>
  </si>
  <si>
    <t>FFG Org Design Insights</t>
  </si>
  <si>
    <t>0064L00000DFS42</t>
  </si>
  <si>
    <t>REGARDS</t>
  </si>
  <si>
    <t>2022 Compensation Consulting</t>
  </si>
  <si>
    <t>0064L00000CWHnJ</t>
  </si>
  <si>
    <t>NATIONAL DISTRIBUTING COMPANY, Inc.</t>
  </si>
  <si>
    <t>2022 Employee Survey Support</t>
  </si>
  <si>
    <t>0064L00000DFRXc</t>
  </si>
  <si>
    <t>Team Polling Customization</t>
  </si>
  <si>
    <t>0064L000004z78E</t>
  </si>
  <si>
    <t>CVS Health #ProEdge</t>
  </si>
  <si>
    <t>19/12/2022</t>
  </si>
  <si>
    <t>0064L00000AsEEN</t>
  </si>
  <si>
    <t>AG - ESG Assessment</t>
  </si>
  <si>
    <t>Jonathan Hatton</t>
  </si>
  <si>
    <t>0064L00000B33Ci</t>
  </si>
  <si>
    <t>MS IIS - Client Journey Map (2021) #WM</t>
  </si>
  <si>
    <t>0064L0000041B3n</t>
  </si>
  <si>
    <t>Otsuka Holdings Co., Ltd.</t>
  </si>
  <si>
    <t>Trade Promotion Process Enhancements #RGM</t>
  </si>
  <si>
    <t>Brent Stolle</t>
  </si>
  <si>
    <t>0064L00000AqMNB</t>
  </si>
  <si>
    <t>Payroll Refund Review_$75K</t>
  </si>
  <si>
    <t>0064L00000Bg8gm</t>
  </si>
  <si>
    <t>Globe Life_Payroll Tax Process_$75K</t>
  </si>
  <si>
    <t>0064L00000BocOZ</t>
  </si>
  <si>
    <t>Pepsico ESG Scope 3 Technology Deployment - Design - Sphera</t>
  </si>
  <si>
    <t>0064L00000CWWI4</t>
  </si>
  <si>
    <t>International Monetary Fund</t>
  </si>
  <si>
    <t>Staff Engagement Survey Services 2022</t>
  </si>
  <si>
    <t>Pamela Dowd</t>
  </si>
  <si>
    <t>0064L00000CXjwz</t>
  </si>
  <si>
    <t>Talent ESG Survey Support</t>
  </si>
  <si>
    <t>0064L00000DJYxu</t>
  </si>
  <si>
    <t>LTI Modelling</t>
  </si>
  <si>
    <t>Eric Schulze</t>
  </si>
  <si>
    <t>0064L00000AraDh</t>
  </si>
  <si>
    <t>PPP KYC Advisory</t>
  </si>
  <si>
    <t>16/11/2021 1:53 am</t>
  </si>
  <si>
    <t>Pamela Johnston</t>
  </si>
  <si>
    <t>Abigail Singley</t>
  </si>
  <si>
    <t>0064L00000CXzqE</t>
  </si>
  <si>
    <t>MIcrosoft CO+I Compliance Org Design - Team offsite</t>
  </si>
  <si>
    <t>Natasha Ellis</t>
  </si>
  <si>
    <t>0064L00000CtjMk</t>
  </si>
  <si>
    <t>Professional Dashboard</t>
  </si>
  <si>
    <t>0064L00000B2pEM</t>
  </si>
  <si>
    <t>Fusion 2.0 BIA</t>
  </si>
  <si>
    <t>0064L00000CWx0I</t>
  </si>
  <si>
    <t>PAI PARTNERS</t>
  </si>
  <si>
    <t>Marcolin Chargeback Process Assessment *Pricing*</t>
  </si>
  <si>
    <t>0064L0000042A5m</t>
  </si>
  <si>
    <t>Recurring cash balance actuarial</t>
  </si>
  <si>
    <t>0064L00000CY835</t>
  </si>
  <si>
    <t>Kynetic LLC.</t>
  </si>
  <si>
    <t>Fanatics Holdings, Inc. - Finance System Strategy</t>
  </si>
  <si>
    <t>0064L00000Bopgo</t>
  </si>
  <si>
    <t>UTRGV Texas Child Mental Health Care Consortium Corrective Action Plan</t>
  </si>
  <si>
    <t>Sanchita Arora</t>
  </si>
  <si>
    <t>0064L00000BecUV</t>
  </si>
  <si>
    <t>Jazwares - SG&amp;A Overhead/Mgmt Services Allocation Study</t>
  </si>
  <si>
    <t>0064L00000CYIM3</t>
  </si>
  <si>
    <t>Trade Spend FMV Benchmarking</t>
  </si>
  <si>
    <t>0064L00000BmHsp</t>
  </si>
  <si>
    <t>Anton Rupert Trust</t>
  </si>
  <si>
    <t>Richemont NA Pay Equity</t>
  </si>
  <si>
    <t>0064L000009ADiW</t>
  </si>
  <si>
    <t>China General Nuclear Power Corporation</t>
  </si>
  <si>
    <t>Assist in adoption EAS 47</t>
  </si>
  <si>
    <t>Ahmed Elzehery</t>
  </si>
  <si>
    <t>0064L00000CYU18</t>
  </si>
  <si>
    <t>Century Aluminum Company</t>
  </si>
  <si>
    <t>PL - Defined Benefit Administration &amp; Call Center With Additional Actuarial Services</t>
  </si>
  <si>
    <t>0064I000014M0OE</t>
  </si>
  <si>
    <t>*SMART* IP &amp; OP Coding Consulting Renewal - FY22</t>
  </si>
  <si>
    <t>18/4/2020</t>
  </si>
  <si>
    <t>0064L00000Bnouq</t>
  </si>
  <si>
    <t>FY23-360E-MobilityMkt-HONDA</t>
  </si>
  <si>
    <t>0064L0000040oAY</t>
  </si>
  <si>
    <t>University of Chicago Medicine - *SMART*Ingalls Memorial Hospital Addition</t>
  </si>
  <si>
    <t>0064L00000CYLTj</t>
  </si>
  <si>
    <t>Rook Holdings, LLC</t>
  </si>
  <si>
    <t>Shift4 162(m) Consulting (2022)</t>
  </si>
  <si>
    <t>0064L00000BoQS4</t>
  </si>
  <si>
    <t>Takeda HR Benchmarking and Saratoga</t>
  </si>
  <si>
    <t>0064L00000Be0U7</t>
  </si>
  <si>
    <t>KKR - Data Ops Support Q3 2022</t>
  </si>
  <si>
    <t>0064L00000Be0UC</t>
  </si>
  <si>
    <t>KKR - Data Ops Support Q4 2022</t>
  </si>
  <si>
    <t>0064L00000Bl5JA</t>
  </si>
  <si>
    <t>VHOD API Development *Rev Cycle* *RC Tech*</t>
  </si>
  <si>
    <t>HI.HS.EV.2019 REVENUE CYCLE CONSORTIUM_04FY19</t>
  </si>
  <si>
    <t>Hardik Choksi</t>
  </si>
  <si>
    <t>0064I00000y7RdN</t>
  </si>
  <si>
    <t>Blanco Rio Ltd.</t>
  </si>
  <si>
    <t>IGP - Embassy Suites San Antonio Riverwalk</t>
  </si>
  <si>
    <t>0064I00000zTrsR</t>
  </si>
  <si>
    <t>MERIDEN LODGING ASSOCIATES LLC</t>
  </si>
  <si>
    <t>IGP - Hampton Inn South Plainfield and Hilton Garden Inn Wayne NJ</t>
  </si>
  <si>
    <t>24/12/2019</t>
  </si>
  <si>
    <t>0064L00000DFiAz</t>
  </si>
  <si>
    <t>Bain Capital Holdings, LP</t>
  </si>
  <si>
    <t>Quantum Golden Parachute Consulting</t>
  </si>
  <si>
    <t>Davin MacKenzie</t>
  </si>
  <si>
    <t>0064L00000CXogS</t>
  </si>
  <si>
    <t>CDH Fund V, L.P.</t>
  </si>
  <si>
    <t>2022 Exec. Comp &amp; LTI Plan</t>
  </si>
  <si>
    <t>0064L00000CVgki</t>
  </si>
  <si>
    <t>#IOBP - Amgen PD Design Support</t>
  </si>
  <si>
    <t>0064L000001w4xg</t>
  </si>
  <si>
    <t>FCA US - Tier 2 Transparency #FFG</t>
  </si>
  <si>
    <t>0064L000002bTRw</t>
  </si>
  <si>
    <t>Progressive Insurance Medical Claim Implementation Assessment</t>
  </si>
  <si>
    <t>Renee Phillips</t>
  </si>
  <si>
    <t>0064L00000CZ0Rf</t>
  </si>
  <si>
    <t>Peloton Interactive, Inc.</t>
  </si>
  <si>
    <t>Peloton Contract Remediation #S&amp;P</t>
  </si>
  <si>
    <t>0064L00000CWG8K</t>
  </si>
  <si>
    <t>Aea International Holdings Pte. Ltd.</t>
  </si>
  <si>
    <t>0064L00000CXZXq</t>
  </si>
  <si>
    <t>MSA Safety Incorporated - Phase 1 - Gross Margin add-on</t>
  </si>
  <si>
    <t>0064L00000CXFsq</t>
  </si>
  <si>
    <t>Cerberus Capital Management LP</t>
  </si>
  <si>
    <t>NexTier - ESG Readiness 2022</t>
  </si>
  <si>
    <t>0064I00000zSOoD</t>
  </si>
  <si>
    <t>IGP - Hyatt HOTEL 50 BOWERY NYC</t>
  </si>
  <si>
    <t>0064L0000041Is7</t>
  </si>
  <si>
    <t>Mount Nittany Health System</t>
  </si>
  <si>
    <t>*SMART* License - Mount Nittany</t>
  </si>
  <si>
    <t>0064L00000CYTzC</t>
  </si>
  <si>
    <t>Alliance Resource Partners, LP</t>
  </si>
  <si>
    <t>PL - Actuarial Valuation &amp; Benefit Administration</t>
  </si>
  <si>
    <t>0064L0000040Bzt</t>
  </si>
  <si>
    <t>Esperion Therapeutics, Inc</t>
  </si>
  <si>
    <t>Esperion-Employment Tax Consulting-60K</t>
  </si>
  <si>
    <t>0064L000009BLWL</t>
  </si>
  <si>
    <t>Currency Billing Support - Phase 1</t>
  </si>
  <si>
    <t>0064L00000Bn4XE</t>
  </si>
  <si>
    <t>Avanos Medical, Inc.</t>
  </si>
  <si>
    <t>Avanos Compensation Tax Matters FY2022</t>
  </si>
  <si>
    <t>0064L00000DJRSL</t>
  </si>
  <si>
    <t>Starwood Property Trust Inc.</t>
  </si>
  <si>
    <t>ERG Playbook</t>
  </si>
  <si>
    <t>0064L00000CYQrX</t>
  </si>
  <si>
    <t>XPO Logistics, Inc.</t>
  </si>
  <si>
    <t>Project Impact PMO Extension #3</t>
  </si>
  <si>
    <t>Rakshit Mahadevaprasad</t>
  </si>
  <si>
    <t>0064L00000CYQE0</t>
  </si>
  <si>
    <t>Project Galaxy Post-Close Talent ESG (v2)</t>
  </si>
  <si>
    <t>0064L000009Af9t</t>
  </si>
  <si>
    <t>RADV Validation and RADV Risk Mitigation</t>
  </si>
  <si>
    <t>0064L00000CVWAT</t>
  </si>
  <si>
    <t>Bates White LLC</t>
  </si>
  <si>
    <t>Cash balance plan design/implementation</t>
  </si>
  <si>
    <t>0064L00000CYqSD</t>
  </si>
  <si>
    <t>CD&amp;R Internal Communications Planning Support</t>
  </si>
  <si>
    <t>David Baral</t>
  </si>
  <si>
    <t>Luisa Bramao Ramos</t>
  </si>
  <si>
    <t>0064L00000DJmY8</t>
  </si>
  <si>
    <t>HR Reporting and Dashboards</t>
  </si>
  <si>
    <t>0064L00000DFaQf</t>
  </si>
  <si>
    <t>McDonald's Supplier -DEI Assessment</t>
  </si>
  <si>
    <t>0064L00000B2bxz</t>
  </si>
  <si>
    <t>Revenue Integrity Strategy *Rev Cycle*</t>
  </si>
  <si>
    <t>0064L00000CWwM7</t>
  </si>
  <si>
    <t>Palomar Holdings Inc</t>
  </si>
  <si>
    <t>0064L0000099jDE</t>
  </si>
  <si>
    <t>AH Capital Management LLC.</t>
  </si>
  <si>
    <t>Andreessen Horowitz - Retirement Plan Design/Implementation (Workforce Transformation)</t>
  </si>
  <si>
    <t>0064L00000CWBwa</t>
  </si>
  <si>
    <t>2021 Forms 5500</t>
  </si>
  <si>
    <t>0064L00000DJTAi</t>
  </si>
  <si>
    <t>BSC BPO Service Study</t>
  </si>
  <si>
    <t>0064L000009BD3a</t>
  </si>
  <si>
    <t>MercadoLibre Inc.</t>
  </si>
  <si>
    <t>#mxwebsourced - Mercado Libre - FY22 - Estrategia de Regreso a Oficinas</t>
  </si>
  <si>
    <t>0064L000009AOgv</t>
  </si>
  <si>
    <t>MDHHS Job Fit Assessment 2022</t>
  </si>
  <si>
    <t>0064L00000BoOFc</t>
  </si>
  <si>
    <t>Ogden Cap Properties LLC.</t>
  </si>
  <si>
    <t>Ogden CAP Properties 2022 Health and Welfare Benefits Consulting</t>
  </si>
  <si>
    <t>Jay Harmon</t>
  </si>
  <si>
    <t>0064L00000DFSPF</t>
  </si>
  <si>
    <t>Payroll &amp; Employment Tax Compliance Review</t>
  </si>
  <si>
    <t>Katie Green</t>
  </si>
  <si>
    <t>0064L00000Bnqwe</t>
  </si>
  <si>
    <t>Dentsu Group Inc.</t>
  </si>
  <si>
    <t>#mxwebsourced - Dentsu Mexico - FY22 - Consultoría sobre ley de publicidad</t>
  </si>
  <si>
    <t>0064L00000ArJT1</t>
  </si>
  <si>
    <t>Rockwell #ProEdge - Automation support</t>
  </si>
  <si>
    <t>0064L00000ArJTf</t>
  </si>
  <si>
    <t>ProEdge - Finance transformation support</t>
  </si>
  <si>
    <t>0064L00000CYU21</t>
  </si>
  <si>
    <t>Anta Investment Ltd.</t>
  </si>
  <si>
    <t>PL - Define Benefit Pension Administration &amp; Call Center &amp; Other Actuarial Services</t>
  </si>
  <si>
    <t>0064L00000Bnoif</t>
  </si>
  <si>
    <t>Saratoga Benchmarking - Winback - Zebra Technologies</t>
  </si>
  <si>
    <t>0064L00000CXZUI</t>
  </si>
  <si>
    <t>National Operators Insurance Team</t>
  </si>
  <si>
    <t>PY2021 Medical Claim Assessment</t>
  </si>
  <si>
    <t>PY2020 Medical Claim Assessment</t>
  </si>
  <si>
    <t>0064L00000BfQFP</t>
  </si>
  <si>
    <t>Fluor 2022 Stock-based Compensation Consulting</t>
  </si>
  <si>
    <t>0064I000011pIJ6</t>
  </si>
  <si>
    <t>Xenia Hotels &amp; Resorts, Inc.</t>
  </si>
  <si>
    <t>IGP - Waldorf Astoria Buckhead</t>
  </si>
  <si>
    <t>0064L00000BoJpf</t>
  </si>
  <si>
    <t>M&amp;T Bank Corporation</t>
  </si>
  <si>
    <t>2021 Form 5500 filings - Lazard/Wilmington</t>
  </si>
  <si>
    <t>Cindy Herendeen</t>
  </si>
  <si>
    <t>0064L000009g2xM</t>
  </si>
  <si>
    <t>Process Intelligence - Lala</t>
  </si>
  <si>
    <t>Jose Maria Arteaga</t>
  </si>
  <si>
    <t>0064L00000BfXiZ</t>
  </si>
  <si>
    <t>Grupo Valoran S.A. de C.V.</t>
  </si>
  <si>
    <t>Asesoría en Bonos Verdes</t>
  </si>
  <si>
    <t>Jorge Pedroza</t>
  </si>
  <si>
    <t>0064L00000BfFqd</t>
  </si>
  <si>
    <t>Customer Centricity</t>
  </si>
  <si>
    <t>0064L00000AraQp</t>
  </si>
  <si>
    <t>Healthfirst Project Ventura - Spans and Layers  - Dec 2021</t>
  </si>
  <si>
    <t>0064L00000CWwut</t>
  </si>
  <si>
    <t>Impossible Foods Inc.</t>
  </si>
  <si>
    <t>Compensation Tax Consulting</t>
  </si>
  <si>
    <t>0064L00000Bp2bA</t>
  </si>
  <si>
    <t>Interstate Batteries Inc.</t>
  </si>
  <si>
    <t>Compensation Consulting</t>
  </si>
  <si>
    <t>0064L00000Bobgr</t>
  </si>
  <si>
    <t>Roche - external workforce value case advisory support</t>
  </si>
  <si>
    <t>0064L00000Bo0Dz</t>
  </si>
  <si>
    <t>Bronson Healthcare Group INC.</t>
  </si>
  <si>
    <t>*SMART* License - Bronson Healthcare Group Inc.</t>
  </si>
  <si>
    <t>0064L00000BewRH</t>
  </si>
  <si>
    <t>Sakata Inx Corporation</t>
  </si>
  <si>
    <t>Zilliant Pricing</t>
  </si>
  <si>
    <t>0064L00000AsBbq</t>
  </si>
  <si>
    <t>JLL Marketplace Business Model - Executive Presentation &amp; Business Case #ESG #S&amp;P#POD</t>
  </si>
  <si>
    <t>0064L000006yebo</t>
  </si>
  <si>
    <t>Cambia Health Solutions #ProEdge</t>
  </si>
  <si>
    <t>0064L000004v88k</t>
  </si>
  <si>
    <t>Bill &amp; Melinda Gates Foundation</t>
  </si>
  <si>
    <t>Secondment Program</t>
  </si>
  <si>
    <t>Paul Leinwand</t>
  </si>
  <si>
    <t>0064L000002Z2A8</t>
  </si>
  <si>
    <t>Elective Allocation Plan</t>
  </si>
  <si>
    <t>Sandy Guralnick</t>
  </si>
  <si>
    <t>0064L00000DJkVB</t>
  </si>
  <si>
    <t>Lucid ESG Human Rights Policy</t>
  </si>
  <si>
    <t>0064L00000BfWSV</t>
  </si>
  <si>
    <t>Remington Hotel Corporation</t>
  </si>
  <si>
    <t>Employee Financial Wellness program</t>
  </si>
  <si>
    <t>17/3/2023</t>
  </si>
  <si>
    <t>Coleen Peters</t>
  </si>
  <si>
    <t>0064L00000Bnokl</t>
  </si>
  <si>
    <t>Fila Holdings Co.,Ltd.</t>
  </si>
  <si>
    <t>FY22 Compensation Cons _ Recurring Servs</t>
  </si>
  <si>
    <t>0064L00000Bp2Mt</t>
  </si>
  <si>
    <t>Salaried Compensation Support - LATAM</t>
  </si>
  <si>
    <t>James Grady</t>
  </si>
  <si>
    <t>0064L00000BoPpH</t>
  </si>
  <si>
    <t>ProEdge for AT&amp;T</t>
  </si>
  <si>
    <t>0064L00000Bors8</t>
  </si>
  <si>
    <t>HIG GB - Art of the possible in the #metaverse</t>
  </si>
  <si>
    <t>0064L000002b8bj</t>
  </si>
  <si>
    <t>Allstate Corporation #ProEdge2.0</t>
  </si>
  <si>
    <t>0064L000004xpXO</t>
  </si>
  <si>
    <t>Providence Health &amp; Services #ProEdge</t>
  </si>
  <si>
    <t>0064L00000CXjNL</t>
  </si>
  <si>
    <t>Coupa Extended Hypercare</t>
  </si>
  <si>
    <t>0064L00000CXHLP</t>
  </si>
  <si>
    <t>Coupa Healthcheck</t>
  </si>
  <si>
    <t>0064L00000CYmQg</t>
  </si>
  <si>
    <t>NECCO HOLDING COMPANY I, INC.</t>
  </si>
  <si>
    <t>0064L000004xO4U</t>
  </si>
  <si>
    <t>Terrain Insight - WMAP Benefits Realisation</t>
  </si>
  <si>
    <t>Paul Chew</t>
  </si>
  <si>
    <t>0064L00000CXHMS</t>
  </si>
  <si>
    <t>Advance Publications Inc.</t>
  </si>
  <si>
    <t>Contingent labor strategy</t>
  </si>
  <si>
    <t>0064L00000Bnq8K</t>
  </si>
  <si>
    <t>ProEdge @ Schwab #ProEdgexWorkforce</t>
  </si>
  <si>
    <t>0064L00000CXHLy</t>
  </si>
  <si>
    <t>Chip Shortage Strategy</t>
  </si>
  <si>
    <t>0064L00000DJZcP</t>
  </si>
  <si>
    <t>Ad Hoc Accounting Advisory</t>
  </si>
  <si>
    <t>Chris Smith</t>
  </si>
  <si>
    <t>Chen Wu</t>
  </si>
  <si>
    <t>0064L00000AplJc</t>
  </si>
  <si>
    <t>BankUnited Credit Card Insourcing</t>
  </si>
  <si>
    <t>0064L00000BnMzK</t>
  </si>
  <si>
    <t>SINGING RIVER HEALTH SYSTEM FOUNDATION</t>
  </si>
  <si>
    <t>*SMART* License - Singing River Health System</t>
  </si>
  <si>
    <t>0064L00000B2PRp</t>
  </si>
  <si>
    <t>ProEdge for Ross Stores</t>
  </si>
  <si>
    <t>0064L000004vige</t>
  </si>
  <si>
    <t>Intermountain Healthcare #ProEdge</t>
  </si>
  <si>
    <t>0064L00000CXhXi</t>
  </si>
  <si>
    <t>Ascensus Supplier Diversity Phase I Program Design #ESG #S&amp;P</t>
  </si>
  <si>
    <t>0064L00000CtjMG</t>
  </si>
  <si>
    <t>CVS HCB IBNR Reserve PAD Analysis</t>
  </si>
  <si>
    <t>0064L00000BoaEX</t>
  </si>
  <si>
    <t>Delta #ProEdge Opportunity - FP&amp;A</t>
  </si>
  <si>
    <t>0064L00000CX4zT</t>
  </si>
  <si>
    <t>AMZN Finance: Tririga Stabilization</t>
  </si>
  <si>
    <t>0064L0000070Z4L</t>
  </si>
  <si>
    <t>DEUTSCHE BANK AKTIENGESELLSCHAFT</t>
  </si>
  <si>
    <t>DEUTSCHE BANK AKTIENGESELLSCHAFT - #ProEdge</t>
  </si>
  <si>
    <t>John Garvey</t>
  </si>
  <si>
    <t>0064L00000Be0mB</t>
  </si>
  <si>
    <t>Phil, Inc.</t>
  </si>
  <si>
    <t>Phil Pharmacy Strategic Planning</t>
  </si>
  <si>
    <t>0064L00000CWTfQ</t>
  </si>
  <si>
    <t>FIS + PwC Hyundai Asset Finance Opportunity</t>
  </si>
  <si>
    <t>0064L000006if5k</t>
  </si>
  <si>
    <t>BCBS Arkansas #ProEdge #ProEdgexAutomation</t>
  </si>
  <si>
    <t>F500_FY22_ProEdge_ProductCampaign</t>
  </si>
  <si>
    <t>0064L000003zi2C</t>
  </si>
  <si>
    <t>SCJ - Deals - M&amp;A Playbooks and Accelerators Design</t>
  </si>
  <si>
    <t>0064L0000070YDk</t>
  </si>
  <si>
    <t>Saratoga Benchmarking - KKR &amp; Various Portcos</t>
  </si>
  <si>
    <t>0064L00000CXFqk</t>
  </si>
  <si>
    <t>Playa Hotels &amp; Resorts N.V.</t>
  </si>
  <si>
    <t>Stock Comp Support</t>
  </si>
  <si>
    <t>0064I00000y6kzQ</t>
  </si>
  <si>
    <t>UBS - CRM #WMA</t>
  </si>
  <si>
    <t>18/8/2021 11:16 pm</t>
  </si>
  <si>
    <t>0064L00000BlETd</t>
  </si>
  <si>
    <t>Hinshaw &amp; Culbertson Llp</t>
  </si>
  <si>
    <t>Hinshaw &amp; Culbertson - H&amp;W Benefits Assessment</t>
  </si>
  <si>
    <t>0064L00000ArnrI</t>
  </si>
  <si>
    <t>Manulife #ProEdge2.0 - HR Business Partners</t>
  </si>
  <si>
    <t>0064L0000098VG4</t>
  </si>
  <si>
    <t>Source to Pay Analysis &amp; Strategy #ProcessIntelligence</t>
  </si>
  <si>
    <t>0064L00000BfUGX</t>
  </si>
  <si>
    <t>BNYM Master Data Cleansing Support</t>
  </si>
  <si>
    <t>Prashant Menon</t>
  </si>
  <si>
    <t>0064L000004vWQN</t>
  </si>
  <si>
    <t>Hawaii Medical Service Assn #ProEdge2.0</t>
  </si>
  <si>
    <t>Digital on Demand Launch - Outbound</t>
  </si>
  <si>
    <t>Lindsey Lewis</t>
  </si>
  <si>
    <t>0064L00000DJXKr</t>
  </si>
  <si>
    <t>Real Estate Funds RFI 2022</t>
  </si>
  <si>
    <t>0064L00000Bmjck</t>
  </si>
  <si>
    <t>Methodist Health System</t>
  </si>
  <si>
    <t>*SMART* License - Nebraska Methodist Health System</t>
  </si>
  <si>
    <t>0064L00000BnKgz</t>
  </si>
  <si>
    <t>Brightspeed Anaplan Implementation</t>
  </si>
  <si>
    <t>0064L00000Bm8GJ</t>
  </si>
  <si>
    <t>Centric Brands #ProEdge Opportunity</t>
  </si>
  <si>
    <t>0064L000004vxnd</t>
  </si>
  <si>
    <t>KKR - ProEdge Opportunity #ProEdge</t>
  </si>
  <si>
    <t>0064L00000Bp13l</t>
  </si>
  <si>
    <t>Employment Tax Consulting Services</t>
  </si>
  <si>
    <t>Jessica Warren</t>
  </si>
  <si>
    <t>0064L000009BAMA</t>
  </si>
  <si>
    <t>PPL Kentucky Account Reconciliations and Close Management</t>
  </si>
  <si>
    <t>0064L00000BmHnp</t>
  </si>
  <si>
    <t>Tapestry Saratoga Benchmarking</t>
  </si>
  <si>
    <t>0064L00000BoNuo</t>
  </si>
  <si>
    <t>The University Of Kansas Hospital Authority</t>
  </si>
  <si>
    <t>*SMART* License - The University of Kansas Health System</t>
  </si>
  <si>
    <t>0064L00000Be0XB</t>
  </si>
  <si>
    <t>Amstead Employee Financial Wellness Program</t>
  </si>
  <si>
    <t>Andrew Amelio</t>
  </si>
  <si>
    <t>0064L00000Blz78</t>
  </si>
  <si>
    <t>CSL Behring #ProEdge Qtrly True Up #2</t>
  </si>
  <si>
    <t>0064L00000Blz6y</t>
  </si>
  <si>
    <t>CSL Behring #ProEdge Qtrly True Up #1</t>
  </si>
  <si>
    <t>0064L00000CWcO0</t>
  </si>
  <si>
    <t>SEA TO SUMMIT PTY LTD</t>
  </si>
  <si>
    <t>Project Saints 280G</t>
  </si>
  <si>
    <t>Jake Kimball</t>
  </si>
  <si>
    <t>David Whitfield</t>
  </si>
  <si>
    <t>0064L00000Bmj9s</t>
  </si>
  <si>
    <t>Firsthealth Of The Carolinas, Inc.</t>
  </si>
  <si>
    <t>*SMART* License - FirstHealth of the Carolinas</t>
  </si>
  <si>
    <t>0064L00000BfvFd</t>
  </si>
  <si>
    <t>FDX CAST - Change Management  #Getyourducksinarow_FDX?</t>
  </si>
  <si>
    <t>0064L00000BfvHK</t>
  </si>
  <si>
    <t>FDX CAST Process Optimization #Getyourducksinarow_FDX?</t>
  </si>
  <si>
    <t>0064L00000Bg4cY</t>
  </si>
  <si>
    <t>FDX Succession Planning #Getyourducksinarow_FDX?</t>
  </si>
  <si>
    <t>0064L00000CYXZD</t>
  </si>
  <si>
    <t>Vizsense Inc.</t>
  </si>
  <si>
    <t>VizSense 2021 Employee Retention Tax Credit</t>
  </si>
  <si>
    <t>0064L00000BfeIf</t>
  </si>
  <si>
    <t>MUHealth Workforce Automation, Intelligent document ingestion</t>
  </si>
  <si>
    <t>0064L00000DJVks</t>
  </si>
  <si>
    <t>SentinelOne, Inc.</t>
  </si>
  <si>
    <t>Project Aardvark Purchase Accounting</t>
  </si>
  <si>
    <t>0064L0000070WPQ</t>
  </si>
  <si>
    <t>Non Qualified Pension Merger Feasibility Study</t>
  </si>
  <si>
    <t>0064L00000CXVBp</t>
  </si>
  <si>
    <t>USC FY22 Xover MBD Analysis *Strategic Reimbursement*</t>
  </si>
  <si>
    <t>0064L000009fY4W</t>
  </si>
  <si>
    <t>PI Growth Model</t>
  </si>
  <si>
    <t>0064L00000BfeVU</t>
  </si>
  <si>
    <t>ProEdge -- MassMutual: HR</t>
  </si>
  <si>
    <t>0064L00000Bfdtp</t>
  </si>
  <si>
    <t>Protective Risk Taxonomy Refresh</t>
  </si>
  <si>
    <t>Melissa Card</t>
  </si>
  <si>
    <t>0064L00000CYjIZ</t>
  </si>
  <si>
    <t>ProEdge - Hyatt Hotels</t>
  </si>
  <si>
    <t>0064L00000DJVyQ</t>
  </si>
  <si>
    <t>R&amp;D Delivery Model</t>
  </si>
  <si>
    <t>0064L00000BnL1Y</t>
  </si>
  <si>
    <t>AFA Pension Consulting Services</t>
  </si>
  <si>
    <t>0064L00000CVPFg</t>
  </si>
  <si>
    <t>YAGEO Corporation</t>
  </si>
  <si>
    <t>Kemet 404A Review - 2020 - 2021</t>
  </si>
  <si>
    <t>0064L00000BnKPt</t>
  </si>
  <si>
    <t>Shaw Industries Anaplan Implementation</t>
  </si>
  <si>
    <t>0064L000009A9us</t>
  </si>
  <si>
    <t>Shake Shack Inc.</t>
  </si>
  <si>
    <t>Sales Lifecycle Process &amp; Tech Transformation Phase 0</t>
  </si>
  <si>
    <t>Greg Papa</t>
  </si>
  <si>
    <t>0064L00000CYioa</t>
  </si>
  <si>
    <t>RLI Corp.</t>
  </si>
  <si>
    <t>RLI_Emp Tax Consulting_$50K</t>
  </si>
  <si>
    <t>0064L00000BmjSG</t>
  </si>
  <si>
    <t>Cheyenne Regional Medical Center</t>
  </si>
  <si>
    <t>*SMART* License - Cheyenne Regional Medical Center</t>
  </si>
  <si>
    <t>0064L00000CYG7s</t>
  </si>
  <si>
    <t>Uniphore Technologies Inc.</t>
  </si>
  <si>
    <t>Equity Consulting</t>
  </si>
  <si>
    <t>0064L000007ub68</t>
  </si>
  <si>
    <t>CNG Rate Case - Pension Work</t>
  </si>
  <si>
    <t>0064L00000CWbUJ</t>
  </si>
  <si>
    <t>Project Darwin (Global trade opportunity)</t>
  </si>
  <si>
    <t>0064L000009fYRV</t>
  </si>
  <si>
    <t>Global Shared Services Phase I (Design)</t>
  </si>
  <si>
    <t>0064L00000CXwJg</t>
  </si>
  <si>
    <t>Adolfson &amp; Peterson INC.</t>
  </si>
  <si>
    <t>AP Construction 2022 Engagement Survey</t>
  </si>
  <si>
    <t>0064L00000BnInr</t>
  </si>
  <si>
    <t>AWS Reporting Dashboard</t>
  </si>
  <si>
    <t>0064L000003zh6N</t>
  </si>
  <si>
    <t>ProEdge Opportunity #ProEdge</t>
  </si>
  <si>
    <t>0064L000009fij0</t>
  </si>
  <si>
    <t>Ceo Works LLC</t>
  </si>
  <si>
    <t>Saratoga Benchmarking License - CEO.works</t>
  </si>
  <si>
    <t>0064L00000Bks21</t>
  </si>
  <si>
    <t>Vertex Pharma #ProEdge DEI</t>
  </si>
  <si>
    <t>0064L00000Bl0lO</t>
  </si>
  <si>
    <t>HPE - Guided Selling (Sales Utopia UK)</t>
  </si>
  <si>
    <t>0064L00000CXC1A</t>
  </si>
  <si>
    <t>Phase 0 CFIN Business Support Phase 0</t>
  </si>
  <si>
    <t>Teddy Fragopoulos</t>
  </si>
  <si>
    <t>0064L00000BonBt</t>
  </si>
  <si>
    <t>Spire Services Inc.</t>
  </si>
  <si>
    <t>Spire - Cyber Tabletop for Board Meeting</t>
  </si>
  <si>
    <t>CS_Cyber_Transformation_Defense_Resilience</t>
  </si>
  <si>
    <t>0064L000009g7LN</t>
  </si>
  <si>
    <t>Raymond James ProEdge Extension #ProEdge - Expansion</t>
  </si>
  <si>
    <t>0064L000007wSKr</t>
  </si>
  <si>
    <t>Trinet Group Inc</t>
  </si>
  <si>
    <t>Trinet #ProEdge</t>
  </si>
  <si>
    <t>0064L000002Zlx8</t>
  </si>
  <si>
    <t>Hines Technology Strategy</t>
  </si>
  <si>
    <t>0064L00000CXCH1</t>
  </si>
  <si>
    <t>Broadridge Financial Solutions, Inc.</t>
  </si>
  <si>
    <t>Broadridge - ProEdge</t>
  </si>
  <si>
    <t>0064L00000BfszC</t>
  </si>
  <si>
    <t>Navistar ESG Opportunity</t>
  </si>
  <si>
    <t>0064L00000CXCFt</t>
  </si>
  <si>
    <t>AG - ProEdge</t>
  </si>
  <si>
    <t>0064L000006VjLM</t>
  </si>
  <si>
    <t>LHC Group, Inc.</t>
  </si>
  <si>
    <t>LHC Group #ProEdge</t>
  </si>
  <si>
    <t>0064L00000DJTyd</t>
  </si>
  <si>
    <t>Project Pearl - ITDD</t>
  </si>
  <si>
    <t>Conrad Balejko</t>
  </si>
  <si>
    <t>Andrew Gardner</t>
  </si>
  <si>
    <t>0064L000002bcs1</t>
  </si>
  <si>
    <t>Kimball Employee Financial Wellness</t>
  </si>
  <si>
    <t>0064L00000CVpJ4</t>
  </si>
  <si>
    <t>Return to Work</t>
  </si>
  <si>
    <t>James Woods</t>
  </si>
  <si>
    <t>0064L000007GzxU</t>
  </si>
  <si>
    <t>Intel - ProEdge Learning Pilot</t>
  </si>
  <si>
    <t>0064L00000BgSaz</t>
  </si>
  <si>
    <t>THD Merchandising Enhancements</t>
  </si>
  <si>
    <t>0064L0000098sS7</t>
  </si>
  <si>
    <t>Total Rewards Labor Prep Support</t>
  </si>
  <si>
    <t>0064L00000CY2ui</t>
  </si>
  <si>
    <t>Transportation Reporting Extension</t>
  </si>
  <si>
    <t>0064L000007xi2d</t>
  </si>
  <si>
    <t>Kobe H&amp;W Opportunity Assessment</t>
  </si>
  <si>
    <t>0064L0000069xGQ</t>
  </si>
  <si>
    <t>Google: YouTube Health Strategy</t>
  </si>
  <si>
    <t>Mark Viego</t>
  </si>
  <si>
    <t>0064L000002c67D</t>
  </si>
  <si>
    <t>The Queens Borough Public Library</t>
  </si>
  <si>
    <t>Queens Library - 2021 Compensation Consulting</t>
  </si>
  <si>
    <t>26/5/2021</t>
  </si>
  <si>
    <t>0064L00000BepQ0</t>
  </si>
  <si>
    <t>Carmax Inc.</t>
  </si>
  <si>
    <t>CX Strategy</t>
  </si>
  <si>
    <t>0064L000002bTMI</t>
  </si>
  <si>
    <t>Guidewell Mutual Holding Corp.</t>
  </si>
  <si>
    <t>Triple S ProEdge #ProEdge</t>
  </si>
  <si>
    <t>0064L000007wSbE</t>
  </si>
  <si>
    <t>SCJ - Customer Advantage</t>
  </si>
  <si>
    <t>0064L000003zU1d</t>
  </si>
  <si>
    <t>#WFOD Platform Sign up</t>
  </si>
  <si>
    <t>0064L00000Bg1yG</t>
  </si>
  <si>
    <t>Bank Consolidation</t>
  </si>
  <si>
    <t>0064L00000DFWOV</t>
  </si>
  <si>
    <t>Neovasc Inc.</t>
  </si>
  <si>
    <t>FY22_Neovasc US - Employee Retention Tax Credit Consulting</t>
  </si>
  <si>
    <t>0064L00000BmTXF</t>
  </si>
  <si>
    <t>Mayo Clinic - #ProEdge Licenses (post trial) #ProEdgexOracle</t>
  </si>
  <si>
    <t>0064L00000AqUps</t>
  </si>
  <si>
    <t>BJC Healthcare #ProEdge 2.0</t>
  </si>
  <si>
    <t>0064L00000AqUql</t>
  </si>
  <si>
    <t>Bill &amp; Melinda Gates Foundation #ProEdge</t>
  </si>
  <si>
    <t>0064L000009fSjT</t>
  </si>
  <si>
    <t>Incentive Compensation Management Platform</t>
  </si>
  <si>
    <t>0064L00000ArHUW</t>
  </si>
  <si>
    <t>Memorial Hermann Health System #ProEdge2.0</t>
  </si>
  <si>
    <t>0064L000002aMos</t>
  </si>
  <si>
    <t>Early Retirement Window - Pension Calculations 2021 Update</t>
  </si>
  <si>
    <t>0064L0000041hLg</t>
  </si>
  <si>
    <t>PNM Resources</t>
  </si>
  <si>
    <t>PNM Merger P&amp;O Consulting</t>
  </si>
  <si>
    <t>Erica Zoellner</t>
  </si>
  <si>
    <t>0064L00000BlQf7</t>
  </si>
  <si>
    <t>IIF US Holding 2 LP</t>
  </si>
  <si>
    <t>IT Org Advisory</t>
  </si>
  <si>
    <t>0064L000009AILw</t>
  </si>
  <si>
    <t>HR Transformation opportunities</t>
  </si>
  <si>
    <t>0064L000009AILm</t>
  </si>
  <si>
    <t>Customer Transformation opportunities</t>
  </si>
  <si>
    <t>0064L0000070dhZ</t>
  </si>
  <si>
    <t>Valero Energy Corporation - #ProEdge</t>
  </si>
  <si>
    <t>0064L00000691eH</t>
  </si>
  <si>
    <t>Genentech Inc. #ProEdge</t>
  </si>
  <si>
    <t>0064L00000AqwJm</t>
  </si>
  <si>
    <t>ProEdge - Broader Enterprise Expansion</t>
  </si>
  <si>
    <t>0064L00000CV8p9</t>
  </si>
  <si>
    <t>National Minority Supplier Development Council, Inc.</t>
  </si>
  <si>
    <t>NMSDC Regional Council Award Automation Assessment</t>
  </si>
  <si>
    <t>Trent Houdek</t>
  </si>
  <si>
    <t>0064L00000DFhAF</t>
  </si>
  <si>
    <t>ProEdge - ConocoPhillips</t>
  </si>
  <si>
    <t>0064L00000DJQlq</t>
  </si>
  <si>
    <t>Amazon HR - #ProEdgexWorkforce</t>
  </si>
  <si>
    <t>0064L000007xfEW</t>
  </si>
  <si>
    <t>P32H ESG</t>
  </si>
  <si>
    <t>0064L00000CYCDN</t>
  </si>
  <si>
    <t>Workday POV</t>
  </si>
  <si>
    <t>0064L0000070dUR</t>
  </si>
  <si>
    <t>National Oilwell Varco Inc.</t>
  </si>
  <si>
    <t>National Oilwell Varco, Inc. - #ProEdge</t>
  </si>
  <si>
    <t>0064L000007xehN</t>
  </si>
  <si>
    <t>Expanded Swap Reporting review</t>
  </si>
  <si>
    <t>14/6/2021</t>
  </si>
  <si>
    <t>0064L00000CYshU</t>
  </si>
  <si>
    <t>Selective Insurance Group Inc.</t>
  </si>
  <si>
    <t>Selective_WT Consulting_50K</t>
  </si>
  <si>
    <t>0064L00000Ar5A0</t>
  </si>
  <si>
    <t>Molina Healthcare #ProEdge</t>
  </si>
  <si>
    <t>0064L00000BfpCr</t>
  </si>
  <si>
    <t>FDX ShopRunner data monetization #Getyourducksinarow_FDX?</t>
  </si>
  <si>
    <t>0064L00000BnvzQ</t>
  </si>
  <si>
    <t>Project Ocean Global Equity Consulting</t>
  </si>
  <si>
    <t>0064L00000Blr6l</t>
  </si>
  <si>
    <t>#PayerAnalytics-MSFT Alliance-Care Mgmt for Centene #HVM #Alliance:MSFT</t>
  </si>
  <si>
    <t>0064L000009AEan</t>
  </si>
  <si>
    <t>Patient Experience</t>
  </si>
  <si>
    <t>0064L00000CY0U9</t>
  </si>
  <si>
    <t>Eaton Vance Corp.</t>
  </si>
  <si>
    <t>2022 Employee Survey</t>
  </si>
  <si>
    <t>0064L000004vp9X</t>
  </si>
  <si>
    <t>Otsuka America #ProEdge Finance Digital Upskilling</t>
  </si>
  <si>
    <t>16/12/2020</t>
  </si>
  <si>
    <t>0064L000004xdZl</t>
  </si>
  <si>
    <t>DTCC - ProEdge</t>
  </si>
  <si>
    <t>0064L000009B81A</t>
  </si>
  <si>
    <t>Eli Lilly ProEdge Share for Central IT</t>
  </si>
  <si>
    <t>0064L00000B0pyr</t>
  </si>
  <si>
    <t>AMZN Finance:  Close Process Support</t>
  </si>
  <si>
    <t>0064L00000B0pz6</t>
  </si>
  <si>
    <t>AMZN Finance:  FX Conversion</t>
  </si>
  <si>
    <t>0064L00000Bogq1</t>
  </si>
  <si>
    <t>Snyk Limited</t>
  </si>
  <si>
    <t>Snyk _ WT _ Compensation Consulting incl tax FMV FY22</t>
  </si>
  <si>
    <t>0064L00000CYbJi</t>
  </si>
  <si>
    <t>Caisse de dépôt et placement du Québec</t>
  </si>
  <si>
    <t>0064L00000Bnw3r</t>
  </si>
  <si>
    <t>Reddit Global Equity Consulting</t>
  </si>
  <si>
    <t>0064L00000Arwh7</t>
  </si>
  <si>
    <t>Distribution Materials Demand Planning PM Support</t>
  </si>
  <si>
    <t>0064L00000BoyZU</t>
  </si>
  <si>
    <t>Nautic Partners LLC.</t>
  </si>
  <si>
    <t>Analytics and HR reporting assistance</t>
  </si>
  <si>
    <t>0064L000003yMS3</t>
  </si>
  <si>
    <t>RJF - Cash Strategy</t>
  </si>
  <si>
    <t>Gaurav Shenai</t>
  </si>
  <si>
    <t>0064L000004x2dg</t>
  </si>
  <si>
    <t>Blue Cross Blue Shield Nebraska</t>
  </si>
  <si>
    <t>BCBS Nebraska #ProEdge</t>
  </si>
  <si>
    <t>0064L00000BfoDZ</t>
  </si>
  <si>
    <t>Commonwealth Care Alliance - Medicare Workshop - Project Beanpot</t>
  </si>
  <si>
    <t>0064L00000BfoFu</t>
  </si>
  <si>
    <t>Liftoff Mobile_Employment Tax Consulting_$50K</t>
  </si>
  <si>
    <t>0064L00000CYR7c</t>
  </si>
  <si>
    <t>#QMS - Project Yellow (QMS Assessment)</t>
  </si>
  <si>
    <t>0064L00000CYPz7</t>
  </si>
  <si>
    <t>Medical Pricing Tool</t>
  </si>
  <si>
    <t>0064L00000CWn7m</t>
  </si>
  <si>
    <t>Change Support BAO &amp; MAC Rapid Assessment</t>
  </si>
  <si>
    <t>Jeanne Lambkin</t>
  </si>
  <si>
    <t>Paige Cero</t>
  </si>
  <si>
    <t>0064L00000BoyeK</t>
  </si>
  <si>
    <t>Curology - HR cultural enablement assessment</t>
  </si>
  <si>
    <t>0064L00000BcwD5</t>
  </si>
  <si>
    <t>Pangeo Holdings LLC</t>
  </si>
  <si>
    <t>EPM Anaplan SI Support</t>
  </si>
  <si>
    <t>0064L00000BnvhW</t>
  </si>
  <si>
    <t>Gilead: Transformation- ESG: Charitable Contribution Benchmarking #ESG</t>
  </si>
  <si>
    <t>Matamba Austin</t>
  </si>
  <si>
    <t>Tiffany Chu</t>
  </si>
  <si>
    <t>0064L00000BoFgI</t>
  </si>
  <si>
    <t>Capital Blue Cross #ProEdge #ProEdgexAutomation</t>
  </si>
  <si>
    <t>0064L00000CVHYb</t>
  </si>
  <si>
    <t>2022 Ballard Spahr Pay Equity Analysis</t>
  </si>
  <si>
    <t>0064L00000BoUjC</t>
  </si>
  <si>
    <t>Benchmarking Support</t>
  </si>
  <si>
    <t>Mike Jones</t>
  </si>
  <si>
    <t>0064L000009B6DO</t>
  </si>
  <si>
    <t>Qurate - Supply Chain Transformation</t>
  </si>
  <si>
    <t>27/4/2022 9:43 pm</t>
  </si>
  <si>
    <t>0064L000002akxE</t>
  </si>
  <si>
    <t>#ProEdge Pilot</t>
  </si>
  <si>
    <t>AD_CA_WOF_CJ_WOF_NWNS_02FY21_PROEDGE DEMO REQUEST FORM</t>
  </si>
  <si>
    <t>0064L000004vLFr</t>
  </si>
  <si>
    <t>P32H #ProEdge ProEdgexAutomation</t>
  </si>
  <si>
    <t>ProEdge Targets Digital Upskilling Webcast</t>
  </si>
  <si>
    <t>0064L00000Bd3l0</t>
  </si>
  <si>
    <t>Arxada Services AG</t>
  </si>
  <si>
    <t>Arxada Hybrid Policy Review</t>
  </si>
  <si>
    <t>0064L0000040PPd</t>
  </si>
  <si>
    <t>0064L000006Ay0c</t>
  </si>
  <si>
    <t>Worldwide Clinical Trials #ProEdge Trial</t>
  </si>
  <si>
    <t>0064L00000CYs6e</t>
  </si>
  <si>
    <t>Project PE Pack (IT &amp; Cyber) - US</t>
  </si>
  <si>
    <t>Nicole Thomas</t>
  </si>
  <si>
    <t>0064L000007wM3u</t>
  </si>
  <si>
    <t>CareFirst Regulatory/tax alignment</t>
  </si>
  <si>
    <t>0064L00000Bndci</t>
  </si>
  <si>
    <t>Verizon - S2P Op Model Transformation</t>
  </si>
  <si>
    <t>0064L00000Bo4g7</t>
  </si>
  <si>
    <t>Peninsula Capital Partners LLC.</t>
  </si>
  <si>
    <t>Peninsula - LIT Group B - 280G Analysis</t>
  </si>
  <si>
    <t>Diedre Lauver</t>
  </si>
  <si>
    <t>0064L000007HUl0</t>
  </si>
  <si>
    <t>Bayer Corporation - #ProEdge</t>
  </si>
  <si>
    <t>0064L00000Bn0AC</t>
  </si>
  <si>
    <t>Time and Attendance Evaluation and Consolidation</t>
  </si>
  <si>
    <t>Alex Jebson</t>
  </si>
  <si>
    <t>0064L000002ZiDp</t>
  </si>
  <si>
    <t>PSEG ProEdge</t>
  </si>
  <si>
    <t>20/3/2021</t>
  </si>
  <si>
    <t>0064L00000Bfm0n</t>
  </si>
  <si>
    <t>Jazwares - Supply Chain &amp; Logistics Consulting</t>
  </si>
  <si>
    <t>0064L000002ZiDk</t>
  </si>
  <si>
    <t>Spire ProEdge</t>
  </si>
  <si>
    <t>0064L000009g31x</t>
  </si>
  <si>
    <t>Morgan Stanley / Mortgage Application Celonis Use Case / $50,000 #FSProcessIntelligence</t>
  </si>
  <si>
    <t>0064L000006W5QL</t>
  </si>
  <si>
    <t>SCJ - IT Ops Strategy and Design</t>
  </si>
  <si>
    <t>20/2/2021</t>
  </si>
  <si>
    <t>0064L00000AqsDl</t>
  </si>
  <si>
    <t>NU PAGAMENTOS S.A. - INSTITUICAO DE PAGAMENTO</t>
  </si>
  <si>
    <t>2021 Nubank Global Equity Consulting</t>
  </si>
  <si>
    <t>0064L00000Bn0NV</t>
  </si>
  <si>
    <t>WT - Recurring compensation tax consulting</t>
  </si>
  <si>
    <t>0064L000004waDS</t>
  </si>
  <si>
    <t>Abbvie #ProEdge2.0</t>
  </si>
  <si>
    <t>0064L000009fsFZ</t>
  </si>
  <si>
    <t>Bristol Myers Squibb #ProEdge Finance - Expansion</t>
  </si>
  <si>
    <t>0064L00000BnRWT</t>
  </si>
  <si>
    <t>Advanced Energy Industries, Inc.</t>
  </si>
  <si>
    <t>FY22 Advanced Energy Global Equity Consulting</t>
  </si>
  <si>
    <t>0064L00000BlLV3</t>
  </si>
  <si>
    <t>Incyte Corporation</t>
  </si>
  <si>
    <t>Supply Chain Assessment</t>
  </si>
  <si>
    <t>0064L00000DJNEF</t>
  </si>
  <si>
    <t>Retirement Plan Consulting</t>
  </si>
  <si>
    <t>0064L00000CXKtK</t>
  </si>
  <si>
    <t>HRTS DD</t>
  </si>
  <si>
    <t>Hector Covarrubias Haiek</t>
  </si>
  <si>
    <t>0064L000004xS6g</t>
  </si>
  <si>
    <t>IR/GD Post deal HR Operating Model</t>
  </si>
  <si>
    <t>24/1/2021</t>
  </si>
  <si>
    <t>0064L000006ygqD</t>
  </si>
  <si>
    <t>Staff DB plan projections refresh</t>
  </si>
  <si>
    <t>0064L00000BodqF</t>
  </si>
  <si>
    <t>Hillside Children's Center</t>
  </si>
  <si>
    <t>Time and Attendance &amp; FLSA Healthcheck</t>
  </si>
  <si>
    <t>0064L00000Bnarq</t>
  </si>
  <si>
    <t>Blue Cross and Blue Shield of Arizona, Inc.</t>
  </si>
  <si>
    <t>BCBS AZ #ProEdge</t>
  </si>
  <si>
    <t>0064L00000BnasK</t>
  </si>
  <si>
    <t>Premera Blue Cross</t>
  </si>
  <si>
    <t>Premera Blue Cross #ProEdge</t>
  </si>
  <si>
    <t>0064L00000Bn023</t>
  </si>
  <si>
    <t>Workday Next Level HR</t>
  </si>
  <si>
    <t>0064L00000CYq4e</t>
  </si>
  <si>
    <t>Pearson PLC</t>
  </si>
  <si>
    <t>Sarah Tunku Mu'Tamir</t>
  </si>
  <si>
    <t>0064L000002Z2AS</t>
  </si>
  <si>
    <t>Defined Benefit Plan Redesign</t>
  </si>
  <si>
    <t>0064L00000CVEQt</t>
  </si>
  <si>
    <t>Citrix NewCo Integration ESG</t>
  </si>
  <si>
    <t>0064L000004v8H8</t>
  </si>
  <si>
    <t>Ascom Holding AG</t>
  </si>
  <si>
    <t>ProEdge: Digital Upskilling in Automation-Phased - Expansion</t>
  </si>
  <si>
    <t>ProEdge: Digital Upskilling in Automation -- Free 30 Day Trial</t>
  </si>
  <si>
    <t>0064L00000BfHLX</t>
  </si>
  <si>
    <t>Beaver Dam Health Care Center</t>
  </si>
  <si>
    <t>Aegis Therapies 2022 Engagement Survey</t>
  </si>
  <si>
    <t>Christopher Ruppel</t>
  </si>
  <si>
    <t>0064L00000BmMEL</t>
  </si>
  <si>
    <t>Northshore University Healthsystem</t>
  </si>
  <si>
    <t>*SMART* License - NorthShore University HealthSystem</t>
  </si>
  <si>
    <t>0064L00000Bd1JY</t>
  </si>
  <si>
    <t>AMZN Finance: Close Optimization</t>
  </si>
  <si>
    <t>0064L00000Bd1KM</t>
  </si>
  <si>
    <t>AMZN Finance: Finance University</t>
  </si>
  <si>
    <t>0064L00000CXZg8</t>
  </si>
  <si>
    <t>LSC_EIN Retention_$50K</t>
  </si>
  <si>
    <t>0064L000007YTqW</t>
  </si>
  <si>
    <t>Astronics Corporation</t>
  </si>
  <si>
    <t>Astronics employee retention credit</t>
  </si>
  <si>
    <t>15/8/2021 4:34 pm</t>
  </si>
  <si>
    <t>Brian Sabedra</t>
  </si>
  <si>
    <t>0064L00000Bnb1l</t>
  </si>
  <si>
    <t>Anthem #ProEdge Blues Campaign</t>
  </si>
  <si>
    <t>0064L000002Yso3</t>
  </si>
  <si>
    <t>Ascension Health - *SMART* Abstract Migration Fees - Michigan Ministries</t>
  </si>
  <si>
    <t>0064L00000B2SH6</t>
  </si>
  <si>
    <t>ED Coding Education &amp; Training (extension of Telehealth Work) *Rev Cycle*</t>
  </si>
  <si>
    <t>0064L00000Bnb5Y</t>
  </si>
  <si>
    <t>BCBS of Minnesota #ProEdge</t>
  </si>
  <si>
    <t>0064L000002Ysnt</t>
  </si>
  <si>
    <t>Montefiore Medical Center</t>
  </si>
  <si>
    <t>Montefiore Health System - *SMART* HL7 and AD Conversion Fees</t>
  </si>
  <si>
    <t>0064L00000DJnG5</t>
  </si>
  <si>
    <t>Private Equity &amp; Tactical Opportunities Fund Administration RFI Refresh</t>
  </si>
  <si>
    <t>0064L000001uHXf</t>
  </si>
  <si>
    <t>TD: Disputes and Chargebacks</t>
  </si>
  <si>
    <t>0064L000007xO5d</t>
  </si>
  <si>
    <t>GA Digital Upskilling ProEdge</t>
  </si>
  <si>
    <t>0064L000007xO4z</t>
  </si>
  <si>
    <t>GA - Annuity</t>
  </si>
  <si>
    <t>John Sadak</t>
  </si>
  <si>
    <t>0064L000007xO4f</t>
  </si>
  <si>
    <t>GA - Distribution Model of the Future</t>
  </si>
  <si>
    <t>0064L00000BnG1h</t>
  </si>
  <si>
    <t>SSC Reestructura</t>
  </si>
  <si>
    <t>Doreli Chavez</t>
  </si>
  <si>
    <t>0064L00000BmBWE</t>
  </si>
  <si>
    <t>Megacable Holdings, S.A.B. de C.V.</t>
  </si>
  <si>
    <t>Revenue Assurance</t>
  </si>
  <si>
    <t>0064L00000CX7dp</t>
  </si>
  <si>
    <t>New York Presbyterian Hospital</t>
  </si>
  <si>
    <t>2021-2023 Forms 5500 (NY-P, NY-P Hudson &amp; NY-P Queens)</t>
  </si>
  <si>
    <t>0064L00000Bnv1B</t>
  </si>
  <si>
    <t>Workit Health, Inc.</t>
  </si>
  <si>
    <t>Workit Health Patient Analytics support</t>
  </si>
  <si>
    <t>0064L00000CVWAs</t>
  </si>
  <si>
    <t>Technology roadmap and value proposition #PayerCO&amp;ITrans</t>
  </si>
  <si>
    <t>0064L00000BoQZe</t>
  </si>
  <si>
    <t>MSFT HR FY22 BEX OD PMO Support</t>
  </si>
  <si>
    <t>0064I000011o1YC</t>
  </si>
  <si>
    <t>MMS Grp.</t>
  </si>
  <si>
    <t>IGP - Zemi Beach House Anguilla</t>
  </si>
  <si>
    <t>0064L000009AO2M</t>
  </si>
  <si>
    <t>Maximus, Inc.</t>
  </si>
  <si>
    <t>ProEdge  - L&amp;D</t>
  </si>
  <si>
    <t>0064L000001wM4u</t>
  </si>
  <si>
    <t>Saratoga Benchmarking Renewal - Standard Insurance Company</t>
  </si>
  <si>
    <t>15/8/2020</t>
  </si>
  <si>
    <t>0064L00000BckEo</t>
  </si>
  <si>
    <t>Dual Downlink Current State Assessment</t>
  </si>
  <si>
    <t>0064I00000y7RBn</t>
  </si>
  <si>
    <t>Pacifica Companies LLC.</t>
  </si>
  <si>
    <t>IGP - Hilton Stockton</t>
  </si>
  <si>
    <t>0064L00000CYTq0</t>
  </si>
  <si>
    <t>Entrust Corporation</t>
  </si>
  <si>
    <t>PL - Benefit Administration &amp; Call Center Actuarial Services</t>
  </si>
  <si>
    <t>0064L00000Bd3Ya</t>
  </si>
  <si>
    <t>Peter Condakes Company Inc.</t>
  </si>
  <si>
    <t>Peter Condakes - WT - 2022 Pension Valuation</t>
  </si>
  <si>
    <t>0064L00000BehNy</t>
  </si>
  <si>
    <t>Swbc</t>
  </si>
  <si>
    <t>0064L000004vVBQ</t>
  </si>
  <si>
    <t>Tampa General Hospital *VBO*</t>
  </si>
  <si>
    <t>30/8/2021 8:05 pm</t>
  </si>
  <si>
    <t>0064L00000CVBJz</t>
  </si>
  <si>
    <t>Saratoga Benchmarking - Novo Nordisk</t>
  </si>
  <si>
    <t>AD_CA_WOF_CJ_WOF_NWNS_06FY21_SARATOGA LANDING PAGE</t>
  </si>
  <si>
    <t>0064L00000CWI6g</t>
  </si>
  <si>
    <t>Saratoga Benchmarking - UC Davis</t>
  </si>
  <si>
    <t>Jack Phillips</t>
  </si>
  <si>
    <t>0064L00000BnvL6</t>
  </si>
  <si>
    <t>Fti Consulting, Inc</t>
  </si>
  <si>
    <t>PMO Support - Finance Revenue Recognition - Extension June 2022</t>
  </si>
  <si>
    <t>ADV_CM_Strategic PMO Sourcing</t>
  </si>
  <si>
    <t>Bret Kleppinger</t>
  </si>
  <si>
    <t>0064L000001uCD6</t>
  </si>
  <si>
    <t>0064L00000DFZ9T</t>
  </si>
  <si>
    <t>Project Bronco - HR Diligence</t>
  </si>
  <si>
    <t>Kyle Dilcher</t>
  </si>
  <si>
    <t>0064L00000CVpIQ</t>
  </si>
  <si>
    <t>Select Interior Concepts Inc.</t>
  </si>
  <si>
    <t>162m Analysis Memo</t>
  </si>
  <si>
    <t>Gabriela Irizarry</t>
  </si>
  <si>
    <t>0064L00000CY2S0</t>
  </si>
  <si>
    <t>ACERINOX, S.A.</t>
  </si>
  <si>
    <t>2022 Safety Survey</t>
  </si>
  <si>
    <t>0064L00000Bo9MH</t>
  </si>
  <si>
    <t>Theravance Biopharma Inc.</t>
  </si>
  <si>
    <t>FY2022 Theravance Compensation Tax Matters</t>
  </si>
  <si>
    <t>0064L000004vQ6Q</t>
  </si>
  <si>
    <t>Unnico Consulting &amp; Investments LLC</t>
  </si>
  <si>
    <t>Saratoga Benchmarking (License) - UnniCo</t>
  </si>
  <si>
    <t>0064L00000BnWMF</t>
  </si>
  <si>
    <t>TNT Crust LLC</t>
  </si>
  <si>
    <t>0064L00000CXNjX</t>
  </si>
  <si>
    <t>Markel - Job Leveling Framework</t>
  </si>
  <si>
    <t>0064L00000CYRPr</t>
  </si>
  <si>
    <t>Paul Mueller Company</t>
  </si>
  <si>
    <t>PL - Pension/Actuarial/Plan Administration Services</t>
  </si>
  <si>
    <t>0064L00000CYtVo</t>
  </si>
  <si>
    <t>Pre-Sales Support Benchmarking #TMTPricing</t>
  </si>
  <si>
    <t>0064L00000Bo4wA</t>
  </si>
  <si>
    <t>Wintrust SBA PPP LF Notice</t>
  </si>
  <si>
    <t>Minyang Zheng</t>
  </si>
  <si>
    <t>0064L00000DFRv0</t>
  </si>
  <si>
    <t>Robinson &amp; Diss Pc</t>
  </si>
  <si>
    <t>2022 Robinson &amp; Diss Compensation Consulting</t>
  </si>
  <si>
    <t>0064L00000CVFmg</t>
  </si>
  <si>
    <t>Mirum CGT Scheduling tool</t>
  </si>
  <si>
    <t>0064L00000CWGlL</t>
  </si>
  <si>
    <t>American Jewish Congress</t>
  </si>
  <si>
    <t>AJCongress - 2022 pension actuarial services</t>
  </si>
  <si>
    <t>Ivy Kessler</t>
  </si>
  <si>
    <t>0064L00000CVF0X</t>
  </si>
  <si>
    <t>2022 Feasibility Study - PDAP Nonqualified Elective Deferrals</t>
  </si>
  <si>
    <t>0064L00000CXZto</t>
  </si>
  <si>
    <t>Fabric Inc.</t>
  </si>
  <si>
    <t>May 2022 Secondary</t>
  </si>
  <si>
    <t>0064L00000Bf6Py</t>
  </si>
  <si>
    <t>0064L00000BcqVm</t>
  </si>
  <si>
    <t>Total Rewards Training</t>
  </si>
  <si>
    <t>25/10/2022</t>
  </si>
  <si>
    <t>0064L00000BnMbd</t>
  </si>
  <si>
    <t>Employee Retention Credit</t>
  </si>
  <si>
    <t>Rachael Oxton</t>
  </si>
  <si>
    <t>0064L00000DJYvy</t>
  </si>
  <si>
    <t>Houlihan Lokey, Inc.</t>
  </si>
  <si>
    <t>0064L00000DJkDM</t>
  </si>
  <si>
    <t>CVS - Red Oak Compensation Benchmarking Study</t>
  </si>
  <si>
    <t>0064L000004xLRC</t>
  </si>
  <si>
    <t>Ireland Gender Pay Gap Reporting Estimate</t>
  </si>
  <si>
    <t>0064L000001wM3M</t>
  </si>
  <si>
    <t>H. Lee Moffitt Cancer Center &amp; Research Institute</t>
  </si>
  <si>
    <t>Saratoga Benchmarking winback multiyear (1 of 3) - Moffitt Cancer Center</t>
  </si>
  <si>
    <t>0064L00000AqKaI</t>
  </si>
  <si>
    <t>Cook Children's Health Care System</t>
  </si>
  <si>
    <t>Saratoga Benchmarking renewal multiyear (1 of 3)- Cook Children's Health</t>
  </si>
  <si>
    <t>0064L00000ArJwJ</t>
  </si>
  <si>
    <t>Saratoga Benchmarking renewal multiyear (1 of 3) - Temple University Health</t>
  </si>
  <si>
    <t>0064L00000Aq4pp</t>
  </si>
  <si>
    <t>Saratoga Benchmarking renewal - Akron Children's Hospital</t>
  </si>
  <si>
    <t>0064L00000BoUTn</t>
  </si>
  <si>
    <t>Dole Food Company Inc.</t>
  </si>
  <si>
    <t>Dole Total Produce Lease Validation Scope</t>
  </si>
  <si>
    <t>0064L00000Bnohw</t>
  </si>
  <si>
    <t>Manulife Market Fee Analysis - General Account Assets</t>
  </si>
  <si>
    <t>Laura Vining</t>
  </si>
  <si>
    <t>0064L00000Bdb5g</t>
  </si>
  <si>
    <t>PCMCS model review</t>
  </si>
  <si>
    <t>0064L00000CYUKA</t>
  </si>
  <si>
    <t>Oaktree Capital Group Holdings Gp LLC</t>
  </si>
  <si>
    <t>PL - Actuarial Valuation &amp; Call Center With Benefits Calculations</t>
  </si>
  <si>
    <t>0064L0000040C1k</t>
  </si>
  <si>
    <t>Saratoga Benchmarking license - AMN Healthcare</t>
  </si>
  <si>
    <t>0064L00000BlKB6</t>
  </si>
  <si>
    <t>West Monroe Partners, LLC</t>
  </si>
  <si>
    <t>Saratoga Benchmarking License - West Monroe</t>
  </si>
  <si>
    <t>Talia Rozensher</t>
  </si>
  <si>
    <t>0064L00000B337n</t>
  </si>
  <si>
    <t>District of Columbia Bar</t>
  </si>
  <si>
    <t>DC Bar - 2023 Compensation Consulting</t>
  </si>
  <si>
    <t>0064L00000B20Vy</t>
  </si>
  <si>
    <t>Board Of Governors Of The Federal Reserve System</t>
  </si>
  <si>
    <t>FRB Cleveland Engagement Survey 2022</t>
  </si>
  <si>
    <t>0064L00000CVCNE</t>
  </si>
  <si>
    <t>2022 Post Implementation Claim Assessment</t>
  </si>
  <si>
    <t>0064L00000Bf1Gj</t>
  </si>
  <si>
    <t>FRB Cleveland 2022 Engagement Survey</t>
  </si>
  <si>
    <t>0064I000011pRNl</t>
  </si>
  <si>
    <t>POTEAT HOSPITALITY ASSOCIATES LLC</t>
  </si>
  <si>
    <t>IGP - Hampton Inn &amp; Suites Boone NC</t>
  </si>
  <si>
    <t>0064I00000zQgcw</t>
  </si>
  <si>
    <t>Hedding Hotels LLC</t>
  </si>
  <si>
    <t>IGP - Candlewood Suites Bordentown</t>
  </si>
  <si>
    <t>0064L00000CVc6n</t>
  </si>
  <si>
    <t>Charlotte Pipe &amp; Foundry Company</t>
  </si>
  <si>
    <t>Charlotte Pipe  &amp; Foundry 2022 OPEB Valuation</t>
  </si>
  <si>
    <t>0064L00000CYUVw</t>
  </si>
  <si>
    <t>Sun Life Financial Inc.</t>
  </si>
  <si>
    <t>PL - System Maintenance</t>
  </si>
  <si>
    <t>0064L000004wxoc</t>
  </si>
  <si>
    <t>Astellas Pharma ProEdge</t>
  </si>
  <si>
    <t>0064L00000CYFg9</t>
  </si>
  <si>
    <t>OPTIMA BIDCO (JERSEY) LIMITED</t>
  </si>
  <si>
    <t>EG_2022 Employee Movements_30K</t>
  </si>
  <si>
    <t>0064L000007wDch</t>
  </si>
  <si>
    <t>AGILE DYNAMICS PTE. Ltd.</t>
  </si>
  <si>
    <t>Saratoga Benchmarking (license) - Agile Dynamics</t>
  </si>
  <si>
    <t>0064I00000qs81f</t>
  </si>
  <si>
    <t>Winthrop-University Hospital INC.</t>
  </si>
  <si>
    <t>Periodic Outpatient Coding Assessments</t>
  </si>
  <si>
    <t>Jade Miller</t>
  </si>
  <si>
    <t>0064L000007weGV</t>
  </si>
  <si>
    <t>O. E. M. OF CONNECTICUT Inc.</t>
  </si>
  <si>
    <t>Saratoga Benchmarking (license) - OEM America</t>
  </si>
  <si>
    <t>0064L00000BoHsm</t>
  </si>
  <si>
    <t>Covetrus, Inc.</t>
  </si>
  <si>
    <t>FY2022 CVET Compensation Tax Support - FYE2021 Tax Return</t>
  </si>
  <si>
    <t>0064L00000BnWb0</t>
  </si>
  <si>
    <t>Fiskars Oyj Abp</t>
  </si>
  <si>
    <t>Payroll Review</t>
  </si>
  <si>
    <t>0064L00000BnWgj</t>
  </si>
  <si>
    <t>DCC US 401(k) 2021 Plan Year Nondiscrimination Testing</t>
  </si>
  <si>
    <t>Allie Rosenberg</t>
  </si>
  <si>
    <t>0064L00000BoHiI</t>
  </si>
  <si>
    <t>HPE - Culture M&amp;A Playbook - $30K</t>
  </si>
  <si>
    <t>0064L00000Bd6a7</t>
  </si>
  <si>
    <t>Euro-Pro Holdco, Llc</t>
  </si>
  <si>
    <t>ESG Sustainability</t>
  </si>
  <si>
    <t>0064L00000BoyK2</t>
  </si>
  <si>
    <t>Discgenics Inc.</t>
  </si>
  <si>
    <t>QSBS Consulting</t>
  </si>
  <si>
    <t>0064L00000BoehU</t>
  </si>
  <si>
    <t>Project Lightning - Worker Classification Considerations</t>
  </si>
  <si>
    <t>0064L00000BnswC</t>
  </si>
  <si>
    <t>Deluxe Corporation</t>
  </si>
  <si>
    <t>Benefit Plan Compliance</t>
  </si>
  <si>
    <t>0064L00000CYNF3</t>
  </si>
  <si>
    <t>Albany International Corporation</t>
  </si>
  <si>
    <t>Albany - DOL 95-1</t>
  </si>
  <si>
    <t>0064L00000CYNF8</t>
  </si>
  <si>
    <t>TTX Company</t>
  </si>
  <si>
    <t>TTX - DOL 95-1</t>
  </si>
  <si>
    <t>0064L00000CYNEo</t>
  </si>
  <si>
    <t>Windstream Holdings II, LLC</t>
  </si>
  <si>
    <t>Windstream - DOL 95-1</t>
  </si>
  <si>
    <t>0064L00000Arcmx</t>
  </si>
  <si>
    <t>General Payroll Consulting</t>
  </si>
  <si>
    <t>0064L00000DFPUX</t>
  </si>
  <si>
    <t>Project Parachutes</t>
  </si>
  <si>
    <t>Tom Hawkins</t>
  </si>
  <si>
    <t>0064L000002bnAv</t>
  </si>
  <si>
    <t>HRAA 2021 Stock-based Compensation Assistance</t>
  </si>
  <si>
    <t>31/7/2021</t>
  </si>
  <si>
    <t>22/9/2021 7:21 pm</t>
  </si>
  <si>
    <t>Saaylee Potnis</t>
  </si>
  <si>
    <t>0064L000001wLUW</t>
  </si>
  <si>
    <t>Saratoga Benchmarking renewal - Cargill</t>
  </si>
  <si>
    <t>22/5/2021 1:22 pm</t>
  </si>
  <si>
    <t>0064L00000CX7iV</t>
  </si>
  <si>
    <t>Light &amp; Wonder, Inc.</t>
  </si>
  <si>
    <t>0064L00000BnqVT</t>
  </si>
  <si>
    <t>Nextdoor Holdings Inc.</t>
  </si>
  <si>
    <t>QSBS Review</t>
  </si>
  <si>
    <t>0064L000001wMDr</t>
  </si>
  <si>
    <t>Saratoga Benchmarking winback - Northwell Health</t>
  </si>
  <si>
    <t>16/8/2020</t>
  </si>
  <si>
    <t>0064L00000As053</t>
  </si>
  <si>
    <t>DATAART ENTERPRISES, INC.</t>
  </si>
  <si>
    <t>FY22 Comp Consulting</t>
  </si>
  <si>
    <t>0064L00000BfeeC</t>
  </si>
  <si>
    <t>Potential work after Progressive - ESG Assurance Readiness</t>
  </si>
  <si>
    <t>0064L000007xoOU</t>
  </si>
  <si>
    <t>162(m) Review (FYE 3/31/23)</t>
  </si>
  <si>
    <t>162(m) Review (FYE 3/31/22)</t>
  </si>
  <si>
    <t>Sean Johnson</t>
  </si>
  <si>
    <t>0064I000011pHNl</t>
  </si>
  <si>
    <t>AMERITEL INNS Inc.</t>
  </si>
  <si>
    <t>IGP - Hampton Inn and Suites - Olympia</t>
  </si>
  <si>
    <t>0064L000001wLtl</t>
  </si>
  <si>
    <t>Eskenazi Health</t>
  </si>
  <si>
    <t>Saratoga Benchmarking renewal multiyear (1 of 3) - Eskenazi Health</t>
  </si>
  <si>
    <t>0064L00000AqJvK</t>
  </si>
  <si>
    <t>Commonwealth Of Virginia</t>
  </si>
  <si>
    <t>Saratoga Benchmarking renewal - Virginia DHRM</t>
  </si>
  <si>
    <t>0064L00000BlD4I</t>
  </si>
  <si>
    <t>North Broward Hospital District</t>
  </si>
  <si>
    <t>Saratoga Benchmarking winback - Broward Health</t>
  </si>
  <si>
    <t>0064L00000Bnbpu</t>
  </si>
  <si>
    <t>Saratoga Benchmarking - Winback - Cox Enterprises</t>
  </si>
  <si>
    <t>0064L00000Aplnh</t>
  </si>
  <si>
    <t>Saratoga Benchmarking - Honorhealth</t>
  </si>
  <si>
    <t>0064I00000zQgC2</t>
  </si>
  <si>
    <t>Rising Sun Hotels of Nj LLC</t>
  </si>
  <si>
    <t>IGP - Hampton Inn Bordentown</t>
  </si>
  <si>
    <t>0064L00000CYUWk</t>
  </si>
  <si>
    <t>PL - Benefit Calculations, Call Center &amp; Admin. Platform</t>
  </si>
  <si>
    <t>0064L00000BnmTS</t>
  </si>
  <si>
    <t>APS - CR - Field Length &amp; Sabrix</t>
  </si>
  <si>
    <t>Kent Storm</t>
  </si>
  <si>
    <t>0064L00000DFWRZ</t>
  </si>
  <si>
    <t>Proyecto de Consultoría en Customer Experience KPI´s (NiHUB)</t>
  </si>
  <si>
    <t>0064L00000BnmPp</t>
  </si>
  <si>
    <t>G4A Trust</t>
  </si>
  <si>
    <t>401(k) Nondiscrimination Testing</t>
  </si>
  <si>
    <t>0064L00000DJgSh</t>
  </si>
  <si>
    <t>Global Shared Services Salary &amp; Compensation Benchmarking</t>
  </si>
  <si>
    <t>0064L00000B0z4R</t>
  </si>
  <si>
    <t>Hyperion-Employment Tax Refund Review-$25K</t>
  </si>
  <si>
    <t>0064L0000070FaD</t>
  </si>
  <si>
    <t>Centerpoint Energy Inc. - #ProEdge</t>
  </si>
  <si>
    <t>0064L00000CYY2F</t>
  </si>
  <si>
    <t>GTCR Learning System Support</t>
  </si>
  <si>
    <t>0064L00000BmCod</t>
  </si>
  <si>
    <t>Leaselock Inc.</t>
  </si>
  <si>
    <t>0064L00000CY2tz</t>
  </si>
  <si>
    <t>IBC #ProEdge digital upskilling in Actuary #ProEdgexActuary</t>
  </si>
  <si>
    <t>0064L00000Bnzdw</t>
  </si>
  <si>
    <t>Festo Beteiligungen GmbH &amp; Co. KG</t>
  </si>
  <si>
    <t>Festo DEI Leadership Education</t>
  </si>
  <si>
    <t>Candice McCrae</t>
  </si>
  <si>
    <t>0064L00000BgSq9</t>
  </si>
  <si>
    <t>Braidwell Management Company LP</t>
  </si>
  <si>
    <t>Qualified Plan Feasibility Study</t>
  </si>
  <si>
    <t>0064L000003yNQ3</t>
  </si>
  <si>
    <t>Stony Brook University Hospital.</t>
  </si>
  <si>
    <t>*SMART* Outpatient - Stony Brook University</t>
  </si>
  <si>
    <t>20/8/2020</t>
  </si>
  <si>
    <t>0064L00000CWNYR</t>
  </si>
  <si>
    <t>DEI Consulting Retainer</t>
  </si>
  <si>
    <t>0064L00000CXsdm</t>
  </si>
  <si>
    <t>FIS MBP System Implementation</t>
  </si>
  <si>
    <t>0065800000jifFT</t>
  </si>
  <si>
    <t>Vwh Capital Management LP</t>
  </si>
  <si>
    <t>Pension consulting Phase 1 - options and considerations</t>
  </si>
  <si>
    <t>0064L000002bamC</t>
  </si>
  <si>
    <t>Finance Integration/Transformation</t>
  </si>
  <si>
    <t>0064L00000CV8eQ</t>
  </si>
  <si>
    <t>GMI ESG Strategy</t>
  </si>
  <si>
    <t>0064L00000429Lx</t>
  </si>
  <si>
    <t>Oncor_Employment Tax Refund Review_$25K</t>
  </si>
  <si>
    <t>21/11/2020</t>
  </si>
  <si>
    <t>0064I00000y7fIf</t>
  </si>
  <si>
    <t>GD-OTS Digital and Finance Transformation Phase 0</t>
  </si>
  <si>
    <t>24/10/2019</t>
  </si>
  <si>
    <t>ADV_IPS_WFOF</t>
  </si>
  <si>
    <t>0064L00000Bd6S3</t>
  </si>
  <si>
    <t>Franciscan Alliance Inc.</t>
  </si>
  <si>
    <t>FY21 Beacon Cost Report *Strategic Reimbursement*</t>
  </si>
  <si>
    <t>0064L000002c0TJ</t>
  </si>
  <si>
    <t>Venture Global Partners LLC</t>
  </si>
  <si>
    <t>Venture Global ProEdge #ProEdge</t>
  </si>
  <si>
    <t>0064L00000B1T1C</t>
  </si>
  <si>
    <t>Methodist Health System *VBO*</t>
  </si>
  <si>
    <t>0064L00000B1T1M</t>
  </si>
  <si>
    <t>WakeMed *VBO*</t>
  </si>
  <si>
    <t>0064L000007GAtu</t>
  </si>
  <si>
    <t>Yondr Americas - Diverse Supplier Assessment</t>
  </si>
  <si>
    <t>0064L00000Arwem</t>
  </si>
  <si>
    <t>GE Aviation</t>
  </si>
  <si>
    <t>Talent Workstream Big Bets</t>
  </si>
  <si>
    <t>0064L00000BeZWE</t>
  </si>
  <si>
    <t>Harvard Services - 2022 - Acquisition Playbook - Private</t>
  </si>
  <si>
    <t>0064L00000BnU8a</t>
  </si>
  <si>
    <t>Inpatient SMART Coding Reviews</t>
  </si>
  <si>
    <t>0064L000001w0nr</t>
  </si>
  <si>
    <t>Mount Sinai Medical Center of Florida Inc. &amp; Miami Heart Institute</t>
  </si>
  <si>
    <t>*SMART* OP License - MSMC</t>
  </si>
  <si>
    <t>0064L00000BeZ0m</t>
  </si>
  <si>
    <t>ProEdge Opportunity - Avangrid</t>
  </si>
  <si>
    <t>0064L00000Bek5Z</t>
  </si>
  <si>
    <t>UBS - #ProEdge Channel of Risk #ProEdgexRisk</t>
  </si>
  <si>
    <t>0064L00000BfZoy</t>
  </si>
  <si>
    <t>Covetrus General Compensation Consulting for 2022</t>
  </si>
  <si>
    <t>21/2/2023</t>
  </si>
  <si>
    <t>Louesa Huf</t>
  </si>
  <si>
    <t>0064L00000CV64B</t>
  </si>
  <si>
    <t>ESG Whitepaper Interaction</t>
  </si>
  <si>
    <t>0064L00000CV0yK</t>
  </si>
  <si>
    <t>Starbucks Corporation</t>
  </si>
  <si>
    <t>Starbucks - Net Zero Transformation</t>
  </si>
  <si>
    <t>Michael Millstein</t>
  </si>
  <si>
    <t>0064L00000CV0xl</t>
  </si>
  <si>
    <t>Starbucks - Digital ESG Reporting Solutions</t>
  </si>
  <si>
    <t>0064L00000CXHeg</t>
  </si>
  <si>
    <t>BCBS Kansas #ProEdge - Employer Reporting #ProEdgexAutomation</t>
  </si>
  <si>
    <t>0064L00000CX7ik</t>
  </si>
  <si>
    <t>Instant Brands Inc.</t>
  </si>
  <si>
    <t>Instant Brands-Payroll Ops Business Case-$25K</t>
  </si>
  <si>
    <t>0064L00000Bp2DI</t>
  </si>
  <si>
    <t>S&amp;OP and S&amp;OE</t>
  </si>
  <si>
    <t>Debjit Banerjee</t>
  </si>
  <si>
    <t>0064L00000Bf60O</t>
  </si>
  <si>
    <t>ESG Placeholder</t>
  </si>
  <si>
    <t>0064L00000Bf66g</t>
  </si>
  <si>
    <t>Takeda Pharmaceuticals</t>
  </si>
  <si>
    <t>0064L00000Bf691</t>
  </si>
  <si>
    <t>BASF SE</t>
  </si>
  <si>
    <t>0064L00000Bf67j</t>
  </si>
  <si>
    <t>Lion Capital LLP</t>
  </si>
  <si>
    <t>0064L00000Bf68d</t>
  </si>
  <si>
    <t>American Chemistry Council INC.</t>
  </si>
  <si>
    <t>0064L00000Bf69p</t>
  </si>
  <si>
    <t>0064L00000Bf69z</t>
  </si>
  <si>
    <t>Armstrong World Industries</t>
  </si>
  <si>
    <t>0064L00000Bf5Zt</t>
  </si>
  <si>
    <t>AA - ESG Placeholder</t>
  </si>
  <si>
    <t>0064L00000Bf5Zs</t>
  </si>
  <si>
    <t>0064L00000Bf6B7</t>
  </si>
  <si>
    <t>0064L00000Bf6An</t>
  </si>
  <si>
    <t>Cop Holdco Aps</t>
  </si>
  <si>
    <t>0064L00000CWTbZ</t>
  </si>
  <si>
    <t>Listen Platform Stakeholder Impact Assessment</t>
  </si>
  <si>
    <t>0064L000007wWQf</t>
  </si>
  <si>
    <t>SCL - Oracle Optimization SCL - Opportunistic</t>
  </si>
  <si>
    <t>Matthew Gale</t>
  </si>
  <si>
    <t>0064L000001vHNR</t>
  </si>
  <si>
    <t>*SMART* OP - Boston Medical Center</t>
  </si>
  <si>
    <t>14/7/2020</t>
  </si>
  <si>
    <t>0064L00000CYUM6</t>
  </si>
  <si>
    <t>STELLAR HEALTH GROUP INC. THE</t>
  </si>
  <si>
    <t>Stellar Health Tender Offer Tax Calculations</t>
  </si>
  <si>
    <t>0064L00000CYqIr</t>
  </si>
  <si>
    <t>2021 - 2023 Forms 5500</t>
  </si>
  <si>
    <t>0064L00000CYROP</t>
  </si>
  <si>
    <t>Crane Carrier Holdings, Llc</t>
  </si>
  <si>
    <t>PL - Annual Actuarial Valuation &amp; Benefit Administration</t>
  </si>
  <si>
    <t>0064L00000CVxar</t>
  </si>
  <si>
    <t>Drexel University</t>
  </si>
  <si>
    <t>0064L00000CW0KM</t>
  </si>
  <si>
    <t>Saratoga Benchmarking - Church and Dwight</t>
  </si>
  <si>
    <t>0064L00000Apgnj</t>
  </si>
  <si>
    <t>Align Technology, Inc.</t>
  </si>
  <si>
    <t>Saratoga Benchmarking renewal - Align Technology</t>
  </si>
  <si>
    <t>0064L000009gJTJ</t>
  </si>
  <si>
    <t>Buckman Laboratories International, Inc.</t>
  </si>
  <si>
    <t>Saratoga Benchmarking - Buckman</t>
  </si>
  <si>
    <t>0064L00000Apgxy</t>
  </si>
  <si>
    <t>Saratoga Benchmarking - Viatris</t>
  </si>
  <si>
    <t>0064L00000DJTz7</t>
  </si>
  <si>
    <t>Markforged Holding Corporation</t>
  </si>
  <si>
    <t>FY22 WT consulting, EMEA tax rates research</t>
  </si>
  <si>
    <t>0064L00000BgTE6</t>
  </si>
  <si>
    <t>Insperity Inc.</t>
  </si>
  <si>
    <t>2022 ASC 718 Market-Based Award Val</t>
  </si>
  <si>
    <t>David Ehr</t>
  </si>
  <si>
    <t>0064L00000CXsvq</t>
  </si>
  <si>
    <t>OKCOIN USA INC.</t>
  </si>
  <si>
    <t>Katie Ginder</t>
  </si>
  <si>
    <t>0064L00000BolbL</t>
  </si>
  <si>
    <t>HP Inc Ethical Supply Chain and Worker Empowerment Project</t>
  </si>
  <si>
    <t>0064L00000Aq4vE</t>
  </si>
  <si>
    <t>American International Group Inc.</t>
  </si>
  <si>
    <t>Saratoga Benchmarking renewal - American International Group (AIG)</t>
  </si>
  <si>
    <t>0064L00000ApuzM</t>
  </si>
  <si>
    <t>Saratoga Benchmarking - Citi</t>
  </si>
  <si>
    <t>0064L00000BoZje</t>
  </si>
  <si>
    <t>ESPP Consulting</t>
  </si>
  <si>
    <t>0064L00000CYdYp</t>
  </si>
  <si>
    <t>Frozen Plan Termination Support</t>
  </si>
  <si>
    <t>0064L00000CY0RU</t>
  </si>
  <si>
    <t>Alight_Gift Card Analysis_$20K</t>
  </si>
  <si>
    <t>0064L00000BnUZw</t>
  </si>
  <si>
    <t>Saratoga Benchmarking - FIS Global</t>
  </si>
  <si>
    <t>0064L00000CVzQh</t>
  </si>
  <si>
    <t>Gibson Dunn &amp; Crutcher Llp</t>
  </si>
  <si>
    <t>WT - 2022 Quarterly Benefit Statements for CBP</t>
  </si>
  <si>
    <t>0064L000003zNXw</t>
  </si>
  <si>
    <t>ADM - Saratoga Benchmarking (Global)</t>
  </si>
  <si>
    <t>0064L00000AqQJJ</t>
  </si>
  <si>
    <t>Kyndryl Holdings, Inc.</t>
  </si>
  <si>
    <t>Saratoga Benchmarking - Kyndryl</t>
  </si>
  <si>
    <t>0064L00000BoUfo</t>
  </si>
  <si>
    <t>EV Private Equity V AS</t>
  </si>
  <si>
    <t>Payroll Reporting &amp; IRS Assistance</t>
  </si>
  <si>
    <t>Jeanne Fowler</t>
  </si>
  <si>
    <t>0064L00000Aplu9</t>
  </si>
  <si>
    <t>Einhorn Verwaltungsgesellschaft mbH</t>
  </si>
  <si>
    <t>Saratoga Benchmarking - Heraeus</t>
  </si>
  <si>
    <t>0064I0000131xpL</t>
  </si>
  <si>
    <t>Saratoga</t>
  </si>
  <si>
    <t>20/2/2020</t>
  </si>
  <si>
    <t>0064L00000BevqQ</t>
  </si>
  <si>
    <t>Federal Reserve Bank of Minneapolis</t>
  </si>
  <si>
    <t>FRB Minneapolis Self Service Listen</t>
  </si>
  <si>
    <t>0064L00000Bdc8w</t>
  </si>
  <si>
    <t>Global Equity Consulting - Recharge Support</t>
  </si>
  <si>
    <t>Matthew Murawski</t>
  </si>
  <si>
    <t>0064L0000041MQM</t>
  </si>
  <si>
    <t>STEMCELL Holdings Inc.</t>
  </si>
  <si>
    <t>Saratoga Benchmarking (FY22) - Stemcell Technologies</t>
  </si>
  <si>
    <t>0064L000007xjv8</t>
  </si>
  <si>
    <t>Avaya Holdings Corp.</t>
  </si>
  <si>
    <t>Saratoga Benchmarking winback - Avaya</t>
  </si>
  <si>
    <t>0064L00000BmTQd</t>
  </si>
  <si>
    <t>BPCE</t>
  </si>
  <si>
    <t>AEW Capital Management 2021 Form 5500 Filings</t>
  </si>
  <si>
    <t>0064L00000ArmS2</t>
  </si>
  <si>
    <t>Wescott Financial Advisory Group Llc</t>
  </si>
  <si>
    <t>Saratoga Benchmarking - Wescott Financial Advisory Group LLC</t>
  </si>
  <si>
    <t>AD_CA_WOF_CJ_WOF_NWNS_09FY22_SARATOGA SHRM ANNUAL EVENT</t>
  </si>
  <si>
    <t>0064L00000AqZ0a</t>
  </si>
  <si>
    <t>Saratoga Benchmarking - Warner Music Group</t>
  </si>
  <si>
    <t>0064L00000AqZ80</t>
  </si>
  <si>
    <t>Saratoga Benchmarking - AmerisourceBergen</t>
  </si>
  <si>
    <t>0064L00000Ar9Q7</t>
  </si>
  <si>
    <t>Saudi Arabian Oil Company</t>
  </si>
  <si>
    <t>Saratoga Benchmarking - SABIC</t>
  </si>
  <si>
    <t>0064L00000DFYpY</t>
  </si>
  <si>
    <t>Dupont Industries Inc</t>
  </si>
  <si>
    <t>Saratoga Benchmarking - DuPont</t>
  </si>
  <si>
    <t>0064L000003zCOC</t>
  </si>
  <si>
    <t>H.I.G. Capital, Inc</t>
  </si>
  <si>
    <t>Saratoga Benchmarking - Wellpath</t>
  </si>
  <si>
    <t>0064L000009g4vG</t>
  </si>
  <si>
    <t>CVC Nominees Ltd</t>
  </si>
  <si>
    <t>Saratoga Benchmarking - Petco</t>
  </si>
  <si>
    <t>0064L000009BKKY</t>
  </si>
  <si>
    <t>Springfield Clinic Llp</t>
  </si>
  <si>
    <t>Saratoga Benchmarking - Springfield Clinic</t>
  </si>
  <si>
    <t>0064L000009BKDw</t>
  </si>
  <si>
    <t>LAL Family Corporation</t>
  </si>
  <si>
    <t>Saratoga Benchmarking - Estee Lauder</t>
  </si>
  <si>
    <t>0064L000009BKGl</t>
  </si>
  <si>
    <t>The Havi Group Lp</t>
  </si>
  <si>
    <t>Saratoga Benchmarking - Havi Group</t>
  </si>
  <si>
    <t>0064L00000DFiGi</t>
  </si>
  <si>
    <t>Altium Limited</t>
  </si>
  <si>
    <t>Saratoga Benchmarking - Altium</t>
  </si>
  <si>
    <t>0064L000009AkO5</t>
  </si>
  <si>
    <t>Appnovation USA Inc.</t>
  </si>
  <si>
    <t>Saratoga Benchmarking - Appnovation</t>
  </si>
  <si>
    <t>0064L00000Arfd0</t>
  </si>
  <si>
    <t>HRSoft USA, Inc.</t>
  </si>
  <si>
    <t>Saratoga Benchmarking - Hrsoft</t>
  </si>
  <si>
    <t>AD_CA_WOF_CJ_WOF_NWNS_09FY22_SARATOGA HR TECH EVENT</t>
  </si>
  <si>
    <t>0064L00000BnwFE</t>
  </si>
  <si>
    <t>Gamut Capital Management L.P.</t>
  </si>
  <si>
    <t>Saratoga Benchmarking - Davis-Standard</t>
  </si>
  <si>
    <t>0064L00000AqQX6</t>
  </si>
  <si>
    <t>Saratoga Benchmarking - Ochsner Health</t>
  </si>
  <si>
    <t>0064L00000Bd3x6</t>
  </si>
  <si>
    <t>Saratoga Benchmarking - BMO Harris Bank</t>
  </si>
  <si>
    <t>0064L00000Aqskj</t>
  </si>
  <si>
    <t>Kongsberg Automotive Asa</t>
  </si>
  <si>
    <t>Saratoga Benchmarking - Kongsberg Automotive</t>
  </si>
  <si>
    <t>0064L000009BFLU</t>
  </si>
  <si>
    <t>Saratoga Benchmarking - Netflix</t>
  </si>
  <si>
    <t>0064L000007HTTA</t>
  </si>
  <si>
    <t>Saratoga Benchmarking - Vertex Pharmaceuticals</t>
  </si>
  <si>
    <t>0064L000009BHMk</t>
  </si>
  <si>
    <t>Farmers &amp; Merchants Investment Inc.</t>
  </si>
  <si>
    <t>Saratoga Benchmarking - Union Bank &amp; Trust</t>
  </si>
  <si>
    <t>0064L00000AqbFD</t>
  </si>
  <si>
    <t>Saratoga Benchmarking - iManage</t>
  </si>
  <si>
    <t>0064L000009AtU7</t>
  </si>
  <si>
    <t>Regeneron Pharmaceuticals Inc.</t>
  </si>
  <si>
    <t>Saratoga Benchmarking - Regeneron Pharmaceuticals</t>
  </si>
  <si>
    <t>AD_CA_WOF_CJ_WOF_RECOVERY_07FY21_SARATOGA PRODUCT PAGE WEB FORM</t>
  </si>
  <si>
    <t>0064L00000Aqb6B</t>
  </si>
  <si>
    <t>2U, INC.</t>
  </si>
  <si>
    <t>Saratoga Benchmarking - 2U, Inc.</t>
  </si>
  <si>
    <t>0064L000009AC6g</t>
  </si>
  <si>
    <t>Saratoga Benchmarking - Ansys Inc.</t>
  </si>
  <si>
    <t>0064L000009AOry</t>
  </si>
  <si>
    <t>Saratoga Benchmarking - Banner Health</t>
  </si>
  <si>
    <t>0064L000009AQIl</t>
  </si>
  <si>
    <t>Pro Mach Group, Inc</t>
  </si>
  <si>
    <t>Saratoga Benchmarking - Pro Mach</t>
  </si>
  <si>
    <t>0064L000009B07g</t>
  </si>
  <si>
    <t>Saratoga Benchmarking - Trimble</t>
  </si>
  <si>
    <t>0064L000009B06s</t>
  </si>
  <si>
    <t>AD_CA_WOF_CJ_WOF_NWNS_11FY22_SARATOGA BENCHMARKING RESULTS EBOOK</t>
  </si>
  <si>
    <t>0064L000009B064</t>
  </si>
  <si>
    <t>Factspan Inc</t>
  </si>
  <si>
    <t>Saratoga Benchmarking - Factspan</t>
  </si>
  <si>
    <t>0064L000009B04I</t>
  </si>
  <si>
    <t>Saratoga Benchmarking - Coca-Cola</t>
  </si>
  <si>
    <t>0064L000003zGWF</t>
  </si>
  <si>
    <t>Washington University</t>
  </si>
  <si>
    <t>Saratoga Benchmarking - Washington University St. Louis</t>
  </si>
  <si>
    <t>0064L00000CVmQW</t>
  </si>
  <si>
    <t>Allianz SE</t>
  </si>
  <si>
    <t>2021 DFE Forms 5500</t>
  </si>
  <si>
    <t>0064L00000DJbuj</t>
  </si>
  <si>
    <t>GRENERGY S.A.</t>
  </si>
  <si>
    <t>Análisis Mercado Eléctrico</t>
  </si>
  <si>
    <t>0064L000009fBfc</t>
  </si>
  <si>
    <t>Process Intelligence P2P</t>
  </si>
  <si>
    <t>0064L00000BoOCx</t>
  </si>
  <si>
    <t>Leave Administration Market Scan</t>
  </si>
  <si>
    <t>Leave &amp; Absence Management Operational Assessment</t>
  </si>
  <si>
    <t>Jasmine Macies</t>
  </si>
  <si>
    <t>0064L000007wJtX</t>
  </si>
  <si>
    <t>Centerbridge Partners Holdings LLC</t>
  </si>
  <si>
    <t>Saratoga Benchmarking - Mentor Network</t>
  </si>
  <si>
    <t>0064L00000BoSd6</t>
  </si>
  <si>
    <t>Saratoga Benchmarking - Wintrust</t>
  </si>
  <si>
    <t>0064L00000CW3rE</t>
  </si>
  <si>
    <t>Sharp Packaging Services, Llc</t>
  </si>
  <si>
    <t>Saratoga Benchmarking - Sharp Packaging Service</t>
  </si>
  <si>
    <t>0064L00000Bf6Dx</t>
  </si>
  <si>
    <t>Us Xpress Enterprises INC.</t>
  </si>
  <si>
    <t>Saratoga Benchmarking - US Xpress</t>
  </si>
  <si>
    <t>0064L00000BocG1</t>
  </si>
  <si>
    <t>Saratoga Benchmarking - The Western Union Company</t>
  </si>
  <si>
    <t>0064L00000CVBV7</t>
  </si>
  <si>
    <t>Saratoga Benchmarking - Workday</t>
  </si>
  <si>
    <t>0064L00000CVBXS</t>
  </si>
  <si>
    <t>Wayne State University Physican Group</t>
  </si>
  <si>
    <t>Saratoga Benchmarking - Wayne Health</t>
  </si>
  <si>
    <t>0064L000004xnyq</t>
  </si>
  <si>
    <t>Ribbon Communications, Inc.</t>
  </si>
  <si>
    <t>Saratoga Benchmarking - Ribbon Communications</t>
  </si>
  <si>
    <t>0064L000001wM3C</t>
  </si>
  <si>
    <t>Mymichigan Health</t>
  </si>
  <si>
    <t>Saratoga Benchmarking winback - MyMichigan Health</t>
  </si>
  <si>
    <t>0064L00000Bf5w3</t>
  </si>
  <si>
    <t>ALKERMES PUBLIC LIMITED COMPANY</t>
  </si>
  <si>
    <t>Saratoga Benchmarking - Alkermes</t>
  </si>
  <si>
    <t>0064L00000BlkND</t>
  </si>
  <si>
    <t>Prudential Financial Inc.</t>
  </si>
  <si>
    <t>Saratoga Benchmarking - Prudential Financial</t>
  </si>
  <si>
    <t>0064L00000Bf5wM</t>
  </si>
  <si>
    <t>Sekisui Diagnostics LLC</t>
  </si>
  <si>
    <t>Saratoga Benchmarking - SEKISUI Diagnostics</t>
  </si>
  <si>
    <t>0064L00000BoS6l</t>
  </si>
  <si>
    <t>Saratoga Benchmarking - Valley National</t>
  </si>
  <si>
    <t>0064L00000CW4mS</t>
  </si>
  <si>
    <t>Poly USA</t>
  </si>
  <si>
    <t>Saratoga benchmarking - Poly</t>
  </si>
  <si>
    <t>0064L00000BlGWj</t>
  </si>
  <si>
    <t>Nebraska Medicine</t>
  </si>
  <si>
    <t>Saratoga Benchmarking - Nebraska Medicine</t>
  </si>
  <si>
    <t>0064L000001wLxY</t>
  </si>
  <si>
    <t>Grady Memorial Hospital</t>
  </si>
  <si>
    <t>Saratoga Benchmarking winback - Grady Memorial Health</t>
  </si>
  <si>
    <t>0064L00000BnNAs</t>
  </si>
  <si>
    <t>BorgWarner Inc.</t>
  </si>
  <si>
    <t>Saratoga Benchmarking - BorgWarner</t>
  </si>
  <si>
    <t>0064L000009fMHp</t>
  </si>
  <si>
    <t>Agilent Technologies, Inc.</t>
  </si>
  <si>
    <t>SARATOGA Benchmarking - Agilent Technologies</t>
  </si>
  <si>
    <t>0064L00000DJl2Q</t>
  </si>
  <si>
    <t>PNC Financial Services Group, Inc.</t>
  </si>
  <si>
    <t>Saratoga Benchmarking - PNC</t>
  </si>
  <si>
    <t>0064L00000CWxBU</t>
  </si>
  <si>
    <t>Saratoga Benchmarking - Beth Israel Lahey Health Inc.</t>
  </si>
  <si>
    <t>Saratoga_POD_Hospitals and Health Systems</t>
  </si>
  <si>
    <t>0064L00000CWxC3</t>
  </si>
  <si>
    <t>Draftkings Inc</t>
  </si>
  <si>
    <t>Saratoga Benchmarking - Draftkings</t>
  </si>
  <si>
    <t>0064L00000CWxDS</t>
  </si>
  <si>
    <t>Saratoga benchmarking - Microsoft</t>
  </si>
  <si>
    <t>Saratoga_POD_Manufacturing (Excluding Aerospace &amp; Chemical)</t>
  </si>
  <si>
    <t>0064L00000BoQMa</t>
  </si>
  <si>
    <t>Saratoga Benchmarking - Signature Bank</t>
  </si>
  <si>
    <t>0064L00000Boc29</t>
  </si>
  <si>
    <t>BG LLH, LLC</t>
  </si>
  <si>
    <t>Saratoga Benchmarking - Lineage Logistics</t>
  </si>
  <si>
    <t>0064L00000CWxEk</t>
  </si>
  <si>
    <t>Perrigo Company plc</t>
  </si>
  <si>
    <t>Saratoga Benchmarking - Perrigo Company</t>
  </si>
  <si>
    <t>0064L00000BoPna</t>
  </si>
  <si>
    <t>Saratoga Benchmarking - State Street</t>
  </si>
  <si>
    <t>0064L00000CWxGq</t>
  </si>
  <si>
    <t>Saratoga Benchmarking - Catholic Health Initiatives</t>
  </si>
  <si>
    <t>0064L00000CYmO6</t>
  </si>
  <si>
    <t>Saratoga Benchmarking - American Tower</t>
  </si>
  <si>
    <t>0064L000007Ezl8</t>
  </si>
  <si>
    <t>Barry Callebaut AG</t>
  </si>
  <si>
    <t>Saratoga Benchmarking - Barry Callebaut</t>
  </si>
  <si>
    <t>0064L00000CYmND</t>
  </si>
  <si>
    <t>Kinder Morgan Inc.</t>
  </si>
  <si>
    <t>Saratoga Benchmarking - Kinder Morgan</t>
  </si>
  <si>
    <t>0064L00000CWxKG</t>
  </si>
  <si>
    <t>Gibraltar Industries Inc.</t>
  </si>
  <si>
    <t>Saratoga Benchmarking - Gibraltar Industries</t>
  </si>
  <si>
    <t>0064L00000CYmQ2</t>
  </si>
  <si>
    <t>One Gas Inc.</t>
  </si>
  <si>
    <t>Saratoga Benchmarking - One Gas Inc.</t>
  </si>
  <si>
    <t>0064L000001wMI2</t>
  </si>
  <si>
    <t>Saratoga Benchmarking Renewal - Tenet Healthcare</t>
  </si>
  <si>
    <t>0064L00000BnNSD</t>
  </si>
  <si>
    <t>Somatus Inc.</t>
  </si>
  <si>
    <t>Saratoga Benchmarking - Somatus</t>
  </si>
  <si>
    <t>0064L00000Blk4a</t>
  </si>
  <si>
    <t>Saratoga Benchmarking - Discover</t>
  </si>
  <si>
    <t>0064L00000BmJwt</t>
  </si>
  <si>
    <t>Saratoga Benchmarking - Sallie Mae (net new)</t>
  </si>
  <si>
    <t>0064L000009fo49</t>
  </si>
  <si>
    <t>Saratoga Benchmarking - DCP Midstream</t>
  </si>
  <si>
    <t>0064L00000BgYFe</t>
  </si>
  <si>
    <t>QINETIQ INC.</t>
  </si>
  <si>
    <t>Saratoga Benchmarking - QinetiQ Inc.</t>
  </si>
  <si>
    <t>0064L000009flHR</t>
  </si>
  <si>
    <t>Cerence Inc.</t>
  </si>
  <si>
    <t>Saratoga Benchmarking - Cerence</t>
  </si>
  <si>
    <t>0064L00000CXVu7</t>
  </si>
  <si>
    <t>Saratoga Benchmarking - Boston Medical Center</t>
  </si>
  <si>
    <t>0064L00000CXVuh</t>
  </si>
  <si>
    <t>Alvarez &amp; Marsal Corporate Performance Improvement LLC</t>
  </si>
  <si>
    <t>Saratoga Benchmarking - Alvarez and Marsal</t>
  </si>
  <si>
    <t>0064L00000CXVuq</t>
  </si>
  <si>
    <t>Centracare Health System</t>
  </si>
  <si>
    <t>Saratoga Benchmarking - Centracare</t>
  </si>
  <si>
    <t>0064L000003zzS1</t>
  </si>
  <si>
    <t>Atlas Air Worldwide Holdings Inc.</t>
  </si>
  <si>
    <t>Saratoga Benchmarking - Atlas Air Worldwide</t>
  </si>
  <si>
    <t>0064L00000AqKOb</t>
  </si>
  <si>
    <t>Westerra Credit Union</t>
  </si>
  <si>
    <t>Saratoga Benchmarking - Westerra Credit Union</t>
  </si>
  <si>
    <t>0064L00000CXVyc</t>
  </si>
  <si>
    <t>Arkansas Children's Hospital</t>
  </si>
  <si>
    <t>Saratoga Benchmarking - Arkansas Children Hospital</t>
  </si>
  <si>
    <t>0064L0000041LlU</t>
  </si>
  <si>
    <t>State Of Texas</t>
  </si>
  <si>
    <t>Saratoga Benchmarking - TRS of Texas</t>
  </si>
  <si>
    <t>0064L00000AqJvL</t>
  </si>
  <si>
    <t>Medifast Inc.</t>
  </si>
  <si>
    <t>Saratoga Benchmarking renewal - Jason Pharmaceuticals (Medifast)</t>
  </si>
  <si>
    <t>0064L00000CXzHJ</t>
  </si>
  <si>
    <t>Verisk Analytics Inc.</t>
  </si>
  <si>
    <t>Saratoga Benchmarking - Verisk</t>
  </si>
  <si>
    <t>Saratoga_POD_Technology - Software</t>
  </si>
  <si>
    <t>0064L000006jgv1</t>
  </si>
  <si>
    <t>Saratoga Benchmarking  - eHealth</t>
  </si>
  <si>
    <t>0064L00000AqKaK</t>
  </si>
  <si>
    <t>Saratoga Benchmarking renewal - Cuna Mutual Group</t>
  </si>
  <si>
    <t>0064L000006CDYr</t>
  </si>
  <si>
    <t>Saratoga Benchmarking - Univar Solutions</t>
  </si>
  <si>
    <t>0064L00000BlfsL</t>
  </si>
  <si>
    <t>Saratoga Benchmarking - Carbon Health</t>
  </si>
  <si>
    <t>0064L00000CYHSl</t>
  </si>
  <si>
    <t>Amdocs LTD.</t>
  </si>
  <si>
    <t>Saratoga Benchmarking - Amdocs</t>
  </si>
  <si>
    <t>0064L000007wjK1</t>
  </si>
  <si>
    <t>MEDAVIE INC.</t>
  </si>
  <si>
    <t>Saratoga Benchmarking - Medavie</t>
  </si>
  <si>
    <t>0064L00000Bmjau</t>
  </si>
  <si>
    <t>Saratoga Benchmarking renewal - Providence Health</t>
  </si>
  <si>
    <t>0064L000009fZzJ</t>
  </si>
  <si>
    <t>Supportninja</t>
  </si>
  <si>
    <t>Saratoga Benchmarking - SupportNinja</t>
  </si>
  <si>
    <t>0064L000009fZzT</t>
  </si>
  <si>
    <t>Saratoga Benchmarking - Peloton Interactive</t>
  </si>
  <si>
    <t>0064L000001wKED</t>
  </si>
  <si>
    <t>Saratoga Benchmarking winback - AmeriHealth Caritas</t>
  </si>
  <si>
    <t>0064L00000BmIKF</t>
  </si>
  <si>
    <t>Saratoga Benchmarking - Manulife (net new)</t>
  </si>
  <si>
    <t>0064L00000CWSfc</t>
  </si>
  <si>
    <t>United Nations</t>
  </si>
  <si>
    <t>Saratoga Benchmarking - World Food Program USA</t>
  </si>
  <si>
    <t>0064L00000CWSh4</t>
  </si>
  <si>
    <t>INTER PARFUMS Inc.</t>
  </si>
  <si>
    <t>Saratoga Benchmarking - Inter Parfums Inc.</t>
  </si>
  <si>
    <t>0064L00000CXVkc</t>
  </si>
  <si>
    <t>Saratoga Benchmarking - Avnet</t>
  </si>
  <si>
    <t>0064L00000CXVla</t>
  </si>
  <si>
    <t>Cohesity Inc.</t>
  </si>
  <si>
    <t>Saratoga Benchmarking - Cohesity</t>
  </si>
  <si>
    <t>0064L00000CXWLs</t>
  </si>
  <si>
    <t>Saratoga Benchmarking - Akamai</t>
  </si>
  <si>
    <t>0064L00000CXVmn</t>
  </si>
  <si>
    <t>Saratoga Benchmarking - Chime</t>
  </si>
  <si>
    <t>0064L00000AqJdz</t>
  </si>
  <si>
    <t>Saratoga Benchmarking - Mohawk Valley Health System</t>
  </si>
  <si>
    <t>0064L000003zhxv</t>
  </si>
  <si>
    <t>Nsf International</t>
  </si>
  <si>
    <t>Saratoga Benchmarking - NSF International</t>
  </si>
  <si>
    <t>0064I0000131SLW</t>
  </si>
  <si>
    <t>Saratoga Benchmarking winback - Johnson Controls</t>
  </si>
  <si>
    <t>18/2/2020</t>
  </si>
  <si>
    <t>0064L00000CXVqo</t>
  </si>
  <si>
    <t>Saratoga Benchmarking - LHC Group Inc.</t>
  </si>
  <si>
    <t>0064L00000BmFrk</t>
  </si>
  <si>
    <t>Saratoga Benchmarking - GlaxoSmithKline (GSK)</t>
  </si>
  <si>
    <t>0064L00000BgVe6</t>
  </si>
  <si>
    <t>TE Connectivity</t>
  </si>
  <si>
    <t>Saratoga Benchmarking - TE Connectivity</t>
  </si>
  <si>
    <t>0064L00000CW0O3</t>
  </si>
  <si>
    <t>The Academy Group, Inc.</t>
  </si>
  <si>
    <t>Saratoga Benchmarking - Health Management Academy</t>
  </si>
  <si>
    <t>0064L00000CX42P</t>
  </si>
  <si>
    <t>Adaptive Biotechnologies Corporation</t>
  </si>
  <si>
    <t>Saratoga Benchmarking - Adaptive Biotechnologies</t>
  </si>
  <si>
    <t>0064L00000CWcQk</t>
  </si>
  <si>
    <t>Saratoga Benchmarking - Farmers Group</t>
  </si>
  <si>
    <t>0064L00000ApgkV</t>
  </si>
  <si>
    <t>ARETE ADVISORS, LLC</t>
  </si>
  <si>
    <t>Saratoga Benchmarking - Arete Advisors</t>
  </si>
  <si>
    <t>0064L00000DJVez</t>
  </si>
  <si>
    <t>Merck &amp; Co. Inc</t>
  </si>
  <si>
    <t>Saratoga Benchmarking - Merck</t>
  </si>
  <si>
    <t>0064L000006z1hK</t>
  </si>
  <si>
    <t>Saratoga Benchmarking - Home Point Financial</t>
  </si>
  <si>
    <t>0064L000007vcXd</t>
  </si>
  <si>
    <t>Dqe Holdings LLC</t>
  </si>
  <si>
    <t>Saratoga Benchmarking - Duquesne Light</t>
  </si>
  <si>
    <t>0064L000009gJXA</t>
  </si>
  <si>
    <t>Prime Therapeutics LLC</t>
  </si>
  <si>
    <t>Saratoga Benchmarking - Prime Therapeutics</t>
  </si>
  <si>
    <t>0064L000007x79I</t>
  </si>
  <si>
    <t>Saratoga Benchmarking - Citizens Bank</t>
  </si>
  <si>
    <t>0064L0000070EbV</t>
  </si>
  <si>
    <t>Saratoga Benchmarking (Winback) - Target</t>
  </si>
  <si>
    <t>0064L000009fFqY</t>
  </si>
  <si>
    <t>Alcon AG</t>
  </si>
  <si>
    <t>Saratoga Benchmarking - Alcon Laboratories</t>
  </si>
  <si>
    <t>0064L00000CXfk7</t>
  </si>
  <si>
    <t>Onex Corporation</t>
  </si>
  <si>
    <t>Saratoga Benchmarking - Celestica</t>
  </si>
  <si>
    <t>0064L000009fGHG</t>
  </si>
  <si>
    <t>Fgi Worldwide Holdings Llc</t>
  </si>
  <si>
    <t>Saratoga Benchmarking - FGI</t>
  </si>
  <si>
    <t>0064L00000CXfnV</t>
  </si>
  <si>
    <t>Saratoga Benchmarking - Vertiv</t>
  </si>
  <si>
    <t>0064L00000BlwqS</t>
  </si>
  <si>
    <t>Saratoga Benchmarking - M&amp;T Bank (Net New)</t>
  </si>
  <si>
    <t>0064L00000ApyfP</t>
  </si>
  <si>
    <t>Crane Co.</t>
  </si>
  <si>
    <t>Saratoga Benchmarking - Crane Co.</t>
  </si>
  <si>
    <t>0064L00000Apyfe</t>
  </si>
  <si>
    <t>Saratoga Benchmarking - Shift4</t>
  </si>
  <si>
    <t>0064L00000AqZ1J</t>
  </si>
  <si>
    <t>Center For Creative Leadership</t>
  </si>
  <si>
    <t>Saratoga Benchmarking - Center for Creative Leadership</t>
  </si>
  <si>
    <t>0064L00000CXwA5</t>
  </si>
  <si>
    <t>Saratoga Benchmarking - UBS Group AG</t>
  </si>
  <si>
    <t>FW_PM_AA_TRANSFORM_REWARDS_CHRO_02FY22_SARATOGA REDUCING TURNOVER EBOOK</t>
  </si>
  <si>
    <t>0064L00000Bg4Ke</t>
  </si>
  <si>
    <t>Fred Hutchinson Cancer Research Center</t>
  </si>
  <si>
    <t>Saratoga Benchmarking - Fred Hutchinson Cancer Research Center</t>
  </si>
  <si>
    <t>0064L000009fiyA</t>
  </si>
  <si>
    <t>Saratoga Benchmarking - Blue Apron</t>
  </si>
  <si>
    <t>0064L000009fivB</t>
  </si>
  <si>
    <t>Saratoga Benchmarking - Securian</t>
  </si>
  <si>
    <t>0064L000007xYWA</t>
  </si>
  <si>
    <t>Saratoga Benchmarking - Beachbody</t>
  </si>
  <si>
    <t>0064L000009fXnR</t>
  </si>
  <si>
    <t>Bio-RAD Laboratories, Inc.</t>
  </si>
  <si>
    <t>SARATOGA Benchmarking - Bio-RAD</t>
  </si>
  <si>
    <t>0064L000009fYIi</t>
  </si>
  <si>
    <t>Saratoga Benchmarking - Danaher</t>
  </si>
  <si>
    <t>0064L00000Bn9M4</t>
  </si>
  <si>
    <t>Saratoga Benchmarking - FRB Minneapolis</t>
  </si>
  <si>
    <t>0064L00000BmFmb</t>
  </si>
  <si>
    <t>South Jersey Industries, Inc</t>
  </si>
  <si>
    <t>Saratoga Benchmarking - South Jersey (SJ) Industries</t>
  </si>
  <si>
    <t>0064L00000Blv0V</t>
  </si>
  <si>
    <t>Edward Jones</t>
  </si>
  <si>
    <t>Saratoga Benchmarking - Edward Jones (Net New)</t>
  </si>
  <si>
    <t>0064L000009fDzm</t>
  </si>
  <si>
    <t>Bryan Health</t>
  </si>
  <si>
    <t>Saratoga Benchmarking - Bryan Health</t>
  </si>
  <si>
    <t>0064L00000AqFdg</t>
  </si>
  <si>
    <t>Ilitch Holdings Inc.</t>
  </si>
  <si>
    <t>Saratoga Benchmarking - Ilitch Holdings</t>
  </si>
  <si>
    <t>0064L000009fEZB</t>
  </si>
  <si>
    <t>Premier Inc.</t>
  </si>
  <si>
    <t>Saratoga Benchmarking - Premier, Inc.</t>
  </si>
  <si>
    <t>0064L000009fESK</t>
  </si>
  <si>
    <t>Saratoga Benchmarking - Coalfire Systems</t>
  </si>
  <si>
    <t>0064L00000Aq6IY</t>
  </si>
  <si>
    <t>Baylor Scott &amp; White Holdings</t>
  </si>
  <si>
    <t>Saratoga Benchmarking winback - Baylor Scott &amp; White Health</t>
  </si>
  <si>
    <t>0064L00000Aq6Kj</t>
  </si>
  <si>
    <t>ALZHEIMER'S DISEASE AND RELATED DISORDERS ASSOCIATION INC.</t>
  </si>
  <si>
    <t>Saratoga Benchmarking renewal - Alzheimer's Association</t>
  </si>
  <si>
    <t>0064L000009fEP6</t>
  </si>
  <si>
    <t>LBell HR Consulting LLC</t>
  </si>
  <si>
    <t>Saratoga Benchmarking (License) - LBell HR Consulting</t>
  </si>
  <si>
    <t>0064L000007vOow</t>
  </si>
  <si>
    <t>Lake Trust Credit Union</t>
  </si>
  <si>
    <t>Saratoga Benchmarking - Lake Trust Credit Union</t>
  </si>
  <si>
    <t>0064L00000BfspH</t>
  </si>
  <si>
    <t>Figure Technologies Inc.</t>
  </si>
  <si>
    <t>Saratoga Benchmarking - Figure</t>
  </si>
  <si>
    <t>0064L00000BnYfx</t>
  </si>
  <si>
    <t>Captario Ab</t>
  </si>
  <si>
    <t>Saratoga Benchmarking - Captario</t>
  </si>
  <si>
    <t>0064L00000ArIza</t>
  </si>
  <si>
    <t>Duke University</t>
  </si>
  <si>
    <t>Saratoga Benchmarking - Duke University Health</t>
  </si>
  <si>
    <t>0064L00000DFYiS</t>
  </si>
  <si>
    <t>Saratoga Benchmarking - City + Ventures</t>
  </si>
  <si>
    <t>0064L00000DFYkO</t>
  </si>
  <si>
    <t>Public Consulting Group Inc.</t>
  </si>
  <si>
    <t>Saratoga Benchmarking - PCG</t>
  </si>
  <si>
    <t>0064L000009gHHb</t>
  </si>
  <si>
    <t>Databricks</t>
  </si>
  <si>
    <t>Saratoga Benchmarking - Databricks</t>
  </si>
  <si>
    <t>0064L00000BnYnY</t>
  </si>
  <si>
    <t>HTT, INC.</t>
  </si>
  <si>
    <t>Saratoga Benchmarking - HTT World Stamping Inc.</t>
  </si>
  <si>
    <t>0064L000007GFUB</t>
  </si>
  <si>
    <t>Outset Medical, Inc</t>
  </si>
  <si>
    <t>Saratoga Benchmarking - Outset Medical</t>
  </si>
  <si>
    <t>0064L00000DFYlg</t>
  </si>
  <si>
    <t>Quest Diagnostics Incorporated</t>
  </si>
  <si>
    <t>Saratoga Benchmarking - Quest Diagnostics</t>
  </si>
  <si>
    <t>0064L000009fEF1</t>
  </si>
  <si>
    <t>Saratoga Benchmarking - Evoke</t>
  </si>
  <si>
    <t>0064L00000DFYmj</t>
  </si>
  <si>
    <t>Ralph Lauren Corporation</t>
  </si>
  <si>
    <t>Saratoga Benchmarking - Ralph Lauren</t>
  </si>
  <si>
    <t>0064L0000041IlB</t>
  </si>
  <si>
    <t>Caleres</t>
  </si>
  <si>
    <t>Saratoga Benchmarking - Caleres (Winback)</t>
  </si>
  <si>
    <t>0064L000007xhbv</t>
  </si>
  <si>
    <t>U.S. Venture, Inc.</t>
  </si>
  <si>
    <t>Saratoga Benchmarking - US Venture</t>
  </si>
  <si>
    <t>0064L000007xhWR</t>
  </si>
  <si>
    <t>Hamilton Company</t>
  </si>
  <si>
    <t>Saratoga Benchmarking - Hamilton Company</t>
  </si>
  <si>
    <t>0064L000007wCLB</t>
  </si>
  <si>
    <t>Henry M. Jackson Foundation for the Advancement of Military Medicine</t>
  </si>
  <si>
    <t>Saratoga Benchmarking - HJF</t>
  </si>
  <si>
    <t>0064L00000BepNu</t>
  </si>
  <si>
    <t>Microland Limited</t>
  </si>
  <si>
    <t>Saratoga Benchmarking - Microland</t>
  </si>
  <si>
    <t>0064L00000ArJ9f</t>
  </si>
  <si>
    <t>Saratoga Benchmarking - Victoria's Secret</t>
  </si>
  <si>
    <t>0064L00000AqhXk</t>
  </si>
  <si>
    <t>Mainehealth Services</t>
  </si>
  <si>
    <t>Saratoga Benchmarking renewal - MaineHealth</t>
  </si>
  <si>
    <t>0064L00000AqhYU</t>
  </si>
  <si>
    <t>Saratoga Benchmarking renewal - MassMutual</t>
  </si>
  <si>
    <t>0064L000007wCLp</t>
  </si>
  <si>
    <t>Saratoga Benchmarking - Duquesne Light Company (DLC)</t>
  </si>
  <si>
    <t>0064L00000AqFX9</t>
  </si>
  <si>
    <t>Scotia Investments Limited</t>
  </si>
  <si>
    <t>Saratoga Benchmarking - Scotia Investments</t>
  </si>
  <si>
    <t>0064L000007wSbd</t>
  </si>
  <si>
    <t>Saratoga Benchmarking Winback - McKesson</t>
  </si>
  <si>
    <t>0064L00000BfsVv</t>
  </si>
  <si>
    <t>Saratoga Benchmarking - Intuit</t>
  </si>
  <si>
    <t>0064L00000Ar9BH</t>
  </si>
  <si>
    <t>University Of Vermont Health Network, The</t>
  </si>
  <si>
    <t>Saratoga Benchmarking - University of Vermont Health Network</t>
  </si>
  <si>
    <t>0064L000007weGU</t>
  </si>
  <si>
    <t>Saratoga Benchmarking - United Natural Foods Inc. (UNFI)</t>
  </si>
  <si>
    <t>0064L00000AqUf4</t>
  </si>
  <si>
    <t>Emergent BioSolutions Inc.</t>
  </si>
  <si>
    <t>Saratoga Benchmarking renewal - Emergent BioSolutions</t>
  </si>
  <si>
    <t>0064L00000AqUh0</t>
  </si>
  <si>
    <t>Enable Midstream Partners Lp</t>
  </si>
  <si>
    <t>Saratoga Benchmarking renewal - Enable Midstream</t>
  </si>
  <si>
    <t>0064L00000Bo8X5</t>
  </si>
  <si>
    <t>The Timken Company</t>
  </si>
  <si>
    <t>Saratoga Benchmarking - Timken</t>
  </si>
  <si>
    <t>0064L00000BgBBw</t>
  </si>
  <si>
    <t>Snowflake Inc.</t>
  </si>
  <si>
    <t>Saratoga Benchmarking - Snowflake</t>
  </si>
  <si>
    <t>0064L000009fvS8</t>
  </si>
  <si>
    <t>Emerson Health Systems Inc.</t>
  </si>
  <si>
    <t>Saratoga Benchmarking - Emerson Hospital</t>
  </si>
  <si>
    <t>0064L00000Ape6W</t>
  </si>
  <si>
    <t>Aledade, Inc.</t>
  </si>
  <si>
    <t>Saratoga Benchmarking - Aledade</t>
  </si>
  <si>
    <t>0064L000009fvIh</t>
  </si>
  <si>
    <t>Saratoga Benchmarking winback - Equifax</t>
  </si>
  <si>
    <t>0064L00000DFiGs</t>
  </si>
  <si>
    <t>Saratoga Benchmarking - Lowe's</t>
  </si>
  <si>
    <t>0064L00000DFiHH</t>
  </si>
  <si>
    <t>Saratoga Benchmarking - Mckesson</t>
  </si>
  <si>
    <t>0064L00000CXREG</t>
  </si>
  <si>
    <t>Sumeru Equity Partners L.P.</t>
  </si>
  <si>
    <t>Saratoga Benchmarking - Sumeru Equity</t>
  </si>
  <si>
    <t>0064L00000CXRCk</t>
  </si>
  <si>
    <t>Saratoga Benchmarking - GE Healthcare</t>
  </si>
  <si>
    <t>0064L00000401jY</t>
  </si>
  <si>
    <t>Alticor Global Holdings INC.</t>
  </si>
  <si>
    <t>Saratoga Benchmarking - Amway</t>
  </si>
  <si>
    <t>0064L000009fDYH</t>
  </si>
  <si>
    <t>Saratoga Benchmarking winback - Honeywell</t>
  </si>
  <si>
    <t>0064L00000BlrJU</t>
  </si>
  <si>
    <t>JPMorgan Chase &amp; Co.</t>
  </si>
  <si>
    <t>Saratoga Benchmarking - JPMorgan</t>
  </si>
  <si>
    <t>0064L000004weUl</t>
  </si>
  <si>
    <t>Saratoga Benchmarking winback - Froedtert Health</t>
  </si>
  <si>
    <t>0064L000009feu6</t>
  </si>
  <si>
    <t>Saratoga Benchmarking - Comcast</t>
  </si>
  <si>
    <t>0064L000009AkLV</t>
  </si>
  <si>
    <t>Saratoga Benchmarking - Community Health Systems</t>
  </si>
  <si>
    <t>0064L000009AkK8</t>
  </si>
  <si>
    <t>Peopleconnect, Inc.</t>
  </si>
  <si>
    <t>Saratoga Benchmarking - PeopleConnect</t>
  </si>
  <si>
    <t>0064L000007wshC</t>
  </si>
  <si>
    <t>CNM LLP</t>
  </si>
  <si>
    <t>Saratoga Benchmarking - CNM</t>
  </si>
  <si>
    <t>0064L000001w3Us</t>
  </si>
  <si>
    <t>Genstar Capital IX, L.P.</t>
  </si>
  <si>
    <t>Saratoga Benchmarking - OEConnection</t>
  </si>
  <si>
    <t>0064L000007vNfh</t>
  </si>
  <si>
    <t>Singapore National Employers Federation</t>
  </si>
  <si>
    <t>Saratoga Benchmarking - SNEF</t>
  </si>
  <si>
    <t>0064L000007XXRK</t>
  </si>
  <si>
    <t>Great Minds</t>
  </si>
  <si>
    <t>Saratoga Benchmarking - Great Minds</t>
  </si>
  <si>
    <t>0064L000007YIhS</t>
  </si>
  <si>
    <t>G&amp;W Electric Company</t>
  </si>
  <si>
    <t>Saratoga Benchmarking - G&amp;W Electric</t>
  </si>
  <si>
    <t>0064L000007xB6I</t>
  </si>
  <si>
    <t>Dome Construction Corporation</t>
  </si>
  <si>
    <t>Saratoga Benchmarking - Dome Construction</t>
  </si>
  <si>
    <t>0064L000006AzZ0</t>
  </si>
  <si>
    <t>Saratoga Benchmarking - Morningstar</t>
  </si>
  <si>
    <t>0064L000009epmW</t>
  </si>
  <si>
    <t>Biohaven Pharmaceutical Holding CompanyLtd.</t>
  </si>
  <si>
    <t>SARATOGA Benchmarking - Biohaven Pharmaceuticals</t>
  </si>
  <si>
    <t>0064L000006h7aa</t>
  </si>
  <si>
    <t>Saratoga Benchmarking winback - AECOM</t>
  </si>
  <si>
    <t>0064L000009ADwO</t>
  </si>
  <si>
    <t>Bechtel Group Inc.</t>
  </si>
  <si>
    <t>Saratoga Benchmarking - Bechtel</t>
  </si>
  <si>
    <t>0064L000009fscr</t>
  </si>
  <si>
    <t>Seagen Inc.</t>
  </si>
  <si>
    <t>Saratoga Benchmarking - Seattle Genetics</t>
  </si>
  <si>
    <t>0064L00000Aq2Ny</t>
  </si>
  <si>
    <t>Saratoga Benchmarking winback - PG&amp;E</t>
  </si>
  <si>
    <t>30/8/2021</t>
  </si>
  <si>
    <t>0064L00000Apc5l</t>
  </si>
  <si>
    <t>Saratoga Benchmarking - HP</t>
  </si>
  <si>
    <t>0064L000004vp5V</t>
  </si>
  <si>
    <t>Royal Bank of Canada</t>
  </si>
  <si>
    <t>Saratoga Benchmarking - City National Bank</t>
  </si>
  <si>
    <t>0064L00000BmRda</t>
  </si>
  <si>
    <t>Saratoga Benchmarking winback - Vidant Health</t>
  </si>
  <si>
    <t>0064L000007xBW6</t>
  </si>
  <si>
    <t>Axon Enterprise, Inc.</t>
  </si>
  <si>
    <t>Saratoga Benchmarking - Axon Enterprise</t>
  </si>
  <si>
    <t>0064L00000CXNDK</t>
  </si>
  <si>
    <t>Saratoga Benchmarking - TruGreen</t>
  </si>
  <si>
    <t>0064L00000CXNBx</t>
  </si>
  <si>
    <t>Aspen Network of Development Entrepreneurs</t>
  </si>
  <si>
    <t>Saratoga Benchmarking - ANDE</t>
  </si>
  <si>
    <t>0064L000007x0bn</t>
  </si>
  <si>
    <t>Centra Health INC.</t>
  </si>
  <si>
    <t>Saratoga Benchmarking - Centra Health</t>
  </si>
  <si>
    <t>0064L00000CVHLr</t>
  </si>
  <si>
    <t>Children's Hospital Of Philadelphia</t>
  </si>
  <si>
    <t>Saratoga Benchmarking - CHOP</t>
  </si>
  <si>
    <t>0064L00000BmR88</t>
  </si>
  <si>
    <t>Greystar Real Estate Partners LLC.</t>
  </si>
  <si>
    <t>Saratoga Benchmarking - Greystar Real Estate</t>
  </si>
  <si>
    <t>0064L00000BnBy9</t>
  </si>
  <si>
    <t>Personalized Beauty Discovery Inc.</t>
  </si>
  <si>
    <t>Saratoga Benchmarking - Beauty for All (BFA) Industries</t>
  </si>
  <si>
    <t>0064L00000Boyhd</t>
  </si>
  <si>
    <t>Saratoga Benchmarking - First Republic Bank</t>
  </si>
  <si>
    <t>0064L00000Boyk4</t>
  </si>
  <si>
    <t>Saratoga Benchmarking - Fulton Financial</t>
  </si>
  <si>
    <t>0064L000007DmPY</t>
  </si>
  <si>
    <t>Wilson Oil, Inc.</t>
  </si>
  <si>
    <t>Saratoga Benchmarking - Wilcox and Flegel</t>
  </si>
  <si>
    <t>0064L00000BmRCy</t>
  </si>
  <si>
    <t>Saratoga Benchmarking - Tiffany &amp; Co.</t>
  </si>
  <si>
    <t>0064L00000Ar57u</t>
  </si>
  <si>
    <t>Coinbase Global Inc.</t>
  </si>
  <si>
    <t>Saratoga Benchmarking - Coinbase</t>
  </si>
  <si>
    <t>0064L00000AppYE</t>
  </si>
  <si>
    <t>Saratoga Benchmarking - Swisher</t>
  </si>
  <si>
    <t>0064L000007xqxi</t>
  </si>
  <si>
    <t>EMPRESAS JUAN YARUR SPA</t>
  </si>
  <si>
    <t>Saratoga Benchmarking - City National Bank of Florida</t>
  </si>
  <si>
    <t>0064L00000CW9AH</t>
  </si>
  <si>
    <t>Herbalife Nutrition Ltd.</t>
  </si>
  <si>
    <t>Saratoga Benchmarking - Herbalife</t>
  </si>
  <si>
    <t>0064L00000Boy77</t>
  </si>
  <si>
    <t>Federal Agricultural Mortgage Corp.</t>
  </si>
  <si>
    <t>Saratoga Benchmarking - Farmer Mac</t>
  </si>
  <si>
    <t>0064L00000Boy85</t>
  </si>
  <si>
    <t>Envista Holdings Corporation</t>
  </si>
  <si>
    <t>Saratoga Benchmarking - Envista Holdings Corporation</t>
  </si>
  <si>
    <t>0064L00000Boy9N</t>
  </si>
  <si>
    <t>Saratoga Benchmarking - Ocwen Financial Corporation</t>
  </si>
  <si>
    <t>0064L00000Aqbhh</t>
  </si>
  <si>
    <t>SOCIETE NATIONALE SNCF</t>
  </si>
  <si>
    <t>Saratoga Benchmarking renewal - GEODIS</t>
  </si>
  <si>
    <t>0064L00000BowJv</t>
  </si>
  <si>
    <t>Saratoga Benchmarking - FNB Corporation</t>
  </si>
  <si>
    <t>0064L00000BowPJ</t>
  </si>
  <si>
    <t>Saratoga Benchmarking - XPO Logistics</t>
  </si>
  <si>
    <t>0064L00000BowXr</t>
  </si>
  <si>
    <t>Saratoga Benchmarking - USAA</t>
  </si>
  <si>
    <t>0064L000007xadU</t>
  </si>
  <si>
    <t>ELECTRICITE DE FRANCE</t>
  </si>
  <si>
    <t>Saratoga Benchmarking - Framatome</t>
  </si>
  <si>
    <t>0064L000007xagO</t>
  </si>
  <si>
    <t>Saratoga Benchmarking - SAP</t>
  </si>
  <si>
    <t>0064L00000Bf9d1</t>
  </si>
  <si>
    <t>Paychex Inc.</t>
  </si>
  <si>
    <t>Saratoga Benchmarking - Paychex</t>
  </si>
  <si>
    <t>0064L000007xqyl</t>
  </si>
  <si>
    <t>ACCO Brands Corporation</t>
  </si>
  <si>
    <t>Saratoga Benchmarking - ACCO Brands</t>
  </si>
  <si>
    <t>0064L000009fMgk</t>
  </si>
  <si>
    <t>Sobi Inc.</t>
  </si>
  <si>
    <t>SARATOGA Benchmarking - Sobi</t>
  </si>
  <si>
    <t>0064L00000BfYqf</t>
  </si>
  <si>
    <t>Saratoga Benchmarking - WakeMed</t>
  </si>
  <si>
    <t>0064L00000BmMgU</t>
  </si>
  <si>
    <t>Saratoga Benchmarking - UChicago Medicine</t>
  </si>
  <si>
    <t>0064L00000CYpOn</t>
  </si>
  <si>
    <t>New Jersey Manufacturers Insurance Group</t>
  </si>
  <si>
    <t>Saratoga Benchmarking - NJM</t>
  </si>
  <si>
    <t>0064L00000ApoQ8</t>
  </si>
  <si>
    <t>PTTGC America LLC.</t>
  </si>
  <si>
    <t>Saratoga Benchmarking - PTTGC</t>
  </si>
  <si>
    <t>0064L00000BoDCV</t>
  </si>
  <si>
    <t>Saratoga Benchmarking renewal - Memorial Medical Center - FY23</t>
  </si>
  <si>
    <t>0064L000009enOM</t>
  </si>
  <si>
    <t>Pamplona Investment Partners I, LP</t>
  </si>
  <si>
    <t>SARATOGA Benchmarking - Parexel</t>
  </si>
  <si>
    <t>0064L000009enPa</t>
  </si>
  <si>
    <t>SARATOGA Benchmarking - Taro Pharmaceuticals</t>
  </si>
  <si>
    <t>0064L000009enPZ</t>
  </si>
  <si>
    <t>SARATOGA Benchmarking - Alexion</t>
  </si>
  <si>
    <t>0064L00000BoSJB</t>
  </si>
  <si>
    <t>T Rowe Price Group Inc</t>
  </si>
  <si>
    <t>Saratoga Benchmarking - T Rowe Price</t>
  </si>
  <si>
    <t>0064L000009enNE</t>
  </si>
  <si>
    <t>SARATOGA Benchmarking - Boston Scientific</t>
  </si>
  <si>
    <t>0064L000009fa0W</t>
  </si>
  <si>
    <t>Barge Design Solutions, Inc.</t>
  </si>
  <si>
    <t>Saratoga Benchmarking - Barge Design Solutions</t>
  </si>
  <si>
    <t>0064L000009fOFL</t>
  </si>
  <si>
    <t>Saratoga Benchmarking - Federal Reserve Board of Governors</t>
  </si>
  <si>
    <t>0064L00000Blkh3</t>
  </si>
  <si>
    <t>Truist Financial Corp.</t>
  </si>
  <si>
    <t>Saratoga Benchmarking - Truist</t>
  </si>
  <si>
    <t>0064L000009fNaZ</t>
  </si>
  <si>
    <t>SARATOGA Benchmarking - Mapfre</t>
  </si>
  <si>
    <t>0064L00000CYp9d</t>
  </si>
  <si>
    <t>Insight Holdings Group, LLC</t>
  </si>
  <si>
    <t>Saratoga Benchmarking - Veeam</t>
  </si>
  <si>
    <t>0064L000004xqnS</t>
  </si>
  <si>
    <t>Saratoga Benchmarking - Adobe</t>
  </si>
  <si>
    <t>0064L00000ApelF</t>
  </si>
  <si>
    <t>CCA #ProEdge Finance/Bi Expansion</t>
  </si>
  <si>
    <t>0064L00000CYFKM</t>
  </si>
  <si>
    <t>Firm of John Dickinson Schneider Inc., The</t>
  </si>
  <si>
    <t>Capex Workshop</t>
  </si>
  <si>
    <t>0064L00000DJZGS</t>
  </si>
  <si>
    <t>Grantham Mayo Van Otterloo &amp; Co.</t>
  </si>
  <si>
    <t>GMO 2021 Form 5500 Filings</t>
  </si>
  <si>
    <t>0064L00000CVmys</t>
  </si>
  <si>
    <t>Howard Hughes Medical Institute</t>
  </si>
  <si>
    <t>2021 &amp; 2022 Forms 5500 (Retiree Welfare Benefit Plan - Plan 508)</t>
  </si>
  <si>
    <t>0064L00000DFiO3</t>
  </si>
  <si>
    <t>Beazer Homes Usa Inc.</t>
  </si>
  <si>
    <t>Beazer - FY2023 Stock-Based Comp Valuation</t>
  </si>
  <si>
    <t>0064L00000CX7kM</t>
  </si>
  <si>
    <t>Newyork-Presbyterian Medical Group Hudson Valley</t>
  </si>
  <si>
    <t>2021-2023 Forms 5500</t>
  </si>
  <si>
    <t>0064L00000CX5Oi</t>
  </si>
  <si>
    <t>New York Methodist Hospital</t>
  </si>
  <si>
    <t>0064L00000BmBHs</t>
  </si>
  <si>
    <t>Saratoga Benchmarking winback - UCSF Medical Center</t>
  </si>
  <si>
    <t>0064L00000Aq6eF</t>
  </si>
  <si>
    <t>Carle Foundation Hospital</t>
  </si>
  <si>
    <t>Saratoga Benchmarking renewal - Carle Foundation Hospital (ASHHRA upgrade)</t>
  </si>
  <si>
    <t>0064L00000BlOS6</t>
  </si>
  <si>
    <t>Saratoga Benchmarking - Shannon Health (Winback, ASHHRA)</t>
  </si>
  <si>
    <t>0064L00000CW55Y</t>
  </si>
  <si>
    <t>Saratoga Benchmarking - Loma Linda Health</t>
  </si>
  <si>
    <t>0064L00000AqKgG</t>
  </si>
  <si>
    <t>Deaconess Health System Inc.</t>
  </si>
  <si>
    <t>Saratoga Benchmarking renewal - Deaconess Health System (ASHHRA upgrade)</t>
  </si>
  <si>
    <t>0064L00000CX1EE</t>
  </si>
  <si>
    <t>Gusto, Inc.</t>
  </si>
  <si>
    <t>Saratoga Custom Benchmarking - Gusto</t>
  </si>
  <si>
    <t>George Lee</t>
  </si>
  <si>
    <t>0064L00000Bo01A</t>
  </si>
  <si>
    <t>Saratoga Benchmarking expansion - Cordis (Global)</t>
  </si>
  <si>
    <t>0064L000002ZANQ</t>
  </si>
  <si>
    <t>Varde Partners Inc</t>
  </si>
  <si>
    <t>Varde #ProEdge</t>
  </si>
  <si>
    <t>0064L00000CXZTF</t>
  </si>
  <si>
    <t>AGP SPV I, L.P</t>
  </si>
  <si>
    <t>Keystone Dental Group - Compensation Consulting</t>
  </si>
  <si>
    <t>0064L00000BlGXD</t>
  </si>
  <si>
    <t>Diversity Dashboard - Broward Health</t>
  </si>
  <si>
    <t>0064L0000069LCN</t>
  </si>
  <si>
    <t>LPL #ProEdge - STO</t>
  </si>
  <si>
    <t>0064L000001vY7s</t>
  </si>
  <si>
    <t>Beam - Global TPM Strategy #RGM</t>
  </si>
  <si>
    <t>0064I00000u1DRR</t>
  </si>
  <si>
    <t>EU:  ERP System Selection</t>
  </si>
  <si>
    <t>MK.SE.EV.PWC FUTURE ROADS AHEAD_JNNXJWFYV5W_10FY20</t>
  </si>
  <si>
    <t>Melinda Nelson</t>
  </si>
  <si>
    <t>0064L0000099URF</t>
  </si>
  <si>
    <t>AML TMS #risk #transformation #gfc</t>
  </si>
  <si>
    <t>Colleen Tierney</t>
  </si>
  <si>
    <t>0064L00000CWAiU</t>
  </si>
  <si>
    <t>County Of Los Angeles</t>
  </si>
  <si>
    <t>Saratoga Benchmarking winback - Los Angeles County</t>
  </si>
  <si>
    <t>Mathieu Kouame</t>
  </si>
  <si>
    <t>0064L000006hbCq</t>
  </si>
  <si>
    <t>Saratoga Benchmarking - TravelCenters</t>
  </si>
  <si>
    <t>0064L000009fYRB</t>
  </si>
  <si>
    <t>Finance Org Design / Finance Effectiveness Phase I (Assessment)</t>
  </si>
  <si>
    <t>0065800000jg8Ls</t>
  </si>
  <si>
    <t>PM Hospitality Strategies, Inc.</t>
  </si>
  <si>
    <t>IGP - Meadowland NJ Hilton Property</t>
  </si>
  <si>
    <t>29/9/2018</t>
  </si>
  <si>
    <t>0064L00000418BF</t>
  </si>
  <si>
    <t>RGM</t>
  </si>
  <si>
    <t>Gerardo Shibata</t>
  </si>
  <si>
    <t>0064L00000BoKik</t>
  </si>
  <si>
    <t>SUSI Partners AG</t>
  </si>
  <si>
    <t>Assessment of C&amp;I rooftop solar market in Chile and Mexico</t>
  </si>
  <si>
    <t>CDD C&amp;I Solar PV</t>
  </si>
  <si>
    <t>0064L00000CYxq7</t>
  </si>
  <si>
    <t>Business terms development for pharma partnerships #XPCONC</t>
  </si>
  <si>
    <t>0064L00000ApseA</t>
  </si>
  <si>
    <t>Saratoga Benchmarking - Equifax (EFX)</t>
  </si>
  <si>
    <t>0064L00000DJbFb</t>
  </si>
  <si>
    <t>T.D. Williamson Inc.</t>
  </si>
  <si>
    <t>0064L00000AqurI</t>
  </si>
  <si>
    <t>Madison Dearborn Partners, LLC</t>
  </si>
  <si>
    <t>Saratoga Benchmarking - Solis Mammography</t>
  </si>
  <si>
    <t>0064L00000BoijC</t>
  </si>
  <si>
    <t>ProEdge - School of Workday</t>
  </si>
  <si>
    <t>Alexander White</t>
  </si>
  <si>
    <t>0064L00000BoijR</t>
  </si>
  <si>
    <t>ProEdge for Finance GBS</t>
  </si>
  <si>
    <t>0064L0000099rGl</t>
  </si>
  <si>
    <t>Pricing Excellence</t>
  </si>
  <si>
    <t>0064L00000Bf9kp</t>
  </si>
  <si>
    <t>Blue Cross Of Idaho - Project Manory - 2022 ProEdge Pilot #ProEdge</t>
  </si>
  <si>
    <t>0064L00000Bo3mY</t>
  </si>
  <si>
    <t>ProEdge @ US Bank - Analytics (Pilot)</t>
  </si>
  <si>
    <t>Richard Altham</t>
  </si>
  <si>
    <t>0064L00000Bmqs3</t>
  </si>
  <si>
    <t>Saratoga Benchmarking winback - CBRE</t>
  </si>
  <si>
    <t>0064L000007WrQ5</t>
  </si>
  <si>
    <t>UGI - ProEdge Phase 2 Expansion</t>
  </si>
  <si>
    <t>0064L00000BgMBc</t>
  </si>
  <si>
    <t>Volvo Payroll Change Webinar Dev and Delivery</t>
  </si>
  <si>
    <t>0064I000014M1Qy</t>
  </si>
  <si>
    <t>Astro for Adobe - Digital Concierge</t>
  </si>
  <si>
    <t>Nakul Uppal</t>
  </si>
  <si>
    <t>0064L00000BfX6C</t>
  </si>
  <si>
    <t>0064L00000BlGWt</t>
  </si>
  <si>
    <t>KBR Inc.</t>
  </si>
  <si>
    <t>Saratoga Benchmarking - KBR Inc.</t>
  </si>
  <si>
    <t>0064I00000zRWVq</t>
  </si>
  <si>
    <t>New Mountain Capital I, L.L.C</t>
  </si>
  <si>
    <t>Saratoga Benchmarking - MAG Aerospace (Fed Contractor)</t>
  </si>
  <si>
    <t>28/7/2020 9:00 am</t>
  </si>
  <si>
    <t>0064L000009g4ud</t>
  </si>
  <si>
    <t>ABT Associates Inc.</t>
  </si>
  <si>
    <t>Saratoga Benchmarking (Fed Contractor) - Abt Associates</t>
  </si>
  <si>
    <t>0064L000009fvKT</t>
  </si>
  <si>
    <t>Elbit Systems Ltd.</t>
  </si>
  <si>
    <t>Saratoga Benchmarking (Fed Contractor) - Elbit Systems of America</t>
  </si>
  <si>
    <t>0064L000004vq3r</t>
  </si>
  <si>
    <t>ANALYTICAL MECHANICS ASSOCIATES Inc.</t>
  </si>
  <si>
    <t>Saratoga Benchmarking (Fed Contractor) - Analytical Mechanics Associates</t>
  </si>
  <si>
    <t>0064L00000Aqu96</t>
  </si>
  <si>
    <t>Mission Support and Test Services LLC</t>
  </si>
  <si>
    <t>Saratoga Benchmarking (Fed) - Mission Support and Test Services (MSTS) (Fed)</t>
  </si>
  <si>
    <t>0064L00000Be7is</t>
  </si>
  <si>
    <t>Saratoga Benchmarking renewal - General Dynamics AIS/MS (Fed)</t>
  </si>
  <si>
    <t>0064L000009AUhp</t>
  </si>
  <si>
    <t>Carlson Capital L.P.</t>
  </si>
  <si>
    <t>2022 NDT &amp; Form 5500</t>
  </si>
  <si>
    <t>Benjamin Joseph</t>
  </si>
  <si>
    <t>0064L00000CYToJ</t>
  </si>
  <si>
    <t>PricewaterhouseCoopers Oy</t>
  </si>
  <si>
    <t>Internal - 2022 GPS - Finland</t>
  </si>
  <si>
    <t>0064L0000069TDS</t>
  </si>
  <si>
    <t>IGP - Hilton Hawaiian Village Additional Scanned Locations</t>
  </si>
  <si>
    <t>0064L00000BdXXM</t>
  </si>
  <si>
    <t>New York University</t>
  </si>
  <si>
    <t>Medicare Discount Research - *Strategic Reimbursement*</t>
  </si>
  <si>
    <t>0064L00000ArckI</t>
  </si>
  <si>
    <t>ProEdge | NB</t>
  </si>
  <si>
    <t>0064L00000CXL1b</t>
  </si>
  <si>
    <t>KAP Tanudiredja, Wibisana, Rintis &amp; Rekan</t>
  </si>
  <si>
    <t>Internal - 2022 GPS - Indonesia</t>
  </si>
  <si>
    <t>0064L00000BeP9w</t>
  </si>
  <si>
    <t>Saratoga Custom Benchmarking - Verizon</t>
  </si>
  <si>
    <t>0064I000011o3SY</t>
  </si>
  <si>
    <t>City Of Chicago</t>
  </si>
  <si>
    <t>Hilton Chicago O'Hare Stationary Buttons</t>
  </si>
  <si>
    <t>0064L00000AquD8</t>
  </si>
  <si>
    <t>Beck International, LLC</t>
  </si>
  <si>
    <t>Saratoga Benchmarking winback - Beck International (CPEG)</t>
  </si>
  <si>
    <t>0064L0000041yCP</t>
  </si>
  <si>
    <t>Saratoga Benchmarking - AECOM URS (CPEG) Winback</t>
  </si>
  <si>
    <t>0064L00000BcwAk</t>
  </si>
  <si>
    <t>The Walbridge Group INC.</t>
  </si>
  <si>
    <t>Saratoga Benchmarking Renewal - Walbridge (CPEG)</t>
  </si>
  <si>
    <t>0064L00000Aqbjd</t>
  </si>
  <si>
    <t>Graham Group Ltd.</t>
  </si>
  <si>
    <t>Saratoga Benchmarking renewal - Graham Management Services (CPEG)</t>
  </si>
  <si>
    <t>0064L00000CXZBI</t>
  </si>
  <si>
    <t>Computación en Acción S.A. de C.V.</t>
  </si>
  <si>
    <t>Cultura Centrada en el Cliente</t>
  </si>
  <si>
    <t>0064L00000BonDp</t>
  </si>
  <si>
    <t>Levain Bakery Inc.</t>
  </si>
  <si>
    <t>Anthony Moneta</t>
  </si>
  <si>
    <t>0064L00000CW0Ky</t>
  </si>
  <si>
    <t>Altru Health System</t>
  </si>
  <si>
    <t>Saratoga Benchmarking - Altru Health System</t>
  </si>
  <si>
    <t>0064L00000BnkCF</t>
  </si>
  <si>
    <t>Sarah Bush Lincoln Health Center</t>
  </si>
  <si>
    <t>Saratoga Benchmarking renewal - Sarah Bush Lincoln Health (ASHHRA HR Metrics Tool) - FY22</t>
  </si>
  <si>
    <t>0064L00000CXKuc</t>
  </si>
  <si>
    <t>PwC Investissements</t>
  </si>
  <si>
    <t>Internal - 2022 GPS - France</t>
  </si>
  <si>
    <t>0064L00000CYHWH</t>
  </si>
  <si>
    <t>LUMINA HEALTH PARTNERS, LLC</t>
  </si>
  <si>
    <t>Saratoga Benchmarking - Lumina Health Partners (ASHHRA)</t>
  </si>
  <si>
    <t>FW_PM_EV_TRANSFORM_TALENT_CHRO_04FY22_SARATOGA ASHHRA BOOTH LEADS</t>
  </si>
  <si>
    <t>0064L00000CYHaw</t>
  </si>
  <si>
    <t>DONOR NETWORK OF ARIZONA</t>
  </si>
  <si>
    <t>Saratoga Benchmarking - Donor Network of Arizona (ASHHRA)</t>
  </si>
  <si>
    <t>0064L00000CYHdC</t>
  </si>
  <si>
    <t>PROLINK HEALTHCARE, LLC</t>
  </si>
  <si>
    <t>Saratoga Benchmarking - ProLink Healthcare (ASHHRA)</t>
  </si>
  <si>
    <t>0064L000001wM2F</t>
  </si>
  <si>
    <t>State Of Illinois</t>
  </si>
  <si>
    <t>Saratoga Benchmarking Renewal - Memorial Health System (ASHHRA HR Metrics Tool)</t>
  </si>
  <si>
    <t>0064L000002cGII</t>
  </si>
  <si>
    <t>Unilever PLC</t>
  </si>
  <si>
    <t>Unilever - #RGM Campaign</t>
  </si>
  <si>
    <t>0064L000002cGFs</t>
  </si>
  <si>
    <t>Mohawk Industries Inc.</t>
  </si>
  <si>
    <t>Mohawk Industries - #RGM Campaign</t>
  </si>
  <si>
    <t>0064L000002cGB3</t>
  </si>
  <si>
    <t>ConAgra - #RGM Campaign</t>
  </si>
  <si>
    <t>0064L000002cGDo</t>
  </si>
  <si>
    <t>Land O'lakes Inc.</t>
  </si>
  <si>
    <t>Land O'Lakes - #RGM Campaign</t>
  </si>
  <si>
    <t>0064L000002cGDq</t>
  </si>
  <si>
    <t>Reckitt Benckiser - #RGM Campaign</t>
  </si>
  <si>
    <t>0064L000009B5WQ</t>
  </si>
  <si>
    <t>MSFT DLS HR FY22 Workforce Orchestrator View</t>
  </si>
  <si>
    <t>0064L000001wM9z</t>
  </si>
  <si>
    <t>Oss Health</t>
  </si>
  <si>
    <t>Saratoga Benchmarking Renewal - OSS Health (ASHHRA HR Metrics Tool)</t>
  </si>
  <si>
    <t>0064L000001wMAX</t>
  </si>
  <si>
    <t>Ozarks Medical Center</t>
  </si>
  <si>
    <t>Saratoga Benchmarking Renewal - Ozarks Medical Center (ASHHRA HR Metrics Tool)</t>
  </si>
  <si>
    <t>0064L000001wMAD</t>
  </si>
  <si>
    <t>Vail Health.</t>
  </si>
  <si>
    <t>Saratoga Benchmarking Renewal - Vail Health (ASHHRA HR Metrics Tool)</t>
  </si>
  <si>
    <t>0064L00000CXbxx</t>
  </si>
  <si>
    <t>Duracell - S2P Technology Selection, Design, Implementation #S&amp;P</t>
  </si>
  <si>
    <t>0064L000001wLTx</t>
  </si>
  <si>
    <t>St. Lawrence Health System, Inc.</t>
  </si>
  <si>
    <t>Saratoga Benchmarking Renewal - Canton Potsdam Hospital (ASHHRA HR Metrics Tool)</t>
  </si>
  <si>
    <t>0064L000001wM5a</t>
  </si>
  <si>
    <t>Riverside Medical Center</t>
  </si>
  <si>
    <t>Saratoga Benchmarking Renewal - Riverside Medical Center (ASHHRA HR Metrics Tool)</t>
  </si>
  <si>
    <t>0064L000001wM9y</t>
  </si>
  <si>
    <t>Wyoming Medical Center, Inc.</t>
  </si>
  <si>
    <t>Saratoga Benchmarking Renewal - Wyoming Medical Center (ASHHRA HR Metrics Tool)</t>
  </si>
  <si>
    <t>0064L00000CXRMc</t>
  </si>
  <si>
    <t>GRUPO PANTALEON GUATEMALA</t>
  </si>
  <si>
    <t>Pantaleon - Estrategia de Incidencia en su Fundación</t>
  </si>
  <si>
    <t>0064L00000B1doX</t>
  </si>
  <si>
    <t>Redox Inc.</t>
  </si>
  <si>
    <t>Redox - Global Expansion</t>
  </si>
  <si>
    <t>0064L0000041B2a</t>
  </si>
  <si>
    <t>MACGREGOR PARTNERS LLC</t>
  </si>
  <si>
    <t>SYSTEM INTEGARTOR PARTNER OPPORTUNITY</t>
  </si>
  <si>
    <t>Arjun Mewara</t>
  </si>
  <si>
    <t>0064L00000Bl0zu</t>
  </si>
  <si>
    <t>SAC Division-level Implementations</t>
  </si>
  <si>
    <t>0064L00000Bl0zv</t>
  </si>
  <si>
    <t>SAC - Additional Functionality and Enhancements</t>
  </si>
  <si>
    <t>0064L00000Bl10s</t>
  </si>
  <si>
    <t>SAC - Data Conversion</t>
  </si>
  <si>
    <t>0064L00000DFZss</t>
  </si>
  <si>
    <t>Centene - Job Descriptions and Compensation Benchmarking</t>
  </si>
  <si>
    <t>Vidya Raman</t>
  </si>
  <si>
    <t>0064L00000BfeBA</t>
  </si>
  <si>
    <t>AON Global Limited - Digital Value Creation #DVC</t>
  </si>
  <si>
    <t>Madeleine Buck</t>
  </si>
  <si>
    <t>0064L00000BfeAm</t>
  </si>
  <si>
    <t>Automatic Data Processing, Inc. - Digital Value Creation #DVC</t>
  </si>
  <si>
    <t>0064L00000BfeBF</t>
  </si>
  <si>
    <t>AT&amp;T Inc. - Digital Value Creation #DVC</t>
  </si>
  <si>
    <t>0064L00000BfeEe</t>
  </si>
  <si>
    <t>Danaher Corporation - Digital Value Creation #DVC</t>
  </si>
  <si>
    <t>0064L00000BfeEd</t>
  </si>
  <si>
    <t>Blue Care Network Of Michigan - Digital Value Creation #DVC</t>
  </si>
  <si>
    <t>0064L00000BfeEf</t>
  </si>
  <si>
    <t>Dexcom, Inc. - Digital Value Creation #DVC</t>
  </si>
  <si>
    <t>0064L00000BfeFW</t>
  </si>
  <si>
    <t>Bristol-Myers Squibb Company - Digital Value Creation #DVC</t>
  </si>
  <si>
    <t>0064L00000BfeGZ</t>
  </si>
  <si>
    <t>Cna Insurance. - Digital Value Creation #DVC</t>
  </si>
  <si>
    <t>0064L00000BfeH9</t>
  </si>
  <si>
    <t>Fiserv</t>
  </si>
  <si>
    <t>Fiserv Inc. - Digital Value Creation #DVC</t>
  </si>
  <si>
    <t>0064L00000BfeJ6</t>
  </si>
  <si>
    <t>Moody's Corporation - Digital Value Creation #DVC</t>
  </si>
  <si>
    <t>0064L00000BfeJ4</t>
  </si>
  <si>
    <t>HPE Inc.</t>
  </si>
  <si>
    <t>HPE Inc. - Digital Value Creation #DVC</t>
  </si>
  <si>
    <t>0064L00000BfeHr</t>
  </si>
  <si>
    <t>The Hartford Financial Services Group - Digital Value Creation #DVC</t>
  </si>
  <si>
    <t>0064L00000BfeJT</t>
  </si>
  <si>
    <t>Liberty Mutual Holding Company Inc. - Digital Value Creation #DVC</t>
  </si>
  <si>
    <t>0064L00000BfeJO</t>
  </si>
  <si>
    <t>Intel Corporation - Digital Value Creation #DVC</t>
  </si>
  <si>
    <t>0064L00000BfeJe</t>
  </si>
  <si>
    <t>Stryker Corporation - Digital Value Creation #DVC</t>
  </si>
  <si>
    <t>0064L00000BfeLF</t>
  </si>
  <si>
    <t>QVC INC. - Digital Value Creation #DVC</t>
  </si>
  <si>
    <t>Ali Furman</t>
  </si>
  <si>
    <t>Transformation Natl</t>
  </si>
  <si>
    <t>Transformation National [C-000470]</t>
  </si>
  <si>
    <t>0064L00000BfeLe</t>
  </si>
  <si>
    <t>Synaptic Software Solutions Llc</t>
  </si>
  <si>
    <t>Synaptics Incorporated - Digital Value Creation #DVC</t>
  </si>
  <si>
    <t>0064L00000BfeMS</t>
  </si>
  <si>
    <t>Verizon Communications Inc. - Digital Value Creation #DVC</t>
  </si>
  <si>
    <t>0064L00000BfeLo</t>
  </si>
  <si>
    <t>The Western Union Company - Digital Value Creation #DVC</t>
  </si>
  <si>
    <t>0064L00000BfeNL</t>
  </si>
  <si>
    <t>Zoom Video Communications Inc.</t>
  </si>
  <si>
    <t>Zoom Video Communications Inc. - Digital Value Creation #DVC</t>
  </si>
  <si>
    <t>0064L000002ZNdh</t>
  </si>
  <si>
    <t>PepsiCo USA Use Case Deployment</t>
  </si>
  <si>
    <t>0064L00000BfeA2</t>
  </si>
  <si>
    <t>Allstate Corporation - Digital Value Creation #DVC</t>
  </si>
  <si>
    <t>0064L000007W1xO</t>
  </si>
  <si>
    <t>Kaiser Cognitive Scale Opportunity Exploration</t>
  </si>
  <si>
    <t>0064L00000B0sso</t>
  </si>
  <si>
    <t>Mitsui O.S.K. Lines, Ltd.</t>
  </si>
  <si>
    <t>Trapac,</t>
  </si>
  <si>
    <t>0064L00000B0ssA</t>
  </si>
  <si>
    <t>NGPL Holdings LLC</t>
  </si>
  <si>
    <t>0064L00000B0ssK</t>
  </si>
  <si>
    <t>Thayer Lodging</t>
  </si>
  <si>
    <t>0064L00000B0srC</t>
  </si>
  <si>
    <t>RHP Properties</t>
  </si>
  <si>
    <t>0064L00000CYeCp</t>
  </si>
  <si>
    <t>Innovaccer SI Opportunity - Fallon Health</t>
  </si>
  <si>
    <t>0064L00000CYeGS</t>
  </si>
  <si>
    <t>Innovaccer SI Opportunity - CareAbout</t>
  </si>
  <si>
    <t>0064L00000CYeGX</t>
  </si>
  <si>
    <t>Innovaccer SI Opportunity - Franciscan</t>
  </si>
  <si>
    <t>0064L00000CYeGN</t>
  </si>
  <si>
    <t>Innovaccer SI Opportunity - GuideWell</t>
  </si>
  <si>
    <t>0064L00000CYeGO</t>
  </si>
  <si>
    <t>Innovaccer SI Opportunity - Health Partners Plans Inc</t>
  </si>
  <si>
    <t>0064L00000CYeGD</t>
  </si>
  <si>
    <t>Innovaccer SI Opportunity - Rise Health</t>
  </si>
  <si>
    <t>0064L00000CYeGE</t>
  </si>
  <si>
    <t>Innovaccer SI Opportunity - MEDITECH</t>
  </si>
  <si>
    <t>0064L00000CYeGI</t>
  </si>
  <si>
    <t>Innovaccer SI Opportunity - Trinity Health</t>
  </si>
  <si>
    <t>0064L00000BoyNt</t>
  </si>
  <si>
    <t>Omnichannel in Aesthetics</t>
  </si>
  <si>
    <t>0064L00000BoyPC</t>
  </si>
  <si>
    <t>Analytics for Launch</t>
  </si>
  <si>
    <t>0064L00000BoyOJ</t>
  </si>
  <si>
    <t>Allergan Asset Mangement</t>
  </si>
  <si>
    <t>0064L00000BoyOK</t>
  </si>
  <si>
    <t>Aesthetics Customer Service</t>
  </si>
  <si>
    <t>0064L00000BoyOx</t>
  </si>
  <si>
    <t>Botox Model Shift</t>
  </si>
  <si>
    <t>0064L00000BoyRr</t>
  </si>
  <si>
    <t>Aesthetics GTM Strategy</t>
  </si>
  <si>
    <t>0064L00000BoyT4</t>
  </si>
  <si>
    <t>AI-enabled Automation in Commercial</t>
  </si>
  <si>
    <t>0064L00000CXpQp</t>
  </si>
  <si>
    <t>GLOBALSTAR INC</t>
  </si>
  <si>
    <t>GlobalStar / Growth Strategy</t>
  </si>
  <si>
    <t>0064L00000CVzsF</t>
  </si>
  <si>
    <t>XXXX Placeholder 2</t>
  </si>
  <si>
    <t>Aviad Gamliel</t>
  </si>
  <si>
    <t>0064L00000BdCjq</t>
  </si>
  <si>
    <t>Boeing - Oracle EPM Program Planning</t>
  </si>
  <si>
    <t>0064L00000CYpYd</t>
  </si>
  <si>
    <t>Growth Strategy and IoT</t>
  </si>
  <si>
    <t>0064L000009B3u0</t>
  </si>
  <si>
    <t>KK - Loyalty POC</t>
  </si>
  <si>
    <t>Austin Willett</t>
  </si>
  <si>
    <t>0064L000002LZKq</t>
  </si>
  <si>
    <t>Brookfield Property REIT</t>
  </si>
  <si>
    <t>0064L000002LZLt</t>
  </si>
  <si>
    <t>Sera Global</t>
  </si>
  <si>
    <t>0064L000002LZNG</t>
  </si>
  <si>
    <t>Poseidon Water</t>
  </si>
  <si>
    <t>0064L000002LZNH</t>
  </si>
  <si>
    <t>Evoque</t>
  </si>
  <si>
    <t>0064L00000Bcpqi</t>
  </si>
  <si>
    <t>Hitachi - Global Digital Holdings</t>
  </si>
  <si>
    <t>Kayvan Shahabi</t>
  </si>
  <si>
    <t>Kam Alborz</t>
  </si>
  <si>
    <t>0064L00000BkyO3</t>
  </si>
  <si>
    <t>Capital Spend/Returns #LumenCampaigns</t>
  </si>
  <si>
    <t>0064L00000CWwVO</t>
  </si>
  <si>
    <t>TERRAZERO TECHNOLOGIES INC</t>
  </si>
  <si>
    <t>Terrazero</t>
  </si>
  <si>
    <t>0064L00000BkwtT</t>
  </si>
  <si>
    <t>Fiber Build Out #LumenCampaigns</t>
  </si>
  <si>
    <t>0064L00000CYIUj</t>
  </si>
  <si>
    <t>Aon Internal Tools Program Standup</t>
  </si>
  <si>
    <t>0064L00000Bmm9l</t>
  </si>
  <si>
    <t>BXT Product Strategy Session</t>
  </si>
  <si>
    <t>0064L00000BeRVk</t>
  </si>
  <si>
    <t>Onestream Software LLC</t>
  </si>
  <si>
    <t>Harley Davidson</t>
  </si>
  <si>
    <t>Tana Treearphorn</t>
  </si>
  <si>
    <t>0064L00000BeRXg</t>
  </si>
  <si>
    <t>Vivid Seats NFT Perspective</t>
  </si>
  <si>
    <t>0064L00000CYnEH</t>
  </si>
  <si>
    <t>Rise Health Services, Inc.</t>
  </si>
  <si>
    <t>0064L000002cKj4</t>
  </si>
  <si>
    <t>G&amp;A Benchmarking (Tool Enabled)</t>
  </si>
  <si>
    <t>0064L00000BoB4K</t>
  </si>
  <si>
    <t>M&amp;A Playbook</t>
  </si>
  <si>
    <t>0064L00000CW5I0</t>
  </si>
  <si>
    <t>Knowledge Transition Academy</t>
  </si>
  <si>
    <t>0064L00000B0kTP</t>
  </si>
  <si>
    <t>DIRECTV General Biz Dev - Mktg/Sales/Service</t>
  </si>
  <si>
    <t>0064L00000ArPk9</t>
  </si>
  <si>
    <t>PLS Hypergrowth #XPCGrowth</t>
  </si>
  <si>
    <t>0064L00000B0kTQ</t>
  </si>
  <si>
    <t>DIRECTV General Biz Dev - Finance</t>
  </si>
  <si>
    <t>0064L00000ArPjk</t>
  </si>
  <si>
    <t>0064L000006CWg4</t>
  </si>
  <si>
    <t>0064L000002b8nB</t>
  </si>
  <si>
    <t>RFP Operating Model Scalability Assessment</t>
  </si>
  <si>
    <t>Mary Benson</t>
  </si>
  <si>
    <t>0064L00000Bli6z</t>
  </si>
  <si>
    <t>Customer Link - Amazon</t>
  </si>
  <si>
    <t>Jordan Braun</t>
  </si>
  <si>
    <t>0064L000006hbPb</t>
  </si>
  <si>
    <t>Seagate #ProEdge - Trial -  Support of Upskilling-Reskilling Initiative</t>
  </si>
  <si>
    <t>0064L000001vzvG</t>
  </si>
  <si>
    <t>Vertex VX-2030 Transformation for Accounting Function</t>
  </si>
  <si>
    <t>0064L000009ezdz</t>
  </si>
  <si>
    <t>Paypal Holdings Inc.</t>
  </si>
  <si>
    <t>Paypal #ProEdge Trial</t>
  </si>
  <si>
    <t>30/6/2021</t>
  </si>
  <si>
    <t>0064L00000B1nFN</t>
  </si>
  <si>
    <t>EPM - Close &amp; Consolidations and Planning</t>
  </si>
  <si>
    <t>0064L00000B1nF3</t>
  </si>
  <si>
    <t>0064L00000BoNe2</t>
  </si>
  <si>
    <t>ES OneStream CO#3 - Security Redesign &amp; Implementation</t>
  </si>
  <si>
    <t>0064L00000Bmjay</t>
  </si>
  <si>
    <t>MRM Consulting Inc</t>
  </si>
  <si>
    <t>Customer Link - MRM Consulting</t>
  </si>
  <si>
    <t>0064L00000BeQhq</t>
  </si>
  <si>
    <t>Business Transformation Strategy ADC Development and Supply</t>
  </si>
  <si>
    <t>0064L00000BnLEw</t>
  </si>
  <si>
    <t>Saratoga Benchmarking - Cielo Talent License - Amendment</t>
  </si>
  <si>
    <t>0064L00000BoOIv</t>
  </si>
  <si>
    <t>S1 - Media Stakeholder Analysis Assessment (Christina Twomey)</t>
  </si>
  <si>
    <t>0064L000006CTS5</t>
  </si>
  <si>
    <t>Liberty Mutual - Media Intelligence</t>
  </si>
  <si>
    <t>0064L00000CWQnf</t>
  </si>
  <si>
    <t>Tides, Inc.</t>
  </si>
  <si>
    <t>Skills for Society - 2022 - Data Analysis and Visualization</t>
  </si>
  <si>
    <t>0064L00000CWtU6</t>
  </si>
  <si>
    <t>Coca-Cola ME&amp;E Phase 5 - Volume Prioritization / Commercial+</t>
  </si>
  <si>
    <t>0064L00000BmFwp</t>
  </si>
  <si>
    <t>ProMedica - ProEdge</t>
  </si>
  <si>
    <t>0064L00000AqHol</t>
  </si>
  <si>
    <t>Takeda HR Symposium</t>
  </si>
  <si>
    <t>0064L00000B0xXh</t>
  </si>
  <si>
    <t>BCBSNC Medicare Risk Adjustment Strategy</t>
  </si>
  <si>
    <t>0064L000006jx74</t>
  </si>
  <si>
    <t>Wayfair Inc.</t>
  </si>
  <si>
    <t>Wayfair - Media Intelligence</t>
  </si>
  <si>
    <t>0064L00000Boq00</t>
  </si>
  <si>
    <t>Present ABS Pricing findings to Andy Gillard</t>
  </si>
  <si>
    <t>0064L000006jg8E</t>
  </si>
  <si>
    <t>Dish Network Corporation</t>
  </si>
  <si>
    <t>Dish Network - Media Intelligence</t>
  </si>
  <si>
    <t>0064L000006jx78</t>
  </si>
  <si>
    <t>Visa - Media Intelligence</t>
  </si>
  <si>
    <t>0064L000006jx7N</t>
  </si>
  <si>
    <t>The Wendy's Company</t>
  </si>
  <si>
    <t>Wendy's Co. - Media Intelligence</t>
  </si>
  <si>
    <t>0064L00000Beryp</t>
  </si>
  <si>
    <t>Financial Institutions Inc.</t>
  </si>
  <si>
    <t>Customer Link - Five-Star Bank</t>
  </si>
  <si>
    <t>0064L000009ALtX</t>
  </si>
  <si>
    <t>0064L00000B0zEb</t>
  </si>
  <si>
    <t>BCBSNC Clinical Platform</t>
  </si>
  <si>
    <t>0064L0000099W9m</t>
  </si>
  <si>
    <t>manufacturing &amp; Supply Chain visibility proof of concept</t>
  </si>
  <si>
    <t>0064L00000Bl35k</t>
  </si>
  <si>
    <t>UiPath - Finance Modernization Program</t>
  </si>
  <si>
    <t>0064L00000CXBtX</t>
  </si>
  <si>
    <t>Coca-Cola ME&amp;E Phase 4 - M+ Transition OPS - Change Order #1</t>
  </si>
  <si>
    <t>Coca-Cola ME&amp;E Phase 4 - M+ Transition OPS</t>
  </si>
  <si>
    <t>0064L00000CWQTp</t>
  </si>
  <si>
    <t>FRB Commercial Bank Onboarding Blueprint #&gt;$50B #FOB - Phase 2</t>
  </si>
  <si>
    <t>0064L000009AoQt</t>
  </si>
  <si>
    <t>#xpcGrowth - Hypergrowth Opportunity</t>
  </si>
  <si>
    <t>20/11/2021</t>
  </si>
  <si>
    <t>0064L000009AoSB</t>
  </si>
  <si>
    <t>Penumbra Inc.</t>
  </si>
  <si>
    <t>#xpcGrowth, Hypergrowth</t>
  </si>
  <si>
    <t>0064L000006jwwl</t>
  </si>
  <si>
    <t>TD Ameritrade Holding Corp. - Media Intelligence</t>
  </si>
  <si>
    <t>0064L0000099W2q</t>
  </si>
  <si>
    <t>Manufacturing &amp; Supply Chain visibility proof of concept</t>
  </si>
  <si>
    <t>0064L000006jwx0</t>
  </si>
  <si>
    <t>TD Bank Financial Group</t>
  </si>
  <si>
    <t>Toronto-Dominion Bank (TD Bank Group) - Media Intelligence</t>
  </si>
  <si>
    <t>0064L000002aArS</t>
  </si>
  <si>
    <t>TCCC - Beacon Payroll Leakage Tool</t>
  </si>
  <si>
    <t>0064L000006jgNr</t>
  </si>
  <si>
    <t>Chewy - Media Intelligence</t>
  </si>
  <si>
    <t>0064I000011ob2X</t>
  </si>
  <si>
    <t>Fit-for-Growth in R&amp;D Campaign</t>
  </si>
  <si>
    <t>22/1/2020</t>
  </si>
  <si>
    <t>0064I000011ob3L</t>
  </si>
  <si>
    <t>Data &amp; Analytics Campaign</t>
  </si>
  <si>
    <t>0064L00000Bl0qi</t>
  </si>
  <si>
    <t>CVS Cognitive Scale P0 Investment #xPC:PayerAnalytics #Alliance:CognitiveScale #PayerAnalytics</t>
  </si>
  <si>
    <t>0064L000004yJFQ</t>
  </si>
  <si>
    <t>HR Biz Dev Opp</t>
  </si>
  <si>
    <t>Mauricio Gallardo</t>
  </si>
  <si>
    <t>Amber Batiste</t>
  </si>
  <si>
    <t>0064L000004yJFP</t>
  </si>
  <si>
    <t>Finance Biz Dev Opp</t>
  </si>
  <si>
    <t>0064L000007wSHi</t>
  </si>
  <si>
    <t>Twilio #ProEdge - Trial</t>
  </si>
  <si>
    <t>0064L000006juNB</t>
  </si>
  <si>
    <t>Expedia Group - Media Intelligence</t>
  </si>
  <si>
    <t>0064L000004yJKd</t>
  </si>
  <si>
    <t>Technology &amp; Network Biz Dev Opp</t>
  </si>
  <si>
    <t>0064L00000BoM01</t>
  </si>
  <si>
    <t>Worley Limited</t>
  </si>
  <si>
    <t>Worley - Salesforce Marketing Automation - MVP Implementation - Change Order</t>
  </si>
  <si>
    <t>0064L000004yJAg</t>
  </si>
  <si>
    <t>Business Solutions Biz Dev Opp</t>
  </si>
  <si>
    <t>29/6/2023</t>
  </si>
  <si>
    <t>0064L00000BnhqF</t>
  </si>
  <si>
    <t>Project Bull Run - Pilot #DCT</t>
  </si>
  <si>
    <t>0064L000002LUGU</t>
  </si>
  <si>
    <t>ManTech International Corporation</t>
  </si>
  <si>
    <t>Oracle Sourced Suspect Oppty - EPM and ERP</t>
  </si>
  <si>
    <t>0064L00000ApdaL</t>
  </si>
  <si>
    <t>TSMC Workforce Orchestrator Pilot</t>
  </si>
  <si>
    <t>0064L00000B175d</t>
  </si>
  <si>
    <t>Nokia #ProEdge2.0 - Trial</t>
  </si>
  <si>
    <t>0064L00000DJeMk</t>
  </si>
  <si>
    <t>Yext INC.</t>
  </si>
  <si>
    <t>Yext potential vendor or alliance relationship</t>
  </si>
  <si>
    <t>0064L00000AqWUD</t>
  </si>
  <si>
    <t>CVS: L&amp;D V/R Pilot</t>
  </si>
  <si>
    <t>0064L00000417ro</t>
  </si>
  <si>
    <t>Oracle Cloud EPM</t>
  </si>
  <si>
    <t>Susan Lynch</t>
  </si>
  <si>
    <t>0064L00000B0tVl</t>
  </si>
  <si>
    <t>Stryker Quality Functional Benchmarking #QMS</t>
  </si>
  <si>
    <t>0064L00000CYBxX</t>
  </si>
  <si>
    <t>Project Scientist</t>
  </si>
  <si>
    <t>Skills for Society - 2022 Project</t>
  </si>
  <si>
    <t>Marcus von Engel</t>
  </si>
  <si>
    <t>Josiah Miller</t>
  </si>
  <si>
    <t>0064L00000BgC5f</t>
  </si>
  <si>
    <t>Molina VMO Support #GCOE</t>
  </si>
  <si>
    <t>0064L00000Bo9Jm</t>
  </si>
  <si>
    <t>CHS Empower -  Bio-med Operations</t>
  </si>
  <si>
    <t>0064L0000069QvF</t>
  </si>
  <si>
    <t>Future Cast Engagement Opportunity Proof of Concept</t>
  </si>
  <si>
    <t>0064L00000CVmcX</t>
  </si>
  <si>
    <t>Elevate Health</t>
  </si>
  <si>
    <t>0064L00000BoXw2</t>
  </si>
  <si>
    <t>Nova Ukraine</t>
  </si>
  <si>
    <t>Fee Waived - Vendor and volunteer onboarding process assessment</t>
  </si>
  <si>
    <t>0064L00000B14S4</t>
  </si>
  <si>
    <t>Energy - Palantir</t>
  </si>
  <si>
    <t>Jeffrey McAleer</t>
  </si>
  <si>
    <t>0064L000003yP9n</t>
  </si>
  <si>
    <t>#strategic Workforce of the Future Change Management</t>
  </si>
  <si>
    <t>0064L000006ju7z</t>
  </si>
  <si>
    <t>CVS Health Corp. - Media Intelligence</t>
  </si>
  <si>
    <t>0064L00000CYeFK</t>
  </si>
  <si>
    <t>CareAbout</t>
  </si>
  <si>
    <t>0064L0000040Tnc</t>
  </si>
  <si>
    <t>Hershey Enterprise Performance Assessment</t>
  </si>
  <si>
    <t>0064L00000ArFL8</t>
  </si>
  <si>
    <t>Cresa Global, Inc.</t>
  </si>
  <si>
    <t>Customer Link - Cresa Global</t>
  </si>
  <si>
    <t>0064L00000Bognl</t>
  </si>
  <si>
    <t>W.I. Cook Foundation Inc</t>
  </si>
  <si>
    <t>Saratoga Benchmarking - W.I. Cook Foundation (Access as an affiliate of Cook Children's)</t>
  </si>
  <si>
    <t>0064L00000CXofZ</t>
  </si>
  <si>
    <t>Evolution of Commercial GBS</t>
  </si>
  <si>
    <t>0064L00000Bn2Ll</t>
  </si>
  <si>
    <t>GPN Acquisitions and Enhancements (MT,ZEGO, Comercia)</t>
  </si>
  <si>
    <t>0064L00000Bn1p6</t>
  </si>
  <si>
    <t>Volunteers For Outdoor Colorado</t>
  </si>
  <si>
    <t>VOC - Stakeholder Analysis</t>
  </si>
  <si>
    <t>0064L00000BnU6j</t>
  </si>
  <si>
    <t>First State Community Bank Inc</t>
  </si>
  <si>
    <t>Customer Link - FSCB</t>
  </si>
  <si>
    <t>0064L00000BnBsG</t>
  </si>
  <si>
    <t>SLC Management Client Experience</t>
  </si>
  <si>
    <t>Dhawal Kapadia</t>
  </si>
  <si>
    <t>0064L00000CYbZW</t>
  </si>
  <si>
    <t>Target &amp; FIS | Premium Payback</t>
  </si>
  <si>
    <t>0064L000001w0eV</t>
  </si>
  <si>
    <t>Key Customer Link #PRO</t>
  </si>
  <si>
    <t>0064L00000CYsad</t>
  </si>
  <si>
    <t>Operation BEST - Business Readiness &amp; IT Delivery Structure Support Amendment 1</t>
  </si>
  <si>
    <t>Operation BEST - Business Readiness &amp; IT Delivery Structure Support</t>
  </si>
  <si>
    <t>Namrta Khanna</t>
  </si>
  <si>
    <t>0064L000001w0g7</t>
  </si>
  <si>
    <t>Wintrust Financial Corp Customer Link #PRO</t>
  </si>
  <si>
    <t>0064L000001w0iD</t>
  </si>
  <si>
    <t>Morgan Stanley Customer Link #PRO</t>
  </si>
  <si>
    <t>0064L000009AfK8</t>
  </si>
  <si>
    <t>AdventHealth - Medical Group Optimization</t>
  </si>
  <si>
    <t>0064L00000Boh5f</t>
  </si>
  <si>
    <t>Fundacion Infantil Ronald Mcdonald, A.C.</t>
  </si>
  <si>
    <t>Plan de Implementación Estrategia</t>
  </si>
  <si>
    <t>0064L00000CV6K9</t>
  </si>
  <si>
    <t>Florence Inc.</t>
  </si>
  <si>
    <t>Innovaccer SI Opportunity - Florence</t>
  </si>
  <si>
    <t>0064L00000Boeq2</t>
  </si>
  <si>
    <t>R&amp;D: Strengthening R&amp;D IT Partnerships</t>
  </si>
  <si>
    <t>0064L00000Boepn</t>
  </si>
  <si>
    <t>R&amp;D: Smart Budgeting</t>
  </si>
  <si>
    <t>0064L00000Boer5</t>
  </si>
  <si>
    <t>TLX Compliance &amp; Policy for Hybrid Workplace (May 2022)</t>
  </si>
  <si>
    <t>0064L00000Boeoz</t>
  </si>
  <si>
    <t>R&amp;D: Centralized / Remote Monitoring</t>
  </si>
  <si>
    <t>0064L00000CVFA3</t>
  </si>
  <si>
    <t>WILDLANDS RESTORATION VOLUNTEERS</t>
  </si>
  <si>
    <t>Skills for Society - 2022 [Wildlands Restoration Project]</t>
  </si>
  <si>
    <t>23/3/2023</t>
  </si>
  <si>
    <t>Jack Schattner</t>
  </si>
  <si>
    <t>0064L00000DFS6J</t>
  </si>
  <si>
    <t>Cone Health Financial Performance Improvement</t>
  </si>
  <si>
    <t>0064L00000BoUa5</t>
  </si>
  <si>
    <t>Treasury-as-a-Service - Business Case - #TreasuryMSO</t>
  </si>
  <si>
    <t>0064I000015TdM3</t>
  </si>
  <si>
    <t>Media Intelligence - Yum #Demand</t>
  </si>
  <si>
    <t>0064L00000ArU8U</t>
  </si>
  <si>
    <t>0064L00000ArU8P</t>
  </si>
  <si>
    <t>0064L00000ArU8Z</t>
  </si>
  <si>
    <t>0064L00000DFPlS</t>
  </si>
  <si>
    <t>PANW Anaplan Foundations</t>
  </si>
  <si>
    <t>Anya Skvortsova</t>
  </si>
  <si>
    <t>0064L00000Bmq7f</t>
  </si>
  <si>
    <t>Careerspring Foundation</t>
  </si>
  <si>
    <t>Skills for Society - 2022 Current SIte Optimization</t>
  </si>
  <si>
    <t>Kellen McGriff</t>
  </si>
  <si>
    <t>0064L0000041agI</t>
  </si>
  <si>
    <t>QRG Enterprise Performance Assessment</t>
  </si>
  <si>
    <t>ADV_CM_FFG_EP</t>
  </si>
  <si>
    <t>0064L00000CX7y9</t>
  </si>
  <si>
    <t>IFS Customer Centric Model #TMTPricing</t>
  </si>
  <si>
    <t>0064L00000CW5Xt</t>
  </si>
  <si>
    <t>Silicon Valley Urban Debate League</t>
  </si>
  <si>
    <t>SVUDL Skills for Society 2022</t>
  </si>
  <si>
    <t>0064L00000DJn4n</t>
  </si>
  <si>
    <t>Sentara - HR Process and WD Remediation for Contingent Labor &amp; Internal Transfers</t>
  </si>
  <si>
    <t>0064L00000CVwNi</t>
  </si>
  <si>
    <t>Sustainable1 Workshop - "Building Repeatable Integration Capabilities"</t>
  </si>
  <si>
    <t>0064L00000CVwOH</t>
  </si>
  <si>
    <t>Sustainable1 Workshop - "Innovation and Product Lifecycle Management"</t>
  </si>
  <si>
    <t>0064L00000CVwOg</t>
  </si>
  <si>
    <t>Sustainable1 Workshop - "Model Risk Management and GRC Exploration"</t>
  </si>
  <si>
    <t>SUM of Amount (converted)</t>
  </si>
  <si>
    <t>COUNT of Amount (converted)</t>
  </si>
  <si>
    <t>Grand Total</t>
  </si>
  <si>
    <t>Catalyst</t>
  </si>
  <si>
    <t>Delivery</t>
  </si>
  <si>
    <t>LCP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</si>
</sst>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 am/p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Font="1" applyNumberFormat="1"/>
    <xf borderId="0" fillId="2" fontId="2" numFmtId="0" xfId="0" applyAlignment="1" applyFill="1" applyFont="1">
      <alignment horizontal="right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right" readingOrder="0" vertical="bottom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$ Amount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'Opps $ and Count pivot'!$A$2:$A$10</c:f>
            </c:strRef>
          </c:cat>
          <c:val>
            <c:numRef>
              <c:f>'Opps $ and Count pivot'!$B$2:$B$10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Opps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'Opps $ and Count pivot'!$D$3:$D$10</c:f>
            </c:strRef>
          </c:cat>
          <c:val>
            <c:numRef>
              <c:f>'Opps $ and Count pivot'!$E$3:$E$10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11</xdr:row>
      <xdr:rowOff>104775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447675</xdr:colOff>
      <xdr:row>11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F1:G5786" sheet="6.16.22"/>
  </cacheSource>
  <cacheFields>
    <cacheField name="Amount (converted)" numFmtId="3">
      <sharedItems containsString="0" containsBlank="1" containsNumber="1">
        <n v="8.5E7"/>
        <n v="8.0650381E7"/>
        <n v="6.6889708E7"/>
        <n v="5.0E7"/>
        <n v="4.26E7"/>
        <n v="4.025E7"/>
        <n v="4.0E7"/>
        <n v="3.7E7"/>
        <n v="3.0E7"/>
        <n v="2.9E7"/>
        <n v="2.8E7"/>
        <n v="2.7E7"/>
        <n v="2.505E7"/>
        <n v="2.5E7"/>
        <n v="2.3824102E7"/>
        <n v="2.0E7"/>
        <n v="1.93E7"/>
        <n v="1.85E7"/>
        <n v="1.65E7"/>
        <n v="1.5091712E7"/>
        <n v="1.5E7"/>
        <n v="1.4E7"/>
        <n v="1.3E7"/>
        <n v="1.25E7"/>
        <n v="1.215648E7"/>
        <n v="1.2E7"/>
        <n v="1.14E7"/>
        <n v="1.1E7"/>
        <n v="1.07E7"/>
        <n v="1.005E7"/>
        <n v="1.0E7"/>
        <n v="9900000.0"/>
        <n v="9400000.0"/>
        <n v="9300000.0"/>
        <n v="9250000.0"/>
        <n v="9200000.0"/>
        <n v="9050000.0"/>
        <n v="9000000.0"/>
        <n v="8500000.0"/>
        <n v="8100000.0"/>
        <n v="8000000.0"/>
        <n v="7500000.0"/>
        <n v="7300000.0"/>
        <n v="7000000.0"/>
        <n v="6900000.0"/>
        <n v="6700000.0"/>
        <n v="6653879.0"/>
        <n v="6500000.0"/>
        <n v="6250000.0"/>
        <n v="6200000.0"/>
        <n v="6100000.0"/>
        <n v="6000000.0"/>
        <n v="5862860.0"/>
        <n v="5852385.0"/>
        <n v="5833000.0"/>
        <n v="5785000.0"/>
        <n v="5640000.0"/>
        <n v="5500000.0"/>
        <n v="5350000.0"/>
        <n v="5250000.0"/>
        <n v="5200000.0"/>
        <n v="5100000.0"/>
        <n v="5085000.0"/>
        <n v="5070000.0"/>
        <n v="5050000.0"/>
        <n v="5000000.0"/>
        <n v="4903000.0"/>
        <n v="4900000.0"/>
        <n v="4800000.0"/>
        <n v="4650000.0"/>
        <n v="4646998.0"/>
        <n v="4500000.0"/>
        <n v="4250000.0"/>
        <n v="4200000.0"/>
        <n v="4100000.0"/>
        <n v="4000000.0"/>
        <n v="3900000.0"/>
        <n v="3500000.0"/>
        <n v="3450000.0"/>
        <n v="3400000.0"/>
        <n v="3339933.0"/>
        <n v="3250000.0"/>
        <n v="3200000.0"/>
        <n v="3150000.0"/>
        <n v="3100000.0"/>
        <n v="3060000.0"/>
        <n v="3000000.0"/>
        <n v="2995000.0"/>
        <n v="2900000.0"/>
        <n v="2850720.0"/>
        <n v="2800000.0"/>
        <n v="2794000.0"/>
        <n v="2790000.0"/>
        <n v="2700000.0"/>
        <n v="2600000.0"/>
        <n v="2500000.0"/>
        <n v="2400002.0"/>
        <n v="2400000.0"/>
        <n v="2390000.0"/>
        <n v="2375000.0"/>
        <n v="2350000.0"/>
        <n v="2300000.0"/>
        <n v="2250000.0"/>
        <n v="2200000.0"/>
        <n v="2156100.0"/>
        <n v="2150000.0"/>
        <n v="2145000.0"/>
        <n v="2100000.0"/>
        <n v="2000000.0"/>
        <n v="1988763.0"/>
        <n v="1966602.0"/>
        <n v="1950000.0"/>
        <n v="1900000.0"/>
        <n v="1870000.0"/>
        <n v="1860000.0"/>
        <n v="1850000.0"/>
        <n v="1800750.0"/>
        <n v="1800000.0"/>
        <n v="1795000.0"/>
        <n v="1781281.0"/>
        <n v="1750000.0"/>
        <n v="1730014.0"/>
        <n v="1730000.0"/>
        <n v="1729684.0"/>
        <n v="1725000.0"/>
        <n v="1700000.0"/>
        <n v="1650000.0"/>
        <n v="1626500.0"/>
        <n v="1616515.0"/>
        <n v="1615000.0"/>
        <n v="1600000.0"/>
        <n v="1560000.0"/>
        <n v="1550000.0"/>
        <n v="1541484.0"/>
        <n v="1520000.0"/>
        <n v="1500000.0"/>
        <n v="1460000.0"/>
        <n v="1446000.0"/>
        <n v="1417000.0"/>
        <n v="1400000.0"/>
        <n v="1375000.0"/>
        <n v="1300000.0"/>
        <n v="1275000.0"/>
        <n v="1263000.0"/>
        <n v="1250000.0"/>
        <n v="1200000.0"/>
        <n v="1190000.0"/>
        <n v="1140000.0"/>
        <n v="1127175.0"/>
        <n v="1120000.0"/>
        <n v="1115000.0"/>
        <n v="1100000.0"/>
        <n v="1092000.0"/>
        <n v="1085000.0"/>
        <n v="1067000.0"/>
        <n v="1050000.0"/>
        <n v="1040500.0"/>
        <n v="1025000.0"/>
        <n v="1000000.0"/>
        <n v="995000.0"/>
        <n v="991000.0"/>
        <n v="985000.0"/>
        <n v="980000.0"/>
        <n v="977552.0"/>
        <n v="975000.0"/>
        <n v="970000.0"/>
        <n v="965000.0"/>
        <n v="960000.0"/>
        <n v="950000.0"/>
        <n v="940000.0"/>
        <n v="931634.0"/>
        <n v="925000.0"/>
        <n v="910000.0"/>
        <n v="900000.0"/>
        <n v="895000.0"/>
        <n v="890000.0"/>
        <n v="888000.0"/>
        <n v="887250.0"/>
        <n v="882000.0"/>
        <n v="880000.0"/>
        <n v="879000.0"/>
        <n v="875000.0"/>
        <n v="874000.0"/>
        <n v="865000.0"/>
        <n v="860000.0"/>
        <n v="850000.0"/>
        <n v="842851.0"/>
        <n v="840000.0"/>
        <n v="837500.0"/>
        <n v="835000.0"/>
        <n v="825000.0"/>
        <n v="813550.0"/>
        <n v="800000.0"/>
        <n v="797000.0"/>
        <n v="794545.0"/>
        <n v="780000.0"/>
        <n v="775000.0"/>
        <n v="765000.0"/>
        <n v="762178.0"/>
        <n v="760000.0"/>
        <n v="752000.0"/>
        <n v="750000.0"/>
        <n v="748500.0"/>
        <n v="745000.0"/>
        <n v="735000.0"/>
        <n v="728000.0"/>
        <n v="725000.0"/>
        <n v="720000.0"/>
        <n v="716000.0"/>
        <n v="705000.0"/>
        <n v="700000.0"/>
        <n v="695000.0"/>
        <n v="690000.0"/>
        <n v="684000.0"/>
        <n v="682000.0"/>
        <n v="680360.0"/>
        <n v="680000.0"/>
        <n v="675000.0"/>
        <n v="670000.0"/>
        <n v="660000.0"/>
        <n v="650000.0"/>
        <n v="645000.0"/>
        <n v="636000.0"/>
        <n v="635000.0"/>
        <n v="630000.0"/>
        <n v="625000.0"/>
        <n v="620000.0"/>
        <n v="615000.0"/>
        <n v="612244.0"/>
        <n v="610778.0"/>
        <n v="610000.0"/>
        <n v="600000.0"/>
        <n v="598000.0"/>
        <n v="595000.0"/>
        <n v="590000.0"/>
        <n v="585000.0"/>
        <n v="580000.0"/>
        <n v="575000.0"/>
        <n v="570000.0"/>
        <n v="566517.0"/>
        <n v="560000.0"/>
        <n v="558914.0"/>
        <n v="555000.0"/>
        <n v="550000.0"/>
        <n v="549000.0"/>
        <n v="545000.0"/>
        <n v="540000.0"/>
        <n v="536000.0"/>
        <n v="535000.0"/>
        <n v="530000.0"/>
        <n v="525000.0"/>
        <n v="515000.0"/>
        <n v="514800.0"/>
        <n v="510000.0"/>
        <n v="506743.59"/>
        <n v="506255.0"/>
        <n v="506000.0"/>
        <n v="500000.0"/>
        <n v="499000.0"/>
        <n v="498000.0"/>
        <n v="497210.0"/>
        <n v="495212.0"/>
        <n v="495000.0"/>
        <n v="493000.0"/>
        <n v="490000.0"/>
        <n v="489120.0"/>
        <n v="485000.0"/>
        <n v="480900.0"/>
        <n v="480000.0"/>
        <n v="477000.0"/>
        <n v="475000.0"/>
        <n v="474625.0"/>
        <n v="474000.0"/>
        <n v="468000.0"/>
        <n v="465000.0"/>
        <n v="460000.0"/>
        <n v="450000.0"/>
        <n v="445000.0"/>
        <n v="443000.0"/>
        <n v="440000.0"/>
        <n v="439854.0"/>
        <n v="435000.0"/>
        <n v="430000.0"/>
        <n v="427450.0"/>
        <n v="425000.0"/>
        <n v="420000.0"/>
        <n v="415000.0"/>
        <n v="405000.0"/>
        <n v="400000.0"/>
        <n v="396960.0"/>
        <n v="396000.0"/>
        <n v="395000.0"/>
        <n v="390000.0"/>
        <n v="389802.76"/>
        <n v="389000.0"/>
        <n v="385048.0"/>
        <n v="385000.0"/>
        <n v="382000.0"/>
        <n v="380000.0"/>
        <n v="379766.0"/>
        <n v="379500.0"/>
        <n v="375000.0"/>
        <n v="373855.07"/>
        <n v="370000.0"/>
        <n v="365000.0"/>
        <n v="364000.0"/>
        <n v="360000.0"/>
        <n v="351123.6"/>
        <n v="350000.0"/>
        <n v="349500.0"/>
        <n v="349220.0"/>
        <n v="349000.0"/>
        <n v="347000.0"/>
        <n v="346000.0"/>
        <n v="340000.0"/>
        <n v="337000.0"/>
        <n v="330000.0"/>
        <n v="326146.55"/>
        <n v="325000.0"/>
        <n v="324134.0"/>
        <n v="320757.0"/>
        <n v="320000.0"/>
        <n v="318000.0"/>
        <n v="315000.0"/>
        <n v="314700.0"/>
        <n v="311000.0"/>
        <n v="310000.0"/>
        <n v="301500.0"/>
        <n v="300862.76"/>
        <n v="300400.0"/>
        <n v="300322.0"/>
        <n v="300000.0"/>
        <n v="299000.0"/>
        <n v="298875.0"/>
        <n v="298000.0"/>
        <n v="295947.03"/>
        <n v="295000.0"/>
        <n v="294943.82"/>
        <n v="290000.0"/>
        <n v="288600.0"/>
        <n v="288000.0"/>
        <n v="287500.0"/>
        <n v="287000.0"/>
        <n v="286200.0"/>
        <n v="285000.0"/>
        <n v="280000.0"/>
        <n v="277600.0"/>
        <n v="275000.0"/>
        <n v="274000.0"/>
        <n v="272000.0"/>
        <n v="270000.0"/>
        <n v="268000.0"/>
        <n v="266049.0"/>
        <n v="265000.0"/>
        <n v="260000.0"/>
        <n v="255000.0"/>
        <n v="252213.0"/>
        <n v="250802.57"/>
        <n v="250000.0"/>
        <n v="249500.0"/>
        <n v="249237.0"/>
        <n v="249000.0"/>
        <n v="248000.0"/>
        <n v="247500.0"/>
        <n v="246264.0"/>
        <n v="246125.0"/>
        <n v="245000.0"/>
        <n v="240000.0"/>
        <n v="237716.0"/>
        <n v="234000.0"/>
        <n v="232845.1"/>
        <n v="230000.0"/>
        <n v="227950.0"/>
        <n v="225722.31"/>
        <n v="225000.0"/>
        <n v="222000.0"/>
        <n v="220000.0"/>
        <n v="216000.0"/>
        <n v="215000.0"/>
        <n v="210000.0"/>
        <n v="205000.0"/>
        <n v="202800.0"/>
        <n v="200000.0"/>
        <n v="199565.0"/>
        <n v="199500.0"/>
        <n v="199000.0"/>
        <n v="198735.96"/>
        <n v="195000.0"/>
        <n v="193908.0"/>
        <n v="193000.0"/>
        <n v="192640.0"/>
        <n v="191000.0"/>
        <n v="190000.0"/>
        <n v="188160.0"/>
        <n v="188000.0"/>
        <n v="186000.0"/>
        <n v="185000.0"/>
        <n v="182000.0"/>
        <n v="180000.0"/>
        <n v="175000.0"/>
        <n v="170000.0"/>
        <n v="168000.0"/>
        <n v="165000.0"/>
        <n v="163021.67"/>
        <n v="162000.0"/>
        <n v="160000.0"/>
        <n v="155772.95"/>
        <n v="155177.0"/>
        <n v="155000.0"/>
        <n v="150000.0"/>
        <n v="145488.0"/>
        <n v="145465.49"/>
        <n v="145000.0"/>
        <n v="142274.0"/>
        <n v="140000.0"/>
        <n v="136430.97"/>
        <n v="135000.0"/>
        <n v="132000.0"/>
        <n v="130000.0"/>
        <n v="127500.0"/>
        <n v="125401.28"/>
        <n v="125000.0"/>
        <n v="123846.31"/>
        <n v="123180.0"/>
        <n v="120000.0"/>
        <n v="115000.0"/>
        <n v="114095.0"/>
        <n v="112861.16"/>
        <n v="110000.0"/>
        <n v="108000.0"/>
        <n v="107000.0"/>
        <n v="105000.0"/>
        <n v="103000.0"/>
        <n v="102000.0"/>
        <n v="100321.03"/>
        <n v="100000.0"/>
        <n v="99226.0"/>
        <n v="99000.0"/>
        <n v="98000.0"/>
        <n v="97813.0"/>
        <n v="97000.0"/>
        <n v="96000.0"/>
        <n v="95000.0"/>
        <n v="92000.0"/>
        <n v="90790.53"/>
        <n v="90000.0"/>
        <n v="86000.0"/>
        <n v="85774.48"/>
        <n v="85000.0"/>
        <n v="82300.0"/>
        <n v="82000.0"/>
        <n v="81088.0"/>
        <n v="80000.0"/>
        <n v="79000.0"/>
        <n v="77500.0"/>
        <n v="77000.0"/>
        <n v="75240.77"/>
        <n v="75000.0"/>
        <n v="73500.0"/>
        <n v="72000.0"/>
        <n v="70224.72"/>
        <n v="70200.0"/>
        <n v="70000.0"/>
        <n v="65000.0"/>
        <n v="62000.0"/>
        <n v="60000.0"/>
        <n v="55645.8"/>
        <n v="55508.38"/>
        <n v="55176.57"/>
        <n v="55000.0"/>
        <n v="54000.0"/>
        <n v="53000.0"/>
        <n v="52000.0"/>
        <n v="50400.0"/>
        <n v="50160.51"/>
        <n v="50000.0"/>
        <n v="48957.21"/>
        <n v="48668.0"/>
        <n v="48000.0"/>
        <n v="47000.0"/>
        <n v="46000.0"/>
        <n v="45900.0"/>
        <n v="45000.0"/>
        <n v="42000.0"/>
        <n v="41650.0"/>
        <n v="40500.0"/>
        <n v="40000.0"/>
        <n v="39150.0"/>
        <n v="37500.0"/>
        <n v="36000.0"/>
        <n v="35000.0"/>
        <n v="34000.0"/>
        <n v="33000.0"/>
        <n v="32000.0"/>
        <n v="30800.0"/>
        <n v="30740.0"/>
        <n v="30000.0"/>
        <n v="28500.0"/>
        <n v="28000.0"/>
        <n v="27550.0"/>
        <n v="27000.0"/>
        <n v="26000.0"/>
        <n v="25080.26"/>
        <n v="25000.0"/>
        <n v="24000.0"/>
        <n v="23587.2"/>
        <n v="21000.0"/>
        <n v="20720.7"/>
        <n v="20000.0"/>
        <n v="18000.0"/>
        <n v="17000.0"/>
        <n v="16537.5"/>
        <n v="16000.0"/>
        <n v="15048.15"/>
        <n v="15000.0"/>
        <n v="14500.0"/>
        <n v="14280.0"/>
        <n v="14000.0"/>
        <n v="13800.0"/>
        <n v="13000.0"/>
        <n v="12758.0"/>
        <n v="12500.0"/>
        <n v="12000.0"/>
        <n v="11000.0"/>
        <n v="10500.0"/>
        <n v="10000.0"/>
        <n v="7524.08"/>
        <n v="7000.0"/>
        <n v="6500.0"/>
        <n v="5000.0"/>
        <n v="4500.0"/>
        <n v="4258.0"/>
        <n v="3800.0"/>
        <n v="2508.03"/>
        <n v="2000.0"/>
        <n v="1500.0"/>
        <n v="1325.03"/>
        <n v="1000.0"/>
        <n v="675.0"/>
        <n v="650.84"/>
        <n v="600.0"/>
        <n v="573.75"/>
        <n v="200.0"/>
        <n v="100.0"/>
        <n v="2.0"/>
        <n v="1.0"/>
        <n v="0.0"/>
        <m/>
      </sharedItems>
    </cacheField>
    <cacheField name="Bucket" numFmtId="0">
      <sharedItems containsBlank="1">
        <s v="$50M or greater"/>
        <s v="$20M or greater"/>
        <s v="10-20M"/>
        <s v="5 - 9.9M"/>
        <s v="5-9.999M"/>
        <s v="1-4.9M"/>
        <s v="500K-999K"/>
        <s v="&lt;499,999M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5786" sheet="6.16.22"/>
  </cacheSource>
  <cacheFields>
    <cacheField name="Opportunity ID" numFmtId="0">
      <sharedItems containsBlank="1">
        <s v="0064L00000Bcygj"/>
        <s v="0064L00000BmFiy"/>
        <s v="0064L00000CYX37"/>
        <s v="0064L00000BdXa6"/>
        <s v="0064L0000041SRX"/>
        <s v="0064L00000BnvEt"/>
        <s v="0064L00000Bd3eJ"/>
        <s v="0064L00000BndPk"/>
        <s v="0064L000007wQ9g"/>
        <s v="0064L00000Bo6sF"/>
        <s v="0064L000007WT3f"/>
        <s v="0064L000007wF98"/>
        <s v="0064L00000DJkc2"/>
        <s v="0064L00000AraIb"/>
        <s v="0064L0000097m1E"/>
        <s v="0064L000003zDAQ"/>
        <s v="0064I00000zSoiP"/>
        <s v="0064L000009gJJX"/>
        <s v="0064L00000Bf25h"/>
        <s v="0064L00000CWtux"/>
        <s v="0064L000003zBQl"/>
        <s v="0064L00000DJgbZ"/>
        <s v="0064L00000CWcWR"/>
        <s v="0064L000002bfQ4"/>
        <s v="0064L00000CXdCs"/>
        <s v="0064L00000As7jQ"/>
        <s v="0064L000002Z758"/>
        <s v="0064L00000As81K"/>
        <s v="0064L00000BnqrK"/>
        <s v="0064L00000B1LzK"/>
        <s v="0064L00000ArWeH"/>
        <s v="0064L00000ArBJw"/>
        <s v="0064L00000DFYWW"/>
        <s v="0064L00000B2E3T"/>
        <s v="0064L00000Bcjvh"/>
        <s v="0064L000009g4sH"/>
        <s v="0064L00000AqddR"/>
        <s v="0064L00000BmQuv"/>
        <s v="0064L00000BmMFs"/>
        <s v="0064L00000BeST6"/>
        <s v="0064L00000BoSIw"/>
        <s v="0064L00000CXOeN"/>
        <s v="0064I00000zRfN7"/>
        <s v="0064L00000Boyjt"/>
        <s v="0064L00000CWu28"/>
        <s v="0064L00000BerLi"/>
        <s v="0064L00000BckFI"/>
        <s v="0064L00000BnBQ7"/>
        <s v="0064L000009g35p"/>
        <s v="0064L00000Apeyp"/>
        <s v="0064L00000B2JFa"/>
        <s v="0064L00000B2D2A"/>
        <s v="0064L00000BlEyq"/>
        <s v="0064L00000B0kbJ"/>
        <s v="0064L00000B0kTK"/>
        <s v="0064L00000CXFW1"/>
        <s v="0064I000015SlRE"/>
        <s v="0064L00000BgZBM"/>
        <s v="0064L00000BgZCy"/>
        <s v="0064L00000CXiV9"/>
        <s v="0064L00000Bmm9g"/>
        <s v="0064L00000CWcWq"/>
        <s v="0064L0000099TtB"/>
        <s v="0064L0000099UKR"/>
        <s v="0064L00000Apwwg"/>
        <s v="0064L000004wx7s"/>
        <s v="0064L00000AqWkk"/>
        <s v="0064L000002bec6"/>
        <s v="0064L00000CVzGv"/>
        <s v="0064L00000CVzIr"/>
        <s v="0064L00000B2E4C"/>
        <s v="0064L00000Bnd4R"/>
        <s v="0064L000004wpu1"/>
        <s v="0064L00000Beygw"/>
        <s v="0064L00000BoAiJ"/>
        <s v="0064L00000ArtDU"/>
        <s v="0064L00000CW04o"/>
        <s v="0064L000009fgQm"/>
        <s v="0064L00000DJT92"/>
        <s v="0064L00000BoSpM"/>
        <s v="0064L000009AhXd"/>
        <s v="0064I00000zUd7r"/>
        <s v="0064L00000CYQHn"/>
        <s v="0064L00000BoLyt"/>
        <s v="0064L00000CVWDN"/>
        <s v="0064L00000Bos2m"/>
        <s v="0064L000004vLox"/>
        <s v="0064L00000Bet7i"/>
        <s v="0064L00000Bg4DE"/>
        <s v="0064I00000qsIxD"/>
        <s v="0064L00000DFlE5"/>
        <s v="0064L000007weTi"/>
        <s v="0064L00000Bcydp"/>
        <s v="0064L00000BnyF5"/>
        <s v="0064L00000CWM9h"/>
        <s v="0064L00000B0sCE"/>
        <s v="0064L00000B2uiF"/>
        <s v="0064L00000CVj6x"/>
        <s v="0064L00000CVWDO"/>
        <s v="0064L000009BCre"/>
        <s v="0064L000009BCps"/>
        <s v="0064L00000CVgSA"/>
        <s v="0064L00000CVB88"/>
        <s v="0064L0000041LdF"/>
        <s v="0064L00000BgZBq"/>
        <s v="0064L000002beZR"/>
        <s v="0064L00000BnyQw"/>
        <s v="0064L000006BMjX"/>
        <s v="0064L000004wdYc"/>
        <s v="0064L00000B0zFA"/>
        <s v="0064L00000Aqyhb"/>
        <s v="0064L00000BoM1O"/>
        <s v="0064L000002beYP"/>
        <s v="0064L00000DJdzg"/>
        <s v="0064L00000BoXv4"/>
        <s v="0065800000YamkK"/>
        <s v="0064L00000BlgQc"/>
        <s v="0064L00000DFZSu"/>
        <s v="0064L000003zhrE"/>
        <s v="0064L000009BOiu"/>
        <s v="0064L000004wyHK"/>
        <s v="0064L00000Bnvku"/>
        <s v="0064L00000CXHTO"/>
        <s v="0064L00000B2p8i"/>
        <s v="0064L00000BgZC5"/>
        <s v="0064L00000Bp0EK"/>
        <s v="0064L00000BfUa8"/>
        <s v="0064L00000CXgKn"/>
        <s v="0064L000002bfRg"/>
        <s v="0064L000009AoKW"/>
        <s v="0064L00000BfT1B"/>
        <s v="0064L00000DFYgH"/>
        <s v="0064L000002beiU"/>
        <s v="0064L00000DJRap"/>
        <s v="0064L000001wDjE"/>
        <s v="0064L0000041j9c"/>
        <s v="0064L000009AWMo"/>
        <s v="0064L00000BoUgD"/>
        <s v="0064L00000BmoYZ"/>
        <s v="0064L00000CX0J2"/>
        <s v="0064L00000CXWwr"/>
        <s v="0064L000009AJnc"/>
        <s v="0064L00000BmTgR"/>
        <s v="0064L00000BftCu"/>
        <s v="0064L00000BdjRe"/>
        <s v="0064L00000Bo1cb"/>
        <s v="0064L00000CXjrG"/>
        <s v="0064L00000BfPJq"/>
        <s v="0064L000007xIvH"/>
        <s v="0064L00000Bfsyd"/>
        <s v="0064L00000DFobb"/>
        <s v="0064L00000CXsDo"/>
        <s v="0064L00000BmMen"/>
        <s v="0064L00000BmFr1"/>
        <s v="0064L00000BfCBP"/>
        <s v="0064L00000BfCDp"/>
        <s v="0064L000007xhiI"/>
        <s v="0064L00000CWcku"/>
        <s v="0064L00000CWQJm"/>
        <s v="0064L00000CXdoo"/>
        <s v="0064L00000CXD2i"/>
        <s v="0064L00000Bluvp"/>
        <s v="0064L00000BoMIU"/>
        <s v="0064L00000Bop2P"/>
        <s v="0064L000009AkYU"/>
        <s v="0064L000002bejI"/>
        <s v="0064L000007xWbS"/>
        <s v="0064I000015Sxgt"/>
        <s v="0064I00000wxkzR"/>
        <s v="0064L00000BfsS8"/>
        <s v="0064L00000BfsTa"/>
        <s v="0064L00000BfsUE"/>
        <s v="0064L00000BfsUF"/>
        <s v="0064L0000099vDn"/>
        <s v="0064L000002bf1H"/>
        <s v="0064L00000ArkaY"/>
        <s v="0064L00000BeM5d"/>
        <s v="0064L00000DFgos"/>
        <s v="0064L000002bRDi"/>
        <s v="0064I00000q15uQ"/>
        <s v="0064L00000CXt6U"/>
        <s v="0064L00000CXR7g"/>
        <s v="0064L000001uaF8"/>
        <s v="0064I00000y5NN4"/>
        <s v="0064L000007uLNK"/>
        <s v="0064L00000BnWND"/>
        <s v="0064L00000BnUIu"/>
        <s v="0064L00000CYssN"/>
        <s v="0064L00000BmB5c"/>
        <s v="0064L00000As8QZ"/>
        <s v="0064L000009fT2p"/>
        <s v="0064L00000As80N"/>
        <s v="0064L00000BoFca"/>
        <s v="0064L00000BlMBI"/>
        <s v="0064I0000132Las"/>
        <s v="0064L00000Bntkm"/>
        <s v="0064I00000qs1l9"/>
        <s v="0064L00000BekNe"/>
        <s v="0064L00000BekOM"/>
        <s v="0064L00000BeiM3"/>
        <s v="0064L000009AEE8"/>
        <s v="0065800000jiWLU"/>
        <s v="0064L000004268A"/>
        <s v="0064L000003zMpv"/>
        <s v="0064L00000BlM26"/>
        <s v="0064L00000BmMgQ"/>
        <s v="0064L00000BoSoA"/>
        <s v="0064L000002bldg"/>
        <s v="0064L00000Botld"/>
        <s v="0064L00000BoSRo"/>
        <s v="0064L00000Bnqu9"/>
        <s v="0064L000003yXwE"/>
        <s v="0064L00000BfFoc"/>
        <s v="0064L00000BdS8J"/>
        <s v="0064I00000zReSB"/>
        <s v="0064L00000BlHur"/>
        <s v="0064L000007xoL6"/>
        <s v="0064L000007FL8O"/>
        <s v="0064L00000B2rck"/>
        <s v="0064L00000Blihu"/>
        <s v="0064I00000wx3Ye"/>
        <s v="0064L00000CVSK5"/>
        <s v="0064L00000BcpYo"/>
        <s v="0064L00000DBQSl"/>
        <s v="0064L00000BgYOg"/>
        <s v="0064L00000BgZBg"/>
        <s v="0064L00000AqK3E"/>
        <s v="0064L00000DFceP"/>
        <s v="0064L00000BfTY5"/>
        <s v="0064I00000y7Zhf"/>
        <s v="0064L00000Bd1vD"/>
        <s v="0064L000001wFZL"/>
        <s v="0064L00000Bfa72"/>
        <s v="0064L00000BmB61"/>
        <s v="0064L000007wnx0"/>
        <s v="0064L000009BAPe"/>
        <s v="0064L00000BoOWn"/>
        <s v="0064L00000BgYP0"/>
        <s v="0064L00000BgYQD"/>
        <s v="0064L0000099AWm"/>
        <s v="0064L00000Bfeg8"/>
        <s v="0064L00000BeviN"/>
        <s v="0064L0000098xhy"/>
        <s v="0064L00000Bobsn"/>
        <s v="0064L000002LZs5"/>
        <s v="0064L00000B200b"/>
        <s v="0064L000002LZsT"/>
        <s v="0064L00000B2007"/>
        <s v="0064L00000CVSFA"/>
        <s v="0064L00000BmluR"/>
        <s v="0064L00000Be0jC"/>
        <s v="0064L00000DJXXR"/>
        <s v="0064L00000B1ZBs"/>
        <s v="0064L00000B1zzY"/>
        <s v="0064L00000B29fu"/>
        <s v="0064L000003zy5l"/>
        <s v="0064L000006Bpe2"/>
        <s v="0064L000001wDjx"/>
        <s v="0064L000003zDC2"/>
        <s v="0064L000002bekG"/>
        <s v="0064L000002bf0O"/>
        <s v="0064L000009AWtj"/>
        <s v="0064L00000Apc3L"/>
        <s v="0064L00000CYaSZ"/>
        <s v="0064L000009B6WB"/>
        <s v="0064L00000Blmzz"/>
        <s v="0064L00000BlJru"/>
        <s v="0064L00000BlJrz"/>
        <s v="0064L00000B207m"/>
        <s v="0064L00000Bl3U1"/>
        <s v="0064L00000DJXcv"/>
        <s v="0064I0000132yy8"/>
        <s v="0064L00000Bfgu7"/>
        <s v="0064L00000Bmlum"/>
        <s v="0064L00000CGwhR"/>
        <s v="0064L00000BnN83"/>
        <s v="0064L00000AqHdO"/>
        <s v="0064L00000Blux7"/>
        <s v="0064L00000Bluxv"/>
        <s v="0064L00000CYXQk"/>
        <s v="0064L00000BlSUv"/>
        <s v="0064L00000DJTv5"/>
        <s v="0064L00000B2Woi"/>
        <s v="0064L00000CWKbN"/>
        <s v="0064L000009fcT4"/>
        <s v="0064L000007wqBZ"/>
        <s v="0064L00000BoCsf"/>
        <s v="0064L00000Bfecu"/>
        <s v="0064L000009fj9N"/>
        <s v="0064L00000CXa59"/>
        <s v="0064L00000CYbRc"/>
        <s v="0064L00000BeHvi"/>
        <s v="0064L00000BoUgN"/>
        <s v="0064L00000CVmb5"/>
        <s v="0064L00000CVmcS"/>
        <s v="0064L00000CYb9U"/>
        <s v="0064L00000CXjhk"/>
        <s v="0064L00000CWUFb"/>
        <s v="0064L00000BlkZE"/>
        <s v="0064L00000CXRwD"/>
        <s v="0064L00000ArccO"/>
        <s v="0064I00000zTbF5"/>
        <s v="0064L00000CGubQ"/>
        <s v="0064L00000ApgeN"/>
        <s v="0064L00000BnK6f"/>
        <s v="0064L000003yRQC"/>
        <s v="0064L00000DFlkp"/>
        <s v="0064L00000BlgRV"/>
        <s v="0064L00000BoM6n"/>
        <s v="0064L0000099UnG"/>
        <s v="0064L00000AqZBJ"/>
        <s v="0064L000009fXgt"/>
        <s v="0064L00000Blv1s"/>
        <s v="0064L00000ArkjB"/>
        <s v="0064L000002LSiH"/>
        <s v="0064L000009gGzc"/>
        <s v="0064L00000Bfsl0"/>
        <s v="0064L00000BeP07"/>
        <s v="0064L00000DFhrJ"/>
        <s v="0064L00000CVmjO"/>
        <s v="0064L000007wduO"/>
        <s v="0064L00000AqhLF"/>
        <s v="0064L00000CY3WI"/>
        <s v="0064L00000B29Od"/>
        <s v="0064L00000DJRZ2"/>
        <s v="0064L00000Bo9CC"/>
        <s v="0064L000004w0UA"/>
        <s v="0064L00000CY0eY"/>
        <s v="0064L00000CV8an"/>
        <s v="0064L00000CY0JL"/>
        <s v="0064L00000DFV9Z"/>
        <s v="0064L00000CYQFJ"/>
        <s v="0064L000009fT2u"/>
        <s v="0064L00000BoXAr"/>
        <s v="0064L00000Ar597"/>
        <s v="0064L00000AqPtk"/>
        <s v="0064L00000424Ya"/>
        <s v="0064L000009B66h"/>
        <s v="0064L00000BgMRb"/>
        <s v="0064L00000B2TmY"/>
        <s v="0064L00000CYpqY"/>
        <s v="0064I00000y8Jhv"/>
        <s v="0064L00000ArD0c"/>
        <s v="0064L00000ArD0d"/>
        <s v="0065800000YZOgw"/>
        <s v="0064L00000BnPgC"/>
        <s v="0064L00000AqOaI"/>
        <s v="0064L00000CVEF2"/>
        <s v="0064L00000BlJix"/>
        <s v="0064L00000Bd1w6"/>
        <s v="0064L00000B1qAI"/>
        <s v="0064L00000BgMHu"/>
        <s v="0064L00000AqQ3p"/>
        <s v="0064L00000Bf6ex"/>
        <s v="0064L00000Bf6h3"/>
        <s v="0064L00000Bf6fl"/>
        <s v="0064L000009fOPZ"/>
        <s v="0064L00000Bnqpi"/>
        <s v="0064L000001uHbD"/>
        <s v="0064L00000Bnr0C"/>
        <s v="0064L00000BoQn7"/>
        <s v="0064L000009986Y"/>
        <s v="0064L00000BotcM"/>
        <s v="0064L000001uXNs"/>
        <s v="0064L000004wjTN"/>
        <s v="0064L000009gKzF"/>
        <s v="0064L00000Bfemu"/>
        <s v="0064L00000BmZGZ"/>
        <s v="0064L00000B2Mul"/>
        <s v="0064L00000CWwkw"/>
        <s v="0064L000006Wcfz"/>
        <s v="0064L000009AhPe"/>
        <s v="0064L00000CVEtC"/>
        <s v="0064L00000BogZ5"/>
        <s v="0064I00000r3Vx4"/>
        <s v="0064L00000BgOtD"/>
        <s v="0064L0000041Sg3"/>
        <s v="0064L000006zlI7"/>
        <s v="0064L00000BnRMJ"/>
        <s v="0064L00000Bmr1A"/>
        <s v="0064L00000AqVxx"/>
        <s v="0064L00000BoQnC"/>
        <s v="0064L00000BoQnH"/>
        <s v="0064L00000BoQmO"/>
        <s v="0064L000009AmGh"/>
        <s v="0064L000009BJyh"/>
        <s v="0064L00000CW8sw"/>
        <s v="0064L00000BmFtl"/>
        <s v="0064L000009gJHW"/>
        <s v="0064L00000Bomxw"/>
        <s v="0064L00000DFZGU"/>
        <s v="0064L000001vuyo"/>
        <s v="0064L00000BfQNi"/>
        <s v="0064L00000CYUci"/>
        <s v="0064L00000DJTQl"/>
        <s v="0064L00000DFYON"/>
        <s v="0064L00000CYfBY"/>
        <s v="0064L00000CYUE3"/>
        <s v="0064L00000CYUE2"/>
        <s v="0064L00000DJRu6"/>
        <s v="0064L00000DJRu0"/>
        <s v="0064L00000ArXDg"/>
        <s v="0064L000002aPEu"/>
        <s v="0064L00000BnWDr"/>
        <s v="0064L00000BnxiT"/>
        <s v="0064L00000Aqdaw"/>
        <s v="0064L00000B0qge"/>
        <s v="0064L00000B0qg5"/>
        <s v="0064L000002brbK"/>
        <s v="0064L00000BoxrT"/>
        <s v="0064L00000DFSng"/>
        <s v="0064L00000BeiLy"/>
        <s v="0064L00000B36Qg"/>
        <s v="0064L00000BowVr"/>
        <s v="0064L00000BnRYF"/>
        <s v="0064L000003yYLx"/>
        <s v="0064L00000BoeUB"/>
        <s v="0064L00000BodwX"/>
        <s v="0064L00000Botdy"/>
        <s v="0064L000006gtll"/>
        <s v="0064L00000DJmjz"/>
        <s v="0064L00000BcpaQ"/>
        <s v="0064L00000BcpbY"/>
        <s v="0064L00000Bcpcv"/>
        <s v="0064L000002aylA"/>
        <s v="0064L00000BoroB"/>
        <s v="0064L00000BcpMJ"/>
        <s v="0064L000004xpT4"/>
        <s v="0064L00000Bm9Rv"/>
        <s v="0064L00000Bmjcz"/>
        <s v="0064L00000CGvuJ"/>
        <s v="0064L00000B2pU5"/>
        <s v="0064L000003zknE"/>
        <s v="0064L00000Bfeh7"/>
        <s v="0064L00000CX4cN"/>
        <s v="0064L0000099AcQ"/>
        <s v="0064L000007Fh8u"/>
        <s v="0064L00000BlON1"/>
        <s v="0064L00000CYtTi"/>
        <s v="0064L00000CYt4E"/>
        <s v="0064L000003z8wj"/>
        <s v="0064L00000CWTmB"/>
        <s v="0064L00000DJTkl"/>
        <s v="0064L000009AasA"/>
        <s v="0064L00000CYtrV"/>
        <s v="0064L00000BfvNN"/>
        <s v="0064L00000Aqdb1"/>
        <s v="0064L00000CY2O8"/>
        <s v="0064L00000Bel0k"/>
        <s v="0064L00000B3985"/>
        <s v="0064L00000CYb49"/>
        <s v="0064L00000BgMRu"/>
        <s v="0064L00000BoQmn"/>
        <s v="0064L00000BormU"/>
        <s v="0064L00000Boa93"/>
        <s v="0064L00000B1cMo"/>
        <s v="0064L00000BnKWa"/>
        <s v="0064L00000Bfeew"/>
        <s v="0064L00000BevVX"/>
        <s v="0064L00000BoZzc"/>
        <s v="0064L000002aorP"/>
        <s v="0064L000006A71s"/>
        <s v="0064L00000BgVnw"/>
        <s v="0064L000004wVno"/>
        <s v="0064L00000BopPi"/>
        <s v="0064L00000Bcn2R"/>
        <s v="0064L000002bfSK"/>
        <s v="0064L00000DFls5"/>
        <s v="0064L00000B29k1"/>
        <s v="0064L00000Bm6om"/>
        <s v="0064L00000CXdnC"/>
        <s v="0064L00000CYFT7"/>
        <s v="0064L00000CXds6"/>
        <s v="0064L00000Bm4rP"/>
        <s v="0064L00000CXdrr"/>
        <s v="0064I00000zUPqH"/>
        <s v="0064L00000CXD6z"/>
        <s v="0064L00000DFlCs"/>
        <s v="0064L00000BfT1L"/>
        <s v="0064L00000BoMIZ"/>
        <s v="0064L00000BgDBy"/>
        <s v="0064L00000BfQet"/>
        <s v="0064L00000BoKbe"/>
        <s v="0064L00000Aq6ST"/>
        <s v="0064L00000CWPh9"/>
        <s v="0064L000009gJE1"/>
        <s v="0064L00000CXd3R"/>
        <s v="0064L00000AqWQu"/>
        <s v="0064L00000BfQNT"/>
        <s v="0064L00000Aqyd0"/>
        <s v="0064L000002LU5s"/>
        <s v="0064L00000Bn6kr"/>
        <s v="0064L00000Bl0gE"/>
        <s v="0064L00000DBMCV"/>
        <s v="0064L000009AGmH"/>
        <s v="0064L0000040Cbi"/>
        <s v="0064L00000Bo94S"/>
        <s v="0064I00000zUSwI"/>
        <s v="0064L00000BnFUy"/>
        <s v="0064L00000CYBsN"/>
        <s v="0064L00000CX04a"/>
        <s v="0064L000007W2Fh"/>
        <s v="0064L000004wuEi"/>
        <s v="0064L00000Bo9Fa"/>
        <s v="0064L00000CYvg0"/>
        <s v="0064L00000CYUDx"/>
        <s v="0064L00000CY0cr"/>
        <s v="0064L00000CYAis"/>
        <s v="0064L00000Bmv5I"/>
        <s v="0064L00000BoXv9"/>
        <s v="0064L00000BoXuu"/>
        <s v="0064L00000CvhdY"/>
        <s v="0064L00000BfqDZ"/>
        <s v="0064L00000Bfa64"/>
        <s v="0064L000007vM3k"/>
        <s v="0064L00000Aqdah"/>
        <s v="0064L00000Bo74V"/>
        <s v="0064L00000CYQyD"/>
        <s v="0064L00000CWmvc"/>
        <s v="0064L00000Apc5q"/>
        <s v="0064L00000BeZRd"/>
        <s v="0064L00000CYR1G"/>
        <s v="0064L00000BoXCQ"/>
        <s v="0064L00000B2hDh"/>
        <s v="0064L00000B2hEB"/>
        <s v="0064L00000BndOM"/>
        <s v="0064L00000ArTby"/>
        <s v="0064L00000CYPOm"/>
        <s v="0064L00000BoUzF"/>
        <s v="0064L00000DFcy0"/>
        <s v="0064L00000DFcyP"/>
        <s v="0064L00000BgNhj"/>
        <s v="0064L00000BgNht"/>
        <s v="0064L00000CVEVP"/>
        <s v="0064L00000BgMQ9"/>
        <s v="0064L00000BgMQN"/>
        <s v="0064L00000BgMRa"/>
        <s v="0064L00000BfZrJ"/>
        <s v="0064L00000BdV0w"/>
        <s v="0064L00000Bd41D"/>
        <s v="0064L00000CWHfz"/>
        <s v="0064L00000BdDVy"/>
        <s v="0064L00000CVglC"/>
        <s v="0064L000002ZhWb"/>
        <s v="0064L00000CW91U"/>
        <s v="0064L00000AqOST"/>
        <s v="0064L00000BfZQd"/>
        <s v="0064L00000CWjH6"/>
        <s v="0064L00000CWjIJ"/>
        <s v="0064L00000Bei8a"/>
        <s v="0064L00000CWjJR"/>
        <s v="0064L00000CWjKK"/>
        <s v="0064L00000CXmOM"/>
        <s v="0064L00000B2cDE"/>
        <s v="0064L00000DFPwk"/>
        <s v="0064L00000CVF4B"/>
        <s v="0064L00000CVF4U"/>
        <s v="0064L00000CVF4V"/>
        <s v="0064L00000As4TM"/>
        <s v="0064L00000CVF67"/>
        <s v="0064L00000CVF5N"/>
        <s v="0064L00000CVF6G"/>
        <s v="0064L00000Bf6eY"/>
        <s v="0064L00000Bf6iL"/>
        <s v="0064L000007xNt3"/>
        <s v="0064L00000Botkp"/>
        <s v="0064L00000BoSKn"/>
        <s v="0064L000009AC96"/>
        <s v="0064L00000BoSR5"/>
        <s v="0064L00000Bo26v"/>
        <s v="0064L00000DFPUl"/>
        <s v="0064L00000CWj9X"/>
        <s v="0064L00000Bo0H3"/>
        <s v="0064L00000CXjoq"/>
        <s v="0064L00000CXjpV"/>
        <s v="0064L00000CXjpU"/>
        <s v="0064L00000CWVmK"/>
        <s v="0064L00000CXjqw"/>
        <s v="0064L000007xKSZ"/>
        <s v="0064L00000B3CTt"/>
        <s v="0064L000001tE1w"/>
        <s v="0064L00000Bg991"/>
        <s v="0064L00000BoQTq"/>
        <s v="0064L00000CXzs0"/>
        <s v="0064L00000BfXEf"/>
        <s v="0064L00000BorBJ"/>
        <s v="0064L00000AsA81"/>
        <s v="0064L00000B0zbL"/>
        <s v="0064L00000AsA8V"/>
        <s v="0064L00000CXiAQ"/>
        <s v="0064L00000BlWaw"/>
        <s v="0064L000002bzFS"/>
        <s v="0064L00000B2p6m"/>
        <s v="0064L00000CW2hv"/>
        <s v="0064L00000CWTn9"/>
        <s v="0064L00000Bmix8"/>
        <s v="0064L00000CXwuX"/>
        <s v="0064L00000DJXWi"/>
        <s v="0064L00000Boa7M"/>
        <s v="0064L0000097beE"/>
        <s v="0064L00000B19lg"/>
        <s v="0064L00000B19lW"/>
        <s v="0064L000002akl9"/>
        <s v="0064L00000CY36e"/>
        <s v="0064L00000CVFGu"/>
        <s v="0064L00000Besay"/>
        <s v="0064L00000Bou9u"/>
        <s v="0064L00000BfQDY"/>
        <s v="0064L00000CY01g"/>
        <s v="0064L00000DJZOb"/>
        <s v="0064L00000DFWMA"/>
        <s v="0064L00000Boira"/>
        <s v="0064L00000BmjhG"/>
        <s v="0064L000006CW8u"/>
        <s v="0064L00000CXW9A"/>
        <s v="0064L000009BANS"/>
        <s v="0064L00000BmWKx"/>
        <s v="0064L0000041iCf"/>
        <s v="0064L00000CXQ1f"/>
        <s v="0064L00000CYCAy"/>
        <s v="0064L00000BlosH"/>
        <s v="0064L000009AS3i"/>
        <s v="0064L00000CXZqx"/>
        <s v="0064L00000Bge6H"/>
        <s v="0064L00000CYn34"/>
        <s v="0064L00000ArLVJ"/>
        <s v="0064L00000B0z7f"/>
        <s v="0064L00000Bn2HA"/>
        <s v="0064L00000Bnbu1"/>
        <s v="0064L000009B4Cn"/>
        <s v="0064L00000Boebg"/>
        <s v="0064L00000BoI4s"/>
        <s v="0064L000006j86Q"/>
        <s v="0064L00000BeHvn"/>
        <s v="0064L00000BnkCy"/>
        <s v="0064L00000CWbTB"/>
        <s v="0064L0000041iDO"/>
        <s v="0064L000002alIv"/>
        <s v="0064L00000BnbDm"/>
        <s v="0064L00000BehW7"/>
        <s v="0064L000007xOB7"/>
        <s v="0064L00000ArMke"/>
        <s v="0064L00000Besuy"/>
        <s v="0064L00000CXsF6"/>
        <s v="0064L00000BoLh9"/>
        <s v="0064L00000BmPWN"/>
        <s v="0064L00000BgMPt"/>
        <s v="0064L00000CWHou"/>
        <s v="0064L00000BnPdX"/>
        <s v="0064L00000BnbK3"/>
        <s v="0064L00000BoMOm"/>
        <s v="0064L000006BMFy"/>
        <s v="0064L00000B1cOQ"/>
        <s v="0064L00000B1pLP"/>
        <s v="0064L00000B20Ug"/>
        <s v="0064L00000BeEdC"/>
        <s v="0064L00000CWfxu"/>
        <s v="0064L00000CYmeJ"/>
        <s v="0064L00000BgZu7"/>
        <s v="0064L00000BlkL7"/>
        <s v="0064I00000y7Jg8"/>
        <s v="0064L00000B200l"/>
        <s v="0064L00000Bm9Xe"/>
        <s v="0064L00000Bm9Xy"/>
        <s v="0064L000002Z0zh"/>
        <s v="0064L000002blPP"/>
        <s v="0064L000009Aax6"/>
        <s v="0064L00000AplB9"/>
        <s v="0064L000009B1d2"/>
        <s v="0064L00000BlzwV"/>
        <s v="0064L00000Bky7R"/>
        <s v="0064L00000B1MNv"/>
        <s v="0064L00000DBQOo"/>
        <s v="0064L00000CY9Dw"/>
        <s v="0064I00000y8Orq"/>
        <s v="0064L00000ApyoW"/>
        <s v="0064L00000Bopcm"/>
        <s v="0064L00000AqK2B"/>
        <s v="0064L00000BfUUP"/>
        <s v="0064L00000Bp14z"/>
        <s v="0064L00000Blz2I"/>
        <s v="0064L00000CVOK6"/>
        <s v="0064L00000CGuc9"/>
        <s v="0064L00000CXvs6"/>
        <s v="0064L000002bflR"/>
        <s v="0064L00000CXvwr"/>
        <s v="0064L00000BopNw"/>
        <s v="0064L00000CXwib"/>
        <s v="0064L000003zxhU"/>
        <s v="0064L00000Bonft"/>
        <s v="0064L0000097p8A"/>
        <s v="0064L00000DBMGR"/>
        <s v="0064L00000ArJPx"/>
        <s v="0064L00000BnZB1"/>
        <s v="0064L00000DJThm"/>
        <s v="0064L00000CYxdm"/>
        <s v="0064L00000DFZH8"/>
        <s v="0064L000003zDE3"/>
        <s v="0064L00000Bo8s2"/>
        <s v="0064L00000BoZyU"/>
        <s v="0064L000009A9g7"/>
        <s v="0064L00000AqhVt"/>
        <s v="0064L00000BoKNw"/>
        <s v="0064L00000DFimo"/>
        <s v="0064L000009fgfM"/>
        <s v="0064L00000B2GSe"/>
        <s v="0064L000001t9g6"/>
        <s v="0064L00000CYBzN"/>
        <s v="0064L00000BmvaK"/>
        <s v="0064L00000BolEv"/>
        <s v="0064L00000CYve0"/>
        <s v="0064L00000BnWhS"/>
        <s v="0064L00000DFiKL"/>
        <s v="0064L00000DJdVm"/>
        <s v="0064L00000Bn4J2"/>
        <s v="0064L00000BoXtr"/>
        <s v="0064L00000Bo6rv"/>
        <s v="0064L00000BlQBq"/>
        <s v="0064L00000BnWIw"/>
        <s v="0064L00000CY0Lb"/>
        <s v="0064L00000BmsvT"/>
        <s v="0064L000004vLkW"/>
        <s v="0064L00000CXpF8"/>
        <s v="0064L00000CXpEo"/>
        <s v="0064L00000CYQIb"/>
        <s v="0064L00000Aq0bj"/>
        <s v="0064L00000BoXAO"/>
        <s v="0064L00000BoXB7"/>
        <s v="0064L00000BoXB6"/>
        <s v="0064L00000BoXBp"/>
        <s v="0064L00000BoXDg"/>
        <s v="0064L00000AqT2u"/>
        <s v="0064L000009AX3Y"/>
        <s v="0064L00000BoGJ6"/>
        <s v="0064L00000B2CTX"/>
        <s v="0064L00000B2CTS"/>
        <s v="0064L00000B2CTN"/>
        <s v="0064L00000Bo4as"/>
        <s v="0064L00000Bovlm"/>
        <s v="0064L00000Bovmu"/>
        <s v="0064L00000CYqLl"/>
        <s v="0064L00000BfIwt"/>
        <s v="0064L0000098mJh"/>
        <s v="0064L000004xdA6"/>
        <s v="0064L00000BoBcv"/>
        <s v="0064L00000CV3XU"/>
        <s v="0064L00000BoSnp"/>
        <s v="0064L00000CWjFZ"/>
        <s v="0064L000009AtYi"/>
        <s v="0064L00000BovXt"/>
        <s v="0064L00000CWk0M"/>
        <s v="0064L00000Bl9rB"/>
        <s v="0064L00000CWk6m"/>
        <s v="0064L00000Bnbbn"/>
        <s v="0064L00000CYLaT"/>
        <s v="0064L000006VAVf"/>
        <s v="0064L00000CYLbR"/>
        <s v="0064L00000BeF36"/>
        <s v="0064L00000Bf6wd"/>
        <s v="0064L00000Bf6wc"/>
        <s v="0064L00000Bf6wX"/>
        <s v="0064L00000Bndbf"/>
        <s v="0064L00000B1QHb"/>
        <s v="0064L00000AsJH8"/>
        <s v="0064L000002b20e"/>
        <s v="0064L00000Bgf4b"/>
        <s v="0064L000004xDPA"/>
        <s v="0064L00000BgMSA"/>
        <s v="0064L00000BgMRv"/>
        <s v="0064L00000DFcLc"/>
        <s v="0064L00000CWVud"/>
        <s v="0064I00000qtvKq"/>
        <s v="0064L00000Bnb9u"/>
        <s v="0064L00000BmN6T"/>
        <s v="0064L00000CV0qQ"/>
        <s v="0064L00000CV0qu"/>
        <s v="0064L00000CV0rO"/>
        <s v="0064L000009ezOR"/>
        <s v="0064L00000B2m3Q"/>
        <s v="0064L00000Bn9gk"/>
        <s v="0064L000004xHam"/>
        <s v="0064L00000BcVGu"/>
        <s v="0064L00000DJR4O"/>
        <s v="0064L00000CVF8b"/>
        <s v="0064L00000BnsvE"/>
        <s v="0064L00000BoUXQ"/>
        <s v="0064L00000CYpKH"/>
        <s v="0064L00000BoAha"/>
        <s v="0064L000004xpCj"/>
        <s v="0064L00000B0kbE"/>
        <s v="0064L00000BoQCf"/>
        <s v="0064L00000BopdG"/>
        <s v="0064L00000Bcpny"/>
        <s v="0064L00000Ar94G"/>
        <s v="0064L00000BnyBc"/>
        <s v="0064L00000CYRJ6"/>
        <s v="0064L00000BmQsL"/>
        <s v="0064L00000BmOvR"/>
        <s v="0064L00000Bm9Xz"/>
        <s v="0064L00000ArMlN"/>
        <s v="0064L00000DJZ0y"/>
        <s v="0064L00000BnKuX"/>
        <s v="0064L000002ahrX"/>
        <s v="0064L00000CYmF6"/>
        <s v="0064L00000Be0mz"/>
        <s v="0064L00000BlGOu"/>
        <s v="0064L00000AqmIL"/>
        <s v="0064L00000B19lM"/>
        <s v="0064L000006BS0F"/>
        <s v="0064L00000BfbfK"/>
        <s v="0064L00000B0ujy"/>
        <s v="0064L00000CVpH8"/>
        <s v="0064L00000BfQHL"/>
        <s v="0064L00000BcjFY"/>
        <s v="0064L00000CXrrO"/>
        <s v="0064L00000CYCAA"/>
        <s v="0064L00000CYB3Q"/>
        <s v="0064L00000CV5yI"/>
        <s v="0064I00000y8YUQ"/>
        <s v="0064L0000069saz"/>
        <s v="0064L000009faDV"/>
        <s v="0064L00000CWfgH"/>
        <s v="0064L00000CWxWB"/>
        <s v="0064L00000CY0G7"/>
        <s v="0064L00000CY0UJ"/>
        <s v="0064L00000B1QIt"/>
        <s v="0064L00000ArcdM"/>
        <s v="0064L000007tm7E"/>
        <s v="0064L00000Blcnm"/>
        <s v="0064L00000BgTFi"/>
        <s v="0064I000015TDtR"/>
        <s v="0064L00000CWmrM"/>
        <s v="0064L000009fcp5"/>
        <s v="0064L00000BlMTW"/>
        <s v="0064L00000CXVyX"/>
        <s v="0064L00000B2fVr"/>
        <s v="0064L00000BoMbM"/>
        <s v="0064L00000DJnB5"/>
        <s v="0064L00000BfQTR"/>
        <s v="0064L00000BlQgZ"/>
        <s v="0064L00000BopuC"/>
        <s v="0064L00000CWws7"/>
        <s v="0064L00000Bdeda"/>
        <s v="0064L00000BmFrf"/>
        <s v="0064I00000wx6Is"/>
        <s v="0064L00000CWB1N"/>
        <s v="0064L00000CXfZZ"/>
        <s v="0064L00000DJgl0"/>
        <s v="0064I00000wx6LD"/>
        <s v="0065800000gzS5A"/>
        <s v="0064L00000DJgpC"/>
        <s v="0064L00000CYYCK"/>
        <s v="0064L00000Bm6aB"/>
        <s v="0064L00000Bg62p"/>
        <s v="0064L00000BmYIP"/>
        <s v="0064L00000CWBC3"/>
        <s v="0064L00000Bm6i0"/>
        <s v="0064L00000CYXij"/>
        <s v="0064L00000BopRt"/>
        <s v="0064L00000Bn9oU"/>
        <s v="0064L000003z2nR"/>
        <s v="0064L00000DJWaF"/>
        <s v="0064L000009gJGx"/>
        <s v="0064L00000Blupr"/>
        <s v="0064L00000BlutU"/>
        <s v="0064L00000Bluum"/>
        <s v="0064L000009gKcL"/>
        <s v="0064L00000DBMnu"/>
        <s v="0064L00000CVNPe"/>
        <s v="0064L00000CYEzb"/>
        <s v="0064L00000BeOfX"/>
        <s v="0064L00000DJgMU"/>
        <s v="0064L00000ApgRx"/>
        <s v="0064L000009fXqP"/>
        <s v="0064L000009fXqj"/>
        <s v="0064L00000DJgRj"/>
        <s v="0064L00000DJVQi"/>
        <s v="0064L000002c6pU"/>
        <s v="0064L00000CWbgx"/>
        <s v="0064L00000AqZAu"/>
        <s v="0064L00000CXx1O"/>
        <s v="0064L00000Aqhdi"/>
        <s v="0064L00000Blv2b"/>
        <s v="0064L00000Ar9FT"/>
        <s v="0064L00000DJULN"/>
        <s v="0064L00000DJTnf"/>
        <s v="0064L00000Ar8vx"/>
        <s v="0064L00000BmWFn"/>
        <s v="0064L00000DJTt9"/>
        <s v="0064L00000BmxkM"/>
        <s v="0064L0000099dBJ"/>
        <s v="0064L00000CXdkE"/>
        <s v="0064L00000Bcj55"/>
        <s v="0064L00000Bn6RL"/>
        <s v="0064L00000DFhu8"/>
        <s v="0064L00000DFiWH"/>
        <s v="0064L00000CYvvP"/>
        <s v="0064L00000Bl0S2"/>
        <s v="0064L000007weZq"/>
        <s v="0064L0000099vQ0"/>
        <s v="0064L00000DFjFW"/>
        <s v="0064I000014JPvQ"/>
        <s v="0064L00000BfsSI"/>
        <s v="0064L000006VjzF"/>
        <s v="0064L0000040FOJ"/>
        <s v="0064L00000DFin8"/>
        <s v="0064L000001vvVE"/>
        <s v="0064L000001wFSK"/>
        <s v="0064L00000Bn6kI"/>
        <s v="0064L00000Bl1GX"/>
        <s v="0064L00000BoINz"/>
        <s v="0064L000009g4xX"/>
        <s v="0064L00000CYvMo"/>
        <s v="0064L00000Bm1ia"/>
        <s v="0064L000001vtID"/>
        <s v="0064L00000BeM9G"/>
        <s v="0064L00000BcVuG"/>
        <s v="0064L00000BnWVv"/>
        <s v="0064L00000BmBqi"/>
        <s v="0064L00000DJRf0"/>
        <s v="0064L000003zR8g"/>
        <s v="0064L00000BeMBz"/>
        <s v="0064L00000Bnhaq"/>
        <s v="0064L00000BokmI"/>
        <s v="0064L00000AsJBZ"/>
        <s v="0064L00000AsJBa"/>
        <s v="0064L00000AsJBe"/>
        <s v="0064L00000CXOfQ"/>
        <s v="0064L00000DFW25"/>
        <s v="0064L00000Bn4Pe"/>
        <s v="0064L000001uaFx"/>
        <s v="0064L000004wSfe"/>
        <s v="0064L00000CYC4D"/>
        <s v="0064L00000CWLoW"/>
        <s v="0064L000002LbsC"/>
        <s v="0064L00000B26ko"/>
        <s v="0064L00000BnyGS"/>
        <s v="0064L00000CYdas"/>
        <s v="0064L000001w3Ja"/>
        <s v="0064I00000vQ0BE"/>
        <s v="0064L00000CYvJk"/>
        <s v="0064L000002LbrA"/>
        <s v="0064L000009B8Lo"/>
        <s v="0064L00000CWnE8"/>
        <s v="0065800000jhBEV"/>
        <s v="0064L00000BlOHr"/>
        <s v="0064L00000CWnId"/>
        <s v="0064L00000CVjeV"/>
        <s v="0064L00000CXNhW"/>
        <s v="0064L00000CVYfT"/>
        <s v="0064L00000BoyxM"/>
        <s v="0064I000014MiTe"/>
        <s v="0064L00000CWnPs"/>
        <s v="0064L00000426PN"/>
        <s v="0064L000002La1k"/>
        <s v="0064L00000CWM4s"/>
        <s v="0064L00000BmAZ2"/>
        <s v="0064L00000CWnXG"/>
        <s v="0064L00000AsJ74"/>
        <s v="0064L000009AEYw"/>
        <s v="0064L000002bOFB"/>
        <s v="0064L00000Belmy"/>
        <s v="0064L00000Bo4fx"/>
        <s v="0064L00000Boz22"/>
        <s v="0064L00000Bogp3"/>
        <s v="0064L00000BlpHM"/>
        <s v="0064L000009fT3d"/>
        <s v="0064L00000Bogpm"/>
        <s v="0064L00000CYPiC"/>
        <s v="0064L00000BeZSb"/>
        <s v="0064L00000BnTPV"/>
        <s v="0064L00000BnTQU"/>
        <s v="0064L00000BnTQT"/>
        <s v="0064L00000CVzk9"/>
        <s v="0064L00000BnTSo"/>
        <s v="0064L00000BnTTs"/>
        <s v="0064L00000BnTTr"/>
        <s v="0064L00000BnTV4"/>
        <s v="0064L00000BnTWC"/>
        <s v="0064L00000BnTVT"/>
        <s v="0064L00000BnTVx"/>
        <s v="0064L000002LaOo"/>
        <s v="0064L00000BoXBL"/>
        <s v="0064L00000BoXAh"/>
        <s v="0064L00000CV81J"/>
        <s v="0064L00000BoXBV"/>
        <s v="0064L00000BoXCO"/>
        <s v="0064L00000BoXGQ"/>
        <s v="0064L00000DJPNE"/>
        <s v="0064L00000CVZ9d"/>
        <s v="0064L00000ApquV"/>
        <s v="0064L00000401JV"/>
        <s v="0064L00000B367j"/>
        <s v="0064L00000CXoEY"/>
        <s v="0064L00000B365s"/>
        <s v="0064L000009g0jw"/>
        <s v="0064L00000BmOnD"/>
        <s v="0064L00000BoUyg"/>
        <s v="0064L00000BoUyq"/>
        <s v="0064L00000Bo4ZL"/>
        <s v="0064L00000BnRzR"/>
        <s v="0064L00000BmOy6"/>
        <s v="0064L00000BdFCP"/>
        <s v="0064I00000zTF1x"/>
        <s v="0064L000009ACJB"/>
        <s v="0064I00000qsuVM"/>
        <s v="0064L00000CYqFD"/>
        <s v="0064L00000BdUIu"/>
        <s v="0064L0000098lsC"/>
        <s v="0064L00000BowPi"/>
        <s v="0064L00000Bd405"/>
        <s v="0064L00000BowU4"/>
        <s v="0064L000002aJqk"/>
        <s v="0064L00000BoV4t"/>
        <s v="0064L00000BdDUD"/>
        <s v="0064L00000BdDUR"/>
        <s v="0064L00000BoUWX"/>
        <s v="0064I00000r4Dck"/>
        <s v="0064L00000B1shd"/>
        <s v="0064L00000Bn0UC"/>
        <s v="0064L00000B2vf8"/>
        <s v="0064L000009AE22"/>
        <s v="0064L0000041Bhn"/>
        <s v="0064L00000BoSex"/>
        <s v="0064L00000BmMcX"/>
        <s v="0064L00000BmMcN"/>
        <s v="0064L000007H1F7"/>
        <s v="0064L00000BmMfR"/>
        <s v="0064L00000BoeSZ"/>
        <s v="0064L00000BnbT0"/>
        <s v="0064L00000CYq5m"/>
        <s v="0064L00000BgMDd"/>
        <s v="0064L000009AS3T"/>
        <s v="0064L00000BnRA3"/>
        <s v="0064L00000Bd3Ae"/>
        <s v="0064L00000Bd3DD"/>
        <s v="0064L00000CYpaU"/>
        <s v="0064L00000CXIWx"/>
        <s v="0064L00000Bf6eZ"/>
        <s v="0064L00000Bf6ge"/>
        <s v="0064L00000Bf6go"/>
        <s v="0064L00000Bf6jE"/>
        <s v="0064L00000Bf6kC"/>
        <s v="0064L00000B2SRF"/>
        <s v="0064L00000B2uPo"/>
        <s v="0064L00000CWWf9"/>
        <s v="0064L00000BnqpY"/>
        <s v="0064L00000BnqrF"/>
        <s v="0064L00000CVwHc"/>
        <s v="0064L000003yYa9"/>
        <s v="0064L00000BoArG"/>
        <s v="0064L000003yXvp"/>
        <s v="0064I00000r429B"/>
        <s v="0064L00000BoAz5"/>
        <s v="0064L00000DJkjO"/>
        <s v="0064L00000B2rRD"/>
        <s v="0064L00000CWwyq"/>
        <s v="0064L00000708pF"/>
        <s v="0064L000001uhNO"/>
        <s v="0064L00000BfXVk"/>
        <s v="0064L00000CYnLX"/>
        <s v="0064L00000BoB1V"/>
        <s v="0064L00000Bf76c"/>
        <s v="0064L0000099Z5a"/>
        <s v="0064L00000BdRW5"/>
        <s v="0064L00000BlINe"/>
        <s v="0064L00000ArPhU"/>
        <s v="0064L000001uUuy"/>
        <s v="0064L00000Bf6b5"/>
        <s v="0064L00000BkyWb"/>
        <s v="0064L00000Bf6d2"/>
        <s v="0064L00000CXYvz"/>
        <s v="0064L00000Bg7ct"/>
        <s v="0064L0000040ntd"/>
        <s v="0064L00000BgZJu"/>
        <s v="0064L00000Bg7fx"/>
        <s v="0064L00000Bg7jz"/>
        <s v="0064L000003z9Du"/>
        <s v="0064L00000Aqo8I"/>
        <s v="0064L00000Aqo8J"/>
        <s v="0064L00000BnNEV"/>
        <s v="0064L0000069L8S"/>
        <s v="0064L000003z9Fq"/>
        <s v="0064L00000Bnok2"/>
        <s v="0064L00000BmllF"/>
        <s v="0064L00000Bfgvt"/>
        <s v="0064L00000BoR2b"/>
        <s v="0064I000011oCav"/>
        <s v="0064L00000BoPuI"/>
        <s v="0064L00000AqLc5"/>
        <s v="0064L000009AQPc"/>
        <s v="0064L000009AQPI"/>
        <s v="0064L00000CYn5K"/>
        <s v="0064L00000B2MlF"/>
        <s v="0064L00000DBQNR"/>
        <s v="0064L00000CXG8A"/>
        <s v="0064L00000B2MgK"/>
        <s v="0064L00000DBQXC"/>
        <s v="0064L000001vymS"/>
        <s v="0064L00000Bg7Tr"/>
        <s v="0064L00000Bg7UQ"/>
        <s v="0064L00000Bg7Uk"/>
        <s v="0064L00000Bg7XA"/>
        <s v="0064L00000Bg7Vx"/>
        <s v="0064L00000Bg7ZB"/>
        <s v="0064L00000BlGIX"/>
        <s v="0064L00000CYlQ6"/>
        <s v="0064L0000097c1S"/>
        <s v="0064L000001w8YB"/>
        <s v="0064L000007wWLa"/>
        <s v="0064L00000BgZGl"/>
        <s v="0064L00000CXgRt"/>
        <s v="0065800000jh8OR"/>
        <s v="0064L00000Bm6pu"/>
        <s v="0064L00000BnlzN"/>
        <s v="0064L00000B1mmf"/>
        <s v="0064L00000Apyk5"/>
        <s v="0064L00000DJWfZ"/>
        <s v="0064L000001uy6o"/>
        <s v="0064L00000DJWhL"/>
        <s v="0064L00000BmYZu"/>
        <s v="0064L000002aweh"/>
        <s v="0064L00000DJj0b"/>
        <s v="0064L000004vxy7"/>
        <s v="0064L00000BoOHs"/>
        <s v="0064L00000CYjfi"/>
        <s v="0064L00000BmZGF"/>
        <s v="0064I00000zRgtJ"/>
        <s v="0064L00000CXhHa"/>
        <s v="0064L00000Bp0Qe"/>
        <s v="0064L00000BfDX7"/>
        <s v="0064L00000Bg5xf"/>
        <s v="0064L000007wFhP"/>
        <s v="0064L00000CXVmx"/>
        <s v="0064L00000CXYRX"/>
        <s v="0064L00000BldCh"/>
        <s v="0064L00000Bkua5"/>
        <s v="0064L00000Bp31O"/>
        <s v="0064L000007x987"/>
        <s v="0064L00000BeZTy"/>
        <s v="0064I00001354Bh"/>
        <s v="0064L000009Av59"/>
        <s v="0064L00000CW4wy"/>
        <s v="0064L00000BnFqU"/>
        <s v="0064L0000041AqA"/>
        <s v="0064L00000BlzYY"/>
        <s v="0064L00000BnmhK"/>
        <s v="0064L00000DFlU3"/>
        <s v="0064L00000CXpC9"/>
        <s v="0064L00000BnbUm"/>
        <s v="0064L000009BFS1"/>
        <s v="0064L00000CWcVF"/>
        <s v="0064L00000CWcW2"/>
        <s v="0064L00000CWcVs"/>
        <s v="0064L000003ydjQ"/>
        <s v="0064L00000CWc7u"/>
        <s v="0064L00000BoKSi"/>
        <s v="0064L00000BnhqZ"/>
        <s v="0064L00000Bnznh"/>
        <s v="0064L000002bQcS"/>
        <s v="0064L00000Bn4Y7"/>
        <s v="0064L00000BeLOi"/>
        <s v="0064L00000CXOUF"/>
        <s v="0064L00000AqU4c"/>
        <s v="0064L00000BnC50"/>
        <s v="0064L00000CVEmG"/>
        <s v="0064L00000BoU7w"/>
        <s v="0064L00000Be57T"/>
        <s v="0064L000009Aqrh"/>
        <s v="0064L00000Bmo2m"/>
        <s v="0064L00000BoQId"/>
        <s v="0064L00000Bdb1j"/>
        <s v="0064L00000CGvui"/>
        <s v="0064L00000BoMce"/>
        <s v="0064L00000BmsvJ"/>
        <s v="0064L00000Bl2OC"/>
        <s v="0064L000009fLxm"/>
        <s v="0064L00000ArMmG"/>
        <s v="0064L00000BfeoR"/>
        <s v="0064L00000BoMBd"/>
        <s v="0065800000YciTE"/>
        <s v="0064L0000099y7a"/>
        <s v="0064L000002buXS"/>
        <s v="0064L00000DJg4p"/>
        <s v="0064L00000CWQGd"/>
        <s v="0064L000006jdqQ"/>
        <s v="0064L0000099vQA"/>
        <s v="0064L00000DJdzW"/>
        <s v="0064L00000BlQUE"/>
        <s v="0064L00000DJRo7"/>
        <s v="0064L00000Bd6bt"/>
        <s v="0064L00000BoXh2"/>
        <s v="0064L00000B264P"/>
        <s v="0064L00000Bn2al"/>
        <s v="0064L00000CYPC3"/>
        <s v="0064L000001vqA9"/>
        <s v="0064L000002Zhjz"/>
        <s v="0064L000002ZEh1"/>
        <s v="0064L00000BdEEU"/>
        <s v="0064L00000BoDF0"/>
        <s v="0064L00000Be36S"/>
        <s v="0064L00000BoaHW"/>
        <s v="0064L00000Bfeh6"/>
        <s v="0064L00000CYXgx"/>
        <s v="0064L00000CVipw"/>
        <s v="0064L00000DFaC9"/>
        <s v="0064L00000BnPJ3"/>
        <s v="0064L00000Appel"/>
        <s v="0064L00000DFiWC"/>
        <s v="0064L00000DJTiL"/>
        <s v="0064L00000BkwFn"/>
        <s v="0064L000007wimC"/>
        <s v="0064L00000Bloo0"/>
        <s v="0064L00000CWjsi"/>
        <s v="0064L00000Bfsgo"/>
        <s v="0064L00000DFoXj"/>
        <s v="0064I00000zUIo3"/>
        <s v="0064L00000DFkzF"/>
        <s v="0064L00000BmFx9"/>
        <s v="0064L00000CXwnb"/>
        <s v="0064L00000BoJsP"/>
        <s v="0064L000006ALeb"/>
        <s v="0064L000009AjcV"/>
        <s v="0064L000002La61"/>
        <s v="0064L000003ym5K"/>
        <s v="0064L00000BdUPM"/>
        <s v="0064L00000BmKdO"/>
        <s v="0064L00000BlHkw"/>
        <s v="0064L00000BoQN9"/>
        <s v="0064L000009Ar6I"/>
        <s v="0064L00000BmHnQ"/>
        <s v="0064L00000AqqeH"/>
        <s v="0064L0000041mEf"/>
        <s v="0064L00000Bo6oX"/>
        <s v="0064L00000BnUiJ"/>
        <s v="0064L00000CVxDx"/>
        <s v="0064L000009AURS"/>
        <s v="0064L00000CW0Ri"/>
        <s v="0064L00000BfSuy"/>
        <s v="0064L000002LUQP"/>
        <s v="0064L000004vetW"/>
        <s v="0064L000002bxhT"/>
        <s v="0064L00000CXx2g"/>
        <s v="0064L00000Bmj4s"/>
        <s v="0064L000009fDee"/>
        <s v="0064L00000BgeyO"/>
        <s v="0064L00000BoM0V"/>
        <s v="0064L00000BdLS7"/>
        <s v="0064L00000CXswt"/>
        <s v="0064L00000Bo94I"/>
        <s v="0064L00000BnWUE"/>
        <s v="0064L000009AzdH"/>
        <s v="0064L00000CXtAb"/>
        <s v="0064L000001vQFt"/>
        <s v="0064L00000BoK0Y"/>
        <s v="0064L00000B1T8D"/>
        <s v="0064L00000B1SIW"/>
        <s v="0064L000002La5X"/>
        <s v="0064L00000BdXmq"/>
        <s v="0064L000009fT3x"/>
        <s v="0064I00000y7hYk"/>
        <s v="0064L00000Bo3s7"/>
        <s v="0064L000007xrGp"/>
        <s v="0064L00000BmOyQ"/>
        <s v="0064L000004wpTS"/>
        <s v="0064L00000CWI9y"/>
        <s v="0064L00000CVWCP"/>
        <s v="0064L00000CWkRb"/>
        <s v="0064L000009AfRO"/>
        <s v="0064L00000BeEg6"/>
        <s v="0064L00000BgM8E"/>
        <s v="0064L00000Bey1R"/>
        <s v="0064L00000CVC2f"/>
        <s v="0064L00000DJkvP"/>
        <s v="0064L00000CXiX0"/>
        <s v="0064L000007XqbC"/>
        <s v="0064L00000CXhVc"/>
        <s v="0064L000006BSDi"/>
        <s v="0064L00000CWtz9"/>
        <s v="0064L00000CVs9R"/>
        <s v="0064L00000Bopge"/>
        <s v="0064L00000DBQFS"/>
        <s v="0064L00000Bo14U"/>
        <s v="0064L00000CX7s6"/>
        <s v="0064L00000DBOFa"/>
        <s v="0064L00000CXO3A"/>
        <s v="0064L00000CYHWI"/>
        <s v="0064L00000DJXME"/>
        <s v="0064L00000CVW7P"/>
        <s v="0064L00000BoUrk"/>
        <s v="0064L00000DFcoe"/>
        <s v="0064L00000Bepcp"/>
        <s v="0064L00000DJVb7"/>
        <s v="0064L00000ApghM"/>
        <s v="0064L00000DJglA"/>
        <s v="0064L00000DJVlR"/>
        <s v="0064L00000AqHrG"/>
        <s v="0064L00000ArmxZ"/>
        <s v="0064L00000BmjHc"/>
        <s v="0064L00000BlgIJ"/>
        <s v="0064L000002LV3l"/>
        <s v="0064L00000BnmSy"/>
        <s v="0064L000002c6TJ"/>
        <s v="0064L00000CYYR5"/>
        <s v="0064L000002bvx8"/>
        <s v="0064L000009fIDi"/>
        <s v="0064L000009AMUY"/>
        <s v="0064L00000Bftfc"/>
        <s v="0064L00000Bl39c"/>
        <s v="0064L00000BoMGY"/>
        <s v="0064L000002ZNbR"/>
        <s v="0064L0000099F53"/>
        <s v="0064L00000DFZmf"/>
        <s v="0064L00000BnIs8"/>
        <s v="0064L000001tNDS"/>
        <s v="0064L00000CX0mg"/>
        <s v="0064L00000DJUK0"/>
        <s v="0064L00000BnYaP"/>
        <s v="0064L00000BnYaO"/>
        <s v="0064L00000BnYad"/>
        <s v="0064L00000BnYbX"/>
        <s v="0064L00000BnYbW"/>
        <s v="0064L00000BnYe6"/>
        <s v="0064L00000BnYek"/>
        <s v="0064L00000BnYfO"/>
        <s v="0064L0000099Akj"/>
        <s v="0064L00000DJg4f"/>
        <s v="0064L00000DJg75"/>
        <s v="0064L00000B1WJZ"/>
        <s v="0064L00000CYTtT"/>
        <s v="0064L000009f4q6"/>
        <s v="0064L00000CYEHc"/>
        <s v="0064L00000Bol97"/>
        <s v="0064L000009BJoX"/>
        <s v="0064L000002bc9p"/>
        <s v="0064L000004wtgW"/>
        <s v="0064L00000CXQUF"/>
        <s v="0064L00000CWotq"/>
        <s v="0064L000009fvLh"/>
        <s v="0064L000009Ahsv"/>
        <s v="0064L000001vPmD"/>
        <s v="0064L00000AsJBG"/>
        <s v="0064L00000AsJCI"/>
        <s v="0064L00000BmAl3"/>
        <s v="0064L00000BnxZ7"/>
        <s v="0064L00000ArFmO"/>
        <s v="0064L00000ArFrd"/>
        <s v="0064I00000y8hgZ"/>
        <s v="0064L00000CVjjQ"/>
        <s v="0064L000009epgT"/>
        <s v="0064L00000BnDYX"/>
        <s v="0064I000015TDc0"/>
        <s v="0064L00000CXpEA"/>
        <s v="0064L00000CYPee"/>
        <s v="0064L0000098oJl"/>
        <s v="0064L000004x2ey"/>
        <s v="0064L00000Bnw7t"/>
        <s v="0064L00000Bn0gI"/>
        <s v="0064L000009B6CV"/>
        <s v="0064L00000DFT4I"/>
        <s v="0064L00000BfmgM"/>
        <s v="0064L00000BowLR"/>
        <s v="0064L00000B36QW"/>
        <s v="0064L00000BdDSp"/>
        <s v="0064L00000BdDUC"/>
        <s v="0064L00000Be5wC"/>
        <s v="0064L00000BnRVp"/>
        <s v="0064L000003ymG8"/>
        <s v="0064L00000CVz2s"/>
        <s v="0064L0000070qSm"/>
        <s v="0064L00000BeHFw"/>
        <s v="0064L000001uk6q"/>
        <s v="0064L00000Bei8Q"/>
        <s v="0064L00000Bllnl"/>
        <s v="0064L000009AtWN"/>
        <s v="0064L000007FLRr"/>
        <s v="0064L00000BnbXv"/>
        <s v="0064L00000BezDn"/>
        <s v="0064L00000BoSKO"/>
        <s v="0064L00000B2BLN"/>
        <s v="0064L00000BnrY9"/>
        <s v="0064L000004vZhB"/>
        <s v="0064L000009B4HY"/>
        <s v="0064L00000CXZ8n"/>
        <s v="0064L00000Bp2ed"/>
        <s v="0064L00000BewS5"/>
        <s v="0064L00000CXjhB"/>
        <s v="0064L00000DJkzq"/>
        <s v="0064L00000CX7ge"/>
        <s v="0064L00000BoB6u"/>
        <s v="0064L00000BoB8M"/>
        <s v="0064L00000CWFQQ"/>
        <s v="0064L000009fmLw"/>
        <s v="0064L00000Bg7dc"/>
        <s v="0064L00000DJZFo"/>
        <s v="0064L00000Bm9VY"/>
        <s v="0064L00000CXWuv"/>
        <s v="0064L00000BlGWK"/>
        <s v="0064L000001ugwh"/>
        <s v="0064L000007wHmj"/>
        <s v="0064L00000CXgxp"/>
        <s v="0064L00000BlEz0"/>
        <s v="0064L000006BSLM"/>
        <s v="0064L00000B1ZoG"/>
        <s v="0064L00000BnoZi"/>
        <s v="0064L00000DJXBa"/>
        <s v="0064L00000ApykP"/>
        <s v="0064L00000BoOA3"/>
        <s v="0064L00000CYIAD"/>
        <s v="0064L000009ezYu"/>
        <s v="0064L00000BoOK8"/>
        <s v="0064L00000Bp16G"/>
        <s v="0064L00000Bp14y"/>
        <s v="0064L000006BRxv"/>
        <s v="0064L00000CXWNy"/>
        <s v="0064L0000099GVC"/>
        <s v="0064L000004xZ2r"/>
        <s v="0065800000Yb5j6"/>
        <s v="0064L000009B2Hg"/>
        <s v="0064L000009BA7K"/>
        <s v="0064L00000BmJwV"/>
        <s v="0064L000002ben0"/>
        <s v="0064L00000BmtGM"/>
        <s v="0064L00000DFiLi"/>
        <s v="0064L00000BgC2v"/>
        <s v="0064L00000BfedE"/>
        <s v="0064L00000BeFBn"/>
        <s v="0064L00000BfFsf"/>
        <s v="0064L00000ApllM"/>
        <s v="0064L00000Blzob"/>
        <s v="0064L00000CYIK2"/>
        <s v="0064L00000CYINB"/>
        <s v="0064L00000Blgng"/>
        <s v="0064L00000Boq3Y"/>
        <s v="0064L00000DJgVC"/>
        <s v="0064L000006z0BY"/>
        <s v="0064L00000BfAHz"/>
        <s v="0064L00000Aq6PP"/>
        <s v="0064L00000BeoaO"/>
        <s v="0064L00000DJeGS"/>
        <s v="0064L00000CYC9g"/>
        <s v="0064L00000BoX5X"/>
        <s v="0064L00000Bogye"/>
        <s v="0064L000002YvUb"/>
        <s v="0064L00000CV60i"/>
        <s v="0064L00000BogF5"/>
        <s v="0064L00000ArD6Q"/>
        <s v="0064L000009A0zZ"/>
        <s v="0064L00000BmKLe"/>
        <s v="0064L00000BdRZ9"/>
        <s v="0064L00000CWBN2"/>
        <s v="0064L00000CZ1FU"/>
        <s v="0064L000009A3ee"/>
        <s v="0064L00000DFaH4"/>
        <s v="0064L00000BlzXa"/>
        <s v="0064L00000DJX9y"/>
        <s v="0064L00000BnwJG"/>
        <s v="0064L00000BoeXP"/>
        <s v="0064L0000040jXH"/>
        <s v="0064L00000CXQwB"/>
        <s v="0064L00000BoPRU"/>
        <s v="0064L00000CWwzU"/>
        <s v="0064L00000Blak2"/>
        <s v="0064L00000B2wCq"/>
        <s v="0064L00000CXVGz"/>
        <s v="0064L00000CXSKp"/>
        <s v="0064L00000DJTkg"/>
        <s v="0064L00000Apeyd"/>
        <s v="0064L000001vg1E"/>
        <s v="0064I000014LiXS"/>
        <s v="0064L00000DJU0e"/>
        <s v="0064L00000CXSFh"/>
        <s v="0064L00000BcWTI"/>
        <s v="0064L00000CXtD7"/>
        <s v="0064L00000BnToQ"/>
        <s v="0064L000009BHba"/>
        <s v="0064L000001w0o6"/>
        <s v="0064L00000ArDTy"/>
        <s v="0064L00000BeHEp"/>
        <s v="0064L00000BoD2Q"/>
        <s v="0064L00000Blm2d"/>
        <s v="0064L00000BmKaK"/>
        <s v="0064L00000CWhUl"/>
        <s v="0064L00000CXhVS"/>
        <s v="0064L000002b5je"/>
        <s v="0064L00000BgZFe"/>
        <s v="0064L00000BecI0"/>
        <s v="0064L00000CY8Fi"/>
        <s v="0064L00000BewSZ"/>
        <s v="0064L00000BosDp"/>
        <s v="0064L00000CX0t4"/>
        <s v="0064L00000BoBCx"/>
        <s v="0064L00000Bl3T3"/>
        <s v="0064L00000BlKKD"/>
        <s v="0064L00000BotY0"/>
        <s v="0064L00000BlHmT"/>
        <s v="0064L00000Bopnz"/>
        <s v="0064L00000Bp2wO"/>
        <s v="0064L00000CYwxl"/>
        <s v="0064L00000CX1LW"/>
        <s v="0064L00000DFiDt"/>
        <s v="0064L00000CX4VO"/>
        <s v="0064L00000Apeyo"/>
        <s v="0064L00000Bm1tX"/>
        <s v="0064I00000wx6N4"/>
        <s v="0064L000009fj8j"/>
        <s v="0064L00000DJi9I"/>
        <s v="0064L00000Bm6gJ"/>
        <s v="0064L00000CXwnW"/>
        <s v="0064L000002ast1"/>
        <s v="0064L00000DJW0C"/>
        <s v="0064L00000BeOxv"/>
        <s v="0064L00000CYwvQ"/>
        <s v="0064L000004xH8O"/>
        <s v="0064L00000CX0rg"/>
        <s v="0064L00000Bnjgi"/>
        <s v="0064L00000DJTt4"/>
        <s v="0064L00000BmTnD"/>
        <s v="0064L0000098sWT"/>
        <s v="0064L000003zU5f"/>
        <s v="0064L00000BgC5B"/>
        <s v="0064L000009AHiG"/>
        <s v="0064L00000DJbg8"/>
        <s v="0064L00000BnyHL"/>
        <s v="0064L000002Lbr9"/>
        <s v="0064L00000Bo72K"/>
        <s v="0064L00000BoyxW"/>
        <s v="0064L00000Blr8H"/>
        <s v="0064L000009AUnn"/>
        <s v="0064L00000CYbJn"/>
        <s v="0064I00000qsg4K"/>
        <s v="0064L000004wu44"/>
        <s v="0064L000009A5Qe"/>
        <s v="0064L00000B362y"/>
        <s v="0064L00000BmPWD"/>
        <s v="0064L00000CVj4m"/>
        <s v="0064L000009ASER"/>
        <s v="0064L00000BfZhE"/>
        <s v="0064L00000BezJ7"/>
        <s v="0064L000006ijSv"/>
        <s v="0064L00000Bo0xx"/>
        <s v="0064L00000DFPZq"/>
        <s v="0064L00000BoQbL"/>
        <s v="0064L00000BmKJO"/>
        <s v="0064L00000BoQTg"/>
        <s v="0064L00000Borux"/>
        <s v="0064L000009flIy"/>
        <s v="0064L00000Bm8eQ"/>
        <s v="0064L00000Bfeay"/>
        <s v="0064L000007xmOS"/>
        <s v="0064L00000CY88Y"/>
        <s v="0064L00000CYHXt"/>
        <s v="0064L00000CWtxc"/>
        <s v="0064L00000BcmeU"/>
        <s v="0064L000006Um3X"/>
        <s v="0064L000007x9PD"/>
        <s v="0064L00000Arvr6"/>
        <s v="0064L00000CYFQO"/>
        <s v="0064L00000DFerk"/>
        <s v="0064L00000BnbXW"/>
        <s v="0064L000006gtkN"/>
        <s v="0064L00000BgBWu"/>
        <s v="0064L00000BecCb"/>
        <s v="0064L00000BlHih"/>
        <s v="0064L000009AOWH"/>
        <s v="0064L00000CW0S7"/>
        <s v="0064L00000CV9BP"/>
        <s v="0064L00000CXgRe"/>
        <s v="0064L00000B2Mdz"/>
        <s v="0064I00000wx6Py"/>
        <s v="0064L000009BO8R"/>
        <s v="0064L00000BoUgh"/>
        <s v="0064L000007x7Au"/>
        <s v="0064L00000CXRKD"/>
        <s v="0064L000009BHYv"/>
        <s v="0064L000009BHES"/>
        <s v="0064L000002cHGP"/>
        <s v="0064L00000CYYLC"/>
        <s v="0064L00000994DI"/>
        <s v="0064L00000BoKhm"/>
        <s v="0064L00000BfrvO"/>
        <s v="0064L00000DFimU"/>
        <s v="0064L00000AqwxD"/>
        <s v="0064L00000Bo2Ki"/>
        <s v="0064L00000Bnqzd"/>
        <s v="0064L00000Blk0O"/>
        <s v="0064L00000CXHLt"/>
        <s v="0064L000004xNLF"/>
        <s v="0064L00000CVOkx"/>
        <s v="0064L00000Bl6MP"/>
        <s v="0064L00000BluXE"/>
        <s v="0064L00000BlbNn"/>
        <s v="0064L00000BeZhM"/>
        <s v="0064L00000DJkkl"/>
        <s v="0064L00000CY8J6"/>
        <s v="0064L000009fVUq"/>
        <s v="0064L00000DFaG1"/>
        <s v="0064L00000CYXYy"/>
        <s v="0064L00000Bgf1N"/>
        <s v="0064L00000CXr6X"/>
        <s v="0064L00000Blor9"/>
        <s v="0064L0000099B2Y"/>
        <s v="0064L00000CWpRA"/>
        <s v="0064L00000Bono2"/>
        <s v="0064L00000BoeQ8"/>
        <s v="0064L00000DFlnK"/>
        <s v="0064L00000BnoDC"/>
        <s v="0064L00000Bnmef"/>
        <s v="0064L00000DJmgb"/>
        <s v="0064L00000B32xx"/>
        <s v="0064L00000DJnIu"/>
        <s v="0064L00000CWWsZ"/>
        <s v="0064L00000CWzZW"/>
        <s v="0064L00000AqqSo"/>
        <s v="0064L00000Bf5cg"/>
        <s v="0064L00000BocDC"/>
        <s v="0064L000003z8MM"/>
        <s v="0064L00000Be3G3"/>
        <s v="0064L00000CVC5P"/>
        <s v="0064L00000BdQgd"/>
        <s v="0064L0000098xiM"/>
        <s v="0064L00000CXZAZ"/>
        <s v="0064L00000Bevp3"/>
        <s v="0064L000001wLLe"/>
        <s v="0064L0000041a3p"/>
        <s v="0064L00000Bou1M"/>
        <s v="0064L00000DFqLk"/>
        <s v="0064L00000Bou1q"/>
        <s v="0064L00000CX7al"/>
        <s v="0064L00000Boboh"/>
        <s v="0064L00000CVucf"/>
        <s v="0064L00000Bf75Z"/>
        <s v="0064L000001ugmD"/>
        <s v="0064L00000B1na6"/>
        <s v="0064L00000CYnO7"/>
        <s v="0064L00000B0jzU"/>
        <s v="0064L00000Bnps2"/>
        <s v="0064L000001uhAA"/>
        <s v="0064L00000BeV9J"/>
        <s v="0064L000001wLE9"/>
        <s v="0064L00000BlHkS"/>
        <s v="0064I0000135A1Q"/>
        <s v="0064L00000BoB6f"/>
        <s v="0064L00000CXjs4"/>
        <s v="0064L00000CXjs9"/>
        <s v="0064L00000CXjrB"/>
        <s v="0064L00000CXjsT"/>
        <s v="0064L00000CXjra"/>
        <s v="0064L00000CW5NQ"/>
        <s v="0064L00000CW4q0"/>
        <s v="0064L00000CXYv6"/>
        <s v="0064L00000CVw5i"/>
        <s v="0064L00000B2P1j"/>
        <s v="0064L000004yrPc"/>
        <s v="0064L00000CXZXb"/>
        <s v="0064L000009Abal"/>
        <s v="0064L00000BgZHo"/>
        <s v="0064L00000BgZHt"/>
        <s v="0064L0000041aWx"/>
        <s v="0064L00000BlXVJ"/>
        <s v="0064L00000CXFtU"/>
        <s v="0064L000009foOJ"/>
        <s v="0064L00000CWg6v"/>
        <s v="0064L00000BoQDE"/>
        <s v="0064L00000BmmAe"/>
        <s v="0064L00000CVS8F"/>
        <s v="0064L00000DJZNx"/>
        <s v="0064L00000DJYo4"/>
        <s v="0064L00000CVby5"/>
        <s v="0064L00000BmKCX"/>
        <s v="0064L000002ZAuD"/>
        <s v="0064L00000BmKFb"/>
        <s v="0064L00000BoQP5"/>
        <s v="0064L000009Aapu"/>
        <s v="0064L00000CXjKR"/>
        <s v="0064L00000Bg7xD"/>
        <s v="0064L000009B1kh"/>
        <s v="0064L00000Be33y"/>
        <s v="0064L00000Bg7z9"/>
        <s v="0064L00000Bg7zd"/>
        <s v="0064I000011pFhK"/>
        <s v="0064L00000Bmlr3"/>
        <s v="0064L00000997wO"/>
        <s v="0064L00000BmlsG"/>
        <s v="0064L00000CYlt3"/>
        <s v="0064L000004yakO"/>
        <s v="0064L000007wILe"/>
        <s v="0064L000007wIMD"/>
        <s v="0064L00000Bkwqy"/>
        <s v="0064L00000BoPyd"/>
        <s v="0064L00000CXYSp"/>
        <s v="0064L0000041PAv"/>
        <s v="0064L00000BnMxx"/>
        <s v="0064L00000DJkfI"/>
        <s v="0064L00000AplKQ"/>
        <s v="0064L00000ArQ0H"/>
        <s v="0064L00000CWCP6"/>
        <s v="0064L00000CWCOc"/>
        <s v="0064L00000CXFVD"/>
        <s v="0064L000002a2gX"/>
        <s v="0064L00000BfUhT"/>
        <s v="0064L00000ArNSM"/>
        <s v="0064L00000BfUiR"/>
        <s v="0064L00000BlEyC"/>
        <s v="0064L000006BSLN"/>
        <s v="0064L00000DBQXH"/>
        <s v="0064L00000Bp0iE"/>
        <s v="0064L000002Zqtz"/>
        <s v="0064L00000BlWcT"/>
        <s v="0064L00000BorMl"/>
        <s v="0064L000007ubN3"/>
        <s v="0064L00000BliKg"/>
        <s v="0064L00000CVsdl"/>
        <s v="0064L00000B2MWP"/>
        <s v="0064L00000DBQbn"/>
        <s v="0064L000009gLRd"/>
        <s v="0064L000007xYwY"/>
        <s v="0064L000009fl2C"/>
        <s v="0064L000002a329"/>
        <s v="0065800000YZfTN"/>
        <s v="0064L000002ZaCx"/>
        <s v="0064L00000BosB0"/>
        <s v="0064L000001uxOm"/>
        <s v="0064L00000BkuS1"/>
        <s v="0064L000002bzoh"/>
        <s v="0064L00000CWtsI"/>
        <s v="0064L00000BfefV"/>
        <s v="0064L000002bjU2"/>
        <s v="0064L000007wihv"/>
        <s v="0064L00000BfejH"/>
        <s v="0064L00000Bl59K"/>
        <s v="0064L00000CGwMI"/>
        <s v="0064L00000CVOu4"/>
        <s v="0064L00000CGwQQ"/>
        <s v="0064L00000BnnFq"/>
        <s v="0064L00000BopkH"/>
        <s v="0064L00000Bmjeb"/>
        <s v="0064L00000BkuaP"/>
        <s v="0064L00000DJXR4"/>
        <s v="0064L00000CGwSb"/>
        <s v="0064L00000CWAzs"/>
        <s v="0064L00000BfUR6"/>
        <s v="0064L00000Bp0LK"/>
        <s v="0064L000002aCwj"/>
        <s v="0064L000003zWza"/>
        <s v="0064L00000BoNlD"/>
        <s v="0064L00000BoNke"/>
        <s v="0064L00000CWTAJ"/>
        <s v="0064L00000CGwVG"/>
        <s v="0064L000009BANw"/>
        <s v="0064L000009BANx"/>
        <s v="0064I00000y8sSX"/>
        <s v="0064L00000BoprS"/>
        <s v="0064L00000CY8IX"/>
        <s v="0064L00000CXWIy"/>
        <s v="0064L00000CWTH0"/>
        <s v="0064L00000CY8L1"/>
        <s v="0064L00000BlEiT"/>
        <s v="0064L00000ArNF8"/>
        <s v="0064L00000ArNEy"/>
        <s v="0064I0000132VJk"/>
        <s v="0064L000009AOG9"/>
        <s v="0064L00000Bopyx"/>
        <s v="0064L000001uezZ"/>
        <s v="0064L00000B2oqP"/>
        <s v="0064L00000ArMkF"/>
        <s v="0064L00000CXfRB"/>
        <s v="0064L000004vBox"/>
        <s v="0064L00000CWcNM"/>
        <s v="0064L00000Blx58"/>
        <s v="0064L00000DJVbR"/>
        <s v="0064L00000AqjjT"/>
        <s v="0064L00000DJVcA"/>
        <s v="0064L00000Bn9W1"/>
        <s v="0064L00000CXCrU"/>
        <s v="0064L00000Bg4eK"/>
        <s v="0064L000002aAk1"/>
        <s v="0064L000004xHyF"/>
        <s v="0064L00000DJVi8"/>
        <s v="0064L00000CWB5H"/>
        <s v="0064L0000099vwG"/>
        <s v="0064L000002bwfo"/>
        <s v="0064L00000BcmFt"/>
        <s v="0064L00000BgVnh"/>
        <s v="0064L00000AqHsY"/>
        <s v="0064L000002cHGj"/>
        <s v="0064L000002aS5V"/>
        <s v="0064L00000BnmKa"/>
        <s v="0064L00000BfvUJ"/>
        <s v="0064L00000CXwfN"/>
        <s v="0064L00000BopRP"/>
        <s v="0064L0000099DOl"/>
        <s v="0064L00000CWBCJ"/>
        <s v="0064L00000CWBE7"/>
        <s v="0064L0000068uh9"/>
        <s v="0064L00000CWBBy"/>
        <s v="0064L000009Ama3"/>
        <s v="0064L00000DJVyf"/>
        <s v="0064L000009f6GA"/>
        <s v="0064L00000CWBFZ"/>
        <s v="0064L00000CWBGI"/>
        <s v="0064L00000CWBGm"/>
        <s v="0064L00000CXgNc"/>
        <s v="0064L00000CX3jk"/>
        <s v="0064L00000Bp09O"/>
        <s v="0064L00000CY81i"/>
        <s v="0064L00000BoO9Z"/>
        <s v="0064L00000CYxsN"/>
        <s v="0064L00000B2Lk6"/>
        <s v="0064L00000CWQLN"/>
        <s v="0064L00000CYFOm"/>
        <s v="0064L00000BoM8o"/>
        <s v="0064L0000099hBF"/>
        <s v="0064L00000BeNzb"/>
        <s v="0064L00000BoM9w"/>
        <s v="0064L0000099hAC"/>
        <s v="0064L00000BksS9"/>
        <s v="0064L00000AqzoO"/>
        <s v="0064L0000099F7Y"/>
        <s v="0064L000004wyq0"/>
        <s v="0064I000011ot7u"/>
        <s v="0064L00000BcZa3"/>
        <s v="0064L00000BgVKu"/>
        <s v="0064L00000DJgKx"/>
        <s v="0064L00000DFlCJ"/>
        <s v="0064L0000040jlU"/>
        <s v="0064L00000Apwrb"/>
        <s v="0064L00000DJfnj"/>
        <s v="0064L0000041LKr"/>
        <s v="0064L00000DFke8"/>
        <s v="0064L00000DJfnZ"/>
        <s v="0064L00000DJfo8"/>
        <s v="0064L00000CW07i"/>
        <s v="0064L00000DJfpL"/>
        <s v="0064L00000BonjC"/>
        <s v="0064L000009BOl0"/>
        <s v="0064L00000DJfox"/>
        <s v="0064L00000DJfow"/>
        <s v="0064L00000DJVRb"/>
        <s v="0064L00000BlDBT"/>
        <s v="0064L000002ZNgv"/>
        <s v="0064L00000DJfxA"/>
        <s v="0064L00000CYWj7"/>
        <s v="0064L000001w86l"/>
        <s v="0064L000001w86g"/>
        <s v="0064L000002aBQS"/>
        <s v="0064L00000Bg4Zo"/>
        <s v="0064L00000DFZpj"/>
        <s v="0064L00000CVOG4"/>
        <s v="0064L00000DFlRt"/>
        <s v="0064L00000BmXPj"/>
        <s v="0064L00000CXg0J"/>
        <s v="0064L00000Bm4LJ"/>
        <s v="0064L000004xY6u"/>
        <s v="0064L000003zeDu"/>
        <s v="0064L000006CQkc"/>
        <s v="0064L00000Ar8fL"/>
        <s v="0064L00000DBMJp"/>
        <s v="0064L000004vQr7"/>
        <s v="0064L00000Blv8K"/>
        <s v="0064L000001vw07"/>
        <s v="0064L00000ApehX"/>
        <s v="0064L00000CX0pp"/>
        <s v="0064L000004vtJ5"/>
        <s v="0064L00000B1X3N"/>
        <s v="0064L00000Ar9Sm"/>
        <s v="0064L00000BcZFA"/>
        <s v="0064L00000BgerD"/>
        <s v="0064L000002btvx"/>
        <s v="0064L00000BnkHj"/>
        <s v="0064L000009g7Nn"/>
        <s v="0064L00000ArJXc"/>
        <s v="0064L00000BlSbR"/>
        <s v="0064I00000qskN6"/>
        <s v="0064L00000BnYiD"/>
        <s v="0064L00000ApwZX"/>
        <s v="0064L00000Apey5"/>
        <s v="0064L00000CXdel"/>
        <s v="0064L0000099dCz"/>
        <s v="0064L000009gHFL"/>
        <s v="0064L000009AIWB"/>
        <s v="0064L0000099dC6"/>
        <s v="0064L0000099dC7"/>
        <s v="0064L00000CWQHC"/>
        <s v="0064L00000CXdm4"/>
        <s v="0064L0000041ivl"/>
        <s v="0064L00000ApwcH"/>
        <s v="0064L00000BmVno"/>
        <s v="0064L0000099dDi"/>
        <s v="0064L00000BmVnt"/>
        <s v="0064L00000Bo9Oh"/>
        <s v="0064L00000DFiQ9"/>
        <s v="0064L000004vC26"/>
        <s v="0064L00000DFiPp"/>
        <s v="0064L00000Bo9QO"/>
        <s v="0064L00000BoK4G"/>
        <s v="0064L00000BmTnI"/>
        <s v="0064L000006CT05"/>
        <s v="0064L00000CVmhm"/>
        <s v="0064L00000CXsnX"/>
        <s v="0064L00000BoZvz"/>
        <s v="0064L000009A9tG"/>
        <s v="0064L00000CXd3b"/>
        <s v="0064L00000BmTui"/>
        <s v="0064L00000Bnhyx"/>
        <s v="0064L00000DFiZB"/>
        <s v="0064L00000CVmna"/>
        <s v="0064L00000CX0Po"/>
        <s v="0064L00000DJdeY"/>
        <s v="0064L00000CXswA"/>
        <s v="0064L00000DJdgK"/>
        <s v="0064L00000B174p"/>
        <s v="0064L00000BoldC"/>
        <s v="0064L00000BgCJX"/>
        <s v="0064L000009AmHB"/>
        <s v="0064L00000B2JUG"/>
        <s v="0064L00000BldAC"/>
        <s v="0064L000003z30Q"/>
        <s v="0064L00000DJeNs"/>
        <s v="0064L00000BgeRo"/>
        <s v="0064L000004xHHu"/>
        <s v="0064L00000B2m4E"/>
        <s v="0064L00000BfA26"/>
        <s v="0064L00000DFigg"/>
        <s v="0064L00000BldDV"/>
        <s v="0064L00000BfsSr"/>
        <s v="0064L00000Bn7Fk"/>
        <s v="0064L000004vB8X"/>
        <s v="0064L00000DFijz"/>
        <s v="0064L000009AJXK"/>
        <s v="0064L00000DFimF"/>
        <s v="0064L00000Bczoo"/>
        <s v="0064L00000DFimt"/>
        <s v="0064L00000BnZ2E"/>
        <s v="0064L000002b1mq"/>
        <s v="0064L0000099R7b"/>
        <s v="0064L000009fSxp"/>
        <s v="0064L00000Bm2IN"/>
        <s v="0064L00000Bm1iZ"/>
        <s v="0064L00000Bnxrz"/>
        <s v="0064L000007wQWu"/>
        <s v="0064L000004wSQF"/>
        <s v="0064L00000BoZZF"/>
        <s v="0064L00000BoZZa"/>
        <s v="0064L00000BnFUx"/>
        <s v="0064L00000DJdD8"/>
        <s v="0064L00000CYU5P"/>
        <s v="0064L0000099ao4"/>
        <s v="0064L00000BoZZZ"/>
        <s v="0064L00000CXt5l"/>
        <s v="0064L00000B1fUt"/>
        <s v="0064L000001vPz2"/>
        <s v="0064L000004xEFH"/>
        <s v="0064L00000CWot2"/>
        <s v="0064L000001vPyx"/>
        <s v="0064L00000BolAK"/>
        <s v="0064L000009BJg4"/>
        <s v="0064L00000B0u0o"/>
        <s v="0064L000009f2KL"/>
        <s v="0064L00000DJRfF"/>
        <s v="0064L00000ArjQw"/>
        <s v="0064L00000ArHNu"/>
        <s v="0064L00000BeMCO"/>
        <s v="0064L00000DJRfj"/>
        <s v="0064L00000CWpVj"/>
        <s v="0064L00000Aqh3B"/>
        <s v="0064L00000Bm2Yk"/>
        <s v="0064L000003zbKx"/>
        <s v="0064L00000Aqy95"/>
        <s v="0064L00000BgAmS"/>
        <s v="0064L00000BolHl"/>
        <s v="0064I00000r3ylO"/>
        <s v="0064L00000DJe1w"/>
        <s v="0064L00000CXtDG"/>
        <s v="0064L00000BmTdr"/>
        <s v="0064L00000DFiJ8"/>
        <s v="0064L000002Yz0o"/>
        <s v="0064L00000CY3C3"/>
        <s v="0064L000002Lc00"/>
        <s v="0064L00000CY3EO"/>
        <s v="0064L00000Apcyv"/>
        <s v="0064L00000CXRGb"/>
        <s v="0064I00000y6rcY"/>
        <s v="0064L00000BgBZ0"/>
        <s v="0064L00000Aq2Za"/>
        <s v="0064L00000BfMvB"/>
        <s v="0064L00000DJbZR"/>
        <s v="0064L0000099RW8"/>
        <s v="0064L00000BnDlx"/>
        <s v="0064L00000CYSNR"/>
        <s v="0064L0000098NxZ"/>
        <s v="0064L00000DFUq8"/>
        <s v="0064L00000BoXu1"/>
        <s v="0064L00000BoXu6"/>
        <s v="0064L00000CY0l5"/>
        <s v="0064L00000Bo6qx"/>
        <s v="0064L00000BoXvi"/>
        <s v="0064L00000BoXvx"/>
        <s v="0064L00000BoXvy"/>
        <s v="0064L000009fg84"/>
        <s v="0064L00000BmBS7"/>
        <s v="0064L00000BoGxp"/>
        <s v="0064L00000Bm25i"/>
        <s v="0064L00000B0v3F"/>
        <s v="0064L0000099RFV"/>
        <s v="0064L000009fUMc"/>
        <s v="0064L00000CYAyV"/>
        <s v="0064L000004vac7"/>
        <s v="0064L00000CYeBS"/>
        <s v="0064L00000CWLwj"/>
        <s v="0064L00000BoZI4"/>
        <s v="0064L00000BcVi0"/>
        <s v="0064L00000CYBdL"/>
        <s v="0064L00000Blacw"/>
        <s v="0064L0000099RDP"/>
        <s v="0064L00000BgB5y"/>
        <s v="0064L00000Bfa5w"/>
        <s v="0064L00000CYvLD"/>
        <s v="0064I00000zUfsV"/>
        <s v="0064L00000BoHnD"/>
        <s v="0064L00000B2yAr"/>
        <s v="0064L00000Bfp7X"/>
        <s v="0064L00000BnvnP"/>
        <s v="0064L00000BoXNq"/>
        <s v="0064L000009AEea"/>
        <s v="0064L000009A5Dk"/>
        <s v="0064L000009g2wT"/>
        <s v="0064L000009B8HX"/>
        <s v="0064L00000BekvP"/>
        <s v="0064L00000CY0Gq"/>
        <s v="0064L000007wOUn"/>
        <s v="0064L00000AqdbB"/>
        <s v="0064L00000CVZDa"/>
        <s v="0064L00000Bnvs0"/>
        <s v="0064L00000CWnIY"/>
        <s v="0064L00000B1T54"/>
        <s v="0064L00000CXNhq"/>
        <s v="0064L000007txdz"/>
        <s v="0064L00000CY0LC"/>
        <s v="0064L00000BnTsI"/>
        <s v="0064L00000BoXW9"/>
        <s v="0064L00000CVjjG"/>
        <s v="0064L00000Bo76b"/>
        <s v="0064L00000CWmnU"/>
        <s v="0064L000001vpz6"/>
        <s v="0064L00000DJbCI"/>
        <s v="0064L00000CYB4i"/>
        <s v="0064L00000Aqdiq"/>
        <s v="0064L00000CYB5M"/>
        <s v="0064L00000CYB4j"/>
        <s v="0064L000004yDzL"/>
        <s v="0064L0000041erN"/>
        <s v="0064L00000BnEAH"/>
        <s v="0064L00000DJbNB"/>
        <s v="0064L00000Belju"/>
        <s v="0064L00000B2fbz"/>
        <s v="0064L00000Blqae"/>
        <s v="0064L00000Apc6F"/>
        <s v="0064L00000BfMoB"/>
        <s v="0064L000003zpgD"/>
        <s v="0064L000009frxp"/>
        <s v="0064L00000BojO0"/>
        <s v="0064L00000BdGjy"/>
        <s v="0064L00000Ar4xp"/>
        <s v="0064L000004wtP6"/>
        <s v="0064L00000CXpDg"/>
        <s v="0064L00000BoFIp"/>
        <s v="0064L00000DFSeZ"/>
        <s v="0064L00000Bo4gv"/>
        <s v="0064L00000CXpDq"/>
        <s v="0064L00000B2FXy"/>
        <s v="0064L00000CXokj"/>
        <s v="0064L00000B2Vw2"/>
        <s v="0064L000002YyBn"/>
        <s v="0064L00000CYPoY"/>
        <s v="0064L00000BcTUs"/>
        <s v="0064L00000CYPqK"/>
        <s v="0064L00000CXpSM"/>
        <s v="0064L000009BJFS"/>
        <s v="0064L00000CXou0"/>
        <s v="0064L00000CVzpG"/>
        <s v="0064L00000Bndzc"/>
        <s v="0064L000002LaPI"/>
        <s v="0064L00000CVzpz"/>
        <s v="0064L00000CVipr"/>
        <s v="0064L00000BmR9f"/>
        <s v="0064L00000CYR8a"/>
        <s v="0064L00000BnBzW"/>
        <s v="0064L00000BoXAN"/>
        <s v="0064I00000q12aw"/>
        <s v="0064L00000CY09H"/>
        <s v="0064L00000CVjTh"/>
        <s v="0064L0000099rIS"/>
        <s v="0064L00000BoXE5"/>
        <s v="0064L000009A5Z7"/>
        <s v="0064L00000BoiHD"/>
        <s v="0064L00000BdXGG"/>
        <s v="0064L00000B2yGp"/>
        <s v="0064I00000zRplu"/>
        <s v="0064L00000As87h"/>
        <s v="0064L00000BoXGG"/>
        <s v="0064L00000BoFfZ"/>
        <s v="0064L00000BoWhz"/>
        <s v="0064L00000BlOBy"/>
        <s v="0064L000009AX3x"/>
        <s v="0064L00000CXOBR"/>
        <s v="0064L000001u8s5"/>
        <s v="0064L000006Cmdf"/>
        <s v="0064L00000BntiR"/>
        <s v="0064L000007wnuB"/>
        <s v="0064L00000B1t6O"/>
        <s v="0064L00000Bd4Kq"/>
        <s v="0064L000002ZgYb"/>
        <s v="0064L00000BoUrf"/>
        <s v="0064L000006hXD1"/>
        <s v="0064L00000CYPNU"/>
        <s v="0064L00000Bf9z2"/>
        <s v="0064L00000CYQ1W"/>
        <s v="0064L00000Bd3sf"/>
        <s v="0064L00000CYQ2G"/>
        <s v="0064L00000BoF94"/>
        <s v="0064L00000BoUwV"/>
        <s v="0064L00000ArwM9"/>
        <s v="0064L00000Bn26C"/>
        <s v="0064L00000BlLqk"/>
        <s v="0064L00000BlLqj"/>
        <s v="0064L000009ABpk"/>
        <s v="0064L00000BndYm"/>
        <s v="0064L00000Bmqxh"/>
        <s v="0064L00000BeZAh"/>
        <s v="0064L00000DFSYM"/>
        <s v="0064I00000wzESH"/>
        <s v="0064L00000B2SbF"/>
        <s v="0064L00000BmOyB"/>
        <s v="0064L000009ACV7"/>
        <s v="0064L0000040rRH"/>
        <s v="0064L000002Zwil"/>
        <s v="0064L000001wOaX"/>
        <s v="0064L00000BoFDa"/>
        <s v="0064L000001u8a6"/>
        <s v="0064L00000Bn2Ct"/>
        <s v="0064L00000CXpBp"/>
        <s v="0064L00000Bn2DI"/>
        <s v="0064L00000B0pwM"/>
        <s v="0064L00000BgMRk"/>
        <s v="0064L00000BmqGN"/>
        <s v="0064L00000Boeja"/>
        <s v="0064L00000B1sva"/>
        <s v="0064L0000099Mrk"/>
        <s v="0064L0000099Mrm"/>
        <s v="0064L00000Boemj"/>
        <s v="0064L00000BmqJM"/>
        <s v="0064L00000DFbkb"/>
        <s v="0064L00000CWYdw"/>
        <s v="0064L00000BdV4P"/>
        <s v="0064L00000BoV3b"/>
        <s v="0064L000004xdBx"/>
        <s v="0064L00000CWkIN"/>
        <s v="0064L00000BoV3q"/>
        <s v="0064L000009B6ar"/>
        <s v="0064L00000DFbrT"/>
        <s v="0064L00000BctYP"/>
        <s v="0064L00000BmOTI"/>
        <s v="0064L00000DFbtx"/>
        <s v="0064L00000CWHqv"/>
        <s v="0064L000009AfRd"/>
        <s v="0064L00000BfJfy"/>
        <s v="0064L00000Bmqa9"/>
        <s v="0064L00000BogF0"/>
        <s v="0064L00000BndCa"/>
        <s v="0064L000004z79d"/>
        <s v="0064L00000BoDaw"/>
        <s v="0064L00000CV4rA"/>
        <s v="0064L0000097GT5"/>
        <s v="0064L0000097H4G"/>
        <s v="0064L00000BdVHg"/>
        <s v="0064L00000BoSdB"/>
        <s v="0064L00000BfHjK"/>
        <s v="0064L00000DFPbS"/>
        <s v="0064L000003yYTI"/>
        <s v="0064L000003yYSo"/>
        <s v="0064L00000BoSlA"/>
        <s v="0064L00000BfIRW"/>
        <s v="0064L00000BgM5o"/>
        <s v="0064L00000BoSkq"/>
        <s v="0064L00000BoSm8"/>
        <s v="0064L00000BoSkv"/>
        <s v="0064L00000CXKFQ"/>
        <s v="0064L00000DFc1X"/>
        <s v="0064L000007VKH1"/>
        <s v="0064L00000CVEE9"/>
        <s v="0064L00000AruIL"/>
        <s v="0064L00000CXmON"/>
        <s v="0064I00001315ca"/>
        <s v="0064L00000CWHIr"/>
        <s v="0064L00000Bnt6v"/>
        <s v="0064L00000Bct8W"/>
        <s v="0064L0000042TMl"/>
        <s v="0064L00000BnbUr"/>
        <s v="0064L00000DFc5o"/>
        <s v="0064L00000Bo2Ui"/>
        <s v="0064L000009AQmW"/>
        <s v="0064L000009AQmM"/>
        <s v="0064L00000Bo2Xr"/>
        <s v="0064L00000B0mWa"/>
        <s v="0064L00000AqaOO"/>
        <s v="0064L00000BgMIs"/>
        <s v="0064L000002Z2Dl"/>
        <s v="0064L00000Boeh0"/>
        <s v="0064L00000Apns0"/>
        <s v="0064L00000Aplps"/>
        <s v="0064L00000Bf6iB"/>
        <s v="0064L00000BmoD6"/>
        <s v="0064L00000Bf6iV"/>
        <s v="0064L000001u8VB"/>
        <s v="0064L000001u8XH"/>
        <s v="0064I000015TQMa"/>
        <s v="0064L000001u8Wd"/>
        <s v="0064L00000B2cq1"/>
        <s v="0064L00000CVByY"/>
        <s v="0064L00000BoSL7"/>
        <s v="0064L00000DJn5R"/>
        <s v="0064L00000Aplwa"/>
        <s v="0064L000009B3wu"/>
        <s v="0064L000009B3vw"/>
        <s v="0064L00000DJn9d"/>
        <s v="0064L00000BnPNF"/>
        <s v="0064L00000BmoNH"/>
        <s v="0064L00000Bkygg"/>
        <s v="0064L00000ArtEc"/>
        <s v="0064L00000AqqCH"/>
        <s v="0064L000009ARzv"/>
        <s v="0064L00000Bf6w4"/>
        <s v="0064I00000vPfFJ"/>
        <s v="0064L00000CXZju"/>
        <s v="0064L00000CXZmA"/>
        <s v="0064L00000DJnBG"/>
        <s v="0064L00000CVCgp"/>
        <s v="0064L00000BoSWy"/>
        <s v="0064L00000Bmnta"/>
        <s v="0064L000003yYd8"/>
        <s v="0064L000009BF5d"/>
        <s v="0064L00000DFPVK"/>
        <s v="0064L00000Blm7O"/>
        <s v="0064L000007xO6q"/>
        <s v="0064L000007xO6g"/>
        <s v="0064L000007FMFd"/>
        <s v="0064L00000BlK6q"/>
        <s v="0064L00000CWMby"/>
        <s v="0064L00000Bdewh"/>
        <s v="0064L00000BopuM"/>
        <s v="0064L00000DFhiS"/>
        <s v="0064L000006UiOR"/>
        <s v="0064L00000Blwgr"/>
        <s v="0064L00000Bnjn0"/>
        <s v="0064L00000CYUjU"/>
        <s v="0064I00000wvyM4"/>
        <s v="0064L00000ArTYf"/>
        <s v="0064L000001u8ak"/>
        <s v="0064L00000BdEAS"/>
        <s v="0064L00000CWDrJ"/>
        <s v="0064L00000Bm8ye"/>
        <s v="0064L00000BmJrZ"/>
        <s v="0064L000001u2aW"/>
        <s v="0064L00000Bl3SZ"/>
        <s v="0064L00000BoyPM"/>
        <s v="0064L00000B1QIu"/>
        <s v="0064L00000CVsS6"/>
        <s v="0064L00000BnyQI"/>
        <s v="0064L000002abEU"/>
        <s v="0064L00000CXdh5"/>
        <s v="0064L00000BlMA5"/>
        <s v="0064L00000CVfsl"/>
        <s v="0064L00000B2Jhj"/>
        <s v="0064L00000Boq2B"/>
        <s v="0064L00000BlD0L"/>
        <s v="0064L00000DJgH0"/>
        <s v="0064L00000CWuaj"/>
        <s v="0064L00000DJTcr"/>
        <s v="0064L00000CVHWu"/>
        <s v="0064L000009fsUx"/>
        <s v="0064L00000Blmfk"/>
        <s v="0064L0000099ZFk"/>
        <s v="0064L00000BlHlL"/>
        <s v="0064L00000B2udZ"/>
        <s v="0064L00000B2ud1"/>
        <s v="0064L00000DJkpg"/>
        <s v="0064I00000wx6Gw"/>
        <s v="0064L00000CVp3Q"/>
        <s v="0064L00000BmoV6"/>
        <s v="0064L00000BoiYY"/>
        <s v="0064L00000Bn9Bk"/>
        <s v="0064L00000CXdOb"/>
        <s v="0064L000001vDKE"/>
        <s v="0064L00000BnWrr"/>
        <s v="0064L00000BmTtu"/>
        <s v="0064L00000BldBo"/>
        <s v="0064L00000B2m3V"/>
        <s v="0064L00000CXQJh"/>
        <s v="0064L00000BoZiC"/>
        <s v="0064L000009AWti"/>
        <s v="0064L00000Aq3wQ"/>
        <s v="0064L00000CVYgv"/>
        <s v="0064L00000BgPb5"/>
        <s v="0064L00000CXa3m"/>
        <s v="0064L000004xRy3"/>
        <s v="0064L00000Apc6P"/>
        <s v="0064L00000B11rV"/>
        <s v="0064L00000Bn2Me"/>
        <s v="0064L00000CYPsB"/>
        <s v="0064L00000AqSOV"/>
        <s v="0064L00000AqdV3"/>
        <s v="0064L00000BmsgO"/>
        <s v="0064L000009g0ka"/>
        <s v="0064L000007XuPn"/>
        <s v="0064L00000BmaOw"/>
        <s v="0064L00000BeZ9o"/>
        <s v="0064L000007XuTp"/>
        <s v="0064L00000ArDFm"/>
        <s v="0064L000007XuLt"/>
        <s v="0064L00000BeWlx"/>
        <s v="0064L00000CYpkU"/>
        <s v="0064L00000B23EH"/>
        <s v="0064L00000CVEvc"/>
        <s v="0064L00000DFPae"/>
        <s v="0064L00000Bnc1q"/>
        <s v="0064L00000BnbZd"/>
        <s v="0064L00000CVBww"/>
        <s v="0064L00000CYmqy"/>
        <s v="0064L00000BnMky"/>
        <s v="0064L00000DJZYM"/>
        <s v="0064L00000B0zar"/>
        <s v="0064L00000B0zaI"/>
        <s v="0064L00000BeSP9"/>
        <s v="0064L00000B0zZf"/>
        <s v="0064L000006BSFe"/>
        <s v="0064L00000BfFA8"/>
        <s v="0064L00000BfecC"/>
        <s v="0064I00000zRhLX"/>
        <s v="0064L00000Aqm8k"/>
        <s v="0064L00000CYHeU"/>
        <s v="0064L000009AOHC"/>
        <s v="0064L00000Bf2up"/>
        <s v="0064L000002bRCf"/>
        <s v="0064L00000Bn9T8"/>
        <s v="0064L00000CXcGs"/>
        <s v="0064L00000Bm95L"/>
        <s v="0064I00000zRGBy"/>
        <s v="0064L00000CVwx4"/>
        <s v="0064L00000DJXWO"/>
        <s v="0064L00000Be0mG"/>
        <s v="0064L00000DBQEt"/>
        <s v="0064L00000Bn2sz"/>
        <s v="0064L00000Bnqea"/>
        <s v="0064L00000CXshF"/>
        <s v="0064L00000BeiQF"/>
        <s v="0064L00000CVsZ9"/>
        <s v="0064L00000DJiRb"/>
        <s v="0064L00000Bfeaa"/>
        <s v="0064L00000CXTXe"/>
        <s v="0064L00000BoePa"/>
        <s v="0064L00000CY75k"/>
        <s v="0064L00000DBNoM"/>
        <s v="0064L00000CVpsn"/>
        <s v="0064L000006BQFz"/>
        <s v="0064L00000ApyOR"/>
        <s v="0064L000001ucbz"/>
        <s v="0064L000001uccE"/>
        <s v="0064L000002c6WN"/>
        <s v="0064L00000BfBqq"/>
        <s v="0064L00000Bg4tj"/>
        <s v="0064L00000CYYK9"/>
        <s v="0064I00000vNdmn"/>
        <s v="0065800000jfj2M"/>
        <s v="0064L00000ArLhZ"/>
        <s v="0064L00000BcmYl"/>
        <s v="0064L000009AMVb"/>
        <s v="0064L00000Bmxve"/>
        <s v="0064L000007EwWs"/>
        <s v="0064L000007wDnB"/>
        <s v="0064L000003yRoY"/>
        <s v="0064L00000ArmgA"/>
        <s v="0064L00000CX0nU"/>
        <s v="0064L00000CYwyL"/>
        <s v="0064I000011pRsU"/>
        <s v="0064L00000ApwYj"/>
        <s v="0064L00000CWPfh"/>
        <s v="0064L000009fgCL"/>
        <s v="0064L00000CXRMD"/>
        <s v="0064L0000099dsA"/>
        <s v="0064L00000ArZPj"/>
        <s v="0064L000009gJ8T"/>
        <s v="0064L0000040Ez9"/>
        <s v="0064L000007EbvD"/>
        <s v="0064L00000DFill"/>
        <s v="0064L00000DFZ02"/>
        <s v="0064L000002bBqF"/>
        <s v="0064L000001vdrv"/>
        <s v="0064L00000BnG1I"/>
        <s v="0064L00000BnyTl"/>
        <s v="0064L00000CX01q"/>
        <s v="0064L00000DFiCq"/>
        <s v="0064L00000DJRmG"/>
        <s v="0064L00000BolKF"/>
        <s v="0064L00000BolLm"/>
        <s v="0064L00000Bnhjs"/>
        <s v="0064L00000BcWkU"/>
        <s v="0064L00000CYBHH"/>
        <s v="0064L00000CY0ge"/>
        <s v="0064L000009AILc"/>
        <s v="0064L00000Boiwu"/>
        <s v="0064L00000CWp5u"/>
        <s v="0064L000006UDLZ"/>
        <s v="0064L00000DFWF9"/>
        <s v="0064L00000DFVgT"/>
        <s v="0064L00000DFVhC"/>
        <s v="0064L000009AZ5q"/>
        <s v="0065800000h1KsW"/>
        <s v="0064L00000Bfa5u"/>
        <s v="0064L00000BoHlv"/>
        <s v="0064L00000BcWNX"/>
        <s v="0064L00000CYtNQ"/>
        <s v="0064L00000B10op"/>
        <s v="0064L00000CYbqD"/>
        <s v="0064L00000B1T1D"/>
        <s v="0064L00000CVZJY"/>
        <s v="0064L00000BgPaX"/>
        <s v="0064L000007G1bE"/>
        <s v="0064L00000CVjof"/>
        <s v="0064L00000B0qhD"/>
        <s v="0064L00000DJbIQ"/>
        <s v="0064L000007wOqo"/>
        <s v="0064L00000BnCHa"/>
        <s v="0064L00000B0sYZ"/>
        <s v="0064L00000BeYra"/>
        <s v="0064L00000Bmt2j"/>
        <s v="0064L00000CWmMt"/>
        <s v="0064L00000CXotM"/>
        <s v="0064L000002c20w"/>
        <s v="0064L00000BeZgO"/>
        <s v="0064I000015TDCq"/>
        <s v="0064L00000BoGDS"/>
        <s v="0064L00000Beknl"/>
        <s v="0064L00000Ar59H"/>
        <s v="0064L00000CXpe3"/>
        <s v="0064L000007WOrZ"/>
        <s v="0064L00000B365O"/>
        <s v="0064L00000Bo4Rv"/>
        <s v="0064L00000BndY7"/>
        <s v="0064L00000CYb5q"/>
        <s v="0064L00000Bd3yE"/>
        <s v="0064L00000BeZF3"/>
        <s v="0064L00000Bo4bl"/>
        <s v="0064L00000Bndh9"/>
        <s v="0064L00000B35v9"/>
        <s v="0064L00000CYqMP"/>
        <s v="0064L00000CW8QE"/>
        <s v="0064L00000AqQPH"/>
        <s v="0064L00000CV2ri"/>
        <s v="0064L00000DFPaU"/>
        <s v="0064L00000BoeKF"/>
        <s v="0064L00000DJmtk"/>
        <s v="0064L00000BeyUT"/>
        <s v="0064L00000CWjHG"/>
        <s v="0064L00000CWjIY"/>
        <s v="0064L00000BoeTh"/>
        <s v="0064L00000Bd338"/>
        <s v="0064L00000CYpUb"/>
        <s v="0064L00000BctEj"/>
        <s v="0064L00000BctFm"/>
        <s v="0064I00000zTGns"/>
        <s v="0064L00000ArtMH"/>
        <s v="0064L00000B32vc"/>
        <s v="0064L00000BcpoI"/>
        <s v="0064L00000Bf797"/>
        <s v="0064L00000Bp2xq"/>
        <s v="0064L000001uh97"/>
        <s v="0064L000002LZtX"/>
        <s v="0064L00000Bnoav"/>
        <s v="0064L00000BmmAK"/>
        <s v="0064L000006xclk"/>
        <s v="0064L00000Bp2I3"/>
        <s v="0064L00000BfX6u"/>
        <s v="0064L00000BgYyc"/>
        <s v="0064L00000BgYys"/>
        <s v="0064L00000AqMA2"/>
        <s v="0064L00000Bnq5G"/>
        <s v="0064L00000CWwnC"/>
        <s v="0064L00000Bo06e"/>
        <s v="0064L00000997jd"/>
        <s v="0064L00000CYL81"/>
        <s v="0064L00000CYL8V"/>
        <s v="0064L00000CYL7r"/>
        <s v="0064L00000CYL8L"/>
        <s v="0064L00000Bky8P"/>
        <s v="0064L00000CWeZj"/>
        <s v="0064L00000DBQVG"/>
        <s v="0064L00000CXFm4"/>
        <s v="0064L00000CXVQZ"/>
        <s v="0064L000001uxQT"/>
        <s v="0064L000003yVOP"/>
        <s v="0064L000009BAUx"/>
        <s v="0064L00000CYHdM"/>
        <s v="0064L00000DJXSv"/>
        <s v="0064L00000Bnmlq"/>
        <s v="0064L00000Bopti"/>
        <s v="0064L000006BRxu"/>
        <s v="0064L000001tRSq"/>
        <s v="0064L000009AOGA"/>
        <s v="0064L00000BoNz5"/>
        <s v="0064L00000Bm956"/>
        <s v="0064L00000BnC2L"/>
        <s v="0064L00000Bl56p"/>
        <s v="0064L00000DJRlc"/>
        <s v="0064L00000DJdCZ"/>
        <s v="0064L00000CYbwG"/>
        <s v="0064L00000Bndbz"/>
        <s v="0064L000009fM2X"/>
        <s v="0064L00000DFfkB"/>
        <s v="0064L00000DFfkC"/>
        <s v="0064L00000CX7Z9"/>
        <s v="0064L00000CYV8Z"/>
        <s v="0064L00000BmjRc"/>
        <s v="0064L00000Bf9ls"/>
        <s v="0064L00000Blfzb"/>
        <s v="0064L00000CXdAR"/>
        <s v="0064L00000CYY1W"/>
        <s v="0064L000001vU83"/>
        <s v="0064L00000BnhaM"/>
        <s v="0064L000006xBKC"/>
        <s v="0064L000006xBKB"/>
        <s v="0064L00000CYAaL"/>
        <s v="0064L00000CYXld"/>
        <s v="0064L00000B170T"/>
        <s v="0064L00000DFhg1"/>
        <s v="0064L00000BdXgd"/>
        <s v="0064I00000zQp0C"/>
        <s v="0064L00000CXKa2"/>
        <s v="0064L00000AqOUt"/>
        <s v="0064L00000AqqPV"/>
        <s v="0064L00000CWxOU"/>
        <s v="0064L00000BfGBl"/>
        <s v="0064L00000DJZ2p"/>
        <s v="0064L00000Boa56"/>
        <s v="0064L00000BcpEK"/>
        <s v="0064L00000BopB2"/>
        <s v="0064L00000BmTrK"/>
        <s v="0064L000009fDyj"/>
        <s v="0064L00000Ar6jB"/>
        <s v="0064L00000DFVJt"/>
        <s v="0064L00000DFchi"/>
        <s v="0064L00000BgOB6"/>
        <s v="0064I00000u1UFT"/>
        <s v="0064L00000CVB7F"/>
        <s v="0064L00000Bnp0t"/>
        <s v="0064L00000BfecW"/>
        <s v="0064L00000BgPZP"/>
        <s v="0064I00000wwKdW"/>
        <s v="0064L0000099odL"/>
        <s v="0064L00000BoSXX"/>
        <s v="0064L00000Bm733"/>
        <s v="0064L000004vdbm"/>
        <s v="0064L00000BlxGk"/>
        <s v="0064L00000CWtgx"/>
        <s v="0064L0000040WrX"/>
        <s v="0064L00000BnYru"/>
        <s v="0064L00000B0zIY"/>
        <s v="0064L00000Bm4nw"/>
        <s v="0064L000002ZNlW"/>
        <s v="0064L00000Aq6kh"/>
        <s v="0064I00000y80nM"/>
        <s v="0064L00000CWcE2"/>
        <s v="0064L00000CXx27"/>
        <s v="0064L00000BnzuT"/>
        <s v="0064L00000CX1Jj"/>
        <s v="0064L000002abEA"/>
        <s v="0064L00000Ar9Mp"/>
        <s v="0064L00000BonET"/>
        <s v="0064I0000133DZH"/>
        <s v="0064L00000AqFrj"/>
        <s v="0064L00000DFiS5"/>
        <s v="0064L000002aAIV"/>
        <s v="0064L00000BgTG2"/>
        <s v="0064L000007xhNK"/>
        <s v="0064L000006Wo7g"/>
        <s v="0064L000009feZa"/>
        <s v="0064L00000Bm2Ih"/>
        <s v="0064L00000CYU2G"/>
        <s v="0064L00000DFWTa"/>
        <s v="0064I00000y7SY9"/>
        <s v="0064L00000DFiA6"/>
        <s v="0064L000003zbSb"/>
        <s v="0064L00000BnFgK"/>
        <s v="0064L0000098pvZ"/>
        <s v="0064L00000DFW1W"/>
        <s v="0064L00000ApcDV"/>
        <s v="0064L00000CY0pS"/>
        <s v="0064L0000099127"/>
        <s v="0064I0000134fzO"/>
        <s v="0064L00000CY0tx"/>
        <s v="0064L00000ArFrO"/>
        <s v="0064L000002LS97"/>
        <s v="0064L00000Ar6Z6"/>
        <s v="0064L00000DJb8z"/>
        <s v="0064L00000Boj3g"/>
        <s v="0064L00000CY0M0"/>
        <s v="0064L00000BoywO"/>
        <s v="0064L00000CWnTK"/>
        <s v="0064L00000B23hY"/>
        <s v="0064L00000DJbLo"/>
        <s v="0064L00000BfolM"/>
        <s v="0064L00000BnEFc"/>
        <s v="0064L000006BlRQ"/>
        <s v="0064L00000DFSnb"/>
        <s v="0064L000007wqju"/>
        <s v="0064L00000Bnvbx"/>
        <s v="0064L00000B1dcC"/>
        <s v="0064L00000CY0AP"/>
        <s v="0064L00000CY0AO"/>
        <s v="0064L00000CY0AT"/>
        <s v="0064L00000Boymn"/>
        <s v="0064L000001uZz5"/>
        <s v="0064L00000Bd3rl"/>
        <s v="0064L00000Bd3rj"/>
        <s v="0064L00000Bd3sg"/>
        <s v="0064L00000Bd3su"/>
        <s v="0064L00000BeZBB"/>
        <s v="0064L000007wo7P"/>
        <s v="0064L00000BntFd"/>
        <s v="0064L00000BntFi"/>
        <s v="0064L00000CVgZz"/>
        <s v="0064L00000BnbhH"/>
        <s v="0064L00000CWkAy"/>
        <s v="0064L00000BdCxN"/>
        <s v="0064L000009AfSb"/>
        <s v="0064L000007twVw"/>
        <s v="0065800000gz9PJ"/>
        <s v="0064L00000B2S7U"/>
        <s v="0064L00000BoSeE"/>
        <s v="0064L00000BeyVM"/>
        <s v="0064L00000BnbXg"/>
        <s v="0064L00000BnqhA"/>
        <s v="0064I00000y7JAv"/>
        <s v="0064L00000CYp15"/>
        <s v="0064L00000B1OWt"/>
        <s v="0064L00000B2S6v"/>
        <s v="0064L00000BlYYE"/>
        <s v="0064L000003zkVA"/>
        <s v="0064L00000BkyBn"/>
        <s v="0064L000004wlVL"/>
        <s v="0064L00000Bo0Jd"/>
        <s v="0064L00000BewTD"/>
        <s v="0064L00000BoB3v"/>
        <s v="0064L00000B1mzK"/>
        <s v="0064L00000Bf6Yz"/>
        <s v="0064L00000BobxY"/>
        <s v="0064L000007W9yv"/>
        <s v="0064L000003ygTV"/>
        <s v="0064L00000B2A46"/>
        <s v="0064L00000BmmBD"/>
        <s v="0064L00000DJYod"/>
        <s v="0064L000009AQTe"/>
        <s v="0064L00000Blzcu"/>
        <s v="0064L00000Bkwi6"/>
        <s v="0064L0000068zqB"/>
        <s v="0064L000009B1pE"/>
        <s v="0064L00000BnKyt"/>
        <s v="0064L00000BgYLD"/>
        <s v="0064L000009flAV"/>
        <s v="0064L00000BorNK"/>
        <s v="0064L00000Bp0lh"/>
        <s v="0064L00000BnlzS"/>
        <s v="0064L000003yVAX"/>
        <s v="0064L00000DJXKs"/>
        <s v="0064L00000DJXNM"/>
        <s v="0064L00000BoqJ7"/>
        <s v="0064L00000BmIAt"/>
        <s v="0064L000006B2AE"/>
        <s v="0064L00000BlEf5"/>
        <s v="0064L00000Bp14e"/>
        <s v="0064L00000BlEkZ"/>
        <s v="0064L00000BmIPe"/>
        <s v="0064L00000BfpJn"/>
        <s v="0064L00000BkuZ2"/>
        <s v="0064L00000DFch9"/>
        <s v="0064L00000DJUNx"/>
        <s v="0064L00000BmsVp"/>
        <s v="0064L00000Bl0yr"/>
        <s v="0064L0000099wGG"/>
        <s v="0064L000009f3zV"/>
        <s v="0064L00000CY3Dk"/>
        <s v="0064L00000CVCFP"/>
        <s v="0064L00000BfefU"/>
        <s v="0064L00000BnUPg"/>
        <s v="0064L00000CXNOM"/>
        <s v="0064L00000BcwGn"/>
        <s v="0064L00000Bgeq0"/>
        <s v="0064L00000BfTVk"/>
        <s v="0064L00000Bfe4J"/>
        <s v="0064L00000Aqypp"/>
        <s v="0064L00000BmG0N"/>
        <s v="0064L00000AqwUV"/>
        <s v="0064L00000BnDdI"/>
        <s v="0064L00000BnDdJ"/>
        <s v="0064I00000qsg5N"/>
        <s v="0064I00000qsg5D"/>
        <s v="0064L00000BowLq"/>
        <s v="0064L0000041Pg3"/>
        <s v="0064L00000BovEI"/>
        <s v="0064L000002Zd7h"/>
        <s v="0064I000011o2W2"/>
        <s v="0064L00000Bp15D"/>
        <s v="0064L00000CXRLo"/>
        <s v="0064L00000DFVXH"/>
        <s v="0064L00000CXa3r"/>
        <s v="0064L00000Bmny1"/>
        <s v="0064L00000CXR5u"/>
        <s v="0064L00000DJRtb"/>
        <s v="0064L00000B1Dsp"/>
        <s v="0064L00000Bnw1R"/>
        <s v="0064L00000Bn6QN"/>
        <s v="0064L00000BoirB"/>
        <s v="0064L000009Ak87"/>
        <s v="0064L00000CYsxr"/>
        <s v="0064L000002b7jw"/>
        <s v="0064L000002ZcnH"/>
        <s v="0064L000003z2k8"/>
        <s v="0064L00000B26mp"/>
        <s v="0064L00000BotsP"/>
        <s v="0064L000009g32b"/>
        <s v="0064L00000DFZuo"/>
        <s v="0064L00000CWbpP"/>
        <s v="0064L000001vfnb"/>
        <s v="0064L000007E2PV"/>
        <s v="0064L00000BlwXp"/>
        <s v="0064L0000099Ttu"/>
        <s v="0064L00000CW0U8"/>
        <s v="0064L00000CYYA4"/>
        <s v="0064L00000CVP9n"/>
        <s v="0064L00000993M6"/>
        <s v="0064L00000DJVro"/>
        <s v="0064L000002asy1"/>
        <s v="0064L00000BfeX1"/>
        <s v="0064L00000993Ni"/>
        <s v="0064L00000CXfgp"/>
        <s v="0064L00000DJVwU"/>
        <s v="0064L00000CXVIg"/>
        <s v="0064L00000CVPBu"/>
        <s v="0064L00000BfCZW"/>
        <s v="0064L000003zepo"/>
        <s v="0064L000009AMUd"/>
        <s v="0064L00000706R8"/>
        <s v="0064L00000Bl2P5"/>
        <s v="0064L00000CWc1n"/>
        <s v="0064L000002ZNir"/>
        <s v="0064L000002ZNk4"/>
        <s v="0064L000002ZNjV"/>
        <s v="0064L00000BgVHg"/>
        <s v="0064L000002ZNlM"/>
        <s v="0064L00000BmFZD"/>
        <s v="0064L00000CW061"/>
        <s v="0064L00000CW084"/>
        <s v="0064L0000099h2h"/>
        <s v="0064L00000DFZeR"/>
        <s v="0064L00000B1jve"/>
        <s v="0064L00000B1kTg"/>
        <s v="0064L00000CXDHK"/>
        <s v="0064L000009ewje"/>
        <s v="0064L000009fYGX"/>
        <s v="0064L00000CWQ95"/>
        <s v="0064L00000BnZC4"/>
        <s v="0064L000003ze0v"/>
        <s v="0064I000014Jbum"/>
        <s v="0064L00000BnIEJ"/>
        <s v="0064L00000BnkJp"/>
        <s v="0064L00000BnZJA"/>
        <s v="0064I00000u1iJE"/>
        <s v="0064L00000BmFIz"/>
        <s v="0064L00000CXTIS"/>
        <s v="0064L00000CVpGj"/>
        <s v="0064L000006CBOq"/>
        <s v="0064L00000BolVI"/>
        <s v="0064I0000133DJ9"/>
        <s v="0064L00000CYx0u"/>
        <s v="0064L00000Bo9QT"/>
        <s v="0064L000006Wp0P"/>
        <s v="0064L00000Bld4J"/>
        <s v="0064L0000097NOI"/>
        <s v="0064L00000CWP81"/>
        <s v="0064L00000BgBjK"/>
        <s v="0064L00000DJdmI"/>
        <s v="0064L00000BoKDI"/>
        <s v="0064L000003z34w"/>
        <s v="0064L00000B2m3z"/>
        <s v="0064L00000BgTRy"/>
        <s v="0064L00000Ar7AC"/>
        <s v="0064L000007YIbK"/>
        <s v="0064L000001vPwI"/>
        <s v="0064L00000BmD4l"/>
        <s v="0064L00000CWMrz"/>
        <s v="0064L000009AjAR"/>
        <s v="0064L000001vaq6"/>
        <s v="0064L00000DFWdp"/>
        <s v="0064L00000BoZiq"/>
        <s v="0064L00000BoHO7"/>
        <s v="0064L00000BfNVV"/>
        <s v="0064L00000BlqnT"/>
        <s v="0064L000009fDY2"/>
        <s v="0064L00000DJbd4"/>
        <s v="0064I00000zSqbB"/>
        <s v="0064L00000CYBTl"/>
        <s v="0064L00000ArFm4"/>
        <s v="0064L00000BoZDE"/>
        <s v="0064L00000CV9UR"/>
        <s v="0064L000004wRxm"/>
        <s v="0064L00000CYRJV"/>
        <s v="0064L00000AryEw"/>
        <s v="0064L00000CYQkm"/>
        <s v="0064L00000BoFse"/>
        <s v="0064L00000DFV6L"/>
        <s v="0064L00000CYRTE"/>
        <s v="0064L00000CWM4J"/>
        <s v="0064L000006iKe5"/>
        <s v="0064L00000CWnZ1"/>
        <s v="0064L000004voNi"/>
        <s v="0064L00000BlrF8"/>
        <s v="0064L00000CXNKK"/>
        <s v="0064L00000BlpNe"/>
        <s v="0064L00000BlpO3"/>
        <s v="0064L00000BlpMv"/>
        <s v="0064L00000ArwkB"/>
        <s v="0064L00000CVHJH"/>
        <s v="0064L000001w0n8"/>
        <s v="0064L00000CVioj"/>
        <s v="0064L00000BeZc7"/>
        <s v="0064L00000B12Fc"/>
        <s v="0064L00000BmshH"/>
        <s v="0064L000009B5ey"/>
        <s v="0064L00000BoDet"/>
        <s v="0064L00000BeGmQ"/>
        <s v="0064L00000B0q2y"/>
        <s v="0064L000009g0ml"/>
        <s v="0064I0000134BI5"/>
        <s v="0064L00000411SS"/>
        <s v="0064L000009Auwl"/>
        <s v="0064L00000BdDy7"/>
        <s v="0064L00000BoUzZ"/>
        <s v="0064L00000CW8pn"/>
        <s v="0064L00000BogbV"/>
        <s v="0064L00000CWZB3"/>
        <s v="0064L00000CWkGM"/>
        <s v="0064L00000CWkHo"/>
        <s v="0064L00000BeH7O"/>
        <s v="0064L00000CYpq3"/>
        <s v="0064L00000CVgkj"/>
        <s v="0064L00000Bnbwv"/>
        <s v="0064L00000CVEnx"/>
        <s v="0064L00000Bo4Dt"/>
        <s v="0064L00000DFPbr"/>
        <s v="0064L00000CYNDg"/>
        <s v="0064L00000BfIRH"/>
        <s v="0064L00000CYpIp"/>
        <s v="0064L00000CYpJn"/>
        <s v="0064L00000BoSmS"/>
        <s v="0064L00000BoSmw"/>
        <s v="0064L00000Bei5v"/>
        <s v="0064L00000BoSqK"/>
        <s v="0064L000007FLNb"/>
        <s v="0064L00000Aqqdm"/>
        <s v="0064L00000BoeYI"/>
        <s v="0064L00000CXJpp"/>
        <s v="0064L00000BlKSC"/>
        <s v="0064L00000CX9pW"/>
        <s v="0064L00000CWjTp"/>
        <s v="0064L00000B339t"/>
        <s v="0064L00000CVF2O"/>
        <s v="0064L00000Ar0o5"/>
        <s v="0064L000001t65M"/>
        <s v="0064I0000131ya7"/>
        <s v="0064L00000410TY"/>
        <s v="0064L00000AqqAq"/>
        <s v="0064L00000BlkkH"/>
        <s v="0064L00000CX8oj"/>
        <s v="0064L00000BlkvA"/>
        <s v="0064L000003yXyF"/>
        <s v="0064L000007Wowd"/>
        <s v="0064L00000Ard3F"/>
        <s v="0064L000001vnDe"/>
        <s v="0064L0000098jX8"/>
        <s v="0064L00000DJmkJ"/>
        <s v="0064L00000BocCn"/>
        <s v="0064L000006ziYQ"/>
        <s v="0064L00000As0qO"/>
        <s v="0064L00000CVBW5"/>
        <s v="0064L000002ZtbD"/>
        <s v="0064L000002ZtaZ"/>
        <s v="0064L00000CXYe6"/>
        <s v="0064L00000AqobZ"/>
        <s v="0064L00000BobtR"/>
        <s v="0064L000009AqrN"/>
        <s v="0064L000002LZFC"/>
        <s v="0064L00000CX7o4"/>
        <s v="0064L00000CVBmh"/>
        <s v="0064L00000BkvvE"/>
        <s v="0064L00000BfEi9"/>
        <s v="0064L000009fLhe"/>
        <s v="0064L00000Borgl"/>
        <s v="0064L00000Bnohh"/>
        <s v="0064L00000CYmGb"/>
        <s v="0064L0000040ntc"/>
        <s v="0064L00000Bnomh"/>
        <s v="0064L000009fM8z"/>
        <s v="0064L00000Bmlrh"/>
        <s v="0064L00000Bmlrr"/>
        <s v="0064L00000BliqI"/>
        <s v="0064L00000Bg9AI"/>
        <s v="0064L00000BmKSp"/>
        <s v="0064L000009B1gz"/>
        <s v="0064L00000DBPmG"/>
        <s v="0064L00000BnKyy"/>
        <s v="0064L00000DBQNb"/>
        <s v="0064L00000DJXiF"/>
        <s v="0064L00000CGwmH"/>
        <s v="0064L00000Bfwuf"/>
        <s v="0064L00000BoQ1I"/>
        <s v="0064I000014LKkm"/>
        <s v="0064L00000BgYa8"/>
        <s v="0064L00000BmlWu"/>
        <s v="0064L000009gLK8"/>
        <s v="0064L000007VhQI"/>
        <s v="0064L000009gLJt"/>
        <s v="0064I00000zRVaG"/>
        <s v="0064L00000CXxWb"/>
        <s v="0064L00000BecDP"/>
        <s v="0064L00000BfegD"/>
        <s v="0064L00000BoOBV"/>
        <s v="0064L00000DJXJK"/>
        <s v="0064L00000DJiM2"/>
        <s v="0064L00000DJiKk"/>
        <s v="0064L00000ApyuK"/>
        <s v="0064L000006B2Kw"/>
        <s v="0064L00000Bfx4k"/>
        <s v="0064L00000BmZKR"/>
        <s v="0064L00000Bed7r"/>
        <s v="0064L00000CXWK1"/>
        <s v="0064L00000CWTKq"/>
        <s v="0064L00000BcWFP"/>
        <s v="0064L00000CXRI2"/>
        <s v="0064L00000DFbnk"/>
        <s v="0064L00000CVbpD"/>
        <s v="0064L00000B3Czp"/>
        <s v="0064L00000BliUI"/>
        <s v="0064L00000Bepow"/>
        <s v="0064L00000DFW0E"/>
        <s v="0064L00000ArAyA"/>
        <s v="0064L00000CVFDH"/>
        <s v="0064L000009AtQZ"/>
        <s v="0064L000009AoBZ"/>
        <s v="0064L000009BO0w"/>
        <s v="0064L00000BnDm7"/>
        <s v="0064L00000CXH2r"/>
        <s v="0064L00000Bnp0F"/>
        <s v="0064L00000BmF15"/>
        <s v="0064L000007FqZI"/>
        <s v="0064I000014LzT3"/>
        <s v="0064L00000Bolbk"/>
        <s v="0064L00000BnWqe"/>
        <s v="0064L00000Bg5E8"/>
        <s v="0064L00000CV8c5"/>
        <s v="0064L00000DFerl"/>
        <s v="0064L00000CXhHp"/>
        <s v="0064L00000DJZ0K"/>
        <s v="0064L00000Bkui4"/>
        <s v="0064L00000BnENR"/>
        <s v="0064L00000Bm6fl"/>
        <s v="0064L000006z0Cc"/>
        <s v="0064L00000BnG1m"/>
        <s v="0064L00000BmU3B"/>
        <s v="0064L00000CYQ9z"/>
        <s v="0064L00000DFc8E"/>
        <s v="0064L00000BocGQ"/>
        <s v="0064L00000CXkDv"/>
        <s v="0064L00000DJZJR"/>
        <s v="0064L000009AQFh"/>
        <s v="0064L00000BfecB"/>
        <s v="0064L00000CYHc9"/>
        <s v="0064L00000ArNEU"/>
        <s v="0064L000004wpGJ"/>
        <s v="0064L00000CXC5v"/>
        <s v="0064L00000DJVYm"/>
        <s v="0064L00000BeM0D"/>
        <s v="0064L00000CWfy4"/>
        <s v="0064L00000BgYZj"/>
        <s v="0064L00000BfDBu"/>
        <s v="0064L00000DJXTK"/>
        <s v="0064L00000BdISf"/>
        <s v="0064L00000Bm4gg"/>
        <s v="0064L00000BnZUh"/>
        <s v="0064L00000CX0yy"/>
        <s v="0064L00000DJdmh"/>
        <s v="0064L00000Bo8jj"/>
        <s v="0064L00000BmD1E"/>
        <s v="0064L00000CYvJQ"/>
        <s v="0064L0000041u0e"/>
        <s v="0064L00000CXgRy"/>
        <s v="0064L00000BfFyI"/>
        <s v="0064L00000Bf1n4"/>
        <s v="0064L000007xYfg"/>
        <s v="0064L000007wScb"/>
        <s v="0064L000006jwds"/>
        <s v="0064L00000BlfW5"/>
        <s v="0064L00000DJgeJ"/>
        <s v="0064L000007E2RA"/>
        <s v="0064L00000CXCsS"/>
        <s v="0064L00000CWQrm"/>
        <s v="0064L00000DFZzo"/>
        <s v="0064L00000CW0Qz"/>
        <s v="0064L00000DJVk4"/>
        <s v="0064L00000AqHoC"/>
        <s v="0064L00000DJgkW"/>
        <s v="0064L0000099DRz"/>
        <s v="0064L00000DJgkM"/>
        <s v="0064L0000099DQx"/>
        <s v="0064L00000CXCwm"/>
        <s v="0064L000007UsuU"/>
        <s v="0064L000002bfdr"/>
        <s v="0064L00000BmjBF"/>
        <s v="0064L00000CXCxu"/>
        <s v="0064L0000099Cy4"/>
        <s v="0064L00000AqYto"/>
        <s v="0064L00000B2JxX"/>
        <s v="0064L000007w2tS"/>
        <s v="0064L00000BesPR"/>
        <s v="0064L000009fY1w"/>
        <s v="0064L00000DJVrK"/>
        <s v="0064L000006jg1A"/>
        <s v="0064L00000BopR0"/>
        <s v="0064L00000BopQ7"/>
        <s v="0064L0000099DR2"/>
        <s v="0064L00000BlxIc"/>
        <s v="0064L000004wyJf"/>
        <s v="0064L000004wyLH"/>
        <s v="0064L00000Bec7W"/>
        <s v="0064L00000BebWL"/>
        <s v="0064L00000Bec8o"/>
        <s v="0064L000001wGQt"/>
        <s v="0064L000002c6T9"/>
        <s v="0064L00000BoO9P"/>
        <s v="0064L00000BmjUM"/>
        <s v="0064L00000BnlwT"/>
        <s v="0064L00000CWtnY"/>
        <s v="0064L000001vV5o"/>
        <s v="0064L00000B0zHx"/>
        <s v="0064L00000B1Zgg"/>
        <s v="0064L00000Bnjvd"/>
        <s v="0064L00000Bmxwh"/>
        <s v="0064L00000Bg4BN"/>
        <s v="0064L00000DJgDI"/>
        <s v="0064L00000DJgDh"/>
        <s v="0064L000007xYgA"/>
        <s v="0064L000003zyMw"/>
        <s v="0064L000007FFlG"/>
        <s v="0064L00000ArL1O"/>
        <s v="0064L000004xIr6"/>
        <s v="0064L000007wgYP"/>
        <s v="0064L00000Bkrxk"/>
        <s v="0064L000004xIqr"/>
        <s v="0064L00000Bfe1e"/>
        <s v="0064L000006jwsI"/>
        <s v="0064L00000DFZhG"/>
        <s v="0064I000011rZEs"/>
        <s v="0064L00000BoMLi"/>
        <s v="0064L00000DJgX3"/>
        <s v="0064L00000CXDDP"/>
        <s v="0064L00000DJftx"/>
        <s v="0064L00000DJgWj"/>
        <s v="0064L00000DJgXw"/>
        <s v="0064L00000DJgYa"/>
        <s v="0064L00000Bg59X"/>
        <s v="0064L00000CYFjl"/>
        <s v="0064L00000ArLBs"/>
        <s v="0064L00000CWQek"/>
        <s v="0064L00000CVNej"/>
        <s v="0064L000007E2Ya"/>
        <s v="0064L000006jgOs"/>
        <s v="0064L000006jgOJ"/>
        <s v="0064L00000BmFni"/>
        <s v="0064L000009AMAE"/>
        <s v="0064L00000BoLuc"/>
        <s v="0064L00000Blv0Q"/>
        <s v="0064L00000418Fb"/>
        <s v="0064L00000Aqyei"/>
        <s v="0064L00000AqWdL"/>
        <s v="0064L00000Aqyhq"/>
        <s v="0064L000009BMQi"/>
        <s v="0064L00000Aqyit"/>
        <s v="0064L00000BnjZX"/>
        <s v="0064L00000Ar9IX"/>
        <s v="0064L00000BmxWt"/>
        <s v="0064L00000BfQbV"/>
        <s v="0064L00000CXdTV"/>
        <s v="0064L00000DJTf7"/>
        <s v="0064L00000DJTeJ"/>
        <s v="0064L00000BlBSc"/>
        <s v="0064L00000Bks8J"/>
        <s v="0064L00000Bm4VY"/>
        <s v="0064L000003yaX7"/>
        <s v="0064L00000ArJR0"/>
        <s v="0064L00000BnkBR"/>
        <s v="0064L00000BdKcY"/>
        <s v="0064L000009fUrh"/>
        <s v="0064L00000BfQjA"/>
        <s v="0064L00000DJTjn"/>
        <s v="0064L00000BmWC5"/>
        <s v="0064L000003yPKg"/>
        <s v="0064L00000BlvBs"/>
        <s v="0064L000001vv9w"/>
        <s v="0064L00000Apewr"/>
        <s v="0064L000001vdMT"/>
        <s v="0064L00000CWQCm"/>
        <s v="0064L00000BonSB"/>
        <s v="0064L00000BonSp"/>
        <s v="0064L00000CXdiD"/>
        <s v="0064L00000B2jjO"/>
        <s v="0064L00000BonTd"/>
        <s v="0064L00000Blum2"/>
        <s v="0064L00000Blun3"/>
        <s v="0064L00000Blun2"/>
        <s v="0064L000009fgCa"/>
        <s v="0064L00000BlunH"/>
        <s v="0064L00000CXTJp"/>
        <s v="0064L00000BlunJ"/>
        <s v="0064L00000BlunT"/>
        <s v="0064L00000CYULO"/>
        <s v="0064L00000CVnFo"/>
        <s v="0065800000gzgGJ"/>
        <s v="0064L00000BoZuS"/>
        <s v="0064L00000AqhEs"/>
        <s v="0064L000007HL9F"/>
        <s v="0064L00000AqyQa"/>
        <s v="0064L00000DJdhw"/>
        <s v="0064L000009AmNd"/>
        <s v="0064L00000Bolee"/>
        <s v="0064L00000CVmx1"/>
        <s v="0064L00000B0vqq"/>
        <s v="0064L000001vdxe"/>
        <s v="0064L000002b1so"/>
        <s v="0064L00000Bg1l3"/>
        <s v="0064L00000Bg1l2"/>
        <s v="0064L00000Bg1ks"/>
        <s v="0064L000003zTVn"/>
        <s v="0064L00000BepNp"/>
        <s v="0064L00000AqWW4"/>
        <s v="0064L00000ArkZu"/>
        <s v="0064L00000BcjLD"/>
        <s v="0064L00000DFii3"/>
        <s v="0064L00000DJeRu"/>
        <s v="0064L00000BcjKn"/>
        <s v="0064L00000DJdv5"/>
        <s v="0064L00000BfQT2"/>
        <s v="0064L00000BmDf8"/>
        <s v="0064L00000BmDey"/>
        <s v="0064L00000Bn6iC"/>
        <s v="0064L00000BoKMy"/>
        <s v="0064L00000DJdzX"/>
        <s v="0064L00000BfQY2"/>
        <s v="0064L00000BldMI"/>
        <s v="0064L00000Bg1wt"/>
        <s v="0064L00000BfQZK"/>
        <s v="0064L00000DJRVy"/>
        <s v="0064L00000Bni2V"/>
        <s v="0064L00000CWMe9"/>
        <s v="0064L000007YJEP"/>
        <s v="0064L00000BlbPZ"/>
        <s v="0064L00000CYU4R"/>
        <s v="0064L00000CYTRo"/>
        <s v="0064L00000CYU2u"/>
        <s v="0064L00000Bo98U"/>
        <s v="0064L000004wuJB"/>
        <s v="0064L00000BolAA"/>
        <s v="0064L000007GUir"/>
        <s v="0064L00000B38qv"/>
        <s v="0064L00000CYBwo"/>
        <s v="0064L00000CXQXn"/>
        <s v="0064L00000Bo9AV"/>
        <s v="0064L000003zsMg"/>
        <s v="0065800000h0I7R"/>
        <s v="0064L00000ApdV2"/>
        <s v="0064L000002Lc8Y"/>
        <s v="0064L00000BmDC1"/>
        <s v="0064L00000BoZiH"/>
        <s v="0064L00000CYTbP"/>
        <s v="0064L00000DJe55"/>
        <s v="0064L00000Bo9KB"/>
        <s v="0064L00000Bnhjt"/>
        <s v="0064L00000DFWk2"/>
        <s v="0064L0000040ePD"/>
        <s v="0064L00000BlQdk"/>
        <s v="0064L00000CY3Ex"/>
        <s v="0064L00000DFhmR"/>
        <s v="0064L00000BnWlo"/>
        <s v="0064L00000BoK2K"/>
        <s v="0064L000007GUWD"/>
        <s v="0064L00000BojRO"/>
        <s v="0064L00000BoI23"/>
        <s v="0064L00000CYdM5"/>
        <s v="0064L00000CYdM6"/>
        <s v="0064L00000DJaz9"/>
        <s v="0064L00000DJbYs"/>
        <s v="0064L00000CYdMy"/>
        <s v="0064L00000CYdND"/>
        <s v="0064L00000BcW2b"/>
        <s v="0064L00000B14WQ"/>
        <s v="0064L00000BoXtw"/>
        <s v="0064L000002aP96"/>
        <s v="0064I00000y8gwH"/>
        <s v="0064L00000CYv5n"/>
        <s v="0064L00000Blqrf"/>
        <s v="0064L00000BlrRn"/>
        <s v="0064L00000BnxZR"/>
        <s v="0064L00000BmAru"/>
        <s v="0064L00000B26t2"/>
        <s v="0064L00000ArFig"/>
        <s v="0064L0000040wak"/>
        <s v="0064L0000099B2x"/>
        <s v="0064L000006ju8c"/>
        <s v="0064L0000099B2A"/>
        <s v="0064L00000BnxaK"/>
        <s v="0064L000002ZZzF"/>
        <s v="0064L00000428vf"/>
        <s v="0064L00000BoIBU"/>
        <s v="0064L00000DJRLK"/>
        <s v="0064L00000DFWEG"/>
        <s v="0064L00000CYCAP"/>
        <s v="0064L00000DFVe8"/>
        <s v="0064L0000041hqP"/>
        <s v="0064L00000DFVfp"/>
        <s v="0065800000Ycwyn"/>
        <s v="0064L00000BlbDn"/>
        <s v="0064L000001vQnC"/>
        <s v="0064L0000040vqc"/>
        <s v="0064L000006VhpC"/>
        <s v="0064L000003zbie"/>
        <s v="0064L00000DJbvI"/>
        <s v="0064L000001vQo0"/>
        <s v="0064L00000BnTiT"/>
        <s v="0064L00000DJb81"/>
        <s v="0064L00000BoypI"/>
        <s v="0064I00000zT23X"/>
        <s v="0064L000009AhQI"/>
        <s v="0064L00000Bd5mM"/>
        <s v="0064L000001wRbx"/>
        <s v="0064L00000Aqub5"/>
        <s v="0064L00000BoFq4"/>
        <s v="0064L00000DJaYh"/>
        <s v="0064L000009fcSG"/>
        <s v="0064L00000Bekvu"/>
        <s v="0064L00000CXNhv"/>
        <s v="0064L000009AhLc"/>
        <s v="0064L00000CVHdb"/>
        <s v="0064L00000Boj8C"/>
        <s v="0064L00000B1T38"/>
        <s v="0064L000003ynNy"/>
        <s v="0064L000002La9o"/>
        <s v="0064L00000CVjkJ"/>
        <s v="0064L00000BgPaM"/>
        <s v="0064L00000DFfUm"/>
        <s v="0064L00000BoH8J"/>
        <s v="0064L000009AxiX"/>
        <s v="0064L00000CVZLK"/>
        <s v="0064L00000B11K8"/>
        <s v="0064L00000Blr6f"/>
        <s v="0064L00000Blr6k"/>
        <s v="0064L00000Blr6h"/>
        <s v="0064L0000069reb"/>
        <s v="0064L00000Blr7T"/>
        <s v="0064L00000BoWzy"/>
        <s v="0064L00000Blr7s"/>
        <s v="0064L00000BlqYu"/>
        <s v="0064L0000099Nef"/>
        <s v="0064L00000B0qcw"/>
        <s v="0064L00000DJbMw"/>
        <s v="0064L00000BlqaN"/>
        <s v="0064L00000BlqaL"/>
        <s v="0064L00000Blqbm"/>
        <s v="0064L00000BfMoA"/>
        <s v="0064L00000BlqcG"/>
        <s v="0064L00000CYtgc"/>
        <s v="0064L00000CYthk"/>
        <s v="0064L00000CYtha"/>
        <s v="0064L00000CYti9"/>
        <s v="0064I00000vN9CG"/>
        <s v="0064L00000Be7jq"/>
        <s v="0064L00000BogmO"/>
        <s v="0064L00000CXpEP"/>
        <s v="0064L000009B8hp"/>
        <s v="0064L00000BohQi"/>
        <s v="0064L00000CWmJW"/>
        <s v="0064L00000Arwi0"/>
        <s v="0064L00000CVHFK"/>
        <s v="0064L00000BoX7J"/>
        <s v="0064L00000B0sQp"/>
        <s v="0064L000002bqzQ"/>
        <s v="0064L00000BlpOr"/>
        <s v="0064L00000CVYGd"/>
        <s v="0064L00000CYbQy"/>
        <s v="0064L00000CXO0V"/>
        <s v="0064L0000040BYY"/>
        <s v="0064I000011pp3R"/>
        <s v="0064L00000CWn60"/>
        <s v="0064L00000CXpWE"/>
        <s v="0064L00000Beke5"/>
        <s v="0064L00000CXNUn"/>
        <s v="0064L00000BoXDq"/>
        <s v="0064L00000B1TE1"/>
        <s v="0064L00000CVjXW"/>
        <s v="0064L00000As7Uz"/>
        <s v="0064L00000BoXIR"/>
        <s v="0064L00000BmseX"/>
        <s v="0064L00000Bmsgi"/>
        <s v="0064L00000BmOc1"/>
        <s v="0064L00000CVExE"/>
        <s v="0064L00000ArD9F"/>
        <s v="0064L00000BmOcK"/>
        <s v="0064L00000Bn0bm"/>
        <s v="0064L000003zLs4"/>
        <s v="0064L000003zLru"/>
        <s v="0064L000009AfMJ"/>
        <s v="0064L00000B0pSM"/>
        <s v="0064L00000DFchn"/>
        <s v="0064L00000B1sTq"/>
        <s v="0064L00000BmaJD"/>
        <s v="0064L00000Be80c"/>
        <s v="0064L00000BndMu"/>
        <s v="0064L00000Bo4Oh"/>
        <s v="0064L00000B1QMR"/>
        <s v="0064L00000B1QMW"/>
        <s v="0064L00000BmOme"/>
        <s v="0064L000004xbeJ"/>
        <s v="0064L00000BmOmt"/>
        <s v="0064L00000Bd3rk"/>
        <s v="0064L00000Bnttt"/>
        <s v="0064L00000Bd3sv"/>
        <s v="0064L000009A31h"/>
        <s v="0064L000004vL1f"/>
        <s v="0064L000004vL1L"/>
        <s v="0064L00000ArClS"/>
        <s v="0064I000013546r"/>
        <s v="0064L0000041tqs"/>
        <s v="0064L000006xVMN"/>
        <s v="0064L000007WNwP"/>
        <s v="0064I000014Lbxn"/>
        <s v="0064L000004wO2Y"/>
        <s v="0064L00000BeIJQ"/>
        <s v="0064L000006AEGY"/>
        <s v="0064L00000BnvIR"/>
        <s v="0064I00000y6UHo"/>
        <s v="0064L00000BogjK"/>
        <s v="0064L00000Bel0V"/>
        <s v="0064L000009AEFg"/>
        <s v="0064L00000BoejG"/>
        <s v="0064L00000BctJU"/>
        <s v="0064L00000ApnuV"/>
        <s v="0064I000011nVWl"/>
        <s v="0064L000009AEDe"/>
        <s v="0064L000009AEDU"/>
        <s v="0064L0000041eeY"/>
        <s v="0064L00000BmqJ7"/>
        <s v="0064L00000BdULe"/>
        <s v="0064L00000BgMTv"/>
        <s v="0064L00000BnRL1"/>
        <s v="0064L00000Bovpy"/>
        <s v="0064I00000q1AkZ"/>
        <s v="0064L00000BoUQA"/>
        <s v="0064L00000BoUQ0"/>
        <s v="0064L0000097HAK"/>
        <s v="0064L000003zMm8"/>
        <s v="0064L000007Xw9W"/>
        <s v="0064L000009AEAu"/>
        <s v="0064L000004voBD"/>
        <s v="0064L00000BoDTv"/>
        <s v="0064L000009AE7I"/>
        <s v="0064L00000BdE90"/>
        <s v="0064L00000Bn0T4"/>
        <s v="0064L00000CYpx4"/>
        <s v="0064L00000AqQLA"/>
        <s v="0064L00000Bowbo"/>
        <s v="0064L00000CVWT1"/>
        <s v="0064L00000Arf4t"/>
        <s v="0064L000009B6TH"/>
        <s v="0064L00000Bntdv"/>
        <s v="0064L00000BdUev"/>
        <s v="0064L00000ArU8K"/>
        <s v="0064L00000BmOaE"/>
        <s v="0064L00000BmOaF"/>
        <s v="0064L00000BoSe9"/>
        <s v="0064L000006iilE"/>
        <s v="0064L00000BoeHQ"/>
        <s v="0064L00000DFPbI"/>
        <s v="0064L000001twsC"/>
        <s v="0064L00000As3Xj"/>
        <s v="0064L00000B1qQB"/>
        <s v="0064L00000BoeMG"/>
        <s v="0064L00000BeElz"/>
        <s v="0064L00000BodmN"/>
        <s v="0064L00000BoSkw"/>
        <s v="0064L00000BoePt"/>
        <s v="0064L00000BoSod"/>
        <s v="0064L00000BoSon"/>
        <s v="0064L00000Bo2Mo"/>
        <s v="0064L00000BlKJ0"/>
        <s v="0065800000Uxqy0"/>
        <s v="0064L00000BodtO"/>
        <s v="0064L00000CXmO2"/>
        <s v="0064L000006ygrf"/>
        <s v="0064L0000040NEX"/>
        <s v="0064L00000BoU6P"/>
        <s v="0064L000009AQoh"/>
        <s v="0064L00000B33E5"/>
        <s v="0064L00000BoSve"/>
        <s v="0064L00000DFc6S"/>
        <s v="0064L00000As3hK"/>
        <s v="0064L00000CXJoS"/>
        <s v="0064L00000Ar0hE"/>
        <s v="0064L00000CVF4A"/>
        <s v="0064L00000CVwwQ"/>
        <s v="0064L00000CXKXr"/>
        <s v="0064L00000Be5dF"/>
        <s v="0064L00000CVF4M"/>
        <s v="0064L00000CVF4K"/>
        <s v="0064L00000CVF4L"/>
        <s v="0064L00000CVF68"/>
        <s v="0064L00000CVF66"/>
        <s v="0064L00000BeiIz"/>
        <s v="0064L00000Bo2aM"/>
        <s v="0064L000007ux2V"/>
        <s v="0064L00000AsBse"/>
        <s v="0064L00000CXYyZ"/>
        <s v="0064L00000CXZZX"/>
        <s v="0064L00000Bf6fn"/>
        <s v="0064L00000Bf6hD"/>
        <s v="0064L00000B1Oq5"/>
        <s v="0064L000007xNse"/>
        <s v="0064L00000Bf6iu"/>
        <s v="0064L00000CWVzx"/>
        <s v="0064L00000Bf6js"/>
        <s v="0064L00000Bf6kR"/>
        <s v="0064L00000CXZa5"/>
        <s v="0064L00000Bf6kb"/>
        <s v="0064L00000CXZb3"/>
        <s v="0064L00000B0nlg"/>
        <s v="0064L00000Be3il"/>
        <s v="0064L000009ARzl"/>
        <s v="0064L0000042DUF"/>
        <s v="0064L0000042DW6"/>
        <s v="0064L0000042DUy"/>
        <s v="0064L00000BoBRE"/>
        <s v="0064L000004v8mF"/>
        <s v="0064L00000BmoPr"/>
        <s v="0064L00000B2cg1"/>
        <s v="0064L000001uHbr"/>
        <s v="0064L00000B2cah"/>
        <s v="0064L00000DFPUb"/>
        <s v="0064L00000DFPWD"/>
        <s v="0064L00000BnPXU"/>
        <s v="0064L00000CVx1U"/>
        <s v="0064L000003yXv1"/>
        <s v="0064L00000CWWsF"/>
        <s v="0064L00000Blm9Z"/>
        <s v="0064L00000CVg3A"/>
        <s v="0064L000007wJu2"/>
        <s v="0064L00000BoeEb"/>
        <s v="0064L00000BoScS"/>
        <s v="0064L00000DJnMI"/>
        <s v="0064L00000CX7W5"/>
        <s v="0064L00000B1MKN"/>
        <s v="0064L00000As0uQ"/>
        <s v="0064L00000BfXNR"/>
        <s v="0064L00000Bf5io"/>
        <s v="0064L00000AraYU"/>
        <s v="0064L00000Bg8nY"/>
        <s v="0064L000002ZS38"/>
        <s v="0064L00000CXYbS"/>
        <s v="0064L000002ZS4f"/>
        <s v="0064L000009BAyY"/>
        <s v="0064L000002ZS41"/>
        <s v="0064L00000DJksu"/>
        <s v="0064L000009Aqu7"/>
        <s v="0064L00000Bou25"/>
        <s v="0064L0000040o0s"/>
        <s v="0064L00000CXjgN"/>
        <s v="0064L00000BlYh1"/>
        <s v="0064L00000Bo0LP"/>
        <s v="0064L00000CXjhC"/>
        <s v="0064L000001uVku"/>
        <s v="0064L00000BfXVV"/>
        <s v="0064L00000CX7cc"/>
        <s v="0064L00000CYmkv"/>
        <s v="0064L00000CYnOM"/>
        <s v="0064L00000Bg8z0"/>
        <s v="0064L00000Bf5xZ"/>
        <s v="0064L00000CX7kH"/>
        <s v="0064L00000Bo153"/>
        <s v="0064L000001vHap"/>
        <s v="0064L00000CWVn3"/>
        <s v="0064L00000Bd0XF"/>
        <s v="0064L00000B0kTF"/>
        <s v="0064L00000CWG1s"/>
        <s v="0064L00000CYLWw"/>
        <s v="0064L00000Bf6d1"/>
        <s v="0064L00000BouF0"/>
        <s v="0064L00000Bf6dp"/>
        <s v="0064L00000ArNmW"/>
        <s v="0064L00000Arr2U"/>
        <s v="0064L00000AqLLJ"/>
        <s v="0064L00000CW41k"/>
        <s v="0064L00000CWx8B"/>
        <s v="0064L00000AqLMM"/>
        <s v="0064L000002azU4"/>
        <s v="0064L00000BfEeq"/>
        <s v="0064L00000Bf5H5"/>
        <s v="0064L000002azWi"/>
        <s v="0064L000002azXC"/>
        <s v="0064L000002azXD"/>
        <s v="0064L00000AqLQ9"/>
        <s v="0064L000002azYP"/>
        <s v="0064L00000Bnocc"/>
        <s v="0064L000002azYf"/>
        <s v="0064L000002azXS"/>
        <s v="0064L00000BfhMp"/>
        <s v="0064L000002azXR"/>
        <s v="0064L000002azXl"/>
        <s v="0064L00000BmmBh"/>
        <s v="0064L000003zJSE"/>
        <s v="0064L000002azYK"/>
        <s v="0064L00000CVS8G"/>
        <s v="0064L00000DJYnQ"/>
        <s v="0064L0000042T3F"/>
        <s v="0064L000002aiJH"/>
        <s v="0064L00000Bg90D"/>
        <s v="0064L00000CVRZO"/>
        <s v="0064L00000BfFQp"/>
        <s v="0064L00000BmKEt"/>
        <s v="0064L000009foCN"/>
        <s v="0064L00000B2sGG"/>
        <s v="0064L000002ZSL1"/>
        <s v="0064L00000Boc2x"/>
        <s v="0064L00000Bnoox"/>
        <s v="0064L00000CXHHr"/>
        <s v="0064L00000Bot7Y"/>
        <s v="0064L00000Be35o"/>
        <s v="0064L00000BnNRU"/>
        <s v="0064L00000CVSGr"/>
        <s v="0064L00000Bo05g"/>
        <s v="0064L00000BoQXJ"/>
        <s v="0064L00000Borxw"/>
        <s v="0064L00000Bp2Wy"/>
        <s v="0064L00000BlztH"/>
        <s v="0064L00000B1MPc"/>
        <s v="0064L00000BfXGB"/>
        <s v="0064L00000CVPmB"/>
        <s v="0064L00000CVPmk"/>
        <s v="0064L00000CXVtd"/>
        <s v="0064L00000BeRbE"/>
        <s v="0064L00000BgYK5"/>
        <s v="0064L00000CWTUG"/>
        <s v="0064L00000CGwmb"/>
        <s v="0064L00000Bp1G6"/>
        <s v="0064L000003ziI5"/>
        <s v="0064L00000Bfh3J"/>
        <s v="0065800000h0RtK"/>
        <s v="0064L00000Be0l3"/>
        <s v="0064L00000BmlI8"/>
        <s v="0064L000006BT0H"/>
        <s v="0064L00000BliFh"/>
        <s v="0064L00000Be0mp"/>
        <s v="0064L00000DJZ7u"/>
        <s v="0064L00000DJZ8T"/>
        <s v="0065800000h0Rnq"/>
        <s v="0064L00000BmZo2"/>
        <s v="0064L00000BlGKY"/>
        <s v="0064L00000CVskT"/>
        <s v="0064L00000BlWnq"/>
        <s v="0064I00000zSizy"/>
        <s v="0064L00000Be0zF"/>
        <s v="0064L00000Be0zo"/>
        <s v="0064L00000BgZEu"/>
        <s v="0064L00000BnN9b"/>
        <s v="0064L00000CGwFC"/>
        <s v="0064L00000CYHWD"/>
        <s v="0064L00000BebhJ"/>
        <s v="0064L00000AqK0j"/>
        <s v="0064L00000BebhE"/>
        <s v="0064L00000Bebgu"/>
        <s v="0064L000007E4mo"/>
        <s v="0064L00000CXWA3"/>
        <s v="0064L00000BoOJZ"/>
        <s v="0064L00000BoNhu"/>
        <s v="0064L00000BoNkA"/>
        <s v="0064L00000DJXSq"/>
        <s v="0064L00000BoNjl"/>
        <s v="0064L00000BeRQQ"/>
        <s v="0064L00000BoNni"/>
        <s v="0064L00000BfCu5"/>
        <s v="0064L00000Bg5xg"/>
        <s v="0064L00000Be0Sa"/>
        <s v="0064L000002avst"/>
        <s v="0064L00000CWTI3"/>
        <s v="0064L00000CWTIl"/>
        <s v="0064L000007v3KX"/>
        <s v="0064L00000BoNwG"/>
        <s v="0064L00000CXWQN"/>
        <s v="0064L00000ArNJF"/>
        <s v="0064L00000CVPlI"/>
        <s v="0064L00000B2pPy"/>
        <s v="0064L00000CXtZM"/>
        <s v="0064L00000CYLLr"/>
        <s v="0064L00000DJVsD"/>
        <s v="0064L00000DFWQg"/>
        <s v="0064L00000BoZlL"/>
        <s v="0064L00000Bfee2"/>
        <s v="0064L000003yLkG"/>
        <s v="0064L00000BlogL"/>
        <s v="0064L0000097hUV"/>
        <s v="0064L000003ygJa"/>
        <s v="0064L000002bhj8"/>
        <s v="0064L00000Bkv58"/>
        <s v="0064L00000CXDh3"/>
        <s v="0064L00000BnY85"/>
        <s v="0064L00000DJRmH"/>
        <s v="0064L00000CXtEJ"/>
        <s v="0064L000007xYfh"/>
        <s v="0064L000007xYfi"/>
        <s v="0064L000001wS0J"/>
        <s v="0064L00000BmtAJ"/>
        <s v="0064I000011os6M"/>
        <s v="0064L000009BO4j"/>
        <s v="0064L00000DJRR8"/>
        <s v="0064L000007x0Ui"/>
        <s v="0064L00000CXor1"/>
        <s v="0064I000014KHew"/>
        <s v="0064L00000Bp0ue"/>
        <s v="0064L00000BnL0p"/>
        <s v="0064L00000BloAy"/>
        <s v="0064L00000CWu0l"/>
        <s v="0064L00000Bl2vQ"/>
        <s v="0064L00000ArJSS"/>
        <s v="0064L000002bvja"/>
        <s v="0064L00000CY2z4"/>
        <s v="0064L000009B8dE"/>
        <s v="0064L00000BoFDQ"/>
        <s v="0064L00000Bl9t2"/>
        <s v="0064L00000Bmo8p"/>
        <s v="0064L000009APuZ"/>
        <s v="0064L00000BfFTZ"/>
        <s v="0064L00000BorYN"/>
        <s v="0064L00000Bfefj"/>
        <s v="0064L00000BeIWZ"/>
        <s v="0064L00000Bn0Sk"/>
        <s v="0064L00000BoUZq"/>
        <s v="0064L00000BeF5G"/>
        <s v="0064L000002ZrT9"/>
        <s v="0064L00000BfEtR"/>
        <s v="0064L00000Aqlt6"/>
        <s v="0064L00000BoiJi"/>
        <s v="0064L00000CYWao"/>
        <s v="0064L000007uerH"/>
        <s v="0064L00000Bfef0"/>
        <s v="0064L00000Bfeev"/>
        <s v="0064L000009ezby"/>
        <s v="0064L00000CXx0z"/>
        <s v="0064L00000DJRbN"/>
        <s v="0064L00000As7Hv"/>
        <s v="0064L00000BctUN"/>
        <s v="0064L00000BoV5h"/>
        <s v="0064L00000B1kEM"/>
        <s v="0064L00000Bn9Yb"/>
        <s v="0064L00000Bn9ZK"/>
        <s v="0064L00000CXg8S"/>
        <s v="0064L00000DJggt"/>
        <s v="0064L00000DJVgg"/>
        <s v="0064L00000BfvKJ"/>
        <s v="0064L00000DJgiq"/>
        <s v="0064L00000DJVoL"/>
        <s v="0064L000004vdnT"/>
        <s v="0064L00000Bf1l3"/>
        <s v="0064L00000CXwdb"/>
        <s v="0064L00000CXfeJ"/>
        <s v="0064L0000099Cnu"/>
        <s v="0064L00000BebTq"/>
        <s v="0064L00000BesX1"/>
        <s v="0064L00000DJVz4"/>
        <s v="0064L00000CWQK6"/>
        <s v="0064L000001vgq7"/>
        <s v="0064L00000BmFTE"/>
        <s v="0064L00000CVq0c"/>
        <s v="0064L00000CVonw"/>
        <s v="0064L00000BoLbG"/>
        <s v="0064L00000CWPvx"/>
        <s v="0064L00000BoMDy"/>
        <s v="0064L00000DFZca"/>
        <s v="0064L000009fYRk"/>
        <s v="0064L00000BoLi7"/>
        <s v="0064L00000DJfsA"/>
        <s v="0064L00000DJfse"/>
        <s v="0064L00000Bonn9"/>
        <s v="0064L00000BonpF"/>
        <s v="0064I00000wveA4"/>
        <s v="0064L000002cHSR"/>
        <s v="0064L00000Bnm2N"/>
        <s v="0064L00000CX3G0"/>
        <s v="0064L00000CWcII"/>
        <s v="0064L00000DFirA"/>
        <s v="0064L00000BoKUO"/>
        <s v="0064L00000CXuP8"/>
        <s v="0064L00000AqWbx"/>
        <s v="0064L000003zeIV"/>
        <s v="0064L00000Ar9Lq"/>
        <s v="0064L00000CXdWK"/>
        <s v="0064L0000040gdg"/>
        <s v="0064L00000DJg17"/>
        <s v="0064L00000CWbAy"/>
        <s v="0064L00000Bm4f4"/>
        <s v="0064L00000CXdjp"/>
        <s v="0064L00000CYULX"/>
        <s v="0064L00000Bnhpb"/>
        <s v="0064L00000CXQif"/>
        <s v="0064L00000AqhEd"/>
        <s v="0064L00000Apdcb"/>
        <s v="0064L00000ApdeI"/>
        <s v="0064L00000AqWKh"/>
        <s v="0064L00000BoKEV"/>
        <s v="0064L00000BoJhM"/>
        <s v="0064L00000B2m40"/>
        <s v="0064L00000BcjLC"/>
        <s v="0064L000001wG07"/>
        <s v="0064L00000BmDfD"/>
        <s v="0064L00000DJdsz"/>
        <s v="0064L000009f4e5"/>
        <s v="0064L00000BoJqT"/>
        <s v="0064L00000BnFQ7"/>
        <s v="0064L00000Bo94X"/>
        <s v="0064L00000BnWVC"/>
        <s v="0064L00000B2WnB"/>
        <s v="0064L00000BmTc5"/>
        <s v="0064L00000BmTbW"/>
        <s v="0064L00000DJe4C"/>
        <s v="0064L0000040vLK"/>
        <s v="0064L00000CYThS"/>
        <s v="0064L00000BoHMz"/>
        <s v="0064L00000Bd7OW"/>
        <s v="0064L000006juBr"/>
        <s v="0064L00000Boith"/>
        <s v="0064L00000BoXvJ"/>
        <s v="0064L00000CYC1E"/>
        <s v="0064L00000CYC0Q"/>
        <s v="0064L00000CV9I1"/>
        <s v="0064I00000tJHQC"/>
        <s v="0064L00000CYT8X"/>
        <s v="0064L00000Bn4Xi"/>
        <s v="0064L00000CWN3y"/>
        <s v="0064L00000DFWAn"/>
        <s v="0064L00000DJRPq"/>
        <s v="0064L00000DFVfa"/>
        <s v="0064L00000CYBdp"/>
        <s v="0064L00000CYTH0"/>
        <s v="0064L00000DFVjh"/>
        <s v="0064L00000Boypw"/>
        <s v="0064L00000Boyqa"/>
        <s v="0064L00000BgPYN"/>
        <s v="0064L00000Boyql"/>
        <s v="0064L000007xB1w"/>
        <s v="0064L00000Boyqu"/>
        <s v="0064L00000Bnvp1"/>
        <s v="0064L000009fcS1"/>
        <s v="0064L00000BgPZO"/>
        <s v="0064L00000BgPZQ"/>
        <s v="0064L00000BoWsJ"/>
        <s v="0064L00000BoH6N"/>
        <s v="0064L00000CYB10"/>
        <s v="0064L00000Ar5FF"/>
        <s v="0064L00000BoXXg"/>
        <s v="0064L00000BgPaW"/>
        <s v="0064L00000BnvzL"/>
        <s v="0064L000009g2eP"/>
        <s v="0064L000007wqBa"/>
        <s v="0064L00000DJbKW"/>
        <s v="0064L00000DJamo"/>
        <s v="0064L00000DJbT9"/>
        <s v="0064L00000Bfore"/>
        <s v="0065800000ji5Ch"/>
        <s v="0064L00000Bfq72"/>
        <s v="0064L00000BojOe"/>
        <s v="0064L00000BojOo"/>
        <s v="0064L00000BojOU"/>
        <s v="0064L000002ZHet"/>
        <s v="0064L0000041yH0"/>
        <s v="0064L00000BoX0S"/>
        <s v="0064L00000CYbLt"/>
        <s v="0064L000004yFgi"/>
        <s v="0064L00000Bogw9"/>
        <s v="0064L00000CY00O"/>
        <s v="0064L00000CXO0p"/>
        <s v="0064L00000BoFZM"/>
        <s v="0064L00000CWn6e"/>
        <s v="0064L000001vQ4b"/>
        <s v="0064L00000BnUCD"/>
        <s v="0064L00000BcwJD"/>
        <s v="0064L00000CYQbH"/>
        <s v="0064L00000CWmaC"/>
        <s v="0064L0000042WGl"/>
        <s v="0064L00000CXoHr"/>
        <s v="0064L00000DJNXv"/>
        <s v="0064L00000BogW6"/>
        <s v="0064L00000DFSUA"/>
        <s v="0064L00000BoUy7"/>
        <s v="0064L00000DFcwE"/>
        <s v="0064L00000DFSZU"/>
        <s v="0064L00000BmOyp"/>
        <s v="0064L0000040aCS"/>
        <s v="0064L00000Aq0MF"/>
        <s v="0064L00000Aq0Ll"/>
        <s v="0064L00000BoyGF"/>
        <s v="0064L00000BoyGj"/>
        <s v="0064L000009enST"/>
        <s v="0064L00000BgMS9"/>
        <s v="0064L00000Bn0EO"/>
        <s v="0064L00000BoemP"/>
        <s v="0064L00000B23Pt"/>
        <s v="0064L00000CXmfw"/>
        <s v="0064L000009fsP5"/>
        <s v="0064L00000BoDPe"/>
        <s v="0064L00000CYqQg"/>
        <s v="0064L00000AqbEU"/>
        <s v="0064L00000CVWGr"/>
        <s v="0064L00000DFcTg"/>
        <s v="0064L0000099oYk"/>
        <s v="0064L00000B35a8"/>
        <s v="0064L00000BfmNw"/>
        <s v="0064L00000BnRcq"/>
        <s v="0065800000jijot"/>
        <s v="0064L00000Aru9J"/>
        <s v="0064L000009fooX"/>
        <s v="0064L000002blwO"/>
        <s v="0064L000007wJn6"/>
        <s v="0064L00000BoSnz"/>
        <s v="0064L00000CYq1V"/>
        <s v="0064L00000BlllV"/>
        <s v="0064L000007vzZ0"/>
        <s v="0064L00000BlmQz"/>
        <s v="0064L00000Bo2Vq"/>
        <s v="0064L000009A12x"/>
        <s v="0064L00000BfZee"/>
        <s v="0064I000014JlOl"/>
        <s v="0064L00000BeyiG"/>
        <s v="0064L00000CYLZz"/>
        <s v="0064L00000DJmOr"/>
        <s v="0064L000002aYyW"/>
        <s v="0064L000001vKm5"/>
        <s v="0064L000009BFB6"/>
        <s v="0064L00000BdRrD"/>
        <s v="0064L00000BoSS8"/>
        <s v="0064L00000Boe5t"/>
        <s v="0064L00000BnrVe"/>
        <s v="0064L00000CXK3u"/>
        <s v="0064L000007wlxA"/>
        <s v="0064L00000422gc"/>
        <s v="0064L00000DJmlW"/>
        <s v="0064L00000CVBQR"/>
        <s v="0064L00000CVRtd"/>
        <s v="0064L00000Bo0D6"/>
        <s v="0064L00000CW58F"/>
        <s v="0064L00000BewSy"/>
        <s v="0064L00000Bf6R5"/>
        <s v="0064L00000CXjfj"/>
        <s v="0064L00000Bf6Qb"/>
        <s v="0064L00000BoQlp"/>
        <s v="0064L00000CYnK5"/>
        <s v="0064L00000CWgeJ"/>
        <s v="0064L00000BoQnR"/>
        <s v="0064L00000BevwE"/>
        <s v="0064L00000CW5GB"/>
        <s v="0064L00000CW5Hk"/>
        <s v="0064L000002ZcBQ"/>
        <s v="0064L000001v6tL"/>
        <s v="0064I00000zRBt8"/>
        <s v="0064L00000CX7oT"/>
        <s v="0064L000009AbbP"/>
        <s v="0064L00000BlWvQ"/>
        <s v="0064L00000Bmlch"/>
        <s v="0064L000002aiKe"/>
        <s v="0064L00000997zS"/>
        <s v="0064L00000DJZSJ"/>
        <s v="0064L00000DJkTU"/>
        <s v="0064L00000Blieb"/>
        <s v="0064L00000DFpLt"/>
        <s v="0064L00000BoQPK"/>
        <s v="0064L00000CWxI8"/>
        <s v="0064L00000Bp2U4"/>
        <s v="0064I00000y7mqP"/>
        <s v="0064L00000BdR88"/>
        <s v="0064L00000BmJoQ"/>
        <s v="0064L000009AaiF"/>
        <s v="0064L0000099J0N"/>
        <s v="0064I000011p5l4"/>
        <s v="0064I00000y7mqo"/>
        <s v="0064L000009Aaen"/>
        <s v="0064L00000ArQ07"/>
        <s v="0064L00000BlZ6k"/>
        <s v="0064L00000CXFTD"/>
        <s v="0064L00000CY8V0"/>
        <s v="0064L00000CGwfz"/>
        <s v="0064L00000CY7wx"/>
        <s v="0064L00000CtjLI"/>
        <s v="0064L00000CVruz"/>
        <s v="0064L00000Bg81U"/>
        <s v="0064L00000CY8b2"/>
        <s v="0064L00000BliFq"/>
        <s v="0064L00000CVsaM"/>
        <s v="0064L000002a1uk"/>
        <s v="0064L00000DJZCa"/>
        <s v="0064L00000DJWb8"/>
        <s v="0064L00000CVPM3"/>
        <s v="0064L000006Xf57"/>
        <s v="0064L000001vjQv"/>
        <s v="0064L000003zGjA"/>
        <s v="0064L00000CGwIk"/>
        <s v="0064L00000Bopba"/>
        <s v="0064I0000131dXR"/>
        <s v="0064L00000CGwPI"/>
        <s v="0064L00000B1mc6"/>
        <s v="0064L000002Zc7t"/>
        <s v="0064L00000DJiRv"/>
        <s v="0064L00000BmjfU"/>
        <s v="0064L00000BopoJ"/>
        <s v="0064L00000DJj8L"/>
        <s v="0064L00000DJj7c"/>
        <s v="0064L00000CYHiq"/>
        <s v="0064L0000099XVA"/>
        <s v="0064L000004wkDf"/>
        <s v="0064L000002c9XA"/>
        <s v="0064L00000BmIRB"/>
        <s v="0064L00000CX1GQ"/>
        <s v="0064L00000BnKqL"/>
        <s v="0064L000009AWII"/>
        <s v="0064L000009A39b"/>
        <s v="0064L00000CWBUz"/>
        <s v="0064L0000041qmn"/>
        <s v="0064I000014JVcO"/>
        <s v="0064L00000CY8La"/>
        <s v="0064L00000DJe2p"/>
        <s v="0064L00000Bo0gI"/>
        <s v="0064L00000B2uXk"/>
        <s v="0064L00000B2uXL"/>
        <s v="0064L00000CYmXw"/>
        <s v="0064L00000CVxD9"/>
        <s v="0064L00000DFc34"/>
        <s v="0064L00000CYal7"/>
        <s v="0064L00000BlOD6"/>
        <s v="0064L00000CW8mt"/>
        <s v="0064L00000DJnNa"/>
        <s v="0064L00000CY7SU"/>
        <s v="0064L00000Bfedi"/>
        <s v="0064I000011ov73"/>
        <s v="0064L00000CVWHZ"/>
        <s v="0064L00000CXwey"/>
        <s v="0064L00000CWuMN"/>
        <s v="0064L00000BoZt5"/>
        <s v="0064L000004xhWn"/>
        <s v="0064L00000BoG46"/>
        <s v="0064L00000BmniX"/>
        <s v="0064L00000CYU0U"/>
        <s v="0064L00000BoSby"/>
        <s v="0064L00000CYXuz"/>
        <s v="0064L00000DJiLY"/>
        <s v="0064L000002b3Q1"/>
        <s v="0064L00000CXwsC"/>
        <s v="0064L00000DJTi6"/>
        <s v="0064L000004wtnm"/>
        <s v="0064L00000CWMjN"/>
        <s v="0064L00000DFVsF"/>
        <s v="0064L000009BLQD"/>
        <s v="0064L00000Bnvyr"/>
        <s v="0064L00000DFlpG"/>
        <s v="0064L000009gJme"/>
        <s v="0064L00000DFYSt"/>
        <s v="0064L00000Bmxg0"/>
        <s v="0064L00000BolVN"/>
        <s v="0064L00000BlasV"/>
        <s v="0064L00000BmTZ6"/>
        <s v="0064L0000099tMR"/>
        <s v="0064L00000BnvuV"/>
        <s v="0064L00000BoyeF"/>
        <s v="0064L00000B1tMb"/>
        <s v="0064L00000CXK0S"/>
        <s v="0064L00000CWj5p"/>
        <s v="0064L000007wIC3"/>
        <s v="0064L00000CVSej"/>
        <s v="0064L00000Bm8TX"/>
        <s v="0064L00000Bp0n4"/>
        <s v="0064L00000BlGHt"/>
        <s v="0064L00000DFlxo"/>
        <s v="0064L00000Bn9vp"/>
        <s v="0064L00000Bnq4w"/>
        <s v="0064L00000BecLJ"/>
        <s v="0064L00000BmITR"/>
        <s v="0064L0000042FRI"/>
        <s v="0064I000011pRqT"/>
        <s v="0064L00000CYWZ2"/>
        <s v="0064L00000Bn27Z"/>
        <s v="0064L000009AOdr"/>
        <s v="0064L00000DJYkl"/>
        <s v="0064L00000DFVU3"/>
        <s v="0064L00000DBOBE"/>
        <s v="0064L00000DJVSZ"/>
        <s v="0064L00000DFVrl"/>
        <s v="0064L00000BoZkD"/>
        <s v="0064L00000CXsf9"/>
        <s v="0064L000007GEgt"/>
        <s v="0064L00000CY0N8"/>
        <s v="0064L00000Bn1se"/>
        <s v="0064L000001uk4e"/>
        <s v="0064L00000Bf8fx"/>
        <s v="0064L00000CWxsP"/>
        <s v="0064L0000099Z1Y"/>
        <s v="0064L00000BgZKE"/>
        <s v="0064L00000BfeeD"/>
        <s v="0064L00000BcmuS"/>
        <s v="0064L00000DFlkV"/>
        <s v="0064L00000BmFvI"/>
        <s v="0064L00000BoHry"/>
        <s v="0064L00000Boxz8"/>
        <s v="0064L00000DJkrm"/>
        <s v="0064I000011oup9"/>
        <s v="0064L00000BnPZz"/>
        <s v="0064L00000CX6tk"/>
        <s v="0064L00000BlYYs"/>
        <s v="0064L000007wjfO"/>
        <s v="0064L00000BocF3"/>
        <s v="0064L00000BotFc"/>
        <s v="0064L00000Bg8pj"/>
        <s v="0064L00000BocNR"/>
        <s v="0064L00000DJkxk"/>
        <s v="0064L000009B1NG"/>
        <s v="0064L00000BevzD"/>
        <s v="0064L00000BoS7U"/>
        <s v="0064L000009B1OE"/>
        <s v="0064L00000CWVnN"/>
        <s v="0064L000009AOhU"/>
        <s v="0064L00000ArPpT"/>
        <s v="0064L00000BkyZ6"/>
        <s v="0064L00000CYmAs"/>
        <s v="0064L000007FL9S"/>
        <s v="0064L000003zlKw"/>
        <s v="0064L00000CYL1z"/>
        <s v="0064L00000CYn4g"/>
        <s v="0064L00000BlHRk"/>
        <s v="0064L00000DBQMO"/>
        <s v="0064L00000CWD2q"/>
        <s v="0064L00000AqJnk"/>
        <s v="0064L00000BlEyg"/>
        <s v="0064L00000CVsZJ"/>
        <s v="0064L00000DBQVf"/>
        <s v="0064L00000DFoGi"/>
        <s v="0064L00000CXWlC"/>
        <s v="0064L00000B2MSh"/>
        <s v="0064L00000BliTd"/>
        <s v="0064I000011ouq2"/>
        <s v="0064L00000BlERD"/>
        <s v="0064L00000BfecX"/>
        <s v="0064L00000BmI6m"/>
        <s v="0064L00000DJiEr"/>
        <s v="0064L00000CXW6L"/>
        <s v="0064L0000042A6o"/>
        <s v="0064L00000CGwLt"/>
        <s v="0064L00000BcmmY"/>
        <s v="0064I00000ww30O"/>
        <s v="0064I00000ww31H"/>
        <s v="0064L00000BfCtW"/>
        <s v="0064L00000Bopvo"/>
        <s v="0064L00000B1n5X"/>
        <s v="0064L00000BopwD"/>
        <s v="0064L00000CY8Nl"/>
        <s v="0064L00000CYIS5"/>
        <s v="0064L00000BlX3e"/>
        <s v="0064L000004v5AJ"/>
        <s v="0064L000009fGaX"/>
        <s v="0064L000004vBod"/>
        <s v="0064L00000CXfWG"/>
        <s v="0064L00000CX3SD"/>
        <s v="0064L00000Bn8zA"/>
        <s v="0064L000001vVAA"/>
        <s v="0064L000001vVAK"/>
        <s v="0064L00000DFlhg"/>
        <s v="0064L00000Bff8R"/>
        <s v="0064L00000DFlkf"/>
        <s v="0064L000009gJQT"/>
        <s v="0064L00000CXfnQ"/>
        <s v="0064L00000CXW2G"/>
        <s v="0064L000001vV5p"/>
        <s v="0064L00000CYxsI"/>
        <s v="0064L00000BoKtd"/>
        <s v="0064L00000CXD6G"/>
        <s v="0064L00000BlCXT"/>
        <s v="0064L000009fYQm"/>
        <s v="0064L00000BmFcV"/>
        <s v="0064L00000CXvdk"/>
        <s v="0064L000009fYRC"/>
        <s v="0064L00000417ks"/>
        <s v="0064L00000Bgej4"/>
        <s v="0064L00000BoKbZ"/>
        <s v="0064L00000BfQiW"/>
        <s v="0064L00000BonFR"/>
        <s v="0064L00000BdLDv"/>
        <s v="0064L00000DJTkI"/>
        <s v="0064L000001w3tE"/>
        <s v="0064L00000CX0xa"/>
        <s v="0064L00000CYxcP"/>
        <s v="0064L00000Ar8so"/>
        <s v="0064L000001w3tY"/>
        <s v="0064L000001wDuq"/>
        <s v="0064L00000BnJ36"/>
        <s v="0064L00000BoM69"/>
        <s v="0065800000gzgFL"/>
        <s v="0064L00000Bnhsa"/>
        <s v="0064L00000BolZt"/>
        <s v="0064L00000Bo9VY"/>
        <s v="0064L00000CXd3v"/>
        <s v="0064L00000CX0U6"/>
        <s v="0064L00000CY3Vj"/>
        <s v="0064L00000Bg2Fl"/>
        <s v="0064L000003zU1x"/>
        <s v="0064L00000B29Qj"/>
        <s v="0064L00000BfA2L"/>
        <s v="0064L00000BfQSs"/>
        <s v="0064L00000BfsXD"/>
        <s v="0064L000001vU67"/>
        <s v="0064L00000DFi4X"/>
        <s v="0064L00000BoHtp"/>
        <s v="0064L00000CYvUL"/>
        <s v="0064L00000Bm1mv"/>
        <s v="0064L00000DFiD0"/>
        <s v="0064L000007vogw"/>
        <s v="0064L00000BlQgj"/>
        <s v="0064L00000Be9ul"/>
        <s v="0064L00000BdGte"/>
        <s v="0064L00000BnDsj"/>
        <s v="0064L000007EbFF"/>
        <s v="0064L00000BnyG3"/>
        <s v="0064L00000CWpA1"/>
        <s v="0064L00000CWpD5"/>
        <s v="0064L00000Bfa5k"/>
        <s v="0064L00000BmBgE"/>
        <s v="0064L00000BlbHf"/>
        <s v="0064L00000CYtIR"/>
        <s v="0064L000007wr6F"/>
        <s v="0064L00000Bo6La"/>
        <s v="0064L00000BfN5r"/>
        <s v="0064L000002ZGgy"/>
        <s v="0064L000001wRbY"/>
        <s v="0064L00000BnvrC"/>
        <s v="0064L000009ftVb"/>
        <s v="0064L00000Boj6k"/>
        <s v="0064L00000Boj7x"/>
        <s v="0064L00000DFfRT"/>
        <s v="0064L00000CVHf3"/>
        <s v="0064L00000CVHfX"/>
        <s v="0064L00000BoXXv"/>
        <s v="0064L00000Bo79V"/>
        <s v="0064L000007Ume6"/>
        <s v="0064L00000CYsxc"/>
        <s v="0064L00000CVkVj"/>
        <s v="0064L00000CWmB3"/>
        <s v="0064L00000Boglp"/>
        <s v="0064L00000BogmT"/>
        <s v="0064L00000Bognb"/>
        <s v="0064L00000CXpM9"/>
        <s v="0064L00000BlpMW"/>
        <s v="0064I0000132pRb"/>
        <s v="0064L00000AqSSD"/>
        <s v="0064L00000BdXKc"/>
        <s v="0064L00000CVGzR"/>
        <s v="0064L00000Bd3sL"/>
        <s v="0064L00000Bd3ri"/>
        <s v="0064L00000Bd3rh"/>
        <s v="0064L00000CW8jG"/>
        <s v="0064L00000DJNdZ"/>
        <s v="0064L00000CXoXQ"/>
        <s v="0064L00000CV5mp"/>
        <s v="0064L00000CW8sS"/>
        <s v="0064L000009AvMZ"/>
        <s v="0064L00000BnCAy"/>
        <s v="0064L000009AUi4"/>
        <s v="0064L00000B1szX"/>
        <s v="0064L00000BoUHw"/>
        <s v="0064L00000CYqEy"/>
        <s v="0064L00000BgMSi"/>
        <s v="0064L0000099O2j"/>
        <s v="0064L00000CWkEl"/>
        <s v="0064L00000CWkEk"/>
        <s v="0064L000003zMnG"/>
        <s v="0064L00000B22hI"/>
        <s v="0064L00000CWHkZ"/>
        <s v="0064L00000CWHnN"/>
        <s v="0064I00000r3cZ1"/>
        <s v="0064L00000BdEEo"/>
        <s v="0064L00000DFSCf"/>
        <s v="0064I00000vQF7A"/>
        <s v="0064L000002blnM"/>
        <s v="0064L00000CXJjr"/>
        <s v="0064L000007UWnK"/>
        <s v="0064L000007wK5d"/>
        <s v="0064L00000Boeco"/>
        <s v="0064L000002al6G"/>
        <s v="0064L00000Bf6fb"/>
        <s v="0064L00000BmoCm"/>
        <s v="0064L00000Bo0h1"/>
        <s v="0064L00000B2SIX"/>
        <s v="0064L000009AC2Z"/>
        <s v="0064L00000Bmns3"/>
        <s v="0064L00000DJmb7"/>
        <s v="0064L00000Bnqzn"/>
        <s v="0064L00000B2vej"/>
        <s v="0064L00000B2vdD"/>
        <s v="0064L00000Bp0ns"/>
        <s v="0064L00000CY7FL"/>
        <s v="0064L00000BoyH3"/>
        <s v="0064L00000CYqNS"/>
        <s v="0064L00000CVgn3"/>
        <s v="0064L00000Ard7W"/>
        <s v="0064L00000DFRia"/>
        <s v="0064L00000BoLyP"/>
        <s v="0064L00000BonSC"/>
        <s v="0064L00000BoZsv"/>
        <s v="0064L00000CYtBF"/>
        <s v="0064L00000Bf6Vv"/>
        <s v="0064L00000BnyIJ"/>
        <s v="0064L00000DJVwF"/>
        <s v="0064L00000Aqbr2"/>
        <s v="0064I00001317Gl"/>
        <s v="0064L00000BmzWg"/>
        <s v="0064L00000BoDIs"/>
        <s v="0064L00000CYq8C"/>
        <s v="0064L00000Bo2RZ"/>
        <s v="0064L00000BlUrv"/>
        <s v="0064L00000BoQBh"/>
        <s v="0064L00000BnNNN"/>
        <s v="0064L00000CVRlP"/>
        <s v="0064L00000BlExd"/>
        <s v="0064L00000BfwxZ"/>
        <s v="0064L00000BeRQC"/>
        <s v="0064L00000CYY4L"/>
        <s v="0064L000009fY0j"/>
        <s v="0064L00000BmFWN"/>
        <s v="0064L00000BgekM"/>
        <s v="0064L00000CWQIZ"/>
        <s v="0064L00000BoKOG"/>
        <s v="0064L00000Bm2He"/>
        <s v="0064L00000CYAlS"/>
        <s v="0064L00000CYBRB"/>
        <s v="0064L00000CYBRk"/>
        <s v="0064L00000DFWFd"/>
        <s v="0064L000009AI8T"/>
        <s v="0064L00000CVIC2"/>
        <s v="0064L000007wquP"/>
        <s v="0064L00000CYQNW"/>
        <s v="0064L00000CXMxI"/>
        <s v="0064L00000BntPx"/>
        <s v="0064I000015Td0g"/>
        <s v="0064L00000BoeMH"/>
        <s v="0064L00000BoeN4"/>
        <s v="0064L00000BoeNJ"/>
        <s v="0064L00000BodxG"/>
        <s v="0064L00000Bgeq2"/>
        <s v="0064L0000097chx"/>
        <s v="0064L000009B1eK"/>
        <s v="0064L00000BnN4f"/>
        <s v="0064L00000BmI84"/>
        <s v="0064L00000DFo3A"/>
        <s v="0064L00000CYF2Z"/>
        <s v="0064L00000CXczf"/>
        <s v="0064L00000DJTuv"/>
        <s v="0064L00000BgT2Z"/>
        <s v="0064L00000CYtin"/>
        <s v="0064L00000CVm3m"/>
        <s v="0064L00000CYBaH"/>
        <s v="0064L000009AzAh"/>
        <s v="0064L00000BoymY"/>
        <s v="0064L000003zN87"/>
        <s v="0064L000009AfPS"/>
        <s v="0064L00000CVgP6"/>
        <s v="0064L00000BmN68"/>
        <s v="0064L000004woKP"/>
        <s v="0064L00000BlQ97"/>
        <s v="0064L00000Bo4gC"/>
        <s v="0064L00000Bp2M0"/>
        <s v="0064L00000B2vdH"/>
        <s v="0064L00000B2vdC"/>
        <s v="0064L00000DFm5P"/>
        <s v="0064L00000CWN3A"/>
        <s v="0064L00000BntPT"/>
        <s v="0064L00000DJiOX"/>
        <s v="0064L00000CY93Z"/>
        <s v="0064L00000BnPZp"/>
        <s v="0064I00000zRBwl"/>
        <s v="0064L00000Bmzki"/>
        <s v="0064L00000BoldW"/>
        <s v="0064L00000CYTi6"/>
        <s v="0064L00000Bo6p6"/>
        <s v="0064L00000BnTcK"/>
        <s v="0064I000014Jkd1"/>
        <s v="0064I00000zRCSR"/>
        <s v="0064I000011ouwk"/>
        <s v="0064L00000Bd6Wy"/>
        <s v="0064L0000041PGe"/>
        <s v="0064L00000CWWsU"/>
        <s v="0064L0000070nom"/>
        <s v="0064L000009ARkv"/>
        <s v="0064L000007xO7t"/>
        <s v="0064L00000BfzLU"/>
        <s v="0064L000002ZRXn"/>
        <s v="0064L000001uhHQ"/>
        <s v="0064L000002ZS2Z"/>
        <s v="0064L00000BocKD"/>
        <s v="0064L00000CWxao"/>
        <s v="0064L000001uhLc"/>
        <s v="0064L00000CWxdp"/>
        <s v="0064L000002ZRWL"/>
        <s v="0064L000002ZRWM"/>
        <s v="0064L00000BfFuz"/>
        <s v="0064L00000BoS41"/>
        <s v="0064L00000Bp2r4"/>
        <s v="0064L00000B1mz5"/>
        <s v="0064L000001uh89"/>
        <s v="0064L000001uy8L"/>
        <s v="0064L000001uy8M"/>
        <s v="0064L00000CX7oO"/>
        <s v="0064L00000997NA"/>
        <s v="0064L00000DJZFU"/>
        <s v="0064L000007FLC5"/>
        <s v="0064L00000B330N"/>
        <s v="0064L00000ArqYo"/>
        <s v="0064L00000Bg7p4"/>
        <s v="0064L00000Bew2M"/>
        <s v="0064L00000BgYrg"/>
        <s v="0064L00000DJkUc"/>
        <s v="0064L00000CWgEO"/>
        <s v="0064L00000Bcq2B"/>
        <s v="0064L0000068zob"/>
        <s v="0064L00000CXzjw"/>
        <s v="0064L00000Bkwhc"/>
        <s v="0064L00000BoPpW"/>
        <s v="0064L00000BobWD"/>
        <s v="0064L0000099l3R"/>
        <s v="0064L00000Bdayk"/>
        <s v="0064L00000CXYPg"/>
        <s v="0064L00000Bo08L"/>
        <s v="0064L00000BoPz2"/>
        <s v="0064L000009Aajh"/>
        <s v="0064L000009AakL"/>
        <s v="0064L00000CYL4j"/>
        <s v="0064L00000CXXs6"/>
        <s v="0064L0000099l66"/>
        <s v="0064L00000CYIUP"/>
        <s v="0064L00000CXWWA"/>
        <s v="0064L00000CVru6"/>
        <s v="0064L00000CVc3j"/>
        <s v="0064L00000CGwjr"/>
        <s v="0064L0000041Lw3"/>
        <s v="0064L00000DJk1z"/>
        <s v="0064L00000Bg849"/>
        <s v="0064I00000vPyiV"/>
        <s v="0064L00000CVsa2"/>
        <s v="0064L00000BgZ8c"/>
        <s v="0064L000007xYtA"/>
        <s v="0064L00000CWUEO"/>
        <s v="0064L000007xYwn"/>
        <s v="0064L000007xYwJ"/>
        <s v="0064L000007xYvG"/>
        <s v="0064L000001u31S"/>
        <s v="0064L00000CWwQE"/>
        <s v="0064L00000DFoXV"/>
        <s v="0064L00000BnN9G"/>
        <s v="0064L000009fIIE"/>
        <s v="0064L00000BlESL"/>
        <s v="0064I00000wwTGq"/>
        <s v="0064L00000DJhfh"/>
        <s v="0064L000003zGlV"/>
        <s v="0064L00000CYI9o"/>
        <s v="0064L00000Bnmb2"/>
        <s v="0064L00000Bfx20"/>
        <s v="0064L00000DJXOo"/>
        <s v="0064L00000BmIAj"/>
        <s v="0064L00000BoOGu"/>
        <s v="0064L000004vxy2"/>
        <s v="0064L00000BfCmg"/>
        <s v="0064L000004xM9X"/>
        <s v="0064L00000BnKiM"/>
        <s v="0064L00000CYYgP"/>
        <s v="0064L0000099GXN"/>
        <s v="0064L00000CYYjJ"/>
        <s v="0064L00000CYYip"/>
        <s v="0064L00000CWSg1"/>
        <s v="0064L00000CWSgQ"/>
        <s v="0064L00000ArNDh"/>
        <s v="0064L00000CXz1L"/>
        <s v="0064L0000040kyu"/>
        <s v="0064L00000B1n4P"/>
        <s v="0064L00000CWTMh"/>
        <s v="0064L0000099WoG"/>
        <s v="0064L000009BABl"/>
        <s v="0064L000001v79m"/>
        <s v="0064L00000AqZGO"/>
        <s v="0064L00000DFZtH"/>
        <s v="0064L000001vUj9"/>
        <s v="0064L0000041mQg"/>
        <s v="0064I0000132es0"/>
        <s v="0064L00000DJVdc"/>
        <s v="0064I0000132etY"/>
        <s v="0064L00000BesGP"/>
        <s v="0064I0000132euz"/>
        <s v="0064L000006xNB0"/>
        <s v="0064I0000132eyh"/>
        <s v="0064L00000BopHj"/>
        <s v="0064L000007v0RV"/>
        <s v="0064L00000Bet1p"/>
        <s v="0064L00000CYYGC"/>
        <s v="0064L00000CXwfc"/>
        <s v="0065800000ScUA6"/>
        <s v="0064I00000zR5w4"/>
        <s v="0064L00000BlEGa"/>
        <s v="0064L00000BmYKa"/>
        <s v="0064L000009fY0P"/>
        <s v="0064L00000DJVxc"/>
        <s v="0064L00000BnKOM"/>
        <s v="0064L000002bwRS"/>
        <s v="0064L00000BmYNy"/>
        <s v="0064L00000CVPEd"/>
        <s v="0064L00000Bcn8Z"/>
        <s v="0064L000004xYak"/>
        <s v="0064L00000BoO8b"/>
        <s v="0064L00000DJgBC"/>
        <s v="0064L00000Blusb"/>
        <s v="0064L00000BmVsU"/>
        <s v="0064L00000Bm65h"/>
        <s v="0064L00000ApxKY"/>
        <s v="0064I0000132f54"/>
        <s v="0064L00000DBMnv"/>
        <s v="0064L00000BgVMC"/>
        <s v="0064L000009AMRt"/>
        <s v="0064L00000DFZao"/>
        <s v="0064L00000DJfpQ"/>
        <s v="0064L00000BmFae"/>
        <s v="0064L00000DFlIH"/>
        <s v="0064L000006CTbF"/>
        <s v="0064L000009AoFv"/>
        <s v="0064L000009AoFw"/>
        <s v="0064L000009AoHh"/>
        <s v="0064L00000B1kTC"/>
        <s v="0064L00000Bop2j"/>
        <s v="0064L000002cHQd"/>
        <s v="0064L000006jwlL"/>
        <s v="0064L00000Bf1Tn"/>
        <s v="0064L00000DJVYS"/>
        <s v="0064I0000132eFi"/>
        <s v="0064L00000Bl2gk"/>
        <s v="0064L000002ZKnQ"/>
        <s v="0064L00000B2Zcf"/>
        <s v="0064L000001uaec"/>
        <s v="0064L000002bBca"/>
        <s v="0064L000007xVZy"/>
        <s v="0064L00000B2ZcG"/>
        <s v="0064L00000B2Zbh"/>
        <s v="0064L00000Bm4QT"/>
        <s v="0064L00000Bm3sH"/>
        <s v="0064L00000991Mv"/>
        <s v="0064L00000Blv9w"/>
        <s v="0064L00000ArJQ2"/>
        <s v="0064L00000DJUK1"/>
        <s v="0064L00000DJUM6"/>
        <s v="0064L00000DBLt3"/>
        <s v="0064L00000DJTlU"/>
        <s v="0064L00000DJTmw"/>
        <s v="0064L000004yIib"/>
        <s v="0064L00000991LE"/>
        <s v="0064L00000991Kk"/>
        <s v="0064L00000991Kb"/>
        <s v="0064L00000CYFDC"/>
        <s v="0064L000009f4GW"/>
        <s v="0064L000002ZKbZ"/>
        <s v="0064L000003yb3w"/>
        <s v="0064L00000CYWHN"/>
        <s v="0064L00000DJV6T"/>
        <s v="0064L000002bco4"/>
        <s v="0064L00000CYEmZ"/>
        <s v="0064L00000CYEmC"/>
        <s v="0064L00000AqhD2"/>
        <s v="0064L00000AqhD1"/>
        <s v="0064L00000AqhD6"/>
        <s v="0064L00000CY2o1"/>
        <s v="0064L000003z2WB"/>
        <s v="0064L000007xhVd"/>
        <s v="0064L00000CVms6"/>
        <s v="0064L0000099duz"/>
        <s v="0065800000Sc5cY"/>
        <s v="0064L00000BgTOV"/>
        <s v="0064L000009Alhh"/>
        <s v="0064L00000BfA1m"/>
        <s v="0064L00000CX0bb"/>
        <s v="0064L00000Bft8s"/>
        <s v="0064L00000BoJoX"/>
        <s v="0064L00000BoKRj"/>
        <s v="0064L00000BldLo"/>
        <s v="0064L00000CXsK1"/>
        <s v="0064L00000CVmEk"/>
        <s v="0064L000004vPLZ"/>
        <s v="0064L00000BoIOx"/>
        <s v="0064I000015SUTU"/>
        <s v="0064L00000BmvQA"/>
        <s v="0064L00000BlbO2"/>
        <s v="0064L00000BlbOC"/>
        <s v="0064L00000BlbOH"/>
        <s v="0064L00000DFVtN"/>
        <s v="0064L000009AjIk"/>
        <s v="0064L00000CYCSA"/>
        <s v="0064L000009BJk6"/>
        <s v="0064L00000BlbTM"/>
        <s v="0064L000003zR7x"/>
        <s v="0064L00000CWpX1"/>
        <s v="0064L00000Aq3nT"/>
        <s v="0064L00000BeMGp"/>
        <s v="0064L00000DJe0A"/>
        <s v="0064L00000Bnhg5"/>
        <s v="0064L00000ArHY9"/>
        <s v="0064L00000BlQab"/>
        <s v="0064L00000DJe5e"/>
        <s v="0064L00000Bg25v"/>
        <s v="0064L00000BgAub"/>
        <s v="0064L0000099aay"/>
        <s v="0064L00000DFhlz"/>
        <s v="0064L00000Bo9NF"/>
        <s v="0064L000004w13t"/>
        <s v="0064L00000ArkDL"/>
        <s v="0064L00000AqhAg"/>
        <s v="0064L000004xi7A"/>
        <s v="0064L00000CYAhf"/>
        <s v="0064L000009AILN"/>
        <s v="0064L000001wDi6"/>
        <s v="0064L00000DFh0o"/>
        <s v="0064L00000ApcD6"/>
        <s v="0064L00000Cvhe7"/>
        <s v="0064L000009AILD"/>
        <s v="0065800000jhQ1p"/>
        <s v="0065800000eHA95"/>
        <s v="0064L00000DFhCV"/>
        <s v="0064L00000Bfa1U"/>
        <s v="0064L00000Bfa1T"/>
        <s v="0064L00000Bfa23"/>
        <s v="0064L00000Bfa22"/>
        <s v="0064L00000Bfa1N"/>
        <s v="0064L00000Bfa1L"/>
        <s v="0064L00000Bfa1K"/>
        <s v="0064L00000Bfa1J"/>
        <s v="0064L00000Bfa1V"/>
        <s v="0064L00000Bfa1s"/>
        <s v="0064L00000Bfa2N"/>
        <s v="0064L00000Bfa2M"/>
        <s v="0064L00000Bfa1i"/>
        <s v="0064L00000CYCD8"/>
        <s v="0064L00000Bfa2Y"/>
        <s v="0064L00000Bfa2X"/>
        <s v="0064L00000Bfa2W"/>
        <s v="0064I00000wzT0S"/>
        <s v="0064L00000Bfa2g"/>
        <s v="0064L00000CYCDI"/>
        <s v="0064L00000CYCDX"/>
        <s v="0064L00000CYCDY"/>
        <s v="0064L00000CYCDc"/>
        <s v="0064L000009A87j"/>
        <s v="0064L00000CWpER"/>
        <s v="0064L00000CYbkt"/>
        <s v="0064L000004x30C"/>
        <s v="0064L000006VUTS"/>
        <s v="0064L00000Bo770"/>
        <s v="0064L00000Bnvz6"/>
        <s v="0064L00000BnTyB"/>
        <s v="0064I000011posJ"/>
        <s v="0064L00000Bfohe"/>
        <s v="0064L00000CVYqW"/>
        <s v="0064L00000CVYtB"/>
        <s v="0064L00000BfolC"/>
        <s v="0064L00000Boigr"/>
        <s v="0064L00000Bo6do"/>
        <s v="0064L00000426Kw"/>
        <s v="0064L00000CYPce"/>
        <s v="0064L000007vLqE"/>
        <s v="0064L000004yFu3"/>
        <s v="0064L00000BndmY"/>
        <s v="0064L00000BeHrl"/>
        <s v="0064L00000BnU0g"/>
        <s v="0064L00000BeZX2"/>
        <s v="0064L00000BlpLx"/>
        <s v="0064L00000BeZWF"/>
        <s v="0064L000007VOmo"/>
        <s v="0064I00000y5b1K"/>
        <s v="0064L00000Bd654"/>
        <s v="0064L00000Bd64k"/>
        <s v="0064L00000CYt8k"/>
        <s v="0064L00000CYt8a"/>
        <s v="0064L00000BnU9s"/>
        <s v="0064L000007YGkb"/>
        <s v="0064L00000CXO6X"/>
        <s v="0064L000003zQ1F"/>
        <s v="0064L00000BnUA7"/>
        <s v="0064L00000BoXEA"/>
        <s v="0064L00000As7Uv"/>
        <s v="0064L00000As7Uu"/>
        <s v="0064L000002ZGna"/>
        <s v="0064L00000BnUF2"/>
        <s v="0064L000009B7ux"/>
        <s v="0064L00000As7Wm"/>
        <s v="0064L00000As7Z1"/>
        <s v="0064L00000BfMNn"/>
        <s v="0064L00000As7Yh"/>
        <s v="0064L00000As7ZG"/>
        <s v="0064L00000As7Ys"/>
        <s v="0064L00000As7ZW"/>
        <s v="0064L00000As7Zf"/>
        <s v="0064L00000As7Za"/>
        <s v="0064L00000BfN1Y"/>
        <s v="0064L00000BdVJI"/>
        <s v="0064L000009B6Dd"/>
        <s v="0064L00000DFchT"/>
        <s v="0064L000004xQfh"/>
        <s v="0064L000009fs0d"/>
        <s v="0064L000004xcMz"/>
        <s v="0064L00000BdETA"/>
        <s v="0064L00000BoUtl"/>
        <s v="0064L00000BndZA"/>
        <s v="0064L00000DFSXd"/>
        <s v="0064L00000CYaWW"/>
        <s v="0064L0000040s1v"/>
        <s v="0064L000006AEOE"/>
        <s v="0064L00000Bmqzi"/>
        <s v="0064L00000BfmgC"/>
        <s v="0064L00000As719"/>
        <s v="0064L00000Bfmgk"/>
        <s v="0064L00000424Qb"/>
        <s v="0064L00000BgNjV"/>
        <s v="0064L00000BoFCX"/>
        <s v="0064L00000CYsBJ"/>
        <s v="0064L000002bLaw"/>
        <s v="0064L00000Bel0a"/>
        <s v="0064L00000CVfxb"/>
        <s v="0064L00000BnQfK"/>
        <s v="0064L0000097Z36"/>
        <s v="0064L00000ArAyy"/>
        <s v="0064L00000Behtp"/>
        <s v="0064L00000Behvb"/>
        <s v="0064L00000BehvY"/>
        <s v="0064L00000BehvX"/>
        <s v="0064L00000BehvW"/>
        <s v="0064L00000Behw5"/>
        <s v="0064L00000Behvg"/>
        <s v="0064L00000Bnbr7"/>
        <s v="0064L00000BnbqE"/>
        <s v="0064I000011nWCS"/>
        <s v="0064L00000Bovwa"/>
        <s v="0064L00000BlmpL"/>
        <s v="0064L00000BowZd"/>
        <s v="0064L000009AE85"/>
        <s v="0064L00000B22ed"/>
        <s v="0064L0000099oaC"/>
        <s v="0064L000009B6TI"/>
        <s v="0064L000009g2A5"/>
        <s v="0064I00000qscZJ"/>
        <s v="0064L00000BoUcG"/>
        <s v="0064L0000041Shz"/>
        <s v="0064L0000099lmW"/>
        <s v="0064L00000AqpwY"/>
        <s v="0064L000003yXsW"/>
        <s v="0064L00000Aqpxb"/>
        <s v="0064L00000CYpHI"/>
        <s v="0064L000009B4EA"/>
        <s v="0064L00000B20K2"/>
        <s v="0064L00000CYpKR"/>
        <s v="0064L00000CWzh6"/>
        <s v="0064L00000DFc0F"/>
        <s v="0064L00000CYpLt"/>
        <s v="0064I00000zSfIb"/>
        <s v="0064L00000Artek"/>
        <s v="0064L00000CYpPC"/>
        <s v="0064L00000421hT"/>
        <s v="0064L00000BnbTF"/>
        <s v="0064L000007FmnO"/>
        <s v="0064I000015SqAU"/>
        <s v="0064L000001tED4"/>
        <s v="0064L00000CX9qj"/>
        <s v="0064L00000Bo2Zd"/>
        <s v="0064L00000Boebb"/>
        <s v="0065800000jftEs"/>
        <s v="0064L0000042TFp"/>
        <s v="0064L00000CVDqq"/>
        <s v="0064I000015TQfN"/>
        <s v="0064L00000As3sm"/>
        <s v="0064L00000BeykW"/>
        <s v="0064L000007WNpY"/>
        <s v="0064L00000CW4xN"/>
        <s v="0064L000003zKl2"/>
        <s v="0064I0000131yc8"/>
        <s v="0064L00000AqqCI"/>
        <s v="0064L00000Bnqsh"/>
        <s v="0064L000007DzNS"/>
        <s v="0064L00000CWWhj"/>
        <s v="0064L00000CWFiD"/>
        <s v="0064L00000AqqLJ"/>
        <s v="0064L00000DJnG1"/>
        <s v="0064L00000CWWrD"/>
        <s v="0064L00000AqqMq"/>
        <s v="0064L00000DFPXu"/>
        <s v="0064L00000AqqNy"/>
        <s v="0064L00000DFWRK"/>
        <s v="0064L00000ApcFM"/>
        <s v="0064L00000Boh9I"/>
        <s v="0064L00000BljmC"/>
        <s v="0064L00000Bp2Xh"/>
        <s v="0064L00000BgM9b"/>
        <s v="0064L00000Bp0ma"/>
        <s v="0064L00000CW93Q"/>
        <s v="0064L00000CVC7a"/>
        <s v="0064L00000Borry"/>
        <s v="0064L00000BfCnT"/>
        <s v="0064L00000BerhA"/>
        <s v="0064L00000Bldb3"/>
        <s v="0064L00000DJe0o"/>
        <s v="0064L00000CV5ow"/>
        <s v="0064L00000Boimp"/>
        <s v="0064L00000Bowch"/>
        <s v="0064L00000BfTVz"/>
        <s v="0064L00000CXdtY"/>
        <s v="0064L00000BnIop"/>
        <s v="0064L00000CYEBo"/>
        <s v="0064L00000BnyP5"/>
        <s v="0064L00000BmqzJ"/>
        <s v="0064L00000B2cPF"/>
        <s v="0064L00000BfIQs"/>
        <s v="0064L00000AqoS8"/>
        <s v="0064L00000CXjcG"/>
        <s v="0064L00000BnN25"/>
        <s v="0064L00000Apyha"/>
        <s v="0064L00000BfeeH"/>
        <s v="0064I00000u1oaG"/>
        <s v="0064L00000Bogtt"/>
        <s v="0064L00000CYSvn"/>
        <s v="0064L00000DFcmT"/>
        <s v="0064L00000BnbWi"/>
        <s v="0064L00000Bnqct"/>
        <s v="0064I000011pIGv"/>
        <s v="0064L00000DJZ8x"/>
        <s v="0064I000011pII8"/>
        <s v="0064L00000DFciv"/>
        <s v="0064I000011o2p9"/>
        <s v="0064L00000DBPqr"/>
        <s v="0064L00000DJiN5"/>
        <s v="0064L00000BoNi9"/>
        <s v="0064L00000BmvWI"/>
        <s v="0064L00000BlmxF"/>
        <s v="0064L00000AplpY"/>
        <s v="0064L00000Blkch"/>
        <s v="0064I000011o1il"/>
        <s v="0064I000011pQ1P"/>
        <s v="0064I00000y8XsW"/>
        <s v="0064L00000Bn2Ta"/>
        <s v="0064L0000068w6g"/>
        <s v="0064L00000CWcQa"/>
        <s v="0064L00000BebTH"/>
        <s v="0064L00000BlxJj"/>
        <s v="0064L000001uC9i"/>
        <s v="0064L00000CY2Mq"/>
        <s v="0064L00000CY2bg"/>
        <s v="0064L00000BoZph"/>
        <s v="0064L00000CYBHR"/>
        <s v="0064L000009AILO"/>
        <s v="0064I00000q0uY1"/>
        <s v="0064L00000CWnLI"/>
        <s v="0064L00000Ar5CQ"/>
        <s v="0064L00000BnvzB"/>
        <s v="0064L00000BfocZ"/>
        <s v="0064I000011pora"/>
        <s v="0064L00000DJbSV"/>
        <s v="0064L00000Bogs7"/>
        <s v="0064L000009AVxA"/>
        <s v="0064L00000Bn2cD"/>
        <s v="0064L00000CY0C5"/>
        <s v="0064L000009g0o3"/>
        <s v="0064L00000BncpW"/>
        <s v="0064L00000CYb1A"/>
        <s v="0064L000009eq4E"/>
        <s v="0064L00000BgMNn"/>
        <s v="0064L00000BowUO"/>
        <s v="0064L00000DFS42"/>
        <s v="0064L00000CWHnJ"/>
        <s v="0064L00000DFRXc"/>
        <s v="0064L000004z78E"/>
        <s v="0064L00000AsEEN"/>
        <s v="0064L00000B33Ci"/>
        <s v="0064L0000041B3n"/>
        <s v="0064L00000AqMNB"/>
        <s v="0064L00000Bg8gm"/>
        <s v="0064L00000BocOZ"/>
        <s v="0064L00000CWWI4"/>
        <s v="0064L00000CXjwz"/>
        <s v="0064L00000DJYxu"/>
        <s v="0064L00000AraDh"/>
        <s v="0064L00000CXzqE"/>
        <s v="0064L00000CtjMk"/>
        <s v="0064L00000B2pEM"/>
        <s v="0064L00000CWx0I"/>
        <s v="0064L0000042A5m"/>
        <s v="0064L00000CY835"/>
        <s v="0064L00000Bopgo"/>
        <s v="0064L00000BecUV"/>
        <s v="0064L00000CYIM3"/>
        <s v="0064L00000BmHsp"/>
        <s v="0064L000009ADiW"/>
        <s v="0064L00000CYU18"/>
        <s v="0064I000014M0OE"/>
        <s v="0064L00000Bnouq"/>
        <s v="0064L0000040oAY"/>
        <s v="0064L00000CYLTj"/>
        <s v="0064L00000BoQS4"/>
        <s v="0064L00000Be0U7"/>
        <s v="0064L00000Be0UC"/>
        <s v="0064L00000Bl5JA"/>
        <s v="0064I00000y7RdN"/>
        <s v="0064I00000zTrsR"/>
        <s v="0064L00000DFiAz"/>
        <s v="0064L00000CXogS"/>
        <s v="0064L00000CVgki"/>
        <s v="0064L000001w4xg"/>
        <s v="0064L000002bTRw"/>
        <s v="0064L00000CZ0Rf"/>
        <s v="0064L00000CWG8K"/>
        <s v="0064L00000CXZXq"/>
        <s v="0064L00000CXFsq"/>
        <s v="0064I00000zSOoD"/>
        <s v="0064L0000041Is7"/>
        <s v="0064L00000CYTzC"/>
        <s v="0064L0000040Bzt"/>
        <s v="0064L000009BLWL"/>
        <s v="0064L00000Bn4XE"/>
        <s v="0064L00000DJRSL"/>
        <s v="0064L00000CYQrX"/>
        <s v="0064L00000CYQE0"/>
        <s v="0064L000009Af9t"/>
        <s v="0064L00000CVWAT"/>
        <s v="0064L00000CYqSD"/>
        <s v="0064L00000DJmY8"/>
        <s v="0064L00000DFaQf"/>
        <s v="0064L00000B2bxz"/>
        <s v="0064L00000CWwM7"/>
        <s v="0064L0000099jDE"/>
        <s v="0064L00000CWBwa"/>
        <s v="0064L00000DJTAi"/>
        <s v="0064L000009BD3a"/>
        <s v="0064L000009AOgv"/>
        <s v="0064L00000BoOFc"/>
        <s v="0064L00000DFSPF"/>
        <s v="0064L00000Bnqwe"/>
        <s v="0064L00000ArJT1"/>
        <s v="0064L00000ArJTf"/>
        <s v="0064L00000CYU21"/>
        <s v="0064L00000Bnoif"/>
        <s v="0064L00000CXZUI"/>
        <s v="0064L00000BfQFP"/>
        <s v="0064I000011pIJ6"/>
        <s v="0064L00000BoJpf"/>
        <s v="0064L000009g2xM"/>
        <s v="0064L00000BfXiZ"/>
        <s v="0064L00000BfFqd"/>
        <s v="0064L00000AraQp"/>
        <s v="0064L00000CWwut"/>
        <s v="0064L00000Bp2bA"/>
        <s v="0064L00000Bobgr"/>
        <s v="0064L00000Bo0Dz"/>
        <s v="0064L00000BewRH"/>
        <s v="0064L00000AsBbq"/>
        <s v="0064L000006yebo"/>
        <s v="0064L000004v88k"/>
        <s v="0064L000002Z2A8"/>
        <s v="0064L00000DJkVB"/>
        <s v="0064L00000BfWSV"/>
        <s v="0064L00000Bnokl"/>
        <s v="0064L00000Bp2Mt"/>
        <s v="0064L00000BoPpH"/>
        <s v="0064L00000Bors8"/>
        <s v="0064L000002b8bj"/>
        <s v="0064L000004xpXO"/>
        <s v="0064L00000CXjNL"/>
        <s v="0064L00000CXHLP"/>
        <s v="0064L00000CYmQg"/>
        <s v="0064L000004xO4U"/>
        <s v="0064L00000CXHMS"/>
        <s v="0064L00000Bnq8K"/>
        <s v="0064L00000CXHLy"/>
        <s v="0064L00000DJZcP"/>
        <s v="0064L00000AplJc"/>
        <s v="0064L00000BnMzK"/>
        <s v="0064L00000B2PRp"/>
        <s v="0064L000004vige"/>
        <s v="0064L00000CXhXi"/>
        <s v="0064L00000CtjMG"/>
        <s v="0064L00000BoaEX"/>
        <s v="0064L00000CX4zT"/>
        <s v="0064L0000070Z4L"/>
        <s v="0064L00000Be0mB"/>
        <s v="0064L00000CWTfQ"/>
        <s v="0064L000006if5k"/>
        <s v="0064L000003zi2C"/>
        <s v="0064L0000070YDk"/>
        <s v="0064L00000CXFqk"/>
        <s v="0064I00000y6kzQ"/>
        <s v="0064L00000BlETd"/>
        <s v="0064L00000ArnrI"/>
        <s v="0064L0000098VG4"/>
        <s v="0064L00000BfUGX"/>
        <s v="0064L000004vWQN"/>
        <s v="0064L00000DJXKr"/>
        <s v="0064L00000Bmjck"/>
        <s v="0064L00000BnKgz"/>
        <s v="0064L00000Bm8GJ"/>
        <s v="0064L000004vxnd"/>
        <s v="0064L00000Bp13l"/>
        <s v="0064L000009BAMA"/>
        <s v="0064L00000BmHnp"/>
        <s v="0064L00000BoNuo"/>
        <s v="0064L00000Be0XB"/>
        <s v="0064L00000Blz78"/>
        <s v="0064L00000Blz6y"/>
        <s v="0064L00000CWcO0"/>
        <s v="0064L00000Bmj9s"/>
        <s v="0064L00000BfvFd"/>
        <s v="0064L00000BfvHK"/>
        <s v="0064L00000Bg4cY"/>
        <s v="0064L00000CYXZD"/>
        <s v="0064L00000BfeIf"/>
        <s v="0064L00000DJVks"/>
        <s v="0064L0000070WPQ"/>
        <s v="0064L00000CXVBp"/>
        <s v="0064L000009fY4W"/>
        <s v="0064L00000BfeVU"/>
        <s v="0064L00000Bfdtp"/>
        <s v="0064L00000CYjIZ"/>
        <s v="0064L00000DJVyQ"/>
        <s v="0064L00000BnL1Y"/>
        <s v="0064L00000CVPFg"/>
        <s v="0064L00000BnKPt"/>
        <s v="0064L000009A9us"/>
        <s v="0064L00000CYioa"/>
        <s v="0064L00000BmjSG"/>
        <s v="0064L00000CYG7s"/>
        <s v="0064L000007ub68"/>
        <s v="0064L00000CWbUJ"/>
        <s v="0064L000009fYRV"/>
        <s v="0064L00000CXwJg"/>
        <s v="0064L00000BnInr"/>
        <s v="0064L000003zh6N"/>
        <s v="0064L000009fij0"/>
        <s v="0064L00000Bks21"/>
        <s v="0064L00000Bl0lO"/>
        <s v="0064L00000CXC1A"/>
        <s v="0064L00000BonBt"/>
        <s v="0064L000009g7LN"/>
        <s v="0064L000007wSKr"/>
        <s v="0064L000002Zlx8"/>
        <s v="0064L00000CXCH1"/>
        <s v="0064L00000BfszC"/>
        <s v="0064L00000CXCFt"/>
        <s v="0064L000006VjLM"/>
        <s v="0064L00000DJTyd"/>
        <s v="0064L000002bcs1"/>
        <s v="0064L00000CVpJ4"/>
        <s v="0064L000007GzxU"/>
        <s v="0064L00000BgSaz"/>
        <s v="0064L0000098sS7"/>
        <s v="0064L00000CY2ui"/>
        <s v="0064L000007xi2d"/>
        <s v="0064L0000069xGQ"/>
        <s v="0064L000002c67D"/>
        <s v="0064L00000BepQ0"/>
        <s v="0064L000002bTMI"/>
        <s v="0064L000007wSbE"/>
        <s v="0064L000003zU1d"/>
        <s v="0064L00000Bg1yG"/>
        <s v="0064L00000DFWOV"/>
        <s v="0064L00000BmTXF"/>
        <s v="0064L00000AqUps"/>
        <s v="0064L00000AqUql"/>
        <s v="0064L000009fSjT"/>
        <s v="0064L00000ArHUW"/>
        <s v="0064L000002aMos"/>
        <s v="0064L0000041hLg"/>
        <s v="0064L00000BlQf7"/>
        <s v="0064L000009AILw"/>
        <s v="0064L000009AILm"/>
        <s v="0064L0000070dhZ"/>
        <s v="0064L00000691eH"/>
        <s v="0064L00000AqwJm"/>
        <s v="0064L00000CV8p9"/>
        <s v="0064L00000DFhAF"/>
        <s v="0064L00000DJQlq"/>
        <s v="0064L000007xfEW"/>
        <s v="0064L00000CYCDN"/>
        <s v="0064L0000070dUR"/>
        <s v="0064L000007xehN"/>
        <s v="0064L00000CYshU"/>
        <s v="0064L00000Ar5A0"/>
        <s v="0064L00000BfpCr"/>
        <s v="0064L00000BnvzQ"/>
        <s v="0064L00000Blr6l"/>
        <s v="0064L000009AEan"/>
        <s v="0064L00000CY0U9"/>
        <s v="0064L000004vp9X"/>
        <s v="0064L000004xdZl"/>
        <s v="0064L000009B81A"/>
        <s v="0064L00000B0pyr"/>
        <s v="0064L00000B0pz6"/>
        <s v="0064L00000Bogq1"/>
        <s v="0064L00000CYbJi"/>
        <s v="0064L00000Bnw3r"/>
        <s v="0064L00000Arwh7"/>
        <s v="0064L00000BoyZU"/>
        <s v="0064L000003yMS3"/>
        <s v="0064L000004x2dg"/>
        <s v="0064L00000BfoDZ"/>
        <s v="0064L00000BfoFu"/>
        <s v="0064L00000CYR7c"/>
        <s v="0064L00000CYPz7"/>
        <s v="0064L00000CWn7m"/>
        <s v="0064L00000BoyeK"/>
        <s v="0064L00000BcwD5"/>
        <s v="0064L00000BnvhW"/>
        <s v="0064L00000BoFgI"/>
        <s v="0064L00000CVHYb"/>
        <s v="0064L00000BoUjC"/>
        <s v="0064L000009B6DO"/>
        <s v="0064L000002akxE"/>
        <s v="0064L000004vLFr"/>
        <s v="0064L00000Bd3l0"/>
        <s v="0064L0000040PPd"/>
        <s v="0064L000006Ay0c"/>
        <s v="0064L00000CYs6e"/>
        <s v="0064L000007wM3u"/>
        <s v="0064L00000Bndci"/>
        <s v="0064L00000Bo4g7"/>
        <s v="0064L000007HUl0"/>
        <s v="0064L00000Bn0AC"/>
        <s v="0064L000002ZiDp"/>
        <s v="0064L00000Bfm0n"/>
        <s v="0064L000002ZiDk"/>
        <s v="0064L000009g31x"/>
        <s v="0064L000006W5QL"/>
        <s v="0064L00000AqsDl"/>
        <s v="0064L00000Bn0NV"/>
        <s v="0064L000004waDS"/>
        <s v="0064L000009fsFZ"/>
        <s v="0064L00000BnRWT"/>
        <s v="0064L00000BlLV3"/>
        <s v="0064L00000DJNEF"/>
        <s v="0064L00000CXKtK"/>
        <s v="0064L000004xS6g"/>
        <s v="0064L000006ygqD"/>
        <s v="0064L00000BodqF"/>
        <s v="0064L00000Bnarq"/>
        <s v="0064L00000BnasK"/>
        <s v="0064L00000Bn023"/>
        <s v="0064L00000CYq4e"/>
        <s v="0064L000002Z2AS"/>
        <s v="0064L00000CVEQt"/>
        <s v="0064L000004v8H8"/>
        <s v="0064L00000BfHLX"/>
        <s v="0064L00000BmMEL"/>
        <s v="0064L00000Bd1JY"/>
        <s v="0064L00000Bd1KM"/>
        <s v="0064L00000CXZg8"/>
        <s v="0064L000007YTqW"/>
        <s v="0064L00000Bnb1l"/>
        <s v="0064L000002Yso3"/>
        <s v="0064L00000B2SH6"/>
        <s v="0064L00000Bnb5Y"/>
        <s v="0064L000002Ysnt"/>
        <s v="0064L00000DJnG5"/>
        <s v="0064L000001uHXf"/>
        <s v="0064L000007xO5d"/>
        <s v="0064L000007xO4z"/>
        <s v="0064L000007xO4f"/>
        <s v="0064L00000BnG1h"/>
        <s v="0064L00000BmBWE"/>
        <s v="0064L00000CX7dp"/>
        <s v="0064L00000Bnv1B"/>
        <s v="0064L00000CVWAs"/>
        <s v="0064L00000BoQZe"/>
        <s v="0064I000011o1YC"/>
        <s v="0064L000009AO2M"/>
        <s v="0064L000001wM4u"/>
        <s v="0064L00000BckEo"/>
        <s v="0064I00000y7RBn"/>
        <s v="0064L00000CYTq0"/>
        <s v="0064L00000Bd3Ya"/>
        <s v="0064L00000BehNy"/>
        <s v="0064L000004vVBQ"/>
        <s v="0064L00000CVBJz"/>
        <s v="0064L00000CWI6g"/>
        <s v="0064L00000BnvL6"/>
        <s v="0064L000001uCD6"/>
        <s v="0064L00000DFZ9T"/>
        <s v="0064L00000CVpIQ"/>
        <s v="0064L00000CY2S0"/>
        <s v="0064L00000Bo9MH"/>
        <s v="0064L000004vQ6Q"/>
        <s v="0064L00000BnWMF"/>
        <s v="0064L00000CXNjX"/>
        <s v="0064L00000CYRPr"/>
        <s v="0064L00000CYtVo"/>
        <s v="0064L00000Bo4wA"/>
        <s v="0064L00000DFRv0"/>
        <s v="0064L00000CVFmg"/>
        <s v="0064L00000CWGlL"/>
        <s v="0064L00000CVF0X"/>
        <s v="0064L00000CXZto"/>
        <s v="0064L00000Bf6Py"/>
        <s v="0064L00000BcqVm"/>
        <s v="0064L00000BnMbd"/>
        <s v="0064L00000DJYvy"/>
        <s v="0064L00000DJkDM"/>
        <s v="0064L000004xLRC"/>
        <s v="0064L000001wM3M"/>
        <s v="0064L00000AqKaI"/>
        <s v="0064L00000ArJwJ"/>
        <s v="0064L00000Aq4pp"/>
        <s v="0064L00000BoUTn"/>
        <s v="0064L00000Bnohw"/>
        <s v="0064L00000Bdb5g"/>
        <s v="0064L00000CYUKA"/>
        <s v="0064L0000040C1k"/>
        <s v="0064L00000BlKB6"/>
        <s v="0064L00000B337n"/>
        <s v="0064L00000B20Vy"/>
        <s v="0064L00000CVCNE"/>
        <s v="0064L00000Bf1Gj"/>
        <s v="0064I000011pRNl"/>
        <s v="0064I00000zQgcw"/>
        <s v="0064L00000CVc6n"/>
        <s v="0064L00000CYUVw"/>
        <s v="0064L000004wxoc"/>
        <s v="0064L00000CYFg9"/>
        <s v="0064L000007wDch"/>
        <s v="0064I00000qs81f"/>
        <s v="0064L000007weGV"/>
        <s v="0064L00000BoHsm"/>
        <s v="0064L00000BnWb0"/>
        <s v="0064L00000BnWgj"/>
        <s v="0064L00000BoHiI"/>
        <s v="0064L00000Bd6a7"/>
        <s v="0064L00000BoyK2"/>
        <s v="0064L00000BoehU"/>
        <s v="0064L00000BnswC"/>
        <s v="0064L00000CYNF3"/>
        <s v="0064L00000CYNF8"/>
        <s v="0064L00000CYNEo"/>
        <s v="0064L00000Arcmx"/>
        <s v="0064L00000DFPUX"/>
        <s v="0064L000002bnAv"/>
        <s v="0064L000001wLUW"/>
        <s v="0064L00000CX7iV"/>
        <s v="0064L00000BnqVT"/>
        <s v="0064L000001wMDr"/>
        <s v="0064L00000As053"/>
        <s v="0064L00000BfeeC"/>
        <s v="0064L000007xoOU"/>
        <s v="0064I000011pHNl"/>
        <s v="0064L000001wLtl"/>
        <s v="0064L00000AqJvK"/>
        <s v="0064L00000BlD4I"/>
        <s v="0064L00000Bnbpu"/>
        <s v="0064L00000Aplnh"/>
        <s v="0064I00000zQgC2"/>
        <s v="0064L00000CYUWk"/>
        <s v="0064L00000BnmTS"/>
        <s v="0064L00000DFWRZ"/>
        <s v="0064L00000BnmPp"/>
        <s v="0064L00000DJgSh"/>
        <s v="0064L00000B0z4R"/>
        <s v="0064L0000070FaD"/>
        <s v="0064L00000CYY2F"/>
        <s v="0064L00000BmCod"/>
        <s v="0064L00000CY2tz"/>
        <s v="0064L00000Bnzdw"/>
        <s v="0064L00000BgSq9"/>
        <s v="0064L000003yNQ3"/>
        <s v="0064L00000CWNYR"/>
        <s v="0064L00000CXsdm"/>
        <s v="0065800000jifFT"/>
        <s v="0064L000002bamC"/>
        <s v="0064L00000CV8eQ"/>
        <s v="0064L00000429Lx"/>
        <s v="0064I00000y7fIf"/>
        <s v="0064L00000Bd6S3"/>
        <s v="0064L000002c0TJ"/>
        <s v="0064L00000B1T1C"/>
        <s v="0064L00000B1T1M"/>
        <s v="0064L000007GAtu"/>
        <s v="0064L00000Arwem"/>
        <s v="0064L00000BeZWE"/>
        <s v="0064L00000BnU8a"/>
        <s v="0064L000001w0nr"/>
        <s v="0064L00000BeZ0m"/>
        <s v="0064L00000Bek5Z"/>
        <s v="0064L00000BfZoy"/>
        <s v="0064L00000CV64B"/>
        <s v="0064L00000CV0yK"/>
        <s v="0064L00000CV0xl"/>
        <s v="0064L00000CXHeg"/>
        <s v="0064L00000CX7ik"/>
        <s v="0064L00000Bp2DI"/>
        <s v="0064L00000Bf60O"/>
        <s v="0064L00000Bf66g"/>
        <s v="0064L00000Bf691"/>
        <s v="0064L00000Bf67j"/>
        <s v="0064L00000Bf68d"/>
        <s v="0064L00000Bf69p"/>
        <s v="0064L00000Bf69z"/>
        <s v="0064L00000Bf5Zt"/>
        <s v="0064L00000Bf5Zs"/>
        <s v="0064L00000Bf6B7"/>
        <s v="0064L00000Bf6An"/>
        <s v="0064L00000CWTbZ"/>
        <s v="0064L000007wWQf"/>
        <s v="0064L000001vHNR"/>
        <s v="0064L00000CYUM6"/>
        <s v="0064L00000CYqIr"/>
        <s v="0064L00000CYROP"/>
        <s v="0064L00000CVxar"/>
        <s v="0064L00000CW0KM"/>
        <s v="0064L00000Apgnj"/>
        <s v="0064L000009gJTJ"/>
        <s v="0064L00000Apgxy"/>
        <s v="0064L00000DJTz7"/>
        <s v="0064L00000BgTE6"/>
        <s v="0064L00000CXsvq"/>
        <s v="0064L00000BolbL"/>
        <s v="0064L00000Aq4vE"/>
        <s v="0064L00000ApuzM"/>
        <s v="0064L00000BoZje"/>
        <s v="0064L00000CYdYp"/>
        <s v="0064L00000CY0RU"/>
        <s v="0064L00000BnUZw"/>
        <s v="0064L00000CVzQh"/>
        <s v="0064L000003zNXw"/>
        <s v="0064L00000AqQJJ"/>
        <s v="0064L00000BoUfo"/>
        <s v="0064L00000Aplu9"/>
        <s v="0064I0000131xpL"/>
        <s v="0064L00000BevqQ"/>
        <s v="0064L00000Bdc8w"/>
        <s v="0064L0000041MQM"/>
        <s v="0064L000007xjv8"/>
        <s v="0064L00000BmTQd"/>
        <s v="0064L00000ArmS2"/>
        <s v="0064L00000AqZ0a"/>
        <s v="0064L00000AqZ80"/>
        <s v="0064L00000Ar9Q7"/>
        <s v="0064L00000DFYpY"/>
        <s v="0064L000003zCOC"/>
        <s v="0064L000009g4vG"/>
        <s v="0064L000009BKKY"/>
        <s v="0064L000009BKDw"/>
        <s v="0064L000009BKGl"/>
        <s v="0064L00000DFiGi"/>
        <s v="0064L000009AkO5"/>
        <s v="0064L00000Arfd0"/>
        <s v="0064L00000BnwFE"/>
        <s v="0064L00000AqQX6"/>
        <s v="0064L00000Bd3x6"/>
        <s v="0064L00000Aqskj"/>
        <s v="0064L000009BFLU"/>
        <s v="0064L000007HTTA"/>
        <s v="0064L000009BHMk"/>
        <s v="0064L00000AqbFD"/>
        <s v="0064L000009AtU7"/>
        <s v="0064L00000Aqb6B"/>
        <s v="0064L000009AC6g"/>
        <s v="0064L000009AOry"/>
        <s v="0064L000009AQIl"/>
        <s v="0064L000009B07g"/>
        <s v="0064L000009B06s"/>
        <s v="0064L000009B064"/>
        <s v="0064L000009B04I"/>
        <s v="0064L000003zGWF"/>
        <s v="0064L00000CVmQW"/>
        <s v="0064L00000DJbuj"/>
        <s v="0064L000009fBfc"/>
        <s v="0064L00000BoOCx"/>
        <s v="0064L000007wJtX"/>
        <s v="0064L00000BoSd6"/>
        <s v="0064L00000CW3rE"/>
        <s v="0064L00000Bf6Dx"/>
        <s v="0064L00000BocG1"/>
        <s v="0064L00000CVBV7"/>
        <s v="0064L00000CVBXS"/>
        <s v="0064L000004xnyq"/>
        <s v="0064L000001wM3C"/>
        <s v="0064L00000Bf5w3"/>
        <s v="0064L00000BlkND"/>
        <s v="0064L00000Bf5wM"/>
        <s v="0064L00000BoS6l"/>
        <s v="0064L00000CW4mS"/>
        <s v="0064L00000BlGWj"/>
        <s v="0064L000001wLxY"/>
        <s v="0064L00000BnNAs"/>
        <s v="0064L000009fMHp"/>
        <s v="0064L00000DJl2Q"/>
        <s v="0064L00000CWxBU"/>
        <s v="0064L00000CWxC3"/>
        <s v="0064L00000CWxDS"/>
        <s v="0064L00000BoQMa"/>
        <s v="0064L00000Boc29"/>
        <s v="0064L00000CWxEk"/>
        <s v="0064L00000BoPna"/>
        <s v="0064L00000CWxGq"/>
        <s v="0064L00000CYmO6"/>
        <s v="0064L000007Ezl8"/>
        <s v="0064L00000CYmND"/>
        <s v="0064L00000CWxKG"/>
        <s v="0064L00000CYmQ2"/>
        <s v="0064L000001wMI2"/>
        <s v="0064L00000BnNSD"/>
        <s v="0064L00000Blk4a"/>
        <s v="0064L00000BmJwt"/>
        <s v="0064L000009fo49"/>
        <s v="0064L00000BgYFe"/>
        <s v="0064L000009flHR"/>
        <s v="0064L00000CXVu7"/>
        <s v="0064L00000CXVuh"/>
        <s v="0064L00000CXVuq"/>
        <s v="0064L000003zzS1"/>
        <s v="0064L00000AqKOb"/>
        <s v="0064L00000CXVyc"/>
        <s v="0064L0000041LlU"/>
        <s v="0064L00000AqJvL"/>
        <s v="0064L00000CXzHJ"/>
        <s v="0064L000006jgv1"/>
        <s v="0064L00000AqKaK"/>
        <s v="0064L000006CDYr"/>
        <s v="0064L00000BlfsL"/>
        <s v="0064L00000CYHSl"/>
        <s v="0064L000007wjK1"/>
        <s v="0064L00000Bmjau"/>
        <s v="0064L000009fZzJ"/>
        <s v="0064L000009fZzT"/>
        <s v="0064L000001wKED"/>
        <s v="0064L00000BmIKF"/>
        <s v="0064L00000CWSfc"/>
        <s v="0064L00000CWSh4"/>
        <s v="0064L00000CXVkc"/>
        <s v="0064L00000CXVla"/>
        <s v="0064L00000CXWLs"/>
        <s v="0064L00000CXVmn"/>
        <s v="0064L00000AqJdz"/>
        <s v="0064L000003zhxv"/>
        <s v="0064I0000131SLW"/>
        <s v="0064L00000CXVqo"/>
        <s v="0064L00000BmFrk"/>
        <s v="0064L00000BgVe6"/>
        <s v="0064L00000CW0O3"/>
        <s v="0064L00000CX42P"/>
        <s v="0064L00000CWcQk"/>
        <s v="0064L00000ApgkV"/>
        <s v="0064L00000DJVez"/>
        <s v="0064L000006z1hK"/>
        <s v="0064L000007vcXd"/>
        <s v="0064L000009gJXA"/>
        <s v="0064L000007x79I"/>
        <s v="0064L0000070EbV"/>
        <s v="0064L000009fFqY"/>
        <s v="0064L00000CXfk7"/>
        <s v="0064L000009fGHG"/>
        <s v="0064L00000CXfnV"/>
        <s v="0064L00000BlwqS"/>
        <s v="0064L00000ApyfP"/>
        <s v="0064L00000Apyfe"/>
        <s v="0064L00000AqZ1J"/>
        <s v="0064L00000CXwA5"/>
        <s v="0064L00000Bg4Ke"/>
        <s v="0064L000009fiyA"/>
        <s v="0064L000009fivB"/>
        <s v="0064L000007xYWA"/>
        <s v="0064L000009fXnR"/>
        <s v="0064L000009fYIi"/>
        <s v="0064L00000Bn9M4"/>
        <s v="0064L00000BmFmb"/>
        <s v="0064L00000Blv0V"/>
        <s v="0064L000009fDzm"/>
        <s v="0064L00000AqFdg"/>
        <s v="0064L000009fEZB"/>
        <s v="0064L000009fESK"/>
        <s v="0064L00000Aq6IY"/>
        <s v="0064L00000Aq6Kj"/>
        <s v="0064L000009fEP6"/>
        <s v="0064L000007vOow"/>
        <s v="0064L00000BfspH"/>
        <s v="0064L00000BnYfx"/>
        <s v="0064L00000ArIza"/>
        <s v="0064L00000DFYiS"/>
        <s v="0064L00000DFYkO"/>
        <s v="0064L000009gHHb"/>
        <s v="0064L00000BnYnY"/>
        <s v="0064L000007GFUB"/>
        <s v="0064L00000DFYlg"/>
        <s v="0064L000009fEF1"/>
        <s v="0064L00000DFYmj"/>
        <s v="0064L0000041IlB"/>
        <s v="0064L000007xhbv"/>
        <s v="0064L000007xhWR"/>
        <s v="0064L000007wCLB"/>
        <s v="0064L00000BepNu"/>
        <s v="0064L00000ArJ9f"/>
        <s v="0064L00000AqhXk"/>
        <s v="0064L00000AqhYU"/>
        <s v="0064L000007wCLp"/>
        <s v="0064L00000AqFX9"/>
        <s v="0064L000007wSbd"/>
        <s v="0064L00000BfsVv"/>
        <s v="0064L00000Ar9BH"/>
        <s v="0064L000007weGU"/>
        <s v="0064L00000AqUf4"/>
        <s v="0064L00000AqUh0"/>
        <s v="0064L00000Bo8X5"/>
        <s v="0064L00000BgBBw"/>
        <s v="0064L000009fvS8"/>
        <s v="0064L00000Ape6W"/>
        <s v="0064L000009fvIh"/>
        <s v="0064L00000DFiGs"/>
        <s v="0064L00000DFiHH"/>
        <s v="0064L00000CXREG"/>
        <s v="0064L00000CXRCk"/>
        <s v="0064L00000401jY"/>
        <s v="0064L000009fDYH"/>
        <s v="0064L00000BlrJU"/>
        <s v="0064L000004weUl"/>
        <s v="0064L000009feu6"/>
        <s v="0064L000009AkLV"/>
        <s v="0064L000009AkK8"/>
        <s v="0064L000007wshC"/>
        <s v="0064L000001w3Us"/>
        <s v="0064L000007vNfh"/>
        <s v="0064L000007XXRK"/>
        <s v="0064L000007YIhS"/>
        <s v="0064L000007xB6I"/>
        <s v="0064L000006AzZ0"/>
        <s v="0064L000009epmW"/>
        <s v="0064L000006h7aa"/>
        <s v="0064L000009ADwO"/>
        <s v="0064L000009fscr"/>
        <s v="0064L00000Aq2Ny"/>
        <s v="0064L00000Apc5l"/>
        <s v="0064L000004vp5V"/>
        <s v="0064L00000BmRda"/>
        <s v="0064L000007xBW6"/>
        <s v="0064L00000CXNDK"/>
        <s v="0064L00000CXNBx"/>
        <s v="0064L000007x0bn"/>
        <s v="0064L00000CVHLr"/>
        <s v="0064L00000BmR88"/>
        <s v="0064L00000BnBy9"/>
        <s v="0064L00000Boyhd"/>
        <s v="0064L00000Boyk4"/>
        <s v="0064L000007DmPY"/>
        <s v="0064L00000BmRCy"/>
        <s v="0064L00000Ar57u"/>
        <s v="0064L00000AppYE"/>
        <s v="0064L000007xqxi"/>
        <s v="0064L00000CW9AH"/>
        <s v="0064L00000Boy77"/>
        <s v="0064L00000Boy85"/>
        <s v="0064L00000Boy9N"/>
        <s v="0064L00000Aqbhh"/>
        <s v="0064L00000BowJv"/>
        <s v="0064L00000BowPJ"/>
        <s v="0064L00000BowXr"/>
        <s v="0064L000007xadU"/>
        <s v="0064L000007xagO"/>
        <s v="0064L00000Bf9d1"/>
        <s v="0064L000007xqyl"/>
        <s v="0064L000009fMgk"/>
        <s v="0064L00000BfYqf"/>
        <s v="0064L00000BmMgU"/>
        <s v="0064L00000CYpOn"/>
        <s v="0064L00000ApoQ8"/>
        <s v="0064L00000BoDCV"/>
        <s v="0064L000009enOM"/>
        <s v="0064L000009enPa"/>
        <s v="0064L000009enPZ"/>
        <s v="0064L00000BoSJB"/>
        <s v="0064L000009enNE"/>
        <s v="0064L000009fa0W"/>
        <s v="0064L000009fOFL"/>
        <s v="0064L00000Blkh3"/>
        <s v="0064L000009fNaZ"/>
        <s v="0064L00000CYp9d"/>
        <s v="0064L000004xqnS"/>
        <s v="0064L00000ApelF"/>
        <s v="0064L00000CYFKM"/>
        <s v="0064L00000DJZGS"/>
        <s v="0064L00000CVmys"/>
        <s v="0064L00000DFiO3"/>
        <s v="0064L00000CX7kM"/>
        <s v="0064L00000CX5Oi"/>
        <s v="0064L00000BmBHs"/>
        <s v="0064L00000Aq6eF"/>
        <s v="0064L00000BlOS6"/>
        <s v="0064L00000CW55Y"/>
        <s v="0064L00000AqKgG"/>
        <s v="0064L00000CX1EE"/>
        <s v="0064L00000Bo01A"/>
        <s v="0064L000002ZANQ"/>
        <s v="0064L00000CXZTF"/>
        <s v="0064L00000BlGXD"/>
        <s v="0064L0000069LCN"/>
        <s v="0064L000001vY7s"/>
        <s v="0064I00000u1DRR"/>
        <s v="0064L0000099URF"/>
        <s v="0064L00000CWAiU"/>
        <s v="0064L000006hbCq"/>
        <s v="0064L000009fYRB"/>
        <s v="0065800000jg8Ls"/>
        <s v="0064L00000418BF"/>
        <s v="0064L00000BoKik"/>
        <s v="0064L00000CYxq7"/>
        <s v="0064L00000ApseA"/>
        <s v="0064L00000DJbFb"/>
        <s v="0064L00000AqurI"/>
        <s v="0064L00000BoijC"/>
        <s v="0064L00000BoijR"/>
        <s v="0064L0000099rGl"/>
        <s v="0064L00000Bf9kp"/>
        <s v="0064L00000Bo3mY"/>
        <s v="0064L00000Bmqs3"/>
        <s v="0064L000007WrQ5"/>
        <s v="0064L00000BgMBc"/>
        <s v="0064I000014M1Qy"/>
        <s v="0064L00000BfX6C"/>
        <s v="0064L00000BlGWt"/>
        <s v="0064I00000zRWVq"/>
        <s v="0064L000009g4ud"/>
        <s v="0064L000009fvKT"/>
        <s v="0064L000004vq3r"/>
        <s v="0064L00000Aqu96"/>
        <s v="0064L00000Be7is"/>
        <s v="0064L000009AUhp"/>
        <s v="0064L00000CYToJ"/>
        <s v="0064L0000069TDS"/>
        <s v="0064L00000BdXXM"/>
        <s v="0064L00000ArckI"/>
        <s v="0064L00000CXL1b"/>
        <s v="0064L00000BeP9w"/>
        <s v="0064I000011o3SY"/>
        <s v="0064L00000AquD8"/>
        <s v="0064L0000041yCP"/>
        <s v="0064L00000BcwAk"/>
        <s v="0064L00000Aqbjd"/>
        <s v="0064L00000CXZBI"/>
        <s v="0064L00000BonDp"/>
        <s v="0064L00000CW0Ky"/>
        <s v="0064L00000BnkCF"/>
        <s v="0064L00000CXKuc"/>
        <s v="0064L00000CYHWH"/>
        <s v="0064L00000CYHaw"/>
        <s v="0064L00000CYHdC"/>
        <s v="0064L000001wM2F"/>
        <s v="0064L000002cGII"/>
        <s v="0064L000002cGFs"/>
        <s v="0064L000002cGB3"/>
        <s v="0064L000002cGDo"/>
        <s v="0064L000002cGDq"/>
        <s v="0064L000009B5WQ"/>
        <s v="0064L000001wM9z"/>
        <s v="0064L000001wMAX"/>
        <s v="0064L000001wMAD"/>
        <s v="0064L00000CXbxx"/>
        <s v="0064L000001wLTx"/>
        <s v="0064L000001wM5a"/>
        <s v="0064L000001wM9y"/>
        <s v="0064L00000CXRMc"/>
        <s v="0064L00000B1doX"/>
        <s v="0064L0000041B2a"/>
        <s v="0064L00000Bl0zu"/>
        <s v="0064L00000Bl0zv"/>
        <s v="0064L00000Bl10s"/>
        <s v="0064L00000DFZss"/>
        <s v="0064L00000BfeBA"/>
        <s v="0064L00000BfeAm"/>
        <s v="0064L00000BfeBF"/>
        <s v="0064L00000BfeEe"/>
        <s v="0064L00000BfeEf"/>
        <s v="0064L00000BfeFW"/>
        <s v="0064L00000BfeGZ"/>
        <s v="0064L00000BfeH9"/>
        <s v="0064L00000BfeJ6"/>
        <s v="0064L00000BfeJ4"/>
        <s v="0064L00000BfeHr"/>
        <s v="0064L00000BfeJT"/>
        <s v="0064L00000BfeJO"/>
        <s v="0064L00000BfeJe"/>
        <s v="0064L00000BfeLF"/>
        <s v="0064L00000BfeLe"/>
        <s v="0064L00000BfeMS"/>
        <s v="0064L00000BfeLo"/>
        <s v="0064L00000BfeNL"/>
        <s v="0064L000002ZNdh"/>
        <s v="0064L00000BfeA2"/>
        <s v="0064L000007W1xO"/>
        <s v="0064L00000B0sso"/>
        <s v="0064L00000B0ssA"/>
        <s v="0064L00000B0ssK"/>
        <s v="0064L00000B0srC"/>
        <s v="0064L00000CYeCp"/>
        <s v="0064L00000CYeGS"/>
        <s v="0064L00000CYeGX"/>
        <s v="0064L00000CYeGN"/>
        <s v="0064L00000CYeGO"/>
        <s v="0064L00000CYeGD"/>
        <s v="0064L00000CYeGE"/>
        <s v="0064L00000CYeGI"/>
        <s v="0064L00000BoyNt"/>
        <s v="0064L00000BoyPC"/>
        <s v="0064L00000BoyOJ"/>
        <s v="0064L00000BoyOK"/>
        <s v="0064L00000BoyOx"/>
        <s v="0064L00000BoyRr"/>
        <s v="0064L00000BoyT4"/>
        <s v="0064L00000CXpQp"/>
        <s v="0064L00000CVzsF"/>
        <s v="0064L00000BdCjq"/>
        <s v="0064L00000CYpYd"/>
        <s v="0064L000009B3u0"/>
        <s v="0064L000002LZKq"/>
        <s v="0064L000002LZLt"/>
        <s v="0064L000002LZNG"/>
        <s v="0064L000002LZNH"/>
        <s v="0064L00000Bcpqi"/>
        <s v="0064L00000BkyO3"/>
        <s v="0064L00000CWwVO"/>
        <s v="0064L00000BkwtT"/>
        <s v="0064L00000CYIUj"/>
        <s v="0064L00000Bmm9l"/>
        <s v="0064L00000BeRVk"/>
        <s v="0064L00000BeRXg"/>
        <s v="0064L00000CYnEH"/>
        <s v="0064L000002cKj4"/>
        <s v="0064L00000BoB4K"/>
        <s v="0064L00000CW5I0"/>
        <s v="0064L00000B0kTP"/>
        <s v="0064L00000ArPk9"/>
        <s v="0064L00000B0kTQ"/>
        <s v="0064L00000ArPjk"/>
        <s v="0064L000006CWg4"/>
        <s v="0064L000002b8nB"/>
        <s v="0064L00000Bli6z"/>
        <s v="0064L000006hbPb"/>
        <s v="0064L000001vzvG"/>
        <s v="0064L000009ezdz"/>
        <s v="0064L00000B1nFN"/>
        <s v="0064L00000B1nF3"/>
        <s v="0064L00000BoNe2"/>
        <s v="0064L00000Bmjay"/>
        <s v="0064L00000BeQhq"/>
        <s v="0064L00000BnLEw"/>
        <s v="0064L00000BoOIv"/>
        <s v="0064L000006CTS5"/>
        <s v="0064L00000CWQnf"/>
        <s v="0064L00000CWtU6"/>
        <s v="0064L00000BmFwp"/>
        <s v="0064L00000AqHol"/>
        <s v="0064L00000B0xXh"/>
        <s v="0064L000006jx74"/>
        <s v="0064L00000Boq00"/>
        <s v="0064L000006jg8E"/>
        <s v="0064L000006jx78"/>
        <s v="0064L000006jx7N"/>
        <s v="0064L00000Beryp"/>
        <s v="0064L000009ALtX"/>
        <s v="0064L00000B0zEb"/>
        <s v="0064L0000099W9m"/>
        <s v="0064L00000Bl35k"/>
        <s v="0064L00000CXBtX"/>
        <s v="0064L00000CWQTp"/>
        <s v="0064L000009AoQt"/>
        <s v="0064L000009AoSB"/>
        <s v="0064L000006jwwl"/>
        <s v="0064L0000099W2q"/>
        <s v="0064L000006jwx0"/>
        <s v="0064L000002aArS"/>
        <s v="0064L000006jgNr"/>
        <s v="0064I000011ob2X"/>
        <s v="0064I000011ob3L"/>
        <s v="0064L00000Bl0qi"/>
        <s v="0064L000004yJFQ"/>
        <s v="0064L000004yJFP"/>
        <s v="0064L000007wSHi"/>
        <s v="0064L000006juNB"/>
        <s v="0064L000004yJKd"/>
        <s v="0064L00000BoM01"/>
        <s v="0064L000004yJAg"/>
        <s v="0064L00000BnhqF"/>
        <s v="0064L000002LUGU"/>
        <s v="0064L00000ApdaL"/>
        <s v="0064L00000B175d"/>
        <s v="0064L00000DJeMk"/>
        <s v="0064L00000AqWUD"/>
        <s v="0064L00000417ro"/>
        <s v="0064L00000B0tVl"/>
        <s v="0064L00000CYBxX"/>
        <s v="0064L00000BgC5f"/>
        <s v="0064L00000Bo9Jm"/>
        <s v="0064L0000069QvF"/>
        <s v="0064L00000CVmcX"/>
        <s v="0064L00000BoXw2"/>
        <s v="0064L00000B14S4"/>
        <s v="0064L000003yP9n"/>
        <s v="0064L000006ju7z"/>
        <s v="0064L00000CYeFK"/>
        <s v="0064L0000040Tnc"/>
        <s v="0064L00000ArFL8"/>
        <s v="0064L00000Bognl"/>
        <s v="0064L00000CXofZ"/>
        <s v="0064L00000Bn2Ll"/>
        <s v="0064L00000Bn1p6"/>
        <s v="0064L00000BnU6j"/>
        <s v="0064L00000BnBsG"/>
        <s v="0064L00000CYbZW"/>
        <s v="0064L000001w0eV"/>
        <s v="0064L00000CYsad"/>
        <s v="0064L000001w0g7"/>
        <s v="0064L000001w0iD"/>
        <s v="0064L000009AfK8"/>
        <s v="0064L00000Boh5f"/>
        <s v="0064L00000CV6K9"/>
        <s v="0064L00000Boeq2"/>
        <s v="0064L00000Boepn"/>
        <s v="0064L00000Boer5"/>
        <s v="0064L00000Boeoz"/>
        <s v="0064L00000CVFA3"/>
        <s v="0064L00000DFS6J"/>
        <s v="0064L00000BoUa5"/>
        <s v="0064I000015TdM3"/>
        <s v="0064L00000ArU8U"/>
        <s v="0064L00000ArU8P"/>
        <s v="0064L00000ArU8Z"/>
        <s v="0064L00000DFPlS"/>
        <s v="0064L00000Bmq7f"/>
        <s v="0064L0000041agI"/>
        <s v="0064L00000CX7y9"/>
        <s v="0064L00000CW5Xt"/>
        <s v="0064L00000DJn4n"/>
        <s v="0064L00000CVwNi"/>
        <s v="0064L00000CVwOH"/>
        <s v="0064L00000CVwOg"/>
        <m/>
      </sharedItems>
    </cacheField>
    <cacheField name="Ultimate Parent Account Name" numFmtId="0">
      <sharedItems containsBlank="1">
        <s v="PG&amp;E Corporation"/>
        <s v="General Electric Company"/>
        <s v="Mitsubishi UFJ Financial Group, Inc."/>
        <s v="II-VI Incorporated"/>
        <s v="Intel Corporation"/>
        <s v="Centene Corporation"/>
        <s v="Shell PLC"/>
        <s v="Citigroup Inc."/>
        <s v="Alliant Energy Corporation"/>
        <s v="Enterprise Holdings Inc."/>
        <s v="Canadian Imperial Bank of Commerce"/>
        <s v="Alphabet Inc."/>
        <s v="United Natural Foods INC."/>
        <s v="PepsiCo, Inc."/>
        <s v="BP PLC."/>
        <s v="WEATHERFORD INTERNATIONAL PUBLIC LIMITED COMPANY"/>
        <s v="Global Payments Inc."/>
        <s v="NextEra Energy, Inc."/>
        <s v="Baptist Memorial Health Services"/>
        <s v="Albany Medical Center"/>
        <s v="ConocoPhillips"/>
        <s v="UnitedHealth Group Incorporated"/>
        <s v="Rite Aid Corporation"/>
        <s v="Southern Company"/>
        <s v="Morningstar Inc."/>
        <s v="Ameritas Mutual Holding Company"/>
        <s v="Vistra Corp."/>
        <s v="Wegmans Food Markets, Inc."/>
        <s v="GRUPO ARGOS S.A."/>
        <s v="Fidelity National Information Services, Inc"/>
        <s v="Meiji Yasuda Life Insurance Company"/>
        <s v="Pinnacle West Capital Corporation"/>
        <s v="VOLKSWAGEN AKTIENGESELLSCHAFT"/>
        <s v="WALGREENS BOOTS ALLIANCE, INC."/>
        <s v="Blue Cross Blue Shield Of Michigan Mutual Insurance Company"/>
        <s v="Rochester Regional Health System"/>
        <s v="Morgan Stanley"/>
        <s v="WestRock Company"/>
        <s v="Memorial Sloan-Kettering Cancer Center"/>
        <s v="Adventist Health System/Sunbelt Inc."/>
        <s v="Liberty Mutual Holding Company Inc."/>
        <s v="Markel Corporation"/>
        <s v="Aflac Incorporated"/>
        <s v="The Hartford Financial Services Group Inc."/>
        <s v="MetLife, Inc."/>
        <s v="Emerson Electric Co."/>
        <s v="Ben E. Keith Company"/>
        <s v="Textron Inc."/>
        <s v="Sempra Energy"/>
        <s v="KeyCorp"/>
        <s v="Illinois Agricultural Association"/>
        <s v="Innovaccer Inc."/>
        <s v="Providence Health &amp; Services"/>
        <s v="State Street Corporation"/>
        <s v="Rivian Automotive Inc."/>
        <s v="Boston Scientific Corporation"/>
        <s v="U.S. Bancorp"/>
        <s v="Durant Bancorp. Inc."/>
        <s v="Fisher Investments, Inc."/>
        <s v="Huntington Ingalls Industries Inc."/>
        <s v="Apollo Global Management, Inc."/>
        <s v="AT&amp;T Inc."/>
        <s v="PETROLEOS DE VENEZUELA S A"/>
        <s v="L3Harris Technologies, Inc."/>
        <s v="Bristol-Myers Squibb Company"/>
        <s v="Banner Health"/>
        <s v="CVS Health Corporation"/>
        <s v="DOW Inc."/>
        <s v="Helmerich &amp; Payne Inc."/>
        <s v="JAB Holding Company s.à.r.l."/>
        <s v="PPL Corporation"/>
        <s v="Blackstone Group Management LLC"/>
        <s v="Gilead Sciences, Inc."/>
        <s v="Phillips 66 Company"/>
        <s v="Public Service Enterprise Group"/>
        <s v="Berkshire Hathaway Inc."/>
        <s v="Hewlett Packard Enterprise Company"/>
        <s v="STRIPES US HOLDING Inc."/>
        <s v="CommonSpirit Health"/>
        <s v="Advanced Drainage Systems Inc."/>
        <s v="NiSource Inc."/>
        <s v="UBS Group AG"/>
        <s v="Raymond James Financial, Inc."/>
        <s v="Scripps Health"/>
        <s v="Anthology Inc."/>
        <s v="Kforce Inc."/>
        <s v="Eversource Energy"/>
        <s v="Eaton Corporation Public Limited Company"/>
        <s v="Leidos Holdings, Inc."/>
        <s v="Securitas AB"/>
        <s v="Nuvance Health"/>
        <s v="Nordstrom INC."/>
        <s v="INFOSYS LIMITED"/>
        <s v="Catholic Health System Of Buffalo"/>
        <s v="Protego Trust Bank NA"/>
        <s v="Eisenhower Medical Center"/>
        <s v="Fidelity National Financial"/>
        <s v="National Grid Plc"/>
        <s v="Mayo Clinic"/>
        <s v="Meta Platforms, Inc."/>
        <s v="Pfizer Inc."/>
        <s v="IBERDROLA, S.A."/>
        <s v="Microsoft Corporation"/>
        <s v="Ionis Pharmaceuticals."/>
        <s v="Northern Trust Corporation"/>
        <s v="S. C. Johnson &amp; Son , Inc"/>
        <s v="DENSO CORPORATION"/>
        <s v="Omaha Public Power District"/>
        <s v="IOWA FARM BUREAU FEDERATION"/>
        <s v="One Rock Capital Partners LLC"/>
        <s v="Sysco Corporation"/>
        <s v="iFIT Health &amp; Fitness Inc."/>
        <s v="The Procter &amp; Gamble Company"/>
        <s v="Healthfirst Inc."/>
        <s v="Jacobs Solutions Inc."/>
        <s v="Loma Linda University"/>
        <s v="AltaGas Ltd."/>
        <s v="MSA Safety Incorporated"/>
        <s v="UPMC"/>
        <s v="Encompass Health Corporation"/>
        <s v="OMERS Administration Corporation"/>
        <s v="United Health Services Corporation"/>
        <s v="Tenet Healthcare Corporation"/>
        <s v="Walmart Inc."/>
        <s v="Kaiser Permanente"/>
        <s v="Regions Financial Corporation"/>
        <s v="Stellantis N.V."/>
        <s v="Health Care Service Corporation, A Mutual Legal Reserve Company"/>
        <s v="Westinghouse Air Brake Technologies Corporation"/>
        <s v="The Coca-Cola Company"/>
        <s v="First Republic Bank"/>
        <s v="General Motors Company"/>
        <s v="Takeda Pharmaceutical Company Limited"/>
        <s v="Entergy Corporation"/>
        <s v="Amazon.com, Inc."/>
        <s v="Lockheed Martin Corporation"/>
        <s v="Laboratory Corporation Of America Holdings"/>
        <s v="Veritas Capital Fund Management LLC"/>
        <s v="Stanley Black &amp; Decker, Inc."/>
        <s v="Mount Sinai Health Systems Inc"/>
        <s v="Tampa General Hospital"/>
        <s v="Adventist Health System/west"/>
        <s v="Koppers Holdings Inc."/>
        <s v="Allstate Corporation"/>
        <s v="Spectrum Brands Inc"/>
        <s v="Verizon Communications Inc."/>
        <s v="DCP Midstream, LLC"/>
        <s v="Rush University Medical Center"/>
        <s v="Polaris Industries"/>
        <s v="ANSYS Inc."/>
        <s v="Becton, Dickinson and Company"/>
        <s v="Rockwell Automation, Inc."/>
        <s v="Dollar Tree, Inc."/>
        <s v="Anthem, Inc."/>
        <s v="Capital One Financial Corporation"/>
        <s v="Steward Health Care Holdings LLC"/>
        <s v="The Bank of New York Mellon Corporation"/>
        <s v="SSM Health"/>
        <s v="Centerpoint Energy Inc."/>
        <s v="PricewaterhouseCoopers LLP"/>
        <s v="United Parcel Service Inc."/>
        <s v="Archer Daniels Midland Company"/>
        <s v="Manpowergroup Inc."/>
        <s v="Public Investment Fund"/>
        <s v="Wells Fargo &amp; Co."/>
        <s v="Sutter Health System"/>
        <s v="Texas Health Resources"/>
        <s v="Sharecare Gmbh"/>
        <s v="Hoag Hospital Foundation"/>
        <s v="Community Health Systems Inc."/>
        <s v="FISHBACK FINANCIAL Corp."/>
        <s v="CDW Corporation"/>
        <s v="Barclays PLC"/>
        <s v="Wintrust Financial Corporation"/>
        <s v="UiPath, Inc."/>
        <s v="Whole Health School of Medicine and Health Sciences, Inc"/>
        <s v="Hilton Grand Vacations Inc."/>
        <s v="Abbvie Inc."/>
        <s v="Nationwide Mutual Insurance Company"/>
        <s v="Cushman &amp; Wakefield plc"/>
        <s v="The Charles Schwab Corporation"/>
        <s v="Signature Bank"/>
        <s v="United Launch Alliance L.l.c."/>
        <s v="Carefirst Inc."/>
        <s v="Honeywell International Inc."/>
        <s v="HP Inc."/>
        <s v="Baker Hughes Company"/>
        <s v="Waste Management, Inc."/>
        <s v="Advocate Aurora Health"/>
        <s v="Cook Group Incorporated"/>
        <s v="Marriott International Inc."/>
        <s v="Moody's Corporation"/>
        <s v="Associated Banc-Corp"/>
        <s v="Comcast Corporation"/>
        <s v="Allina Health"/>
        <s v="Incitec Pivot Limited"/>
        <s v="Astellas Pharma Inc."/>
        <s v="Kohlberg &amp; Co. LP"/>
        <s v="GSK PLC"/>
        <s v="Horizon Healthcare Services Inc."/>
        <s v="Mckesson Corporation"/>
        <s v="Hyatt Hotels Corporation"/>
        <s v="Bank Of Hawaii Corporation"/>
        <s v="Siepmann Stiftung"/>
        <s v="The Hershey Company"/>
        <s v="Eisai Co., Ltd."/>
        <s v="Halliburton Company"/>
        <s v="Christus Health"/>
        <s v="Valero Energy Corporation"/>
        <s v="ROSS STORES"/>
        <s v="General Dynamics Corporation"/>
        <s v="Northrop Grumman Corporation"/>
        <s v="Eli Lilly And Company"/>
        <s v="Embecta Corp."/>
        <s v="Synovus Financial CORP."/>
        <s v="Kao Usa Inc."/>
        <s v="Kimberly-Clark Corporation"/>
        <s v="Houston Methodist Hospital"/>
        <s v="Bunge Limited"/>
        <s v="Ingredion Incorporated"/>
        <s v="Cargill Incorporated"/>
        <s v="Amgen Inc."/>
        <s v="Energy Transfer LP"/>
        <s v="The Boeing Company"/>
        <s v="Promedica Health System Inc."/>
        <s v="SVB Financial Group"/>
        <s v="Viatris Inc."/>
        <s v="The Williams Companies Inc."/>
        <s v="RPM International Inc"/>
        <s v="Elliott Capital Advisors, L.P"/>
        <s v="C.H. Boehringer Sohn AG &amp; Co. KG"/>
        <s v="Icon Public Limited Company"/>
        <s v="Intercontinental Exchange, Inc."/>
        <s v="National Academy Of Sciences"/>
        <s v="Cinedigm Corp"/>
        <s v="Lumen Technologies"/>
        <s v="Clearlake Capital Group L.p."/>
        <s v="The University Of Texas System."/>
        <s v="Unison Capital Partners IV LPS"/>
        <s v="Star GP Holding LLC"/>
        <s v="Apax Partners Holdings Ltd"/>
        <s v="Deere &amp; Company"/>
        <s v="Trinity Health Corp."/>
        <s v="Southern Farm Bureau Life Insurance Company"/>
        <s v="Internet Corporation For Assigned Names And Numbers"/>
        <s v="Ultragenyx Pharmaceutical Inc."/>
        <s v="Conagra Brands, Inc."/>
        <s v="Marvell Technology Group Ltd."/>
        <s v="Brookline Bancorp, Inc."/>
        <s v="New Jersey Resources Corp."/>
        <s v="CRH Public Limited Company"/>
        <s v="Crouse Health Hospital Inc."/>
        <s v="Amerihealth Caritas Health Plan"/>
        <s v="Community Health Network"/>
        <s v="H &amp; S Ventures LLC"/>
        <s v="Emory University"/>
        <s v="United Airlines Holdings Inc."/>
        <s v="BLUE CROSS AND BLUE SHIELD OF KANSAS INC."/>
        <s v="Visa Inc."/>
        <s v="Kohls Corporation"/>
        <s v="Manpower Solutions Limited"/>
        <s v="Evolent Health LLC"/>
        <s v="The Desmarais Family Residuary Trust"/>
        <s v="Federal National Mortgage Association"/>
        <s v="St. Luke's Health Network Inc."/>
        <s v="United Services Automobile Association"/>
        <s v="Honda Motor Co., Ltd."/>
        <s v="Old Dominion University"/>
        <s v="Syneos Health, Inc"/>
        <s v="ABP Trust (RMR Group)"/>
        <s v="Modernatx, Inc."/>
        <s v="Palo Alto Networks, Inc."/>
        <s v="Münchener Rückversicherungs-Gesellschaft Aktiengesellschaft in München"/>
        <s v="Blue Cross And Blue Shield North Carolina"/>
        <s v="US Dept. Of Health &amp; Human Services Program Support Center."/>
        <s v="Willis Towers Watson Public Limited Company"/>
        <s v="Roche Holding AG"/>
        <s v="MERCK Kommanditgesellschaft auf Aktien"/>
        <s v="KKR &amp; Co. Inc"/>
        <s v="Spectrum Health Hospitals Inc"/>
        <s v="Kemper Corporation"/>
        <s v="Jps Health Network"/>
        <s v="Froedtert Health Inc."/>
        <s v="The Southern Company Limited"/>
        <s v="UNUM Group"/>
        <s v="Panduit Corp."/>
        <s v="Hostess Brands, Inc."/>
        <s v="Fifth Third Financial Corporation"/>
        <s v="Zurich Insurance Group AG"/>
        <s v="Lamar Advertising"/>
        <s v="Loews Corporation"/>
        <s v="Buckeye Gp Holdings Lp"/>
        <s v="Cardinal Health Inc."/>
        <s v="Educational Testing Service, Inc."/>
        <s v="Nbsh Acquisition LLC"/>
        <s v="Multicare Health System"/>
        <s v="Mutual Of America Life Insurance Company"/>
        <s v="Wsfs Financial Corp."/>
        <s v="Illumina Inc."/>
        <s v="Chipotle Mexican Grill, Inc."/>
        <s v="Commonwealth Care Alliance"/>
        <s v="Inova Health System Foundation"/>
        <s v="DXC Technology Company"/>
        <s v="Highmark Health"/>
        <s v="Hospital Sisters Health Systems"/>
        <s v="Wellstar Health System INC."/>
        <s v="AmerisourceBergen Corporation"/>
        <s v="University Of Rochester"/>
        <s v="Citrix Systems Inc."/>
        <s v="Healthcare Realty Trust Incorporated"/>
        <s v="Memorial Health System"/>
        <s v="Memorial Health Services"/>
        <s v="Charter Communications, Inc."/>
        <s v="Hawaii Medical Service Association"/>
        <s v="SoFi Technologies, Inc."/>
        <s v="Hollyfrontier Corporation"/>
        <s v="Hess Corporation"/>
        <s v="Intermountain Healthcare"/>
        <s v="Blue Shield of California"/>
        <s v="Tri-State Generation and Transmission Association, Inc."/>
        <s v="Veritiv Corporation"/>
        <s v="Baker Capital Corp"/>
        <s v="Mclaren Health Care Corporation"/>
        <s v="Atlantic Union Bankshares Corporation"/>
        <s v="Indiana University Health Inc."/>
        <s v="Valley National Bancorp"/>
        <s v="Live Nation Entertainment, Inc."/>
        <s v="SANTEN PHARMACEUTICAL CO.,LTD."/>
        <s v="Catalent Inc."/>
        <s v="PTC Therapeutics, Inc."/>
        <s v="Scan Grp."/>
        <s v="HILTON WORLDWIDE HOLDINGS INC"/>
        <s v="Perkinelmer INC."/>
        <s v="Rigel Pharmaceuticals, Inc."/>
        <s v="Biomarin Pharmaceutical, Inc."/>
        <s v="Thomas H. Lee Partners, L.P."/>
        <s v="Reyes Holdings LLC."/>
        <s v="Barrel Park Brewery LLC"/>
        <s v="Hillenbrand Inc."/>
        <s v="Eagleville Group B.V."/>
        <s v="S&amp;P Global Inc."/>
        <s v="Reliable Community Bancshares Inc."/>
        <s v="Aon PLC"/>
        <s v="Ultra Clean Holdings INC."/>
        <s v="Lucid Group, Inc."/>
        <s v="Celanese Corporation"/>
        <s v="Baystate Health Inc."/>
        <s v="Toronto Dominion Bank"/>
        <s v="ACI Worldwide, Inc."/>
        <s v="Brookfield Asset Management Inc."/>
        <s v="Ally Financial Inc."/>
        <s v="City of Hope National Medical Center"/>
        <s v="Mercy Health (MO)"/>
        <s v="Nestlé S.A."/>
        <s v="Crown Family Trusts"/>
        <s v="Myriad Genetics Inc."/>
        <s v="Evergy, Inc."/>
        <s v="Columbia Sportswear Company"/>
        <s v="National Bank Holdings Corp."/>
        <s v="The AES Corporation"/>
        <s v="West Tennessee Healthcare, Inc."/>
        <s v="Inspira Health Network Inc."/>
        <s v="Abbott Laboratories"/>
        <s v="Manulife Financial Corporation"/>
        <s v="Salesforce, Inc."/>
        <s v="Atrium Health"/>
        <s v="Citizens Financial Group, Inc."/>
        <s v="Xcel Energy Inc."/>
        <s v="Childrens Hospital Medical Center Of Akron"/>
        <s v="Sandy Spring Bancorp, Inc"/>
        <s v="Best Buy Co. Inc."/>
        <s v="Seagate Technology Public Limited Company"/>
        <s v="AmerisourceBergen Group GmbH"/>
        <s v="Federated Hermes, Inc."/>
        <s v="Gridiron Capital LLC"/>
        <s v="Interior Define, Inc."/>
        <s v="Qurate Retail, Inc."/>
        <s v="Golub Capital Partners LLC"/>
        <s v="MGM Resorts International"/>
        <s v="Lumber Liquidators Holdings Inc."/>
        <s v="FedEx Corporation"/>
        <s v="Bellin Health Systems Inc."/>
        <s v="Uaw Retiree Medical Benefits Trust"/>
        <s v="Pacific Mutual Holding Company"/>
        <s v="Duke Energy Corporation"/>
        <s v="McDonald's Corporation"/>
        <s v="Lifetime Healthcare INC."/>
        <s v="Dai-ichi Life Holdings, Inc."/>
        <s v="Swiss Re AG"/>
        <s v="Voya Financial Inc"/>
        <s v="Delta Air Lines, Inc"/>
        <s v="Aptiv PLC"/>
        <s v="Yum! Brands, Inc."/>
        <s v="TPG Capital, L.P."/>
        <s v="New York Community Bancorp"/>
        <s v="HITACHI, LTD."/>
        <s v="Barilla holding SPA"/>
        <s v="Vista Equity Partners Management, LLC"/>
        <s v="Western &amp; Southern Mutual Holdinds"/>
        <s v="Bankunited Financial Corp."/>
        <s v="Fiserv Inc."/>
        <s v="Zeomega Inc."/>
        <s v="Fox Corp."/>
        <s v="Apache Corporation"/>
        <s v="Transocean Ltd."/>
        <s v="Discover Financial Services"/>
        <s v="Lear Corporation"/>
        <s v="SAP SE"/>
        <s v="Republic Services INC."/>
        <s v="Omni Hotels Management Corporation"/>
        <s v="Haemonetics Corporation"/>
        <s v="Live Oak Banking Company"/>
        <s v="Five Below Inc"/>
        <s v="Costco Wholesale"/>
        <s v="Jetblue Airways Corporation"/>
        <s v="Skechers U.S.A. Inc."/>
        <s v="Huntsman Corporation"/>
        <s v="The Home Depot Inc."/>
        <s v="Dollar General Corporation"/>
        <s v="Blue Cross and Blue Shield of Massachusetts, Inc."/>
        <s v="Visteon Corporation"/>
        <s v="Ridgemont Partners Management Holdings, L.P."/>
        <s v="Ares Partners Holdco LLC"/>
        <s v="Hologic, Inc."/>
        <s v="LPL FINANCIAL HOLDINGS Inc."/>
        <s v="Curemark LLC."/>
        <s v="Bayer Aktiengesellschaft"/>
        <s v="IHF HOLDINGS INC"/>
        <s v="SHOCKWAVE MEDICAL, INC."/>
        <s v="Bio-Techne Corporation"/>
        <s v="Owens And Minor Inc."/>
        <s v="Cabot Corporation"/>
        <s v="Astec Industries INC."/>
        <s v="Spirit Aerosystems Holdings INC."/>
        <s v="LIXIL Corporation"/>
        <s v="EQT AB"/>
        <s v="Snap Inc."/>
        <s v="Cvr Energy INC."/>
        <s v="Stryker Corporation"/>
        <s v="Hellman &amp; Friedman LLC."/>
        <s v="Charlesbank Capital Partners LLC"/>
        <s v="EQT Corporation"/>
        <s v="Cuna Mutual Group"/>
        <s v="ARK Investment Management LLC"/>
        <s v="Brex, Inc."/>
        <s v="Emblemhealth, Inc."/>
        <s v="Wabash National Corporation"/>
        <s v="Comerica Incorporated"/>
        <s v="Block, Inc."/>
        <s v="Inovio Pharmaceuticals Inc."/>
        <s v="City Of Memphis"/>
        <s v="Rock Holdings Inc."/>
        <s v="ASML Holding N.V."/>
        <s v="Ferring Holding S.A."/>
        <s v="Stripe, Inc."/>
        <s v="F.N.B. Corporation"/>
        <s v="Cambia Health Solutions"/>
        <s v="Wm. Bolthouse Farms Inc."/>
        <s v="Bluelinx Holdings Inc."/>
        <s v="Fashion Nova Inc."/>
        <s v="United Rentals Inc."/>
        <s v="Nielsen Holdings PLC"/>
        <s v="L'OREAL"/>
        <s v="Emera Inc."/>
        <s v="Clover Health Investments, Corp."/>
        <s v="AURA Network Systems Inc."/>
        <s v="Kelsey-Seybold Medical Group Pllc"/>
        <s v="Cox Enterprises, Inc."/>
        <s v="Mercedes-Benz Group AG"/>
        <s v="Bayview Asset Management LLC."/>
        <s v="Booking Holdings Inc."/>
        <s v="Guggenheim Capital, LLC"/>
        <s v="Signet Jewelers Limited"/>
        <s v="Papa John's International Inc."/>
        <s v="Warburg Pincus LLC"/>
        <s v="Workiva Inc."/>
        <s v="Taylor Morrison Home Corporation"/>
        <s v="Cathexis Holdings, LP"/>
        <s v="Automatic Data Processing, Inc."/>
        <s v="athenahealth Topco Holdings LLC"/>
        <s v="Collibra Inc."/>
        <s v="BeiGene, Ltd."/>
        <s v="Central Michigan University"/>
        <s v="GTCR Golder Rauner LLC"/>
        <s v="White &amp; Case LLP"/>
        <s v="Lowe's Companies Inc"/>
        <s v="William Grant &amp; Sons Group Limited"/>
        <s v="Jones Lang Lasalle Incorporated"/>
        <s v="Akamai Technologies Inc."/>
        <s v="Old Mutual Limited"/>
        <s v="DoorDash, Inc."/>
        <s v="Spectrum Health"/>
        <s v="Government of Manitoba"/>
        <s v="AWARE INTEGRATED INC"/>
        <s v="Copa Holdings S.a."/>
        <s v="The Mosaic Company"/>
        <s v="Bridgewater Associates, Limited Partnership"/>
        <s v="First Horizon Corporation"/>
        <s v="American Axle &amp; Manufacturing Holdings Inc."/>
        <s v="Ventra Health"/>
        <s v="Synchrony Financial"/>
        <s v="University Of Southern California"/>
        <s v="Commercial Metals Company"/>
        <s v="USAble Mutual Insurance Company"/>
        <s v="Trimble, Inc"/>
        <s v="Bank of Montreal"/>
        <s v="Transcontinental Inc."/>
        <s v="Tractor Supply Company"/>
        <s v="Interos Inc."/>
        <s v="OGE Energy Corp"/>
        <s v="Dexcom, Inc."/>
        <s v="AKKR Fund II Management Company LP"/>
        <s v="Tapestry, Inc."/>
        <s v="Falcon Acquisition Group, Inc."/>
        <s v="Hall Capital Partners LLC."/>
        <s v="AB Volvo"/>
        <s v="Advance Auto Parts Inc."/>
        <s v="Vertex Pharmaceuticals Inc."/>
        <s v="Meijer Companies Ltd."/>
        <s v="BRUNS-PAK WORLDWIDE Inc."/>
        <s v="Hackensack Meridian Health, Inc."/>
        <s v="BC Partners Holdings Limited"/>
        <s v="Roark Capital Management, Llc"/>
        <s v="Genpact Limited"/>
        <s v="Teladoc Health, Inc."/>
        <s v="Global Infrastructure Management Participation LLC"/>
        <s v="GERON Corp."/>
        <s v="MITSUBISHI MATERIALS CORPORATION"/>
        <s v="General Atlantic LLC"/>
        <s v="Amica Mutual Insurance Company"/>
        <s v="Litor Limited"/>
        <s v="TransCanada Pipelines Limited"/>
        <s v="CareSource Management Services LLC"/>
        <s v="DAIKIN INDUSTRIES, LTD."/>
        <s v="Constellation Brands, Inc."/>
        <s v="Clif Bar &amp; Company"/>
        <s v="Southwest Airlines Co."/>
        <s v="Archrock, Inc."/>
        <s v="Whole Earth Brands Inc."/>
        <s v="Sparrow Health System - PHP Holdings"/>
        <s v="ORACLE"/>
        <s v="Citrin Cooperman Advisors LLC"/>
        <s v="Two Sigma Investments, LP"/>
        <s v="University Hospitals Health Systems Inc."/>
        <s v="Henry Ford Health System"/>
        <s v="Discord Inc."/>
        <s v="Inversiones Jrpr S.A."/>
        <s v="Twilio Inc."/>
        <s v="Israel Discount Bank Ltd."/>
        <s v="Baycare Health System"/>
        <s v="SCHNEIDER ELECTRIC SE"/>
        <s v="Netapp Inc."/>
        <s v="Grupo Cuprum, S.A.P.I. de C.V."/>
        <s v="Brinker International, Inc."/>
        <s v="Univar Solutions Inc."/>
        <s v="Laboratorios Quimico Farmaceuticos Lancasco Sa"/>
        <s v="YAZAKI CORPORATION"/>
        <s v="Canadian National Railway Company"/>
        <s v="Hurley Medical Center Inc."/>
        <s v="Cityblock Health Inc."/>
        <s v="Apple Inc."/>
        <s v="Ascension Health Alliance"/>
        <s v="Pioneer Natural Resources Company"/>
        <s v="StoneX Group Inc."/>
        <s v="Trustees of Dartmouth College"/>
        <s v="Corbett Technology Solutions, Inc."/>
        <s v="Lantheus Holdings Inc."/>
        <s v="Lancaster Colony Corporation"/>
        <s v="Xignux, S.A. de C.V.."/>
        <s v="Cooper-Standard Holdings Inc."/>
        <s v="Nokia Oyj"/>
        <s v="Willkie Farr &amp; Gallagher Llp"/>
        <s v="University Health System"/>
        <s v="Blue Cross Blue Shield La"/>
        <s v="American Airlines Group INC."/>
        <s v="Equity Lifestyle Properties Inc."/>
        <s v="DAIICHI SANKYO COMPANY, LIMITED"/>
        <s v="Cravath Swaine &amp; Moore Llp"/>
        <s v="University Of Miami"/>
        <s v="United Parcel Services Co."/>
        <s v="Arca Continental, S.A.B. de C.V."/>
        <s v="State Of Missouri"/>
        <s v="Molina Healthcare, Inc."/>
        <s v="The Bank of Nova Scotia"/>
        <s v="Deutsche Telekom AG"/>
        <s v="Cadwalader Wickersham &amp; Taft"/>
        <s v="CBRE Group Inc"/>
        <s v="American Automobile Association, Inc., The"/>
        <s v="AAA Northeast"/>
        <s v="SUMITOMO CHEMICAL COMPANY, LIMITED"/>
        <s v="1305290 ONTARIO INC"/>
        <s v="Godaddy Inc."/>
        <s v="Analog Devices, Inc."/>
        <s v="Patrick Industries Inc."/>
        <s v="King &amp; Spalding LLP"/>
        <s v="Avient Corporation"/>
        <s v="American Council On Exercise"/>
        <s v="Danaher Corporation"/>
        <s v="Ingersoll Rand Inc."/>
        <s v="Allakos Inc."/>
        <s v="Novo Nordisk A/S"/>
        <s v="Sumitomo Life Insurance Company"/>
        <s v="Daimler Truck Holding AG"/>
        <s v="The Travelers Companies Inc."/>
        <s v="Cornerstone Building Brands, Inc."/>
        <s v="News Corporation"/>
        <s v="Florida Atlantic University"/>
        <s v="Fortive Corporation"/>
        <s v="Master Limited Partnership Association"/>
        <s v="Principal Financial Group, Inc"/>
        <s v="BlackRock, Inc"/>
        <s v="GG Brands Company"/>
        <s v="Frankenmuth Mutual Insurance Company"/>
        <s v="Harvard Maintenance, Inc."/>
        <s v="Nuvasive Inc."/>
        <s v="Zhejiang Geely Holding Group Co., Ltd."/>
        <s v="Saint Luke's Health System Inc."/>
        <s v="Sarepta Therapeutics Inc"/>
        <s v="Luye Investment Group Co., Ltd"/>
        <s v="Cleveland Clinic Global Solutions, LLC"/>
        <s v="Elanco Animal Health Incorporated"/>
        <s v="SNC-Lavalin Group Inc."/>
        <s v="Mubadala Investment Company P.J.S.C."/>
        <s v="McDermott International Inc."/>
        <s v="Vanderbilt University Medical Center"/>
        <s v="HCA Healthcare, Inc."/>
        <s v="Autodesk Inc."/>
        <s v="Agiloft, Inc."/>
        <s v="Newpark Resources Inc."/>
        <s v="Point32Health"/>
        <s v="University of Missouri HealthCare"/>
        <s v="Northwell Health"/>
        <s v="First National Nebraska INC."/>
        <s v="Pharmajet, Inc."/>
        <s v="Wyndham Hotels &amp; Resorts Inc."/>
        <s v="Nasdaq Inc."/>
        <s v="Littelfuse Inc."/>
        <s v="Federal Reserve Bank Of Boston"/>
        <s v="Paul Weiss Rifkind Wharton &amp; Garrison Llp."/>
        <s v="GREIF INC"/>
        <s v="Sheetz Inc."/>
        <s v="Sifive Inc."/>
        <s v="Blue Cross &amp; Blue Shield Association"/>
        <s v="Zafin Global Holdings Corp"/>
        <s v="Independence Health Group, Inc"/>
        <s v="SUN PHARMACEUTICAL INDUSTRIES LIMITED"/>
        <s v="Smith &amp; Nephew Plc"/>
        <s v="CSL Limited"/>
        <s v="NISSAN MOTOR CO., LTD."/>
        <s v="Memorial Hermann Health System"/>
        <s v="Lincoln National Corporation"/>
        <s v="Blue Cross Blue Shield of Texas"/>
        <s v="Massachusetts Mutual Life Insurance Company"/>
        <s v="Cottage Health System"/>
        <s v="Netflix, Inc."/>
        <s v="M. Arthur Gensler Jr. &amp; Associates, Inc"/>
        <s v="EIS Group."/>
        <s v="Mirum Pharmaceuticals Inc."/>
        <s v="Lithia Motors INC."/>
        <s v="Adobe Inc."/>
        <s v="SENSATA TECHNOLOGIES HOLDING PLC"/>
        <s v="Occidental Petroleum Corporation"/>
        <s v="Cleveland Clinic Foundation"/>
        <s v="Center For Breakthrough Medicines Holdings, Llc"/>
        <s v="Shelby County Health Care Corporation"/>
        <s v="Church Pension group"/>
        <s v="ICU Medical, Inc."/>
        <s v="Spotify Technology S.A."/>
        <s v="Infinera Corporation"/>
        <s v="Colwen Management Inc."/>
        <s v="Giorgio Foods INC."/>
        <s v="Experian Plc"/>
        <s v="Atmos Energy Corporation"/>
        <s v="HENGRUI (USA) LTD"/>
        <s v="Nasdaq, Inc."/>
        <s v="Farmacia San Pablo"/>
        <s v="Juniper Networks, Inc."/>
        <s v="Ryan Specialty Group LLC."/>
        <s v="State of Michigan"/>
        <s v="Davis Polk &amp; Wardwell LLP"/>
        <s v="Blue Cross Of Idaho Health Services INC."/>
        <s v="Ent Credit Union"/>
        <s v="Securian Holding Company"/>
        <s v="Unitypoint Health"/>
        <s v="Ballad Health"/>
        <s v="Cedars-Sinai Medical Center"/>
        <s v="KCC Corporation"/>
        <s v="IAC/InterActiveCorp"/>
        <s v="Dominion Energy, Inc."/>
        <s v="Whirlpool Corporation"/>
        <s v="Major League Soccer L.l.c."/>
        <s v="Tatari, Inc."/>
        <s v="Novant Health, Inc."/>
        <s v="Boston Medical Center"/>
        <s v="Blue Point Capital Partners"/>
        <s v="JUBILANT PHARMOVA LIMITED"/>
        <s v="Pi Jersey Topco Limited"/>
        <s v="Target Corporation"/>
        <s v="Thiele Kaolin Company"/>
        <s v="Healthpartners"/>
        <s v="Sierra Space Corporation"/>
        <s v="Lazard LTD."/>
        <s v="ASU Enterprise Partners"/>
        <s v="CALIFORNIA PRIMARY CARE ASSOCIATION"/>
        <s v="LACEWORK Inc."/>
        <s v="HOLDING CEMENTERO DEL PERU SOCIEDAD ANONIMA"/>
        <s v="Harley-Davidson, Inc."/>
        <s v="Clayton Dubilier &amp; Rice Inc."/>
        <s v="AECOM"/>
        <s v="Finance of America Companies Inc."/>
        <s v="Highroads Inc."/>
        <s v="Henry Schein Inc."/>
        <s v="First Hawaiian, Inc"/>
        <s v="Industria De Hamburguesas S.A."/>
        <s v="New Tiger, LLC"/>
        <s v="City Of Hope"/>
        <s v="Resideo Technologies Inc."/>
        <s v="Cloudflare, Inc."/>
        <s v="Cadence Bank Na"/>
        <s v="CPS Energy"/>
        <s v="UST Healthproof Inc."/>
        <s v="Kaluz, S.A. de C.V."/>
        <s v="The J.M. Smucker Company"/>
        <s v="Texas Capital Bancshares, Inc."/>
        <s v="W. L. Gore &amp; Associates, Inc."/>
        <s v="University Of Missouri"/>
        <s v="Insulet Corporation"/>
        <s v="Questar Pipelines"/>
        <s v="Contessa Health Inc"/>
        <s v="Intuit Inc."/>
        <s v="Malory Pty. Ltd."/>
        <s v="Frontier Communications Corporation"/>
        <s v="Unifirst Corporation"/>
        <s v="First Busey Corporation"/>
        <s v="Mercury Systems, Inc."/>
        <s v="Airbus SE"/>
        <s v="Ardent Health Partners LLC"/>
        <s v="Towne Bank"/>
        <s v="Galaxy Digital Holdings Ltd."/>
        <s v="CDK Global, Inc."/>
        <s v="Magna International Inc."/>
        <s v="Jazz Pharmaceuticals Plc"/>
        <s v="Cullman Regional Medical Center"/>
        <s v="Sail Internet, Inc."/>
        <s v="Catterton Management Company LLC"/>
        <s v="Del Taco Restaurants Inc."/>
        <s v="Chime Financial, Inc."/>
        <s v="International Paper Company"/>
        <s v="Liveperson Inc."/>
        <s v="D'IETEREN GROUP SA"/>
        <s v="Reinsurance Group of America, Incorporated"/>
        <s v="Michigan Education Assoc."/>
        <s v="Xpertal, S. de R.L. de C.V."/>
        <s v="Ohiohealth Corporation"/>
        <s v="Pattern Investors GP LLC"/>
        <s v="Shannon Health System"/>
        <s v="W.W. Grainger Inc."/>
        <s v="Grupo Bimbo, S.A.B. de C.V."/>
        <s v="UCB SA"/>
        <s v="U.S. Bank National Association"/>
        <s v="CROSSPOINT MANAGEMENT COMPANY, LLC"/>
        <s v="Zebra Technologies Corporation"/>
        <s v="The Carlyle Group Inc."/>
        <s v="Hyundai Motor Company"/>
        <s v="FUNDACION MAPFRE FUNDACION CULTURAL PRIVADA"/>
        <s v="Charter Manufacturing Company Inc."/>
        <s v="ACCENTURE PUBLIC LIMITED COMPANY"/>
        <s v="American Public Education Inc."/>
        <s v="RWJ Barnabas Health, Inc."/>
        <s v="Terumo Corporation"/>
        <s v="Spire, Inc."/>
        <s v="Fulton Financial Corporation"/>
        <s v="ZimVie Inc."/>
        <s v="Cutera Inc."/>
        <s v="Vitro, S.A.B. de C.V."/>
        <s v="NATIONAL RURAL TELECOMMUNICATIONS Coop."/>
        <s v="Vail Resorts Inc."/>
        <s v="Roku Inc."/>
        <s v="Association of National Advertisers Inc."/>
        <s v="Nimitz Grp."/>
        <s v="James Hardie Industries Public Limited Company"/>
        <s v="Sterling Bancorp"/>
        <s v="The Children's Hospital Corporation"/>
        <s v="Inari Medical INC."/>
        <s v="New Fortress Energy Holdings LLC"/>
        <s v="Independent Bank Corporation"/>
        <s v="Capri Holdings Limited"/>
        <s v="Integris Health Inc."/>
        <s v="Cone Health"/>
        <s v="Atlas Holdings, LLC"/>
        <s v="QUANTERIX Corp."/>
        <s v="UC Health."/>
        <s v="Ochsner Health System"/>
        <s v="THE NEW YORK TIMES COMPANY"/>
        <s v="Grupo Bal, S.A. de C.V."/>
        <s v="SONENDO Inc."/>
        <s v="Hyster-Yale Materials Handling Inc."/>
        <s v="TAIWAN SEMICONDUCTOR MANUFACTURING COMPANY LTD."/>
        <s v="Imperial Investments Group &amp; Evolution Hotels"/>
        <s v="Promo Melga Sl"/>
        <s v="Grupo P.D.C., Sociedad Anonima"/>
        <s v="Crestview Advisors, L.L.C."/>
        <s v="Workday Inc"/>
        <s v="Zagg Inc."/>
        <s v="Grupo Lala, S.A.B. de C.V."/>
        <s v="Blue Apron, LLC"/>
        <s v="Temple University Health System"/>
        <s v="El Pollo Loco Holdings Inc"/>
        <s v="TECHTRONIC INDUSTRIES COMPANY LIMITED"/>
        <s v="Halo Top International LLC"/>
        <s v="King's Hawaiian Holding Company Inc."/>
        <s v="Klein Tools, Inc."/>
        <s v="Saint Joseph's University"/>
        <s v="Fluor Corporation"/>
        <s v="International Rescue Committee Inc."/>
        <s v="Haier US Appliance Solutions Inc."/>
        <s v="Allina Health System"/>
        <s v="Chubb Limited"/>
        <s v="General Mills Inc."/>
        <s v="WATTS WATER TECHNOLOGIES, INC."/>
        <s v="Tampa Bay Banking Company"/>
        <s v="SK Blue Holdings, LP"/>
        <s v="Valley Health"/>
        <s v="Alteryx Inc."/>
        <s v="Pivot Bio Inc."/>
        <s v="Everseen Limited"/>
        <s v="Norfolk Southern Corporation"/>
        <s v="Fairview Health Services"/>
        <s v="Simply Business Holdings Ltd."/>
        <s v="S&amp;T Bancorp, Inc."/>
        <s v="Booz Allen Hamilton Holding Corporation"/>
        <s v="WhaleClear, Inc."/>
        <s v="KELLER WILLIAMS"/>
        <s v="Piedmont Healthcare Inc."/>
        <s v="Njoy LLC"/>
        <s v="AGACHE"/>
        <s v="Berwind Corporation"/>
        <s v="Advisor Group Holdings, Inc."/>
        <s v="Beachbody, LLC."/>
        <s v="TE Connectivity Ltd."/>
        <s v="Footprint International Holdco, Inc."/>
        <s v="Northwestern Medicine"/>
        <s v="Camaraderie Foundation, Inc."/>
        <s v="Medicom Technologies, Inc."/>
        <s v="Institutional Capital Network Inc."/>
        <s v="Epirus Inc."/>
        <s v="The Ronin Project Inc"/>
        <s v="Fomento Económico Mexicano, S.A.B. de C.V (FEMSA)"/>
        <s v="Cemex, S.A.B. de C.V."/>
        <s v="Bark, Inc."/>
        <s v="Ferro Kevin"/>
        <s v="Triumph Group, Inc."/>
        <s v="ECP Management LP"/>
        <s v="Chemocentryx Inc."/>
        <s v="Springworks Therapeutics Inc."/>
        <s v="Wawa INC."/>
        <s v="OLD DOMINION UNIVERSITY RESEARCH FOUNDATION"/>
        <s v="Locke Lord LLP"/>
        <s v="VONTIER Corp."/>
        <s v="Hain Celestial Jersey Limited"/>
        <s v="New England Joint Enterprise"/>
        <s v="H&amp;R Block Inc."/>
        <s v="Noble Investment Group, LLC"/>
        <s v="Panda Restaurant Group Inc."/>
        <s v="The University Of Chicago"/>
        <s v="Eastern Bank Corporation"/>
        <s v="Planned Parenthood Federation Of America Inc."/>
        <s v="Pigeon Corporation"/>
        <s v="CENTER FOR POLICING EQUITY"/>
        <s v="SUMITOMO MITSUI FINANCIAL GROUP,INC."/>
        <s v="Sammons Enterprises Inc. Employee Stock Ownership Trust"/>
        <s v="Atropos LLC"/>
        <s v="Granjas Carroll de México, S. de R.L. de C.V."/>
        <s v="Sentara Healthcare"/>
        <s v="Arcline Investment Management LP"/>
        <s v="British American Tobacco P.L.C."/>
        <s v="Gobrands Inc."/>
        <s v="Rakuten Group, Inc."/>
        <s v="Illinois Tool Works Inc."/>
        <s v="Marqeta Inc"/>
        <s v="SC Johnson &amp; Son, Inc"/>
        <s v="The Western Union Company"/>
        <s v="A O Smith Corporation"/>
        <s v="Baptist Health South Florida"/>
        <s v="McLeod Regional Medical Center of The Pee Dee, Inc."/>
        <s v="Johnson Financial Group Inc."/>
        <s v="SRC Inc"/>
        <s v="Grupo Alen S.A. de C.V."/>
        <s v="Avnet, Inc."/>
        <s v="Samsara Inc."/>
        <s v="Westfield Insurance Company Inc."/>
        <s v="Summit Partners L.P"/>
        <s v="Siemens Aktiengesellschaft"/>
        <s v="Webster Financial Corporation"/>
        <s v="United Therapeutics Corporation"/>
        <s v="Meridian Bioscience, Inc."/>
        <s v="Brighthouse Financial Inc."/>
        <s v="Globe Life Inc."/>
        <s v="Abarta Inc."/>
        <s v="Kilpatrick Townsend &amp; Stockton LLP"/>
        <s v="Follett Corporation"/>
        <s v="Aterian Investment Partners Ii, Lp"/>
        <s v="Nutanix Inc."/>
        <s v="TBC Holdings LLC"/>
        <s v="United States Postal Service"/>
        <s v="American Tower Corporation"/>
        <s v="Expedia Group, Inc."/>
        <s v="Western Alliance Bancorporation"/>
        <s v="Geisinger Health"/>
        <s v="TSG Consumer Partners LP"/>
        <s v="Lera Battle Caresource"/>
        <s v="BIOCON LIMITED"/>
        <s v="SocialEyes Corporation"/>
        <s v="China Resources Verlinvest Health Investment Limited"/>
        <s v="Pagny"/>
        <s v="CEX.IO Corp."/>
        <s v="KOTOBUKI REALTY CO.,LTD."/>
        <s v="Mizkan Holdings Co., Ltd."/>
        <s v="Restaurant Brands International Inc."/>
        <s v="Wealth Sanderson Management Llc"/>
        <s v="The Depository Trust &amp; Clearing Corporation"/>
        <s v="Mohawk Valley Health System"/>
        <s v="Carvana Co."/>
        <s v="Vornado Realty Trust"/>
        <s v="Wellmark INC."/>
        <s v="Liberty Media Corporation"/>
        <s v="High-Rise Hotels"/>
        <s v="Kettering Adventist Healthcare"/>
        <s v="George B. Kaiser"/>
        <s v="Phight, LLC"/>
        <s v="Ocean Spray Cranberries Inc."/>
        <s v="Autonation INC."/>
        <s v="The Robert Wood Johnson Foundation"/>
        <s v="Schreiber Foods, Inc. Employee Stock Ownership"/>
        <s v="SmartNews, Inc."/>
        <s v="Mohegan Sun Casino"/>
        <s v="Bed Bath &amp; Beyond Inc."/>
        <s v="Enterprise Products Company"/>
        <s v="Science Applications International Corporation"/>
        <s v="Ginkgo Bioworks"/>
        <s v="Victoria's Secret &amp; Co"/>
        <s v="New Balance Inc."/>
        <s v="Endress+Hauser AG"/>
        <s v="Kirin Holdings Company, Limited"/>
        <s v="Cleary Gottlieb Steen &amp; Hamilton LLP"/>
        <s v="Iridium Communications Inc."/>
        <s v="AstraZeneca Plc"/>
        <s v="Serco Group Plc"/>
        <s v="Wex Inc."/>
        <s v="Northwest Bancshares"/>
        <s v="Evercore Inc"/>
        <s v="Prisma Health"/>
        <s v="SLIPSTREAM GROUP Inc."/>
        <s v="MYLAN N.V."/>
        <s v="Johnson Development Associates, Inc."/>
        <s v="Teva Pharmaceutical Industries Ltd"/>
        <s v="Blue Cross Blue Shield Tennessee"/>
        <s v="IMMUNITYBIO Inc."/>
        <s v="Seaboard Corporation"/>
        <s v="Liberty Bank"/>
        <s v="National Railway Labor Conference"/>
        <s v="Vidant Health"/>
        <s v="Quipt Home Medical Corp"/>
        <s v="Reliable Medical Supply Inc"/>
        <s v="Beth Israel Lahey Health Inc."/>
        <s v="Supercare Inc"/>
        <s v="Linde Public Limited Company"/>
        <s v="Grange Insurance Company"/>
        <s v="NXP Semiconductors N.V."/>
        <s v="AdaptHealth Corp."/>
        <s v="Johnson Controls International Public Limited Company"/>
        <s v="Northwest Natural Holding Company"/>
        <s v="Cintas Corporation"/>
        <s v="Spirent Communications Plc"/>
        <s v="Mutual of Omaha Insurance Company"/>
        <s v="Hunterdon Healthcare System Inc."/>
        <s v="Hilton Worldwide Holdings, Inc."/>
        <s v="Zhuhai Hengxinfengye Technology Co. Ltd"/>
        <s v="Grupo Coppel, S.A. de C.V."/>
        <s v="Shionogi &amp; Co., Ltd."/>
        <s v="Children's Hospitals&amp;clinics Of Minnesota"/>
        <s v="Leland Stanford Junior University"/>
        <s v="PricewaterhouseCoopers LLC"/>
        <s v="Eastern Maine Healthcare Systems"/>
        <s v="Capital Digestive Care Llc"/>
        <s v="Automobile Club Of So. California"/>
        <s v="Shutts &amp; Bowen Llp"/>
        <s v="Essentia Health"/>
        <s v="Curia Global, Inc."/>
        <s v="Genuine Parts Company"/>
        <s v="ARKEMA"/>
        <s v="Goodwin Procter LLP"/>
        <s v="Candor Technology Inc."/>
        <s v="Webasto Beteiligungs Verwaltung Gbr"/>
        <s v="Aep Holdings, Inc."/>
        <s v="Braze Inc."/>
        <s v="Indigo Agriculture Inc."/>
        <s v="Affimed N.V. Niederlassung Deutschland"/>
        <s v="SLM Corporation (Sallie Mae)"/>
        <s v="Erie Indemnity Co"/>
        <s v="CNX Resources Corp"/>
        <s v="Lockton Inc."/>
        <s v="The Home Depot México, S. de R.L. de C.V."/>
        <s v="The Irvine Company"/>
        <s v="Lifespan Corporation"/>
        <s v="Giant Eagle INC."/>
        <s v="Azz Inc."/>
        <s v="Arrow Electronics, Inc."/>
        <s v="Lennox International INC."/>
        <s v="No Duns Code In D&amp;b Database"/>
        <s v="Beaumont Health"/>
        <s v="Canon Inc."/>
        <s v="Elara HoldingsL.L.C."/>
        <s v="Alaska Air Group Inc."/>
        <s v="Lehigh Valley Health Network, Inc."/>
        <s v="Coca-Cola Bottlers' Sales &amp; Services Company LLC"/>
        <s v="PHELPS DODGE FOUNDATION."/>
        <s v="PwC Germany"/>
        <s v="Exelixis Inc."/>
        <s v="First Midwest Bancorp INC."/>
        <s v="Rollins Inc."/>
        <s v="Leon Medical Centers"/>
        <s v="Tony's Factory B.V."/>
        <s v="Jackson Financial Inc."/>
        <s v="Spirit Airlines Inc."/>
        <s v="Springfield Memorial Hospital"/>
        <s v="Parker-Hannifin Corporation"/>
        <s v="Legend Biotec, Corp."/>
        <s v="PROVIDENT FINANCIAL SERVICES Inc."/>
        <s v="LivaNova Plc"/>
        <s v="SoftBank Group Corp."/>
        <s v="InnVest Hotels LP"/>
        <s v="Baupost Group GP, LLC"/>
        <s v="Dicerna Pharmaceuticals Inc."/>
        <s v="Teleo Capital Management LLC"/>
        <s v="Perforce Software Holdings, Inc"/>
        <s v="Exelon Corporation"/>
        <s v="State Of California"/>
        <s v="Five Guys Holdings LLC"/>
        <s v="Jackson Health System"/>
        <s v="Warby Parker Inc."/>
        <s v="Heineken Holding N.V."/>
        <s v="PennyMac Financial Services, Inc."/>
        <s v="St Jude Childrens Research Hospital"/>
        <s v="Micro Focus International PLC"/>
        <s v="Pennsylvania National Mutual Casualty Insurance Company"/>
        <s v="PwC Spain"/>
        <s v="Kimball International, Inc."/>
        <s v="United Mine Workers Of America"/>
        <s v="Stone Point Capital LLC"/>
        <s v="Orasure Technologies Inc."/>
        <s v="Ramsbury Invest AB"/>
        <s v="MIZUHO FINANCIAL GROUP, INC."/>
        <s v="Honorhealth"/>
        <s v="Mike Sinyard"/>
        <s v="09 Solutions, Inc"/>
        <s v="Waggener Edstrom Worldwide, Inc."/>
        <s v="W Minneapolis OpCp VII LLC"/>
        <s v="Laboratorios Pisa, S.A. de C.V."/>
        <s v="Stephen Gould Paper Co."/>
        <s v="Crr Holdings, Llc"/>
        <s v="The Progressive Corporation"/>
        <s v="New Residential Investment Corp."/>
        <s v="BALTIMORE HOTEL Corp."/>
        <s v="Mirion Technologies Inc."/>
        <s v="Resolution Life Group Holdings Ltd"/>
        <s v="Hershey Trust Company"/>
        <s v="JBG Smith Properties"/>
        <s v="Third Rock Ventures"/>
        <s v="Advent International Corporation"/>
        <s v="Toll Brothers"/>
        <s v="August A White Institute for Healthcare Equality Inc"/>
        <s v="Grupo Proeza, S.A.P.I. de C.V."/>
        <s v="Shine Time Management, LLC"/>
        <s v="Archroma Holdings S.a.r.l"/>
        <s v="Angelo, Gordon &amp; Co., L.P."/>
        <s v="CORCORAN JENNISON HOSPITALITY LLC"/>
        <s v="Amsted Industries Inc."/>
        <s v="UNIBAIL RODAMCO WESTFIELD SE"/>
        <s v="Radnet Inc."/>
        <s v="Groom Law Group Chartered"/>
        <s v="Prima Mortgage Investment Trust, Llc"/>
        <s v="Simpson Thacher &amp; Bartlett LLP"/>
        <s v="THATGAMECOMPANY Inc."/>
        <s v="DCC Public Limited Company"/>
        <s v="Cape Fear Valley Health Systems"/>
        <s v="American Standard B&amp;K México, S. de R.L. de C.V."/>
        <s v="Northeast Georgia Health System"/>
        <s v="Avenue One Holdings LP"/>
        <s v="Freeman Decorating Co."/>
        <s v="University System Of Georgia"/>
        <s v="Ascot Group Limited"/>
        <s v="Cruise Llc"/>
        <s v="Nutrien Ltd."/>
        <s v="Cameron Enterprises A Limited Partnership"/>
        <s v="Tanium Inc."/>
        <s v="Markus-Stiftung (Aldi-Nord)"/>
        <s v="Veritone Inc."/>
        <s v="AISIN CORPORATION"/>
        <s v="Bridger Aerospace LLC"/>
        <s v="Luminar Technologies, Inc."/>
        <s v="Christiana Care Health System INC."/>
        <s v="Children'S Health System Of Texas"/>
        <s v="GALEN MEDICAL GROUP, P.C."/>
        <s v="Scopely Inc."/>
        <s v="The Clorox Company"/>
        <s v="HOPCo Group Holdings LP"/>
        <s v="Payward, Inc."/>
        <s v="Bath &amp; Body Works, Inc."/>
        <s v="KOBE STEEL, LTD."/>
        <s v="Okta, Inc."/>
        <s v="Dreambox Learning, Inc."/>
        <s v="Marsh &amp; McLennan Companies, Inc."/>
        <s v="Altaris Capital Partners LLC."/>
        <s v="Hay Island Holding Corporation"/>
        <s v="curology Inc."/>
        <s v="Peacehealth"/>
        <s v="DIGITAL REALTY TRUST, INC."/>
        <s v="VETERINARY EMERGENCY GROUP P.C."/>
        <s v="Farmers Insurance Exchange"/>
        <s v="Crocs Inc."/>
        <s v="Stride, Inc"/>
        <s v="Blue Cross Blue Shield Vermont"/>
        <s v="Platinum Equity, LLC"/>
        <s v="Secretaría de Turismo"/>
        <s v="Permira Holdings Limited"/>
        <s v="Mitsui Fudosan Co., Ltd."/>
        <s v="Torquest Partners Inc."/>
        <s v="International Business Machines Corporation"/>
        <s v="Millennium Hotel"/>
        <s v="Altos  Labs, Inc."/>
        <s v="University Of Utah Hospitals And Clinics"/>
        <s v="Airline Pilots Association International"/>
        <s v="VillageMD"/>
        <s v="Aeye, INC"/>
        <s v="Access Industries, Inc."/>
        <s v="VIRGIN GROUP HOLDINGS LIMITED"/>
        <s v="Aspirus Inc."/>
        <s v="Robins Kaplan LLP"/>
        <s v="CF Industries Inc."/>
        <s v="Sun Chemical Corporation"/>
        <s v="Air Products &amp; Chemicals Inc."/>
        <s v="State Of Alabama"/>
        <s v="Employers Mutual Casualty Company"/>
        <s v="Vizio Holding Corp"/>
        <s v="Stericycle INC."/>
        <s v="HBSE Holdco LP"/>
        <s v="Hershey Entertainment &amp; Resorts Company"/>
        <s v="Stormont-Vail Health Care Inc."/>
        <s v="Amentum Holdings Llc"/>
        <s v="Super Kiosko, S.A. de C.V."/>
        <s v="National Rural Electric Cooperative"/>
        <s v="W. P. Carey Inc"/>
        <s v="The Silver Hotel Group Ruparell Foundation"/>
        <s v="FMR LLC"/>
        <s v="MH Hotels (Meadowvale) Ltd."/>
        <s v="INTEGRATED CAPITAL LLC"/>
        <s v="Wakemed"/>
        <s v="Grupo Jumex, S.A. de C.V."/>
        <s v="Atwell LLC"/>
        <s v="Novartis AG"/>
        <s v="Ancala Bioenergy Holdco Limited"/>
        <s v="Wellington Management Group LLP"/>
        <s v="SANOFI"/>
        <s v="Garland Industries INC."/>
        <s v="Brunswick Corporation"/>
        <s v="RPM International"/>
        <s v="Snap-On Incorporated"/>
        <s v="Revelstoke Capital Partners LLC"/>
        <s v="Peter G Angelos Revocable Trust"/>
        <s v="Pm Pediatrics Management Group LLC"/>
        <s v="BJC HealthCare"/>
        <s v="Jones Day Limited Partnership"/>
        <s v="Ideal Integrations LLC"/>
        <s v="Ascension Healthcare PLC"/>
        <s v="AMN Healthcare Services, Inc."/>
        <s v="American Physiological Society"/>
        <s v="Wilsquare Capital LLC"/>
        <s v="Harbour Group Industries Inc."/>
        <s v="Barack Ferrazzano Kirschbaum &amp; Nagelberg LLP"/>
        <s v="Cornell University"/>
        <s v="Ulteig Engineers Inc."/>
        <s v="MITSUBISHI CHEMICAL HOLDINGS CORPORATION"/>
        <s v="Rush Health Systems Inc."/>
        <s v="Mimecast UK Limited"/>
        <s v="Church &amp; Dwight Co., Inc."/>
        <s v="Hannon Armstrong Sustainable Infrastructure Capital, Inc."/>
        <s v="The Queen's Health Systems"/>
        <s v="Dairy Farmers Of America Inc."/>
        <s v="Johnsonville Sausage LLC"/>
        <s v="CRWS, Inc. and Subsidiaries"/>
        <s v="Indiana Farm Bureau Insurance"/>
        <s v="Ashford Hospitality Trust Inc."/>
        <s v="Banner &amp; Witcoff"/>
        <s v="IAT Insurance Group Inc."/>
        <s v="Reckitt Benckiser Group PLC"/>
        <s v="Starwood Capital Group, L.L.C."/>
        <s v="The Jordan Company LP"/>
        <s v="Treehouse Foods Inc."/>
        <s v="Vorwerk Verwaltung SE"/>
        <s v="Shiseido Company, Limited"/>
        <s v="Heartland Food Products Group"/>
        <s v="Clark Enterprises Inc."/>
        <s v="Kainos Capital LLC"/>
        <s v="Black Rifle Coffee Company"/>
        <s v="All Market Inc."/>
        <s v="Tmx Group Inc."/>
        <s v="CME Group Inc."/>
        <s v="Indiana Farmers Mutual Insurance Company"/>
        <s v="Sony Group Corporation"/>
        <s v="CapVest Partners LLP"/>
        <s v="Brown Rudnick Llp"/>
        <s v="Plantronics, Inc."/>
        <s v="AEA Investors LP"/>
        <s v="The Nature Conservancy"/>
        <s v="Alleghany Corporation"/>
        <s v="Capital Blue Cross"/>
        <s v="CCMP Capital GP, LLC"/>
        <s v="Ocwen Financial Corporation"/>
        <s v="SLR Global Lux S.à r.l."/>
        <s v="Inception Fertility Holdings LLC"/>
        <s v="The Northern Trust Company"/>
        <s v="Citizens Financial Corp."/>
        <s v="Farmers Mutual Insurance Company"/>
        <s v="Wingstop Inc"/>
        <s v="Genworth Financial Inc."/>
        <s v="Selendy &amp; Gay PLLC."/>
        <s v="UPSTART HOLDINGS Inc."/>
        <s v="Skidmore Owings &amp; Merrill Llp"/>
        <s v="Coursera, Inc."/>
        <s v="VA Capital Company LLC"/>
        <s v="Renown Health"/>
        <s v="Ugi Corporation"/>
        <s v="Asante Health System"/>
        <s v="EOG Resources, Inc."/>
        <s v="ASTELLAS PHARMA AUSTRALIA PTY LTD"/>
        <s v="Eleox LLC"/>
        <s v="Akerman LLP"/>
        <s v="Munson Healthcare"/>
        <s v="Lilac Services Ltd."/>
        <s v="Alico Services Corp."/>
        <s v="1st Source Corporation"/>
        <s v="Flagstar Bancorp Inc."/>
        <s v="OTTO BREMER FOUNDATION"/>
        <s v="YOUNG CORPORATION"/>
        <s v="Equifax Inc."/>
        <s v="Twitter Inc."/>
        <s v="Chiesa Shahinian &amp; Giantomasi PC"/>
        <s v="Covington &amp; Burling LLP"/>
        <s v="Legal &amp; General Group Plc"/>
        <s v="Yale New Haven Health System"/>
        <s v="Forward Air Corporation"/>
        <s v="OrangeDot, Inc."/>
        <s v="iManage LLC"/>
        <s v="Griffin Health Services Corporation"/>
        <s v="HOSP BOARD OF DIRS OF LEE CNTY D/B/A LEE MEMORIAL HLTH SYS"/>
        <s v="University Of Wisconsin Medical Foundati"/>
        <s v="Covid Blue Health, Inc."/>
        <s v="Trillium Health Resources"/>
        <s v="Secretaría de Comunicaciones y Transportes"/>
        <s v="Jabil Inc."/>
        <s v="Wec Energy Group, Inc."/>
        <s v="Fever Labs, Inc."/>
        <s v="Becle, S.A.B. de C.V."/>
        <s v="Ballard Spahr LLP"/>
        <s v="United Talent Agency LLC"/>
        <s v="Fair Isaac Corporation"/>
        <s v="Hilite Industries Inc."/>
        <s v="American Chemical Society"/>
        <s v="Invercer Sa"/>
        <s v="Providence Equity Partners Inc."/>
        <s v="Fisher Brothers Financial And Development Company L.p."/>
        <s v="NMG Parent LLC"/>
        <s v="Centessa Pharmaceuticals plc"/>
        <s v="Rrh Corporation"/>
        <s v="Alphaeon Corporation"/>
        <s v="Hines Interests Limited Partnership"/>
        <s v="NEXSTAR MEDIA GROUP, INC."/>
        <s v="San Jose Hilton"/>
        <s v="SOCIETE BIC"/>
        <s v="Heafey Group (florida) Inc."/>
        <s v="Ecd Company Inc"/>
        <s v="Chico's FAS, Inc."/>
        <s v="DEVELOP MOBILIER INDUSTRIEL"/>
        <s v="The Crawford Group Inc"/>
        <s v="Sheppard Mullin Richter &amp; Hampton"/>
        <s v="Udemy, Inc."/>
        <s v="REGARDS"/>
        <s v="NATIONAL DISTRIBUTING COMPANY, Inc."/>
        <s v="Otsuka Holdings Co., Ltd."/>
        <s v="International Monetary Fund"/>
        <s v="PAI PARTNERS"/>
        <s v="Kynetic LLC."/>
        <s v="Anton Rupert Trust"/>
        <s v="China General Nuclear Power Corporation"/>
        <s v="Century Aluminum Company"/>
        <s v="Rook Holdings, LLC"/>
        <s v="Blanco Rio Ltd."/>
        <s v="MERIDEN LODGING ASSOCIATES LLC"/>
        <s v="Bain Capital Holdings, LP"/>
        <s v="CDH Fund V, L.P."/>
        <s v="Peloton Interactive, Inc."/>
        <s v="Aea International Holdings Pte. Ltd."/>
        <s v="Cerberus Capital Management LP"/>
        <s v="Mount Nittany Health System"/>
        <s v="Alliance Resource Partners, LP"/>
        <s v="Esperion Therapeutics, Inc"/>
        <s v="Avanos Medical, Inc."/>
        <s v="Starwood Property Trust Inc."/>
        <s v="XPO Logistics, Inc."/>
        <s v="Bates White LLC"/>
        <s v="Palomar Holdings Inc"/>
        <s v="AH Capital Management LLC."/>
        <s v="MercadoLibre Inc."/>
        <s v="Ogden Cap Properties LLC."/>
        <s v="Dentsu Group Inc."/>
        <s v="Anta Investment Ltd."/>
        <s v="National Operators Insurance Team"/>
        <s v="Xenia Hotels &amp; Resorts, Inc."/>
        <s v="M&amp;T Bank Corporation"/>
        <s v="Grupo Valoran S.A. de C.V."/>
        <s v="Impossible Foods Inc."/>
        <s v="Interstate Batteries Inc."/>
        <s v="Bronson Healthcare Group INC."/>
        <s v="Sakata Inx Corporation"/>
        <s v="Bill &amp; Melinda Gates Foundation"/>
        <s v="Remington Hotel Corporation"/>
        <s v="Fila Holdings Co.,Ltd."/>
        <s v="NECCO HOLDING COMPANY I, INC."/>
        <s v="Advance Publications Inc."/>
        <s v="SINGING RIVER HEALTH SYSTEM FOUNDATION"/>
        <s v="DEUTSCHE BANK AKTIENGESELLSCHAFT"/>
        <s v="Phil, Inc."/>
        <s v="Playa Hotels &amp; Resorts N.V."/>
        <s v="Hinshaw &amp; Culbertson Llp"/>
        <s v="Methodist Health System"/>
        <s v="The University Of Kansas Hospital Authority"/>
        <s v="SEA TO SUMMIT PTY LTD"/>
        <s v="Firsthealth Of The Carolinas, Inc."/>
        <s v="Vizsense Inc."/>
        <s v="SentinelOne, Inc."/>
        <s v="YAGEO Corporation"/>
        <s v="Shake Shack Inc."/>
        <s v="RLI Corp."/>
        <s v="Cheyenne Regional Medical Center"/>
        <s v="Uniphore Technologies Inc."/>
        <s v="Adolfson &amp; Peterson INC."/>
        <s v="Ceo Works LLC"/>
        <s v="Spire Services Inc."/>
        <s v="Trinet Group Inc"/>
        <s v="Broadridge Financial Solutions, Inc."/>
        <s v="LHC Group, Inc."/>
        <s v="The Queens Borough Public Library"/>
        <s v="Carmax Inc."/>
        <s v="Guidewell Mutual Holding Corp."/>
        <s v="Neovasc Inc."/>
        <s v="PNM Resources"/>
        <s v="IIF US Holding 2 LP"/>
        <s v="National Minority Supplier Development Council, Inc."/>
        <s v="National Oilwell Varco Inc."/>
        <s v="Selective Insurance Group Inc."/>
        <s v="Eaton Vance Corp."/>
        <s v="Snyk Limited"/>
        <s v="Caisse de dépôt et placement du Québec"/>
        <s v="Nautic Partners LLC."/>
        <s v="Blue Cross Blue Shield Nebraska"/>
        <s v="Pangeo Holdings LLC"/>
        <s v="Arxada Services AG"/>
        <s v="Peninsula Capital Partners LLC."/>
        <s v="NU PAGAMENTOS S.A. - INSTITUICAO DE PAGAMENTO"/>
        <s v="Advanced Energy Industries, Inc."/>
        <s v="Incyte Corporation"/>
        <s v="Hillside Children's Center"/>
        <s v="Blue Cross and Blue Shield of Arizona, Inc."/>
        <s v="Premera Blue Cross"/>
        <s v="Pearson PLC"/>
        <s v="Ascom Holding AG"/>
        <s v="Beaver Dam Health Care Center"/>
        <s v="Northshore University Healthsystem"/>
        <s v="Astronics Corporation"/>
        <s v="Montefiore Medical Center"/>
        <s v="Megacable Holdings, S.A.B. de C.V."/>
        <s v="New York Presbyterian Hospital"/>
        <s v="Workit Health, Inc."/>
        <s v="MMS Grp."/>
        <s v="Maximus, Inc."/>
        <s v="Pacifica Companies LLC."/>
        <s v="Entrust Corporation"/>
        <s v="Peter Condakes Company Inc."/>
        <s v="Swbc"/>
        <s v="Fti Consulting, Inc"/>
        <s v="Select Interior Concepts Inc."/>
        <s v="ACERINOX, S.A."/>
        <s v="Theravance Biopharma Inc."/>
        <s v="Unnico Consulting &amp; Investments LLC"/>
        <s v="TNT Crust LLC"/>
        <s v="Paul Mueller Company"/>
        <s v="Robinson &amp; Diss Pc"/>
        <s v="American Jewish Congress"/>
        <s v="Fabric Inc."/>
        <s v="Houlihan Lokey, Inc."/>
        <s v="H. Lee Moffitt Cancer Center &amp; Research Institute"/>
        <s v="Cook Children's Health Care System"/>
        <s v="Dole Food Company Inc."/>
        <s v="Oaktree Capital Group Holdings Gp LLC"/>
        <s v="West Monroe Partners, LLC"/>
        <s v="District of Columbia Bar"/>
        <s v="Board Of Governors Of The Federal Reserve System"/>
        <s v="POTEAT HOSPITALITY ASSOCIATES LLC"/>
        <s v="Hedding Hotels LLC"/>
        <s v="Charlotte Pipe &amp; Foundry Company"/>
        <s v="Sun Life Financial Inc."/>
        <s v="OPTIMA BIDCO (JERSEY) LIMITED"/>
        <s v="AGILE DYNAMICS PTE. Ltd."/>
        <s v="Winthrop-University Hospital INC."/>
        <s v="O. E. M. OF CONNECTICUT Inc."/>
        <s v="Covetrus, Inc."/>
        <s v="Fiskars Oyj Abp"/>
        <s v="Euro-Pro Holdco, Llc"/>
        <s v="Discgenics Inc."/>
        <s v="Deluxe Corporation"/>
        <s v="Albany International Corporation"/>
        <s v="TTX Company"/>
        <s v="Windstream Holdings II, LLC"/>
        <s v="Light &amp; Wonder, Inc."/>
        <s v="Nextdoor Holdings Inc."/>
        <s v="DATAART ENTERPRISES, INC."/>
        <s v="AMERITEL INNS Inc."/>
        <s v="Eskenazi Health"/>
        <s v="Commonwealth Of Virginia"/>
        <s v="North Broward Hospital District"/>
        <s v="Rising Sun Hotels of Nj LLC"/>
        <s v="G4A Trust"/>
        <s v="Leaselock Inc."/>
        <s v="Festo Beteiligungen GmbH &amp; Co. KG"/>
        <s v="Braidwell Management Company LP"/>
        <s v="Stony Brook University Hospital."/>
        <s v="Vwh Capital Management LP"/>
        <s v="Franciscan Alliance Inc."/>
        <s v="Venture Global Partners LLC"/>
        <s v="GE Aviation"/>
        <s v="Mount Sinai Medical Center of Florida Inc. &amp; Miami Heart Institute"/>
        <s v="Starbucks Corporation"/>
        <s v="Instant Brands Inc."/>
        <s v="Takeda Pharmaceuticals"/>
        <s v="BASF SE"/>
        <s v="Lion Capital LLP"/>
        <s v="American Chemistry Council INC."/>
        <s v="Armstrong World Industries"/>
        <s v="Cop Holdco Aps"/>
        <s v="STELLAR HEALTH GROUP INC. THE"/>
        <s v="Crane Carrier Holdings, Llc"/>
        <s v="Drexel University"/>
        <s v="Align Technology, Inc."/>
        <s v="Buckman Laboratories International, Inc."/>
        <s v="Markforged Holding Corporation"/>
        <s v="Insperity Inc."/>
        <s v="OKCOIN USA INC."/>
        <s v="American International Group Inc."/>
        <s v="Gibson Dunn &amp; Crutcher Llp"/>
        <s v="Kyndryl Holdings, Inc."/>
        <s v="EV Private Equity V AS"/>
        <s v="Einhorn Verwaltungsgesellschaft mbH"/>
        <s v="Federal Reserve Bank of Minneapolis"/>
        <s v="STEMCELL Holdings Inc."/>
        <s v="Avaya Holdings Corp."/>
        <s v="BPCE"/>
        <s v="Wescott Financial Advisory Group Llc"/>
        <s v="Saudi Arabian Oil Company"/>
        <s v="Dupont Industries Inc"/>
        <s v="H.I.G. Capital, Inc"/>
        <s v="CVC Nominees Ltd"/>
        <s v="Springfield Clinic Llp"/>
        <s v="LAL Family Corporation"/>
        <s v="The Havi Group Lp"/>
        <s v="Altium Limited"/>
        <s v="Appnovation USA Inc."/>
        <s v="HRSoft USA, Inc."/>
        <s v="Gamut Capital Management L.P."/>
        <s v="Kongsberg Automotive Asa"/>
        <s v="Farmers &amp; Merchants Investment Inc."/>
        <s v="Regeneron Pharmaceuticals Inc."/>
        <s v="2U, INC."/>
        <s v="Pro Mach Group, Inc"/>
        <s v="Factspan Inc"/>
        <s v="Washington University"/>
        <s v="Allianz SE"/>
        <s v="GRENERGY S.A."/>
        <s v="Centerbridge Partners Holdings LLC"/>
        <s v="Sharp Packaging Services, Llc"/>
        <s v="Us Xpress Enterprises INC."/>
        <s v="Wayne State University Physican Group"/>
        <s v="Ribbon Communications, Inc."/>
        <s v="Mymichigan Health"/>
        <s v="ALKERMES PUBLIC LIMITED COMPANY"/>
        <s v="Prudential Financial Inc."/>
        <s v="Sekisui Diagnostics LLC"/>
        <s v="Poly USA"/>
        <s v="Nebraska Medicine"/>
        <s v="Grady Memorial Hospital"/>
        <s v="BorgWarner Inc."/>
        <s v="Agilent Technologies, Inc."/>
        <s v="PNC Financial Services Group, Inc."/>
        <s v="Draftkings Inc"/>
        <s v="BG LLH, LLC"/>
        <s v="Perrigo Company plc"/>
        <s v="Barry Callebaut AG"/>
        <s v="Kinder Morgan Inc."/>
        <s v="Gibraltar Industries Inc."/>
        <s v="One Gas Inc."/>
        <s v="Somatus Inc."/>
        <s v="QINETIQ INC."/>
        <s v="Cerence Inc."/>
        <s v="Alvarez &amp; Marsal Corporate Performance Improvement LLC"/>
        <s v="Centracare Health System"/>
        <s v="Atlas Air Worldwide Holdings Inc."/>
        <s v="Westerra Credit Union"/>
        <s v="Arkansas Children's Hospital"/>
        <s v="State Of Texas"/>
        <s v="Medifast Inc."/>
        <s v="Verisk Analytics Inc."/>
        <s v="Amdocs LTD."/>
        <s v="MEDAVIE INC."/>
        <s v="Supportninja"/>
        <s v="United Nations"/>
        <s v="INTER PARFUMS Inc."/>
        <s v="Cohesity Inc."/>
        <s v="Nsf International"/>
        <s v="TE Connectivity"/>
        <s v="The Academy Group, Inc."/>
        <s v="Adaptive Biotechnologies Corporation"/>
        <s v="ARETE ADVISORS, LLC"/>
        <s v="Merck &amp; Co. Inc"/>
        <s v="Dqe Holdings LLC"/>
        <s v="Prime Therapeutics LLC"/>
        <s v="Alcon AG"/>
        <s v="Onex Corporation"/>
        <s v="Fgi Worldwide Holdings Llc"/>
        <s v="Crane Co."/>
        <s v="Center For Creative Leadership"/>
        <s v="Fred Hutchinson Cancer Research Center"/>
        <s v="Bio-RAD Laboratories, Inc."/>
        <s v="South Jersey Industries, Inc"/>
        <s v="Edward Jones"/>
        <s v="Bryan Health"/>
        <s v="Ilitch Holdings Inc."/>
        <s v="Premier Inc."/>
        <s v="Baylor Scott &amp; White Holdings"/>
        <s v="ALZHEIMER'S DISEASE AND RELATED DISORDERS ASSOCIATION INC."/>
        <s v="LBell HR Consulting LLC"/>
        <s v="Lake Trust Credit Union"/>
        <s v="Figure Technologies Inc."/>
        <s v="Captario Ab"/>
        <s v="Duke University"/>
        <s v="Public Consulting Group Inc."/>
        <s v="Databricks"/>
        <s v="HTT, INC."/>
        <s v="Outset Medical, Inc"/>
        <s v="Quest Diagnostics Incorporated"/>
        <s v="Ralph Lauren Corporation"/>
        <s v="Caleres"/>
        <s v="U.S. Venture, Inc."/>
        <s v="Hamilton Company"/>
        <s v="Henry M. Jackson Foundation for the Advancement of Military Medicine"/>
        <s v="Microland Limited"/>
        <s v="Mainehealth Services"/>
        <s v="Scotia Investments Limited"/>
        <s v="University Of Vermont Health Network, The"/>
        <s v="Emergent BioSolutions Inc."/>
        <s v="Enable Midstream Partners Lp"/>
        <s v="The Timken Company"/>
        <s v="Snowflake Inc."/>
        <s v="Emerson Health Systems Inc."/>
        <s v="Aledade, Inc."/>
        <s v="Sumeru Equity Partners L.P."/>
        <s v="Alticor Global Holdings INC."/>
        <s v="JPMorgan Chase &amp; Co."/>
        <s v="Peopleconnect, Inc."/>
        <s v="CNM LLP"/>
        <s v="Genstar Capital IX, L.P."/>
        <s v="Singapore National Employers Federation"/>
        <s v="Great Minds"/>
        <s v="G&amp;W Electric Company"/>
        <s v="Dome Construction Corporation"/>
        <s v="Biohaven Pharmaceutical Holding CompanyLtd."/>
        <s v="Bechtel Group Inc."/>
        <s v="Seagen Inc."/>
        <s v="Royal Bank of Canada"/>
        <s v="Axon Enterprise, Inc."/>
        <s v="Aspen Network of Development Entrepreneurs"/>
        <s v="Centra Health INC."/>
        <s v="Children's Hospital Of Philadelphia"/>
        <s v="Greystar Real Estate Partners LLC."/>
        <s v="Personalized Beauty Discovery Inc."/>
        <s v="Wilson Oil, Inc."/>
        <s v="Coinbase Global Inc."/>
        <s v="EMPRESAS JUAN YARUR SPA"/>
        <s v="Herbalife Nutrition Ltd."/>
        <s v="Federal Agricultural Mortgage Corp."/>
        <s v="Envista Holdings Corporation"/>
        <s v="SOCIETE NATIONALE SNCF"/>
        <s v="ELECTRICITE DE FRANCE"/>
        <s v="Paychex Inc."/>
        <s v="ACCO Brands Corporation"/>
        <s v="Sobi Inc."/>
        <s v="New Jersey Manufacturers Insurance Group"/>
        <s v="PTTGC America LLC."/>
        <s v="Pamplona Investment Partners I, LP"/>
        <s v="T Rowe Price Group Inc"/>
        <s v="Barge Design Solutions, Inc."/>
        <s v="Truist Financial Corp."/>
        <s v="Insight Holdings Group, LLC"/>
        <s v="Firm of John Dickinson Schneider Inc., The"/>
        <s v="Grantham Mayo Van Otterloo &amp; Co."/>
        <s v="Howard Hughes Medical Institute"/>
        <s v="Beazer Homes Usa Inc."/>
        <s v="Newyork-Presbyterian Medical Group Hudson Valley"/>
        <s v="New York Methodist Hospital"/>
        <s v="Carle Foundation Hospital"/>
        <s v="Deaconess Health System Inc."/>
        <s v="Gusto, Inc."/>
        <s v="Varde Partners Inc"/>
        <s v="AGP SPV I, L.P"/>
        <s v="County Of Los Angeles"/>
        <s v="PM Hospitality Strategies, Inc."/>
        <s v="SUSI Partners AG"/>
        <s v="T.D. Williamson Inc."/>
        <s v="Madison Dearborn Partners, LLC"/>
        <s v="KBR Inc."/>
        <s v="New Mountain Capital I, L.L.C"/>
        <s v="ABT Associates Inc."/>
        <s v="Elbit Systems Ltd."/>
        <s v="ANALYTICAL MECHANICS ASSOCIATES Inc."/>
        <s v="Mission Support and Test Services LLC"/>
        <s v="Carlson Capital L.P."/>
        <s v="PricewaterhouseCoopers Oy"/>
        <s v="New York University"/>
        <s v="KAP Tanudiredja, Wibisana, Rintis &amp; Rekan"/>
        <s v="City Of Chicago"/>
        <s v="Beck International, LLC"/>
        <s v="The Walbridge Group INC."/>
        <s v="Graham Group Ltd."/>
        <s v="Computación en Acción S.A. de C.V."/>
        <s v="Levain Bakery Inc."/>
        <s v="Altru Health System"/>
        <s v="Sarah Bush Lincoln Health Center"/>
        <s v="PwC Investissements"/>
        <s v="LUMINA HEALTH PARTNERS, LLC"/>
        <s v="DONOR NETWORK OF ARIZONA"/>
        <s v="PROLINK HEALTHCARE, LLC"/>
        <s v="State Of Illinois"/>
        <s v="Unilever PLC"/>
        <s v="Mohawk Industries Inc."/>
        <s v="Land O'lakes Inc."/>
        <s v="Oss Health"/>
        <s v="Ozarks Medical Center"/>
        <s v="Vail Health."/>
        <s v="St. Lawrence Health System, Inc."/>
        <s v="Riverside Medical Center"/>
        <s v="Wyoming Medical Center, Inc."/>
        <s v="GRUPO PANTALEON GUATEMALA"/>
        <s v="Redox Inc."/>
        <s v="MACGREGOR PARTNERS LLC"/>
        <s v="Fiserv"/>
        <s v="HPE Inc."/>
        <s v="Synaptic Software Solutions Llc"/>
        <s v="Zoom Video Communications Inc."/>
        <s v="Mitsui O.S.K. Lines, Ltd."/>
        <s v="NGPL Holdings LLC"/>
        <s v="GLOBALSTAR INC"/>
        <s v="TERRAZERO TECHNOLOGIES INC"/>
        <s v="Onestream Software LLC"/>
        <s v="Rise Health Services, Inc."/>
        <s v="Paypal Holdings Inc."/>
        <s v="MRM Consulting Inc"/>
        <s v="Tides, Inc."/>
        <s v="Wayfair Inc."/>
        <s v="Dish Network Corporation"/>
        <s v="The Wendy's Company"/>
        <s v="Financial Institutions Inc."/>
        <s v="Penumbra Inc."/>
        <s v="TD Bank Financial Group"/>
        <s v="Worley Limited"/>
        <s v="ManTech International Corporation"/>
        <s v="Yext INC."/>
        <s v="Project Scientist"/>
        <s v="Elevate Health"/>
        <s v="Nova Ukraine"/>
        <s v="CareAbout"/>
        <s v="Cresa Global, Inc."/>
        <s v="W.I. Cook Foundation Inc"/>
        <s v="Volunteers For Outdoor Colorado"/>
        <s v="First State Community Bank Inc"/>
        <s v="Fundacion Infantil Ronald Mcdonald, A.C."/>
        <s v="Florence Inc."/>
        <s v="WILDLANDS RESTORATION VOLUNTEERS"/>
        <s v="Careerspring Foundation"/>
        <s v="Silicon Valley Urban Debate League"/>
        <m/>
      </sharedItems>
    </cacheField>
    <cacheField name="Opportunity Name" numFmtId="0">
      <sharedItems containsBlank="1">
        <s v="Engineering &amp; Work Mgmt: Schedule &amp; Dispatch, Resource Mgmt, Field Work Processes"/>
        <s v="GE Separation - Opportunity Set (Do not edit without talking to Rachael Grossman)"/>
        <s v="Project Symphony - Sign to Close - 2HCY2022 Extension"/>
        <s v="Enterprise Business Transformation - Phase 3"/>
        <s v="Intel Digital Transformation (incl. S/4)"/>
        <s v="Platform consolidation #GCOE #PayerCO&amp;ITrans"/>
        <s v="Shell - IT Strategic Partnership #BigBet"/>
        <s v="Transaction Management - Wholesale Lending Contracts : Phase 2"/>
        <s v="EWAM Program Implementation"/>
        <s v="EHI Finance Transformation - Phase 4"/>
        <s v="CIBC Finance Modernization Implementation Support - US #SAP+GROWTH"/>
        <s v="GE IT Transformation #GET+DD"/>
        <s v="Alphabet Finance Transformation &amp; Managed Services #TMTMSO"/>
        <s v="UNFI -- Financial ERP Transformation/Implementation #Selection"/>
        <s v="Pepsi Digital Space Optimization #DVC"/>
        <s v="bp T&amp;S Power Trading Implementation #bigbet"/>
        <s v="WFT - ERP / EPM/ HCM Phase 2 - Implementation #BigBet"/>
        <s v="Project Sparrow - Execution Phase"/>
        <s v="Pepsi Digital Value Creation Scale Up - Wave 2"/>
        <s v="CIS Implementation - 2024"/>
        <s v="Business modernization enabled by ERP"/>
        <s v="Intel Cost Transformation Phase II"/>
        <s v="2023 Centene Platform Consolidation"/>
        <s v="Rural Equity Initiative - *Strategic Reimbursement*"/>
        <s v="Shell - Consolidation Engine Replacement | Phase 2"/>
        <s v="Wholesale Credit Risk -  US PM support extension 2H '22 #Core"/>
        <s v="WFT ERP Phase 3+ #BigBet"/>
        <s v="nxtgenERP Change Order &amp; New Scope 2022"/>
        <s v="DVC_GBS Phase 2/3"/>
        <s v="Project Unicorn"/>
        <s v="Rite Aid- #ProjectNorthstar - FIN/RTC Transformation - Release 3 (Primary)"/>
        <s v="Ash Pond Program Project Controls Support - aaS"/>
        <s v="Software Engineering Staff Aug Part One"/>
        <s v="Ameritas-Finance Implementation Pipeline #Oracle_INS (Advisory led, ASUS)"/>
        <s v="Finance Transformation"/>
        <s v="Business and Systems Transformation #CMRETAIL"/>
        <s v="GE Aviation Digital Transformation (CEO, MSO)"/>
        <s v="Business and Systems Transformation #CMRETAIL - Phase 2"/>
        <s v="Carveout in a Box - Argos Spinoff #SAP+M&amp;APE"/>
        <s v="FIS #DVC Automate Next - Phase 2 Execution"/>
        <s v="EB DCX Portals Execution"/>
        <s v="SCORE Program SI"/>
        <s v="SAP 4 H Central Finance Roll Out at VW in the US #MW"/>
        <s v="Centralized Services - Phase 4 (FY23) #CallCenter #DVC"/>
        <s v="Nasco Migration Execution Support #PayerCO&amp;ITrans"/>
        <s v="MS Finance FDW Data Warehouse Acceleration"/>
        <s v="GE Separation - Corporate - SMO Post 3/31"/>
        <s v="Supply Chain Planning Technology Implementation"/>
        <s v="Memorial Sloan-Kettering Cancer Center *VBO* Out of Network &amp; Denial A/R Assistance FY23 Extension"/>
        <s v="AdventHealth *VBO* Cerner Legacy A/R (2 of 3) FY23 Extension"/>
        <s v="GRM EIS Implementation Extension H2 2022 - WEM, Asia MCM, Andes"/>
        <s v="Markel Finance Cloud Implementation #Oracle_INS"/>
        <s v="Argus Dental and Vision - EIS SI 2023"/>
        <s v="Group Transformation (SI work)"/>
        <s v="Group Benefits Transformation Partner (Majesco)"/>
        <s v="Confidential #COVID-19 Compliance Project Ram"/>
        <s v="Ben E Keith - Blue Yonder - $10M"/>
        <s v="UNFI - Blue Yonder - $10M"/>
        <s v="Bell Smart Factory"/>
        <s v="Enterprise Business Transformation - Phase 2A"/>
        <s v="2024 Centene Platform Consolidation"/>
        <s v="Shell - Marketing Cloud: Greenlots, Inspire, Chems, CoE  #BigBet"/>
        <s v="AIPM Copperleaf Implementation Release 2-4 #BigBets"/>
        <s v="Keybank - Commercial Servicing Transformation Phase 2+"/>
        <s v="Country ERP Modernization Implementation"/>
        <s v="Innovaccer SI Opportunity SCALED"/>
        <s v="Alpha Implementation Partnership (Year 2)"/>
        <s v="Alpha Implementation Partnership (Year 3)"/>
        <s v="Alpha Implementation Partnership"/>
        <s v="Inventory and Production Support - Phase 2"/>
        <s v="SAP S/4 Release 2"/>
        <s v="US Bank - Lending and Core Modernization Opportunity (FIS)"/>
        <s v="growth strategy support - digital cloud transformation"/>
        <s v="Rite Aid- #ProjectNorthstar - FIN/RTC Transformation - Release 2 (Primary)"/>
        <s v="Middle/Back Office Transformation - Phase 3"/>
        <s v="Payroll Implementation - Phase 2"/>
        <s v="Project Connect - IT Teams Extension #CIAB"/>
        <s v="Project Neon (Managed Servcies)"/>
        <s v="Phase 2: Trading system implementation"/>
        <s v="L3Harris Project Pathfinder Full Program (Not including Acct Recs) #MW"/>
        <s v="BMS Finance Integration (LER/Rhine) - Jan - Jun 23"/>
        <s v="Clinician &amp; Patient Engage + Coord Capabilities - Build Phase"/>
        <s v="CVS: Medicaid NextGen: 2023 execution support #PayerCO&amp;ITrans"/>
        <s v="GE Separation - Healthcare - SMO - Phase 2"/>
        <s v="LER Phase 2: Design / Implementation"/>
        <s v="FIS - CPQ and Pricing Implementation - Implementation Phase"/>
        <s v="WBA WAG Health Acceleration Engagement Commercial Program Launch #HVM"/>
        <s v="H&amp;P Oracle Cloud ERP Implementation"/>
        <s v="KDP -  eB2B/RE scaling - Phase 2 and beyond"/>
        <s v="PPL GL Replacement"/>
        <s v="Enterprise Investment Planning Platform for EO (Copperleaf)"/>
        <s v="Global Payments R12 Migration"/>
        <s v="BX China IT Buildout - Phase 3"/>
        <s v="Gilead:IT  Gilead NextGen Clinical Platform Implementation #R&amp;DAutomation"/>
        <s v="P66 - Enterprise Wide CLM Inplementation"/>
        <s v="Claims technology platform modernization - implementation support #PayerCO&amp;ITrans #OHI"/>
        <s v="CVS: Medicaid NextGen: 2024 execution support #PayerCO&amp;ITrans"/>
        <s v="PSEG LI Time &amp; Attendance"/>
        <s v="PSEG LI ADMS"/>
        <s v="GE Separation - Corporate - Treasury Ops - Phase II"/>
        <s v="Duracell - Global SFDC TPM Deployment #RGM"/>
        <s v="HPE Sales Comp Anaplan Implementation Phase 3 - North America/APJ #TMTPricing"/>
        <s v="Mattress Firm - Blue Yonder - $8M"/>
        <s v="Rural Equity Initiative *Strategic Reimbursement*"/>
        <s v="ADS - Smart Factory Transformation"/>
        <s v="Utilities Planning Tool"/>
        <s v="UBS - WMAP Field Support #WMA"/>
        <s v="RJF: Workday HCM Implementation &amp; Transformation"/>
        <s v="FPL S/4 Hana - Phase 3 - T&amp;D/Hypercare #MW"/>
        <s v="Project Symphony - LD1 Extension &amp; SD1 support - OTA Systems"/>
        <s v="Anthology &amp; Blackboard Integration Execution Phase"/>
        <s v="Back Office Transformation - 2023 Core Financials &amp; HCM Implementation"/>
        <s v="Mobile Work Management Implementation for Mobile Electric Meter Services"/>
        <s v="Eaton Lease Accounting Managed Services #S&amp;P#POD"/>
        <s v="UBS Project Overdrive: UBS Bank - Agile Development Build"/>
        <s v="Program Optimus FP&amp;A Release 2"/>
        <s v="Leidos - Project Insight (EPM) Wave 2"/>
        <s v="SENA SGP - Endur Upgrade"/>
        <s v="GE Separation - Corporate - Op Separation and Stranded Costs"/>
        <s v="Project Brown - Value Creation"/>
        <s v="Phase 3 Clinically Driven Rev Cycle Implementation Support *Rev Cycle* *RC Tech*"/>
        <s v="Nordstrom - Blue Yonder - $6M"/>
        <s v="Symphony July-Oct 2022"/>
        <s v="GEHC Source to Pay"/>
        <s v="Retirement CoE - Transformation Partnership #DVC #FFG"/>
        <s v="Protego Build-Operate-Transfer (BOT) #Oracle_BCM"/>
        <s v="Contact Center - Value Based Deal - Phase 2 #CallCenter #DVC"/>
        <s v="Finance Capability Transformation (FCT) RFP"/>
        <s v="GEHC Supply Chain Planning"/>
        <s v="Finance Modernization - Phase 2 (2021) #Hawk"/>
        <s v="LDC Gas Management System - Choice Program #MW"/>
        <s v="Mayo Clinic *VBO* Ongoing Placement FY23 Extension"/>
        <s v="FB Content Governance 2023 Support"/>
        <s v="Duracell HRIS Implementation"/>
        <s v="Pfizer IM Strategic Program Management - DCT &amp; eSource #DCT"/>
        <s v="UBS Project Overdrive: UBS Bank - Build Resources"/>
        <s v="Avangrid Actuarial Consulting Proposal"/>
        <s v="MSFT DLS FY22-23 MAVS Support Nimbus Phase 2 and 3 Extension"/>
        <s v="AIPM Copperleaf Enterprise Portfolio Accelerated Implementation for Trans/Fac/Storage"/>
        <s v="Commercialization Capability Build #4"/>
        <s v="GE Separation - Corporate - DT Execution CO 3"/>
        <s v="NTAS Transformation (Phase 2)"/>
        <s v="SCJ - SAP TPM International Expansion #RGM"/>
        <s v="CARS - North America (Mexico DNMX)"/>
        <s v="OPPD EPM Release 1 (Foundational)"/>
        <s v="2022-2025 Actuarial Services"/>
        <s v="PAS Inforce Migration Execution - Deferred Annuities"/>
        <s v="GE Separation - Corporate - Stat Remediation - Q3 / Q4 2022"/>
        <s v="Blue Triton Brands - TPM Phase 2 - SAP TPM Enhancements"/>
        <s v="B2B Loyalty Pilot &amp; Implement"/>
        <s v="Salesforce Design &amp; Implement"/>
        <s v="iFit - Digital Analytics Platform"/>
        <s v="AT&amp;T Indirect Channel Transformation"/>
        <s v="Martek Phase 1-5"/>
        <s v="AT&amp;T Biz Mid-Market Sales Velocity &amp; Close Rate Increase"/>
        <s v="Eaton S/4 services beyond Prime SI role"/>
        <s v="P&amp;G - NA TPM Implementation #RGM"/>
        <s v="Healthfirst HFC Clinical Program Design 2022 -BH, HIV, SC Plus balance of HFC 2022 #HVM"/>
        <s v="Divergent Solutions Operating Model - Phase 1"/>
        <s v="Ameritas-Finance Implementation Pipeline - Release 2/3 (Advisory led, ASUS)"/>
        <s v="Journey 2022+ Transformation Portfolio"/>
        <s v="MSA - ERP Implementation (end of 2021) #Burgh"/>
        <s v="UPMC - ERP Oracle Cloud (2023) #Burgh  #ITRoadmap #MWAlliance"/>
        <s v="Encompass Revenue Cycle Transformation"/>
        <s v="CHS Revenue Cycle Transformation"/>
        <s v="UHS Revenue Cycle Transformation"/>
        <s v="Tenet Database Migration and Consolidation"/>
        <s v="Health &amp; Wellness RFI"/>
        <s v="Supply Chain Transformation"/>
        <s v="Regions Bank - Deposits Core Modernization (FIS)"/>
        <s v="One Reporting Tool"/>
        <s v="Consumer Bank Divestitures"/>
        <s v="HealthCloud / Care Management *Customer*"/>
        <s v="Phase 2 - IT FFG Enterprise Testing"/>
        <s v="Shell - RESPC US Launch"/>
        <s v="Wabtec - Global ERP Strategy &amp; Rationalization-Pull-Through"/>
        <s v="bp FIN US x Segment Finance Transf. Campaign"/>
        <s v="Plant Vogtle Unit 4 Program Controls Support and Advisory #rocktheSEpipe"/>
        <s v="Competitive Pricing Strategy Tool- Phase 2 Rollout"/>
        <s v="Blue Triton - TPM Phase 2"/>
        <s v="Habu Clean Room Services"/>
        <s v="FRB AFS Vision Build FY24"/>
        <s v="OnStar Insurance"/>
        <s v="[Big Bet] Tech Implementation (Finance, R&amp;D, Commercial, Compliance)"/>
        <s v="nxtgenERP Change Orders &amp; New Scope 2023"/>
        <s v="GE Healthcare - Treasury Advisory Services"/>
        <s v="Project Orbit - Phase 3"/>
        <s v="EAM-WFMS PERFORM Wave 1 - Distribution*big bet*"/>
        <s v="Amazon Care (AC) Market Entry (Phase  II) #HVM"/>
        <s v="Lockheed FP&amp;A (Hyperion Cloud) - Phase 1"/>
        <s v="Labcorp RC Phase 2 *rev cycle*"/>
        <s v="Labcorp RC Design and Configuration *rev cycle*"/>
        <s v="SaaS Medicaid Data Platform - #DJI #RWDEvGen"/>
        <s v="BSC Enterprise Performance Management"/>
        <s v="SNC Vogtle Continued PMaaS Support"/>
        <s v="TRICARE T-5 Implementation (Post-award)"/>
        <s v="I4.0 as a Service #MW"/>
        <s v="Mount Sinai Pop Health Deal Services #payeranalytics"/>
        <s v="Experience Center Implementation"/>
        <s v="Project Legacy (Phase 3)"/>
        <s v="Koppers - ERP/Oracle"/>
        <s v="Allstate Benefits Insurance Managed Services #FSInsuranceMSO"/>
        <s v="Enterprise CX transformation"/>
        <s v="FHIT Implementation"/>
        <s v="Spectrum SAP TPM Implementation"/>
        <s v="EPM Implementation"/>
        <s v="BH Energy Oracle Transformation"/>
        <s v="FRB AFS Vision Build FY23"/>
        <s v="DCP Midstream - Maximo Upgrade"/>
        <s v="WGL - TransRM - SAP S/4 Ph1 #BigBet"/>
        <s v="ERP Implementation"/>
        <s v="Polaris - ERP Upgrade"/>
        <s v="Ansys - ERP Implementation (mid 2022)"/>
        <s v="Jacobs - Divergent Solutions Op Model Design &amp; Implementation - Phase II"/>
        <s v="US Commercial and Customer Operations: Reporting and Analytics Transformation"/>
        <s v="Global Wealth Integration"/>
        <s v="Rockwell Automation - Blue Yonder - $5M"/>
        <s v="Dollar Tree - Blue Yonder - $5M"/>
        <s v="AIM technology Implementation #HVM"/>
        <s v="ES Risk Enterprise Command Center and Material Technology and Cybersecurity Change Program August 2022 - December 2022"/>
        <s v="Steward Health Care System *VBO* FY23 Extension"/>
        <s v="FBL Life-Comm Conversion"/>
        <s v="Commercialization Capability Build #3"/>
        <s v="DVC - GPD turnaround on top of systems (cx + care model + digital)"/>
        <s v="Managed Services"/>
        <s v="FRB Commercial ncino LOS - R2 FY23"/>
        <s v="RRC Reclass FFY 23-25 (SSM Health) - *Strategic Reimbursement*"/>
        <s v="CenterPoint S2P system integration (Coupa, Ariba, Ivalua)"/>
        <s v="PWC CDP &amp; Client Marketing | Ph 2.2"/>
        <s v="FAVT EPM 2021 H2 #Finance"/>
        <s v="FAVT EPM 2022 #Finance"/>
        <s v="CVS: Medicaid NextGen &gt;&gt; claims platform implementation support #PayerCO&amp;ITrans"/>
        <s v="ADM - QMR, Doc Management and Complaints Management #QualityManagedServices"/>
        <s v="MSFT CELA - Project Denali Regulatory Financial Data Support FY23 #TMTMSO"/>
        <s v="End-to-End Shared Services and Outsourcing Optimization - Finance &amp; Accounting functions"/>
        <s v="NEOM - Digital Health Ecosystem #RWDEvGen"/>
        <s v="Cost Reduction (Risk) - 2022"/>
        <s v="Software Enabled Car OEM"/>
        <s v="Cost Reduction (Risk) - 2023"/>
        <s v="Salesforce Managed Services"/>
        <s v="FFY 2024-2026 Reimbursement Strategy - *Strategic Reimbursement*"/>
        <s v="THR_Navigation and Network Management Solution Phase II"/>
        <s v="BCBSM - Product Management - 2023 Post-MVP Implementation #PayerCO&amp;ITrans"/>
        <s v="CareLinx Growth Strategy - Phase 2 - CS_EDT_PLS #HVM"/>
        <s v="Shell - Power Capability Building #BigBet"/>
        <s v="Front Office Transformation / Salesforce"/>
        <s v="Navistar / Traton Purchasing Platform Integration"/>
        <s v="SAP 4H Roll out at Audi NA"/>
        <s v="Project Spree - Legacy Platform Reset #PayerCO&amp;ITrans #SS&amp;O"/>
        <s v="Finance Modernization - Phase 3 (2022) #Hawk"/>
        <s v="bp T&amp;S Right Angle upgrade #bigbet"/>
        <s v="FB&amp;T nCino Delivery"/>
        <s v="Nordstrom Retail to Cost Phase III"/>
        <s v="Purchasing Joint Venture"/>
        <s v="CDW HR Shared Services, Change Management, and HR Technologies"/>
        <s v="Barclays Blueprint"/>
        <s v="Wintrust nCino R2"/>
        <s v="Wintrust nCino R3"/>
        <s v="VCI Finance Transformation"/>
        <s v="Project Symphony - Sign to Close - Pull-Thru - TMO Expansion (incl. RemainCo &amp; RA Support)"/>
        <s v="FRB Commercial nCino R1 Foundation + SBL Delivery FY23 #SCB"/>
        <s v="WFT - G&amp;A Cost Reduction #FFG"/>
        <s v="Citibanamex Separation Management"/>
        <s v="FIS Implementation Support - Oct 2022 to Mar 2023"/>
        <s v="#QMS BMS Quality Deployment Support CY2023"/>
        <s v="UiPath - Salesforce/Sales Tech Support"/>
        <s v="*CI* Implementation"/>
        <s v="KP MembershipConnect CDS CY2023 Q1-Q2 #PayerCO&amp;ITrans"/>
        <s v="KP MembershipConnect CDS CY2023 Q3-Q4 #PayerCO&amp;ITrans"/>
        <s v="Project Odyssey - IT IMO (Phase 2)"/>
        <s v="AbbVie Content Lifecycle Transformation - Phase 2"/>
        <s v="Clearwater Implementation (Consulting - AWM)"/>
        <s v="THD - ProEdge - Expansion Upskilling at Scale- Full integration of Workday and ProEdge - Expansion"/>
        <s v="Schwab - Vendor Mgmt for CC &amp; BO Services"/>
        <s v="Network Operations Perform #BigBet #USPerform"/>
        <s v="GIS Consolidation - Gas #BigBet"/>
        <s v="GE Separation - Energy - HR Support Phase 2"/>
        <s v="Potential work after Science Based Targets Climate Neutral"/>
        <s v="Signature FINANCIAL  - ncino Leasing Build/Test/Deploy"/>
        <s v="K2 Program Support H1'23"/>
        <s v="ULA - Supply Chain Sourcing Execution"/>
        <s v="K2 Program Support - H2'22"/>
        <s v="Regulatory and Policy Strategy: T&amp;S - Primary/Secondary Research 2023"/>
        <s v="Project Janus - SMO - Sign to Close"/>
        <s v="Project Rocket - SMO - Sign to Close"/>
        <s v="Claims Solution Modernization &gt;&gt; FEPOC execution support 2023 #PayerCO&amp;ITrans"/>
        <s v="E2E Planning - 2022"/>
        <s v="HP CS SSC S4 Deployment Derisk"/>
        <s v="HPE - BOM Simplification - Waves 1 &amp; 2"/>
        <s v="AT&amp;T Biz Data Migration Execution Legacy +1 Products"/>
        <s v="Net Zero Program:  2.7 Scope 3, Categories 1 and 11 - Next Phase #ESG"/>
        <s v="WM - Payroll Outsourcing Implementation"/>
        <s v="GM Supply Chain Visibility and Early Warning"/>
        <s v="Advocate Aurora Health *VBO* FY23"/>
        <s v="Enterprise Cost Transformation Phase 2"/>
        <s v="ULA S/4 ERP Migration"/>
        <s v="Marriott International Climate Action Program Phase 0"/>
        <s v="Moody's - #Coupa P2P Global Implementation"/>
        <s v="GE Separation - Energy - Finance Support phase 2"/>
        <s v="Deposit Core Banking System Integration (#Finxact)"/>
        <s v="GE - Data Factory Managed Service"/>
        <s v="Program Optimus FP&amp;A Release 3"/>
        <s v="DCT Implementation Managed Service Support #medable"/>
        <s v="*CI* KP BJT SOM Full Accreditation Support Phase I"/>
        <s v="AT&amp;T Oracle Cloud ERP"/>
        <s v="Procurement Strategy execution / Value Capture"/>
        <s v="Comcast Business - Sales &amp; Service Transformation 2023 Delivery"/>
        <s v="Allina Payer Partnership Strategy - Ph 3"/>
        <s v="Jacobs - Divergent Solutions - Financial Standup, IWA and Technology Phase 1"/>
        <s v="CVS Aetna HCB - CM UM Work Assignment Optimization #HVM #PayerCO&amp;ITrans"/>
        <s v="Vistra Allegro Upgrade - V8 to Vx"/>
        <s v="Baker Hughes OFS Product Cost"/>
        <s v="Project Breeze (TitaNobel IT Integration - Discovery)"/>
        <s v="Labcorp - *RC Tech* *Rev Cycle* Design Phase"/>
        <s v="CNP BPC Re-Implementation"/>
        <s v="EB DCX Execution ER Portal R2"/>
        <s v="#IOBP -- Helix 2.0 - Enablement"/>
        <s v="PCI Sterile Expansion 2023"/>
        <s v="#IOBP -- Operational Planning Refresh - Phase 2"/>
        <s v="Allstate Cost Transformation Phase 5- Implementation Support #DVC"/>
        <s v="BMS-Turning Point Integration: HR Support"/>
        <s v="BMS Finance Integration (Core Finance) - Jan - Jun 23"/>
        <s v="[Big Bet] S4 Hana/Business Planning"/>
        <s v="R&amp;D Clinical Trials Accrual System Design &amp; Implementation FY23"/>
        <s v="C&amp;W - Upskilling Assessment and Execution Phase 3 #proedge - Expansion"/>
        <s v="BMS FFG Phase 3 - Beyond Commercial #XPCVBB"/>
        <s v="#QMS eQMS"/>
        <s v="MSFT DLS FY22 MAVS HR TR H2 Deal Support"/>
        <s v="Pfizer - Complaints Management #QualityManagedServices"/>
        <s v="AT&amp;T Biz EducationNet Acceleration"/>
        <s v="Horizon - Project Olive Oil - Modernize Facets platform for Medicaid #PayerCO&amp;ITrans"/>
        <s v="NICO Finance Datamart Implementation (US branches)"/>
        <s v="Pricing Implementation - Phase 2"/>
        <s v="Pricing Implementation - Phase 3"/>
        <s v="Hyatt: IGP Alert Buttons"/>
        <s v="C4C Replacement"/>
        <s v="Bank of Hawaii nCino Delivery Release 1 #&lt;$50B #SCB"/>
        <s v="AT&amp;T Mobility Credits - Contingent Payment"/>
        <s v="Aldi VCO Phase 3 #CMRETAIL"/>
        <s v="Enterprise Cost Transformation"/>
        <s v="Hershey SAP TPM+DME Upgrade + S4 Integration - Phase 3 #RGM"/>
        <s v="R&amp;D insights office &amp; evidence generation #RWDEvGen"/>
        <s v="WGL - TransRM - Asset Risk Ph2 #BigBet"/>
        <s v="Carbon Ledger Implementation"/>
        <s v="Rural Strategy &amp; Rural Equity Analysis - *Strategic Reimbursement*"/>
        <s v="Logistics Capability (TMS Phs 1)"/>
        <s v="DVC_OptumCare Phase 2"/>
        <s v="GDIT Oracle EPM Implementation"/>
        <s v="Project KPop (PHM) Medi-Cal Q3-Q4 2022 #GCOEcaid"/>
        <s v="#QualityManagedServices"/>
        <s v="NGC DT- PPM Implementation Support"/>
        <s v="BMS - DVC Automate Insight Packets"/>
        <s v="GPM: Strategic: Global Price Management Governance and Solutions *Pricing*"/>
        <s v="Follow-on - M&amp;Q competitive assessment"/>
        <s v="Project Bull Run - Design and Implementation 2022"/>
        <s v="Embecta - Complaints Management #QualityManagedServices"/>
        <s v="BMS GPS Operating Model Implementation"/>
        <s v="COA - Phase 3"/>
        <s v="Project Neo TSA (Jul-Dec 2022)"/>
        <s v="MRO Optimization Phase 3 Packaging"/>
        <s v="Synovus nCino LOS Delivery Release 2 FY22 #&lt;50B #SCB"/>
        <s v="CDW SSC Design (Phase I) Fin/CWS"/>
        <s v="KP MembershipConnect CDS CY2022 Q4 #PayerCO&amp;ITrans"/>
        <s v="Performance Analyzer (SaaS) #RGM"/>
        <s v="TPM for Coca-Cola Canada Bottling"/>
        <s v="KC APAC SAP TPM *RGM*"/>
        <s v="Houston Methodist CRM on MS Dynamics - Enterprise Rollout #MSFTProvider"/>
        <s v="ETRADE Part 30 Gap Analysis"/>
        <s v="M&amp;A Integration Support - IMO extension"/>
        <s v="GE Gas Power Product Lifecycle Configuration Management Execution #GET+DD"/>
        <s v="INGR - #QualityManagedServices"/>
        <s v="AdventHealth GPH Use Case Implementation"/>
        <s v="MSWM - Account &amp; Data Conversion (PM-BAs)"/>
        <s v="HCSC Large Programs IT Implementation Support #PayerCO&amp;ITrans"/>
        <s v="Northern Trust - Workday Adaptive Planning Deployment"/>
        <s v="Amgen ADI Next Gen Development DCT Design #DCT"/>
        <s v="SNC Vogtle Post Commissioning Support"/>
        <s v="Chart of Accounts FT Program"/>
        <s v="Crude Trading Optimization"/>
        <s v="FY23 R2R and Analytics Support"/>
        <s v="Boeing Workday Re-Implementation Support"/>
        <s v="ProMedica Capacity Management Implementation"/>
        <s v="IPL Separation - IT Separation Planning"/>
        <s v="WH - Phase 2 EHR Implementation Support *RC Tech* *Rev Cycle*"/>
        <s v="SVB Payment Ops and Governance Improvements (Phase 3)"/>
        <s v="SVB Payment Ops and Governance Improvements (Phase 2)"/>
        <s v="Viatris Integration - Phase 14 (3Q 2022) - HIA 2"/>
        <s v="Viatris Integration - Phase 14 (3Q 2022) - HIA"/>
        <s v="Williams - Wave 3 Standardization &amp; Simplification (Endur)"/>
        <s v="Digital Finance Transformation - FP&amp;A 2022 Workstream"/>
        <s v="Studios back-office systems (MGM Integration)"/>
        <s v="OneStream Implementation"/>
        <s v="Privates Data Platform &amp; Reporting Build Out Support"/>
        <s v="Gilead: R&amp;D PPM Strategy &amp; Design #IOBP"/>
        <s v="BI DCT Business Case &amp; Center of Excellence Managed Service #DCT"/>
        <s v="ICON / PRA BU Implementation"/>
        <s v="ICE Black Knight Pursuit"/>
        <s v="GRM Change Management"/>
        <s v="#MedAffairs #RWDEvGen -- Evidence Generation Observational Study (BI)"/>
        <s v="RWE Observational Study (OBG or Med Affairs) #RWDEvGen"/>
        <s v="NASEM Catalyst &amp; M365 Deployment ('22-'23)"/>
        <s v="Cinedigm Corp - ERP Upgrade"/>
        <s v="Lumen -  Finance Transformation (S/4 Implementation)"/>
        <s v="TSI - OneStream Implementation"/>
        <s v="MDACC Enterprise Accounting &amp; Decision Support System"/>
        <s v="Intel Talent Acquisition Redesign"/>
        <s v="ncino TM/Cash Mgt Deployment #&lt;$50B"/>
        <s v="Arena acquisition extension"/>
        <s v="US Commercial and Customer Operations: COE Transformation"/>
        <s v="KKC - Commercial Data and Analytics Managed Services"/>
        <s v="Global Pricing Transformation"/>
        <s v="bp T&amp;S GPTA Project Evolve - Perform"/>
        <s v="CHS IT Transformation Support"/>
        <s v="US Commercial and Customer Operations: Contract Operations Transformation *Pricing"/>
        <s v="MSFT HR TLI GTM FY23 Talent Architecture"/>
        <s v="Project Denali (ABK) - IMO"/>
        <s v="Bell Factory Performance (DSC) - Smart Factory Phase 2"/>
        <s v="Project NEOM Phase 2"/>
        <s v="FAVT EPM 2022 H2 #Finance"/>
        <s v="EDD Operations"/>
        <s v="Potential work after Apax PortCo GhG measurement project (#AWMESG)"/>
        <s v="WF CIB FX Client Onboarding Support"/>
        <s v="Product Solution - implementation and deployment support 2022 #PayerCO&amp;ITrans"/>
        <s v="Energy Transfer Managed Services for Trading applications"/>
        <s v="Billing &amp; Rev Rec Implementation - Phase 2"/>
        <s v="Dubuque RRC Reclass + Wage Index - 23 to 25 *Strategic Reimbursement*"/>
        <s v="GPS PM Support 2023 - Medicaid NextGen #PayerCO&amp;ITrans"/>
        <s v="Sunoco - Products Trading Optimization (River Logic)"/>
        <s v="Phase 1: Medicare Line of Business Health Plan Marketing &amp; Admin Capabilities + Performance Assessment &amp; Optimization"/>
        <s v="Enterprise Risk Management Transformation Program Support"/>
        <s v="MSK - Cloud Factory / Environment Transformation"/>
        <s v="SFBLI EDW Implementation"/>
        <s v="WBA Lease Administration and Accounting Implementation"/>
        <s v="Workflow Build Out Support"/>
        <s v="BI - ZAN BPD Assessment"/>
        <s v="ICANN DEI Consulting Services RFP"/>
        <s v="AT&amp;T Biz Data Migration Execution Fiber"/>
        <s v="UBS / WMAP - July-Dec 2022 Support  #WMA / $2,200,000"/>
        <s v="Ultragenyx - QMR, eQMS Model Office and Complaints Management #QualityManagedServices"/>
        <s v="Kinaxis Supply Planning Deployment"/>
        <s v="Brookline Bank nCino REMEDIATION FY23 Build Remediation #&lt;$50B #SCB"/>
        <s v="HCSC ACE 2022 Q3"/>
        <s v="MSFT DLS FY22 MAVS Support Nimbus Phase Q4 Change Order"/>
        <s v="Potential work after SSGA ESG support - Net Zero, TCFD, Stewardship"/>
        <s v="Citi SEC 15c3-5 Market Access Rule #Core"/>
        <s v="Nordstrom Retail to Cost Phase 3"/>
        <s v="RJF WM Operations Transformation #DVC"/>
        <s v="FIS - CPQ and Pricing Implementation - Global Design"/>
        <s v="KCNA SAP TPM S4 Integration &amp; Global Template"/>
        <s v="NJR Energy Services - Wholesale Gas Trading Systems"/>
        <s v="AMAT Backoffice Systems Transformation - Design/Blueprint"/>
        <s v="Benefits Preference Analysis and Optimization"/>
        <s v="Finance and EPM Operating Model and Cloud Execution Phase 2"/>
        <s v="THR *FFG* G&amp;A Implementation"/>
        <s v="CHN Microsoft Dynamics CRM Implementation #MSFTProvider"/>
        <s v="Sustainability Vision and Activation"/>
        <s v="Rural/RRC/Reclass + MAA Analysis *Strategic Reimbursement*"/>
        <s v="AT&amp;T GIS for EIS FedGov FRPs"/>
        <s v="Performance Analyzer"/>
        <s v="AT&amp;T Enterprise Account Analytics &amp; Operating Model / Digital Twin"/>
        <s v="Shared Services Implementation"/>
        <s v="United Airlines- Fuel Accounting System Implementation"/>
        <s v="KDP - eB2B/RE Phase 1"/>
        <s v="CVS Novologix Implementation Planning Phase 2"/>
        <s v="BCBSKS VBC Transformation 2025 #HVM"/>
        <s v="Global Equity and Equity Mobility"/>
        <s v="Microsoft Sustainability Carbon Ledger #ESG-TMT-Wave1"/>
        <s v="Global Sourcing = Phase 3"/>
        <s v="Finance Shared Services (BOT)"/>
        <s v="Product Management Implementation #PayerCO&amp;ITrans"/>
        <s v="AbbVie Centralized Monitoring Design #DCT"/>
        <s v="Data Mesh - Palantir &amp; Snowflake Integration (AT&amp;T Biz. and AT&amp;T Consumer)"/>
        <s v="GE Renewable Energy ONW Operations MFG Platforming"/>
        <s v="Project Sapphire - Phase IV (FT)"/>
        <s v="Data Center Consolidation - Phase 2 (Execution)"/>
        <s v="Anthem Sales Transformation"/>
        <s v="Cost of Performance Phase III"/>
        <s v="Project Sky Separation 2022 - Legal Entity Operationalization"/>
        <s v="Supply Chain Modernization - Phase 2"/>
        <s v="Fund Admin Conversion Support"/>
        <s v="Intel M&amp;A Buy Side"/>
        <s v="CHS Empower - EPM Part 1 FCCS"/>
        <s v="Implement Fit for Growth"/>
        <s v="A&amp;AN Access Transformation"/>
        <s v="Coupa Platform Implementation"/>
        <s v="CHS Cerner Hub Consolidation and Expansion"/>
        <s v="CVS Cognitive Scale P1 #xPC:PayerAnalytics #Alliance:CognitiveScale #PayerAnalytics #AIML"/>
        <s v="Billing Platform Transformation"/>
        <s v="American Honda Motor Co - Career Architecture and Ecosystem"/>
        <s v="ODU integration phase III"/>
        <s v="Oklahoma Part 30 Addendum 6"/>
        <s v="PCI Sterile Expansion 2022"/>
        <s v="GE Separation - Energy - Treasury Services"/>
        <s v="Syenos - ERP Program - Enterprise Planning, Budgeting Cloud &amp; EDM"/>
        <s v="Back Office Transformation - 2023 EPM Implementation"/>
        <s v="Back Office Transformation - 2023 PSA Implementation"/>
        <s v="Alliant Energy - #Coupa P2I Implementation"/>
        <s v="Undergrounding Support"/>
        <s v="Managed Services Opportunity"/>
        <s v="Vogtle Units 3&amp;4 PMaaS Support"/>
        <s v="TPA Onboarding &amp; Transition Support"/>
        <s v="S2P Technology Implementation"/>
        <s v="WBA - Store Formats and Offerings"/>
        <s v="PII - Supply Chain Constraint Management ph 2"/>
        <s v="Kimberly Clark Product Costing Phase III"/>
        <s v="BCBSM Project Columbia Phase 2"/>
        <s v="Policy Mod Umbrella 1.4 and 2.0 Development"/>
        <s v="Europe Finance Opportunities [Placeholder]"/>
        <s v="Moderna Digital Commerce MVP implementation Phase 2"/>
        <s v="Moderna Digital Commerce MVP Phase 3"/>
        <s v="Project Orbit Phase 3 SoW #5"/>
        <s v="FGL - Distribution Management Majesco Implementation - Phase 5 #HAWK"/>
        <s v="FFG Op Model Transformation"/>
        <s v="EOF Operations Domestic Location Strategy"/>
        <s v="PANW Anaplan Phase 1"/>
        <s v="PANW Anaplan Phase 2"/>
        <s v="R&amp;D: Frictionless Patient &amp; Site Experience #DCT #medable"/>
        <s v="R&amp;D: Risk Tolerance &amp; Innovation #orgstrat"/>
        <s v="ProMedica FFG Implementation Support Wave II"/>
        <s v="Digital: Portfolio &amp; People Prioritization #IOBP"/>
        <s v="Digital: Behavioral Modification #orgstrat"/>
        <s v="Moderna - Complaints Management #QualityManagedServices"/>
        <s v="WGL - TransRM - Scheduling &amp; Mobility"/>
        <s v="Global NRM GBS- Phase 2"/>
        <s v="GMF - HR System Implementation"/>
        <s v="Business Process Improvement - RFI"/>
        <s v="ICERTIS Implementation"/>
        <s v="#IOBP - Amgen PD Planning and Forecasting Implementation"/>
        <s v="GE ProEdge for Finance - Finance wide rollout - Expansion"/>
        <s v="VBC 2.0 - Next Gen Blue Premier Plan - Phase II #HVM"/>
        <s v="Project KPop (PHM) Implementation SI/BI Efforts #GCOE #Medicaid"/>
        <s v="Microsoft Project Daphne #ESG-TMT-Wave1"/>
        <s v="CY2025 Bid Desk Reviews"/>
        <s v="CY2026 Bid Desk Reviews"/>
        <s v="Loyalty program activation implementation"/>
        <s v="CY2027 Bid Desk Reviews"/>
        <s v="CY2028 Bid Desk Reviews"/>
        <s v="E2E Financial Planning Redesign - Phase 1"/>
        <s v="CW Enterprise Rollout of a &quot;Your Tomorrow&quot; Strategy"/>
        <s v="Geographic Reclassification and Wage Index - *Strategic Reimbursement*"/>
        <s v="DCT Implementation Phase #Medable #dct"/>
        <s v="Gilead: Transformation R&amp;D: DCT Implementation Phase #Medable #DCT"/>
        <s v="Moderna Digital Commerce MVP Phase 4"/>
        <s v="Carbon Digital Solutions - Implementation"/>
        <s v="Colonial - Maximo Inventory &amp; Work Mgmt Ph 2"/>
        <s v="BHSH IT Integration - Execution Phase"/>
        <s v="KP Innovaccer POC System Integration Support"/>
        <s v="Abbvie_NextGen LuproLink"/>
        <s v="Kemper Insurance Managed Services #FSInsuranceMSO"/>
        <s v="A&amp;AN Access Implementation"/>
        <s v="Evolution of Commercial GBS Phase I"/>
        <s v="CY2024 Bid Desk Reviews"/>
        <s v="*A&amp;AN* PPG Access, Referral Management, and Operations Implementation"/>
        <s v="bp- C&amp;P - Project Leap transition support MSCO to COCO"/>
        <s v="F-35 Value Chain Strategy and Process Mapping - Phase 3"/>
        <s v="F-35 Value Chain Strategy and Process Mapping - Phase 2"/>
        <s v="Wintrust - Core Modernization (FIS)"/>
        <s v="bp- C&amp;P - ROO Strategic Sourcing"/>
        <s v="H&amp;P - Asset Management Ph 2"/>
        <s v="Christus Rural Health Clinic Strategies II - *Strategic Reimbursement*"/>
        <s v="Credit Reporting Services"/>
        <s v="AT&amp;T Seller's Insights Portal for Global Enterprise"/>
        <s v="HP Project Trifecta Phase 3"/>
        <s v="Froedtert Health: Pharmacy Optimization (Phase 2: Implementation) *FFG*"/>
        <s v="Confidential: Project Edge #PayerCOI&amp;Trans #PayerFFG_Admin"/>
        <s v="Project Phoenix 2022 Q3 Extension Absence Management"/>
        <s v="FP&amp;A EPM planning tool implementation"/>
        <s v="Project Phoenix 2022 Q4 Extension Absence Management"/>
        <s v="Panduit - Oracle ERP Transformation - Implementation (OCM Link to Campaign)"/>
        <s v="Hostess - Performance Analyzer #pricing #rgm #tpm"/>
        <s v="CVS HCB Driver Based Planning P2 #PayerFFG_Admin"/>
        <s v="AT&amp;T HALO on Azure"/>
        <s v="Adobe/Martech (take from ACN/Merkle)"/>
        <s v="Phase 2: Medicare Line of Business Health Plan Marketing &amp; Admin Capabilities + Performance Assessment &amp; Optimization"/>
        <s v="Ross Stores Self Checkout Phase II"/>
        <s v="Facets Modernization Business Integrator - PHASE 2 #DVC"/>
        <s v="Launch Operations Spantime reductions/Capital Initiatives PM"/>
        <s v="Commercial LAS PLANNING AFS Vision FY23 Jul-Dec"/>
        <s v="Commercializing GTO Group Technology and Operations - Operationalize Phase"/>
        <s v="Project Shaw - LatAm #TMTMSO"/>
        <s v="Project Shaw - APAC #TMTMSO"/>
        <s v="MSFT CELA Reporting FY24"/>
        <s v="Citi Basel III Data Remediation"/>
        <s v="EPM 2.0 - Budget, Forecast &amp; Strategic Plan"/>
        <s v="BCBS Michigan - Enterprise Automation Integration #ProEdgexAutomation"/>
        <s v="HP Supply Chain FFG / ZBB"/>
        <s v="Enterprise Shared Services - Op Model Design Phase 2"/>
        <s v="PCI Pharma Services - Bridge Agreement"/>
        <s v="Walgreens Health Acceleration - Clinical Care Model #HVM"/>
        <s v="ICON HR Integration - Phase 4"/>
        <s v="CNA Sourcing Contract Management Reset"/>
        <s v="UTSW: Supply Chain Benchmarking Service *FFG*"/>
        <s v="EAM / Reliability Improvement Ph 1"/>
        <s v="Medicaid NextGen Product Mgt and PHP 2022 support  #PayerCO&amp;ITrans"/>
        <s v="Cardinal Health Procurement BPO #S&amp;P#POD"/>
        <s v="Services Transformation Q3 Q4 2022"/>
        <s v="Finance Transformation Wave 3 - ERP BI Functional Support"/>
        <s v="ETS FFG Phase 5B-  Strategic Sourcing and Retained Operating Model"/>
        <s v="ocV!BE ESG PMO &amp; Comms #ESG #ESGMSFT"/>
        <s v="Barclays AAIT Operating Model Framework &amp; Implementation"/>
        <s v="P66_2022 Commodity Managed Services_Power and Gas Trading"/>
        <s v="MS Finance Talent Attrition"/>
        <s v="AbbVie SKYRIZI CD Buy &amp; Bill Launch Support - Phase II"/>
        <s v="Aries -  H2 2022 MOR Extension (Proj)"/>
        <s v="Appian Enhancements and Support 2022"/>
        <s v="Moderna  MVP implementation Phase 1"/>
        <s v="SDG&amp;E Project Accounting Improvement"/>
        <s v="Verily HRIS Pre-Implementation"/>
        <s v="HP - Contra Phase 4 Deployment"/>
        <s v="ESGO Data Lineage &amp; Reporting"/>
        <s v="MS IAD Transformation Evolution of Talent Process QB"/>
        <s v="AdventHealth *VBO* Cerner Legacy A/R (3 of 3) FY24 Extension"/>
        <s v="Project Sapphire - Phase III (FT)"/>
        <s v="FFY24-26 Reclass/Wage/OM &amp; FYE21-23 S-10 *Strategic Reimbursement*"/>
        <s v="Clinical Transformation - Sprint 2"/>
        <s v="Finance Transformation Wave 3 - Billing Implementation"/>
        <s v="Pension managed services"/>
        <s v="Billing Transformation - LoB Onboarding and Go Live Planning"/>
        <s v="WSFS DT - Data Buildup Extending Customer Link"/>
        <s v="ADM - Commodity Trading #Salesforce Platform"/>
        <s v="Intel Marketplace - Design Phase Sprint 2"/>
        <s v="Alts FFG Data MSP Support #DATA"/>
        <s v="2022 BMS Finance Integration (Core Finance) - Addendum #3 (Commercial)"/>
        <s v="Advanced Customer Engagement"/>
        <s v="Trading system Managed Services"/>
        <s v="Illumina - QMR, Doc Management &amp; Complaints Management #QualityManagedServices"/>
        <s v="RL New Product Launch + Inventory"/>
        <s v="Meta Legal Learning Project Management Support H2 2022"/>
        <s v="HPE - &quot;Opportunity to Win&quot; Pre-Sales Automation - SFDC"/>
        <s v="Microsoft Operations Market Research Facility: FY23 Program"/>
        <s v="Catering Customer and Go To Market Strategy"/>
        <s v="HCSC ACE 2022 Q4"/>
        <s v="Commonwealth Care Alliance - Project Bigfoot - Clinical Transformation #HVM"/>
        <s v="BMS Clinical Trials Risk Management (CTRM) R3 System Integration.  #automation"/>
        <s v="AT&amp;T Biz Seller's Insight Mid Market Use Case Development"/>
        <s v="MUFG Payments Modernization"/>
        <s v="Payments Transformation"/>
        <s v="COP SAP EDMS"/>
        <s v="Aflac Enrollment TPI July-December 2022"/>
        <s v="Inova EPM Implementation - Planning"/>
        <s v="Audi Service Parts Profit Allocation"/>
        <s v="Project Denali (ABK) - Services"/>
        <s v="Project Denali (ABK) -Finance"/>
        <s v="DXC IT Cost Optimization Program"/>
        <s v="NA Logistics Optimization - Phase 2 TL Utilization + Ocean Sourcing"/>
        <s v="Oracle Cloud EPM Project"/>
        <s v="Moderna Vistex Implementation Implementation Phase 2"/>
        <s v="Deal Score Module"/>
        <s v="Internal Verizon 5G / MEC Use Case with MSFT"/>
        <s v="Everlake Day 2 Data Strategy and Portfolio Management Support"/>
        <s v="New GSK- Vaccines US Commercial and Channel Strategy"/>
        <s v="OneStream Consolidations and FP&amp;A"/>
        <s v="Coca-Cola - RGM FSOP Design / Execution - 1,500,000"/>
        <s v="Data Center Consolidation - Phase 1  (Strategy / Business Case Dev't)"/>
        <s v="St. John Hospital (Sisters) IME RRC *Strategic Reimbursement*"/>
        <s v="Anthem Network Strategy / Beacon Health/ Follow on work"/>
        <s v="BI Project Mercury Implementation"/>
        <s v="WellStar CRM Transformation: Consolidated Access Center (Contact Center)  #MSFTProvider"/>
        <s v="GE Separation - Energy - HR Support Phase 1"/>
        <s v="Cora PPM Implementation Support"/>
        <s v="Stellantis SC Visibility and Early Warning"/>
        <s v="Global Business Services Strategy"/>
        <s v="Citrix SAP Consolidation Implementation"/>
        <s v="Project NEO SCO extension (July to Dec 2022)"/>
        <s v="MRI Implementation"/>
        <s v="GDLS EPM Implementation"/>
        <s v="Springfield Memorial Hospital IME RRC *Strategic Reimbursement*"/>
        <s v="Merchandising Modernization - Phase 2"/>
        <s v="Internal Capital Labor Program Support"/>
        <s v="Digital Manufacturing Competency Support"/>
        <s v="Signature -PPP Ops Support CO9 FY23 July - Dec  #ForgivenessProcess #COVID-19"/>
        <s v="Confidential New Facility Build - Project Development PM/CM Services - Phase 2"/>
        <s v="RL FT Support H1 '23"/>
        <s v="CenterPoint - Gas Management System Vectren"/>
        <s v="OPPD Data Managed Services 2"/>
        <s v="PointNext Phase 2 Costing"/>
        <s v="Project Aloha Phase 2 #PayerTransDeals"/>
        <s v="Comcast Phase 2 and 3"/>
        <s v="TCCC ME&amp;E Phase 5 Transformation PMO"/>
        <s v="Digital Bank - Galileo"/>
        <s v="Anthem - CareMore EMR follow on work"/>
        <s v="Trade capture and scheduling implementation"/>
        <s v="GWS Supplier Diversity #S&amp;P #ESG"/>
        <s v="Project Connect - Finance Support for Carveout"/>
        <s v="FRB AFS Vision Planning FY23 - Data, Collateral, Custom Reporting #Comm50B+"/>
        <s v="ODU integration IV"/>
        <s v="Asset Performance Management - Ph 2"/>
        <s v="HR M&amp;A Integration Support - H1 23"/>
        <s v="o9 E2E Planning Transformation"/>
        <s v="Project Platinum - Finance Workstream"/>
        <s v="P66 S4 go live - HVC IT Support"/>
        <s v="EHI Finance Transformation - Phase 3"/>
        <s v="GE Aviation Digital Engineering Phase 1 - MSO - Strategy Development"/>
        <s v="Around Rx"/>
        <s v="Commodity Risk Management - Phase 4: ROW Rollout and Technology Implementation"/>
        <s v="PSS: In-Flight Review Support Phase 2 (CSX Program Support)"/>
        <s v="LER Phase 1: Planning"/>
        <s v="#IOBP-Portfolio Ops Resource Management: Phase 2"/>
        <s v="#IOBP-Portfolio Ops Resource Management: Phase 1"/>
        <s v="BMS Finance Integration (Wave 3 Ops) - Jan - Jun 23"/>
        <s v="SAP S4 - Change Management Phase 3 (European Rollout)"/>
        <s v="Takeda US FP&amp;A Transformation Phase 2 (Anaplan) FY24"/>
        <s v="Consolidations / Global Finance FY23"/>
        <s v="R&amp;D Clinical Trials Accrual System Design &amp; Implementation FY24"/>
        <s v="Consolidations / Global Finance FY24"/>
        <s v="GPLS projects [Placeholder]"/>
        <s v="Project Buffalo"/>
        <s v="SFDC Clinical Transformation"/>
        <s v="Grow Our Own Talent - Managed Services (Phase II) #TMTMSO"/>
        <s v="GE FP&amp;A Transformation - Phase 3"/>
        <s v="GE FP&amp;A Transformation - Phase 2"/>
        <s v="GE FP&amp;A Transformation - Phase 1"/>
        <s v="Commercial LAS AFS Vision FY23 Apr-July"/>
        <s v="Finance Transformation program governance (3 Part Finance Governance/FOF)"/>
        <s v="Finance Transformation IT support (3 Part Finance Governance/FOF)"/>
        <s v="ii-vi Ph 2 Finance Initiatives Design"/>
        <s v="FFG - Phase 2"/>
        <s v="Contract Management System"/>
        <s v="RPAM Trading Solution"/>
        <s v="OCM for Project Evolve (Wave1) Oracle Cloud and Project Ignite (digital commerce)"/>
        <s v="Neighborly Loyalty Implementation"/>
        <s v="Project Neon (Finance Standup)"/>
        <s v="Enterprise Level Stakeholder Management (3 Part Finance Governance/FOF)"/>
        <s v="Wine.com - Finance Transformation Phase 2"/>
        <s v="Vaccines Insights Engine (VIE)"/>
        <s v="Steward Finance Transformation - Controllership"/>
        <s v="GRS--Global Surety eQuote Platform Expansion"/>
        <s v="McLaren Pharmacy Optimization Analysis &amp; Implementation (Part 2) *FFG*"/>
        <s v="Intel - IDM2.0 Salesforce Reimplementation"/>
        <s v="Walgreens Next - Omni Merchandising Modernization #CMRetail"/>
        <s v="Atlantic Union Bank EPM Transformation"/>
        <s v="2022 IT Strategy"/>
        <s v="Geospatial Analytics for Biz"/>
        <s v="*A&amp;AN* IU Health: Patient Access Transformation - Implementation (Phase 5)"/>
        <s v="*A&amp;AN* IU Health: Patient Access Transformation - Implementation (Phase 4)"/>
        <s v="*A&amp;AN* IU Health: Patient Access Transformation - Implementation (Phase 3)"/>
        <s v="Meta - H2 2022 Extension: Optimizing Cross-Media Measurement JIC Governance and Funding"/>
        <s v="BL - Abbvie RA Promotional Strategy (US Portion)"/>
        <s v="Finance Transformation - SAP for AP"/>
        <s v="FP&amp;A Design and Implement"/>
        <s v="Santen - QMR, Doc Management &amp; Complaints Management #QualityManagedServices"/>
        <s v="Project Spree - platform simplification #PayerCO&amp;ITrans #SS&amp;O"/>
        <s v="Catalent - QMR, Doc Management &amp; Complaints Management #QualityManagedServices"/>
        <s v="PTC Therapeutics - QMR, Doc Management &amp; Complaints Management #QualityManagedServices"/>
        <s v="SodaStream Remediation and Integration Support"/>
        <s v="Project Klamath - Phase 3 Diligence and Merger Integration Planning"/>
        <s v="IGP - Remaining RFP - Park Hotels &amp; Resorts"/>
        <s v="IVR Refinement #callcenter #dvc"/>
        <s v="ATT - ATS-1 POC Infra + Apps Reporting"/>
        <s v="Perkin Elmer - QMR, Doc Management &amp; Complaints Management #QualityManagedServices"/>
        <s v="Rigel Pharma - QMR, Doc Management &amp; Complaints Management #QualityManagedServices"/>
        <s v="Biomarin - QMR, Doc Management &amp; Complaints Management #QualityManagedServices"/>
        <s v="THL - ERP Implementation"/>
        <s v="AAH Project OAR Smart Sourcing Assessment"/>
        <s v="HPE - Sales Comp Anaplan Implementation Ph2b [bridge 2022] #TMTPricing"/>
        <s v="GTM Redesign for FSOP and SS"/>
        <s v="Business Plan Development"/>
        <s v="Hillenbrand HCM HR Transformation &amp; OCM Support"/>
        <s v="PEP Innovation Management - Phase 3B"/>
        <s v="Alpha FO/MO Cash Product Strategy and Design"/>
        <s v="OneStream - FP&amp;A implementation - Phase 2"/>
        <s v="Timex - Phase 3b and 4 - S&amp;OP - Workstream in Project Gemini"/>
        <s v="Growth Strategy Support Phase 2"/>
        <s v="SAP S4 - Change Management Phase 2 (Latin America Rollout)"/>
        <s v="UPR Dynamic Pricing - EPIC"/>
        <s v="MSFT MAVS CE&amp;S Deal Support - FY23"/>
        <s v="Alchemy Post-Close Support"/>
        <s v="Memorial Sloan-Kettering Cancer Center *VBO* Hospital Medicaid Recurring Placements"/>
        <s v="Fuel Our Growth Phase 2: Strategic Sourcing (Gain Share Fee)"/>
        <s v="CitDev -- Citizen Led Program Design (Q3/Q4 Support)"/>
        <s v="AbbVie FFG Value based planning"/>
        <s v="HIG GB Data Transformation"/>
        <s v="Back Office Transformation - SOW #3 Fit-Gap"/>
        <s v="Project Denali (ABK) - Sales"/>
        <s v="Intel Marketplace_Design Phase - Sprint 3"/>
        <s v="Mount Sinai Health System - CCC Technology Strategy &amp; Roadmap #HVM"/>
        <s v="Bank of Missouri nCino LOS Deployment Delivery FY23 #&lt;$50B #SCB"/>
        <s v="NextEra FPL_CX Transformation_Salesforce"/>
        <s v="Amex Options"/>
        <s v="MSWM FSS IRA Rollover - Extension - Phase 2"/>
        <s v="Merchant Peerless Strategy &amp; TAM"/>
        <s v="Int. 2.0 I/C Pillar Phase 3A 2022 - Finance"/>
        <s v="Project Shaw - NAM Phase"/>
        <s v="Finance Automation &amp; Modernization"/>
        <s v="NA Efficiency Support"/>
        <s v="#IOBP -- Global Medical Affairs Enablement"/>
        <s v="KeyBank cost modeling managed service - #NextGenCostingMSO"/>
        <s v="Austin SAP go-live suport"/>
        <s v="Lucid Motors - S/4 Delivery Change Management and Training"/>
        <s v="Gilead: Transformation - Post SAP Future State Org Design"/>
        <s v="Retail insights/ expansion"/>
        <s v="Celanese - Project Milan Core IMO - Phase 2"/>
        <s v="Warranty Expansion"/>
        <s v="Capital Planning, Prioritization, Portfolio Mgmt. Tool - T&amp;D"/>
        <s v="CSP Digital Commerce - SMT Loyalty Phase 2 (May-Sep)"/>
        <s v="FRB BPO Vendor Selection Phase 2"/>
        <s v="WBA - Customer Personas and Journey Development Experience"/>
        <s v="WBA - Customer Personas and Journey Development Experience Extension / Follow On"/>
        <s v="GE Separation - Aviation - SMO - DT"/>
        <s v="SCORE Program Replan"/>
        <s v="BL - RA for Elderly Phase 2 (US Portion)"/>
        <s v="FY22-24 *Strategic Reimbursement*"/>
        <s v="PBNA Project Prime Phase 2B"/>
        <s v="HPE - CRM Data Hygiene &amp; Governance"/>
        <s v="TD Wealth &amp; Insurance - CC Transformation Strategy"/>
        <s v="Denso North America EDMCS (Data Management)"/>
        <s v="WBA +WAG Health Consumer Payments"/>
        <s v="Blue Triton Brands - TPM - Phase 2 - Performance Analyzer Deployment #RGM"/>
        <s v="TTS ESG Product Strategy #ESG #CS_ESG #FSClimateRisk"/>
        <s v="Retirement Recordkeeping CPP Transformation #DVC"/>
        <s v="CNA Procurement Managed Service Support - CY22 Additional Resourcing #S&amp;P#POD"/>
        <s v="Biosimilar Strategy Operationalization - FY23"/>
        <s v="BHSH Integration Execution - Amendment 1 (Extension)"/>
        <s v="Microsoft Scope 3 Supply Chain Solution - Customer Zero #ESG-TMT-Wave1"/>
        <s v="Banking SaaS Pricing Model"/>
        <s v="Luminace Salesforce Platform"/>
        <s v="Project Neo NEB/Settlements/Working Capital (Jul-Dec 2022)"/>
        <s v="Project SKY separations 2022 - Operations Support"/>
        <s v="Blue Triton Brands - TPM Phase 2 - Value Capture"/>
        <s v="*SMART* License - SSM Health"/>
        <s v="Retail Deposits Core Solution (#Finxact)"/>
        <s v="AT&amp;T BEAD Infrastructure Bill - Maximizing B2B"/>
        <s v="CoH EPBCS Reimplementation and Integration"/>
        <s v="*SMART* License - Mercy (MO)"/>
        <s v="Nestle Performance Analyzer #RGM"/>
        <s v="Healthfirst Cares At Risk Write Up #HVM"/>
        <s v="FNMA_Enterprise Strategy in response to FHFA mandate"/>
        <s v="NC - VBC Blue Premier 2.0 Execution #HVM"/>
        <s v="ASC Loyalty Program Implementation"/>
        <s v="Myriad Genetics_UOM_Ph1_Vision &amp; Solution Design Combined-Phase Delivery"/>
        <s v="TMT ESG Investments"/>
        <s v="KeyBank - Workday FTP Platform Implementation"/>
        <s v="FNMA_Enterprise Agile"/>
        <s v="Warehouse Transformation Support"/>
        <s v="Shell Chemicals - CB Phase 2A - Marketing Playbook with a Sustainability Lens"/>
        <s v="#1 DXC IT Simplify - Legal Entity Cleanup | (0064L000003z2nRQAQ)"/>
        <s v="GSP Asset Visibility Phase 1"/>
        <s v="Project Bull Run - Strategy #DCT"/>
        <s v="PSEG LI Strategic Asset Management Plan Development"/>
        <s v="P &amp; G - Customer Advantage &amp; RGM Transformation #RGM"/>
        <s v="P&amp;G - NA eCommerce Analytics &amp; Reporting"/>
        <s v="Inventory Strategy &amp; PFEP (Phase 1)"/>
        <s v="Evergy - Trading Data Platform"/>
        <s v="Columbia Loyalty Design &amp; Build"/>
        <s v="Distribution Automation Program Advisory - Program Increment Extension"/>
        <s v="Unum Enterprise Staffing Model / Workforce Planning Implementation Support"/>
        <s v="NBH - Parallel Bank Design and Build"/>
        <s v="Baystate Health Salesforce / Cerner Implementation Phase"/>
        <s v="Implementation of Global Standards for Clean Energy"/>
        <s v="Implementation of Customer Profile Strategy"/>
        <s v="Wholesale Credit Risk Rating Support (Co-Sourcing) #credit"/>
        <s v="PCG Finance Optimization FY '23 - Phase 2"/>
        <s v="Synovus - Bank Modernization #SCB #&lt;$50B (FIS)"/>
        <s v="Vendor Talent Acquisition (RFI)"/>
        <s v="GE - ESG Alliance"/>
        <s v="WTH Cerner Acute Transition Services"/>
        <s v="Baker OFS Digital Engineering"/>
        <s v="Nestlé Marketing &amp; Media Transformation"/>
        <s v="Lead to Cash"/>
        <s v="Inspira Health: Microsoft CRM Implementation #MSFTProvider"/>
        <s v="Accurate FFG"/>
        <s v="Next Gen Manufacturing Strategy - Phase 2; #XCPGrowth"/>
        <s v="CCB Process and Operating Model Implementation - H2 2022"/>
        <s v="AT&amp;T Enterprise Customer Success Transformation"/>
        <s v="Amazon Care (AC) Government Market Entry -  Strategic Mobilization #HVM"/>
        <s v="NextGen Cost and Profitability - Operationalize Phase"/>
        <s v="SEC Enablement of Net Zero Coud"/>
        <s v="5G Labs - 2023 Program Execution"/>
        <s v="Morocco IT SMO"/>
        <s v="AAH IT Strategy"/>
        <s v="Cushman &amp; Wakefield Brokerage Optimization - Production Design &amp; Broker Support Optimization Pilot / Rollout"/>
        <s v="Confidential - Project X"/>
        <s v="Carefirst Enterprise Assessment (FEPOC) #DVC"/>
        <s v="Planning Process Enhancements"/>
        <s v="Citizens M&amp;A Strategic Support"/>
        <s v="Titanium Tower Acq"/>
        <s v="Manufacturing product transfer (tech transfer) implementation"/>
        <s v="*CI* KP BJT SOM Strategic Plan"/>
        <s v="Project Phoenix - Execution"/>
        <s v="CVS: Medicaid NextGen: 2021 Change Management Planning &amp; Support #PayerCO&amp;ITrans"/>
        <s v="Facebook Northstar Narrative Planning 2023"/>
        <s v="Risk Mgt Bookrunner Migration to CXL"/>
        <s v="Enterprise Rx Strategy"/>
        <s v="F-35 Value Chain Strategy and Process Mapping - Phase 1"/>
        <s v="IC Accounting Support (2022)"/>
        <s v="Access Center Consulting Services - Phase 2 Implementation"/>
        <s v="Walmart Clinic Strategy - *Strategic Reimbursement*"/>
        <s v="Stand up Region's Swap Dealer"/>
        <s v="USAA P&amp;C AWS Migration Planning &amp; Design"/>
        <s v="Grid Mod  OT PMO #PMaaS Phase 3"/>
        <s v="Core Modernization (#Finxact)"/>
        <s v="BBYH Customer Success #Hypergrowth build $1,000,000"/>
        <s v="Weatherford Sustainable Supplier Management Automation #ESG"/>
        <s v="Project F - Transformation"/>
        <s v="Consumer Predictive Engine Development #TMTPricing"/>
        <s v="Clinical Data Repository"/>
        <s v="Core Modernization System Integration, BaaS CoE"/>
        <s v="Phase 3 - Optum360 Acceleration Path Forward #PayerFFG_Admin"/>
        <s v="A&amp;AN** Shared Services - PAC and TC"/>
        <s v="MWI"/>
        <s v="MWI Phase 2"/>
        <s v="Digital Commerce BU Expansion Wolf"/>
        <s v="Veeva eQMS Program Expansion"/>
        <s v="Intel Cost Transformation"/>
        <s v="Baker Hughes EEG DT Cost Reduction"/>
        <s v="Federated - ERP Oracle Platform #Burgh  #Oracle_AWM"/>
        <s v="WSFS - Delivery Transformation - RPA and Process Intelligence"/>
        <s v="Growth Strategy"/>
        <s v="Manufacturing Strategy - Phase 3 Program Expansion"/>
        <s v="#IOBP -- BIRA Support Operations - Wave 2 - Year 2"/>
        <s v="Future State Benefit Inquiry Execution"/>
        <s v="DEI Culture &amp; Assessment - Worldwide Consumer"/>
        <s v="Viatris Comp Harmonization and Job Architecture Global Implementation"/>
        <s v="KeyBank Share of Wallet Opportunity"/>
        <s v="IHB Implementation for AMER/APAC"/>
        <s v="Phase 3 - Near-Shoring Manufacturing Strategy"/>
        <s v="#IOBP -- BIRA Support Operations - Wave 2 - Year 3"/>
        <s v="Qurate - Customer Data Platform"/>
        <s v="Golub MEC Acceleration: TOM Design, Policy, Governance, Automation, and PMO Support"/>
        <s v="ncino delivery R2.0 Situs/FIS ACBS integrations #FOBComm #&lt;$50B"/>
        <s v="HAL - ESG Supply Chain Management"/>
        <s v="EPM 2.0 - F&amp;A - ARCS, Task Manager, and Narrative Reporting"/>
        <s v="WBA Chief Customer Officer Organization"/>
        <s v="Procurement Leakage Reduction"/>
        <s v="Med Ed - *Strategic Reimbursement*"/>
        <s v="RAPS: Google T&amp;S Cloud Research &amp; Insights Desk"/>
        <s v="MGM - FP&amp;A / Oracle EPBCS Implementation"/>
        <s v="RL Finance - PM Support"/>
        <s v="ERP Implementation - Delivery"/>
        <s v="Demand Planning SAP enablement (IBP) #BigBets"/>
        <s v="KCP Business Transformation"/>
        <s v="GE Aviation Cost Out Program"/>
        <s v="EPM Design and Implementation"/>
        <s v="WSFS - Delivery Transformation - NGSS Associate Servicing w Salesforce"/>
        <s v="Qurate Retail Group - Finance Transformation"/>
        <s v="FedEx - Phase 2 Financial Close Implementation"/>
        <s v="PEP RGM RevolutioM Ongoing Sustainment"/>
        <s v="ETRADE Banks Integration Addendum 2"/>
        <s v="Project Symphony - Sign to Close - Pull-Thru - SPA - Extraction"/>
        <s v="Project Badger IMO"/>
        <s v="Coca-Cola ME&amp;E Phase 5 - MarTech Diagnostic"/>
        <s v="[Big Bet] Digital/Workforce Transformation"/>
        <s v="UAW Retiree Medical Benefits Trust Business Process Opportunity"/>
        <s v="Workforce Benefits Market Strategy Mobilization"/>
        <s v="GIS &amp; Data Integrity Strategy"/>
        <s v="Aflac - NextGen Cost Analytics #NextGenCostingMSO"/>
        <s v="Eaton - NextGen Cost Analytics #NextGenCostingMSO"/>
        <s v="Mcdonald's - NextGen Cost Analytics #NextGenCostingMSO"/>
        <s v="Excellus Knowledge Content and Training Assessment"/>
        <s v="Ross Stores - NextGen Cost Analytics #NextGenCostingMSO"/>
        <s v="Haliburton - NextGen Cost Analytics #NextGenCostingMSO"/>
        <s v="Dai-ichi Life - NextGen Cost Analytics #NextGenCostingMSO"/>
        <s v="Seagate - NextGen Cost Analytics #NextGenCostingMSO"/>
        <s v="Swiss RE - NextGen Cost Analytics #NextGenCostingMSO"/>
        <s v="NextEra - NextGen Cost Analytics #NextGenCostingMSO"/>
        <s v="Voya - NextGen Cost Analytics #NextGenCostingMSO"/>
        <s v="Delta - Fuel Management System - Implementation"/>
        <s v="R&amp;D Data Analytics FY23"/>
        <s v="Takeda US FP&amp;A Transformation Phase 2 (Anaplan) FY23"/>
        <s v="Inflation Support"/>
        <s v="R&amp;D Data Analytics FY24"/>
        <s v="ESG / Pre-assurance (US &amp; Europe) FY23"/>
        <s v="RSCS / Yum! - Insights-Driven Profitability Program Phase 4 #Profit"/>
        <s v="Project Platinum - Pre-Close PMO Support"/>
        <s v="GBS Cash Efficiency"/>
        <s v="Baker Hughes OFS Completions &amp; Well Intervention Product Cost"/>
        <s v="Spectrum Brands Performance Analyzer #RGM"/>
        <s v="Employer Digital Value Creation"/>
        <s v="FUB - Salesforce for Servicing - 2022 #FSSalesforce #FinancialFlows"/>
        <s v="Producer Downstream Implementation"/>
        <s v="Entitlements IED Support - EET Onboarding and Non-IED Roles"/>
        <s v="Off shoring strategy"/>
        <s v="DTV - Future State Reporting/Planning Systems (Phase 3)"/>
        <s v="DTV - Future State Reporting/Planning Systems (Phase 4)"/>
        <s v="Commercial LAS DISCOVERY AFS Vision Jan-Apr 2023"/>
        <s v="Fiserv Integration Support"/>
        <s v="Back Office Transformation - SOW #4 Big Rocks and Interim"/>
        <s v="Amgen Finance Accelerated Close Support"/>
        <s v="Hitachi Incubator Program Design"/>
        <s v="UTRGV - *Rev Cycle* Transformation - Phase 2b"/>
        <s v="Barilla - Performance Analyzer #RGM"/>
        <s v="Jamf - L2C Transformation - SFDC"/>
        <s v="Small Biz to VCG"/>
        <s v="HCSC Medicare Analytics CoE #xPC:PayerAnalytics #PayerAnalytics"/>
        <s v="GEICO Finance Transformation"/>
        <s v="HP TMO 1H FY23 Support"/>
        <s v="Virtual Health Program and technology development"/>
        <s v="Total Cost of Care Tool Development"/>
        <s v="Workforce Transformation"/>
        <s v="Transformation - Trust and Safety"/>
        <s v="OneStream - Consolidation implementation - Phase 1"/>
        <s v="WS: Cloud ERP Systems Selection &amp; Implementation"/>
        <s v="Core Modernization"/>
        <s v="US to MX Manufacturing Relocation"/>
        <s v="MSR One Framework Support - Phase 3"/>
        <s v="Phase 2 - Optum360 Acceleration Path Forward #PayerFFG_Admin"/>
        <s v="GE Gas Power Project / Product Platforming"/>
        <s v="HIG GB PAS R1 Support"/>
        <s v="Coca-Cola ME&amp;E Phase 5 - Bottler DME Diagnostic"/>
        <s v="Fiserv NYCB Integration Support"/>
        <s v="ADI Customer 360"/>
        <s v="GE Separation - Corporate - Long-term Stabilization - 2023"/>
        <s v="Zeomega Product Strategy #HVM #Alliance:Zeomega"/>
        <s v="Contact Center Transformation #CallCenter"/>
        <s v="General Deals Support - FY23"/>
        <s v="R&amp;D organization design and deployment #RWDEvGen"/>
        <s v="Rural Health Equity *Strategic Reimbursement*"/>
        <s v="Amazon Studios - ERP"/>
        <s v="GTN - Japan deployment"/>
        <s v="GTN - Germany"/>
        <s v="Entergy Transmission &amp; Distribution Merger Implementation"/>
        <s v="Phase 2 - TM Ops Build"/>
        <s v="Carbon Ledger Pilot"/>
        <s v="Best Buy Health CRM Optimization - Implementation Phase"/>
        <s v="KP Employer Digital Strategy"/>
        <s v="Unum Total Leave Migration"/>
        <s v="Project Aurum - IMO Support Phase I"/>
        <s v="DVC_GBS"/>
        <s v="Comcast Employee FinWell Program"/>
        <s v="MS - ETFC Acct Conversion Support - WMTech #WM"/>
        <s v="Billing Strategy and Zorua SI (Ph.1) - Commercialization BU"/>
        <s v="FHIT Implementation planning/preparation"/>
        <s v="FDA - Resource Capacity Planning - Journey Phase 4 #IOBP"/>
        <s v="Discover International Support Model Design"/>
        <s v="Job Architecture -- Pharmacy, Pop Healt, Contact Center"/>
        <s v="#QMS eQMS Implementation"/>
        <s v="Data and Analytics GBS Design"/>
        <s v="MWI Price Management Implementation"/>
        <s v="Oracle Cloud - On Prem Hyperion to the Cloud"/>
        <s v="Wholesale Credit Risk Rating Support (US Portion) #credit"/>
        <s v="S&amp;OP Third Party Assessment - Phase 2"/>
        <s v="BMS FFG Smart Budgeting IP Generation"/>
        <s v="Loan System Consolidation Change Management Program"/>
        <s v="ADS - S2P #Coupa Implementation"/>
        <s v="Migration of MasterCard Debit/Credit portfolios to Payments One#Alliance"/>
        <s v="Go-To-Market / Rev Ops org design/op model (TBD)"/>
        <s v="Future Cast Engagement #strategic - Phase 1 *Customer* *Dynamic*"/>
        <s v="RSI - Time &amp; Expense"/>
        <s v="P&amp;G - Next Gen Customer Advantage"/>
        <s v="GHG Implementation"/>
        <s v="BBYH - Revenue Cycle Management Phase 2"/>
        <s v="Loyalty Strategy &amp; Build"/>
        <s v="Marketing Analytics - Media Intelligence"/>
        <s v="Oracle EPM - Consolidations (FCCS)"/>
        <s v="B2B Loyalty Strategy &amp; Build"/>
        <s v="Warranty Process Optimization / Warranty Cost Reduction"/>
        <s v="Live Oak nCino optimization delivery R2 #&lt;$50B"/>
        <s v="Live Oak Customer Engagement layer  #&lt;$50B"/>
        <s v="S&amp;P Global - Digital Transformation / Operating Model Shift"/>
        <s v="SCJ - Marketing Bundle"/>
        <s v="In-/ Out-bound Logistics Strategy"/>
        <s v="PEP CDP Implementation"/>
        <s v="ICP/LE Forecasting Transformation"/>
        <s v="Compass Phase 4 - EPM for Capital"/>
        <s v="BSC T2 Growth Strategy Refresh"/>
        <s v="MSFT Commerce Finance FY22 Portfolio Service"/>
        <s v="Amazon AWS Sales Transformation as a Growth Enabler"/>
        <s v="F&amp;G Mortgage Loan Close Support FY22"/>
        <s v="L3Harris Digital Engineering - CY22 Implementation Support [Placeholder]"/>
        <s v="L3Harris Digital Engineering - CY22 Program Support"/>
        <s v="Phase 2 - Vendor ROI framework for Wires Replacement"/>
        <s v="Treasury Management System Migration to Quantum"/>
        <s v="PEP Innovation Management - Phase 4 (FY23 Support)"/>
        <s v="Treasury Transformation"/>
        <s v="Aligned Disciplined Growth (Fit for Growth) - Strategy &amp; Alignment"/>
        <s v="5-Year VCG Sales/Care/Ops Plan / 'No Holds Barred'"/>
        <s v="Fit for Growth - Finance Transformation"/>
        <s v="Value Capture Team - 2023"/>
        <s v="Associate Engagement Phase 1"/>
        <s v="Dollar General Clinic Strategy - *Strategic Reimbursement*"/>
        <s v="Duracell - TPM Performance Analyzer Implementation Support #RGM"/>
        <s v="BMS  Celgene Integration - LER Global Supply Chain Addition"/>
        <s v="Data Strategy Mobilization"/>
        <s v="LifeCo Future Proofing &amp; Financial Wellness"/>
        <s v="Organ Analysis - *Strategic Reimbursement*"/>
        <s v="Middle and Last Mile Transformation"/>
        <s v="Care Model Design - Phase II Design and Planning #HVM"/>
        <s v="GE FP&amp;A Transformation - Phase 0"/>
        <s v="*CI*UTSW School of Public Health Planning- Phase 2 Implementation"/>
        <s v="F-35 Sustainment Operation Model Redesign"/>
        <s v="F-35 PBL Investment Strategy"/>
        <s v="Moderna CMO Operating Model Design - Execution Phase"/>
        <s v="USAA - Parallel Bank Feasibility Strategy"/>
        <s v="ASC ERP Implementation"/>
        <s v="Healthfirst - (APX) PayDoc Support Extension #PayerCO&amp;ITrans"/>
        <s v="Pro Services Support"/>
        <s v="Procure to Pay #P2P #S2P"/>
        <s v="BMS GPS Operating Model Assessment"/>
        <s v="GE Gas/Power LE Simplification"/>
        <s v="Project Gemini - Financial Transparency Implementation"/>
        <s v="COC &quot;WAVE&quot; Tool #HVM"/>
        <s v="Workday FTP Platform Implementation"/>
        <s v="Salesforce Loyalty Design &amp; Build"/>
        <s v="GPM: Strategic: Global Price Management Governance and Solutions"/>
        <s v="CoP 2022/2023 Job Architecture Phase II"/>
        <s v="Hologic surgical M&amp;A"/>
        <s v="CareLinx Growth Strategy - Phase 1 - CS_EDT_PLS #HVM"/>
        <s v="Asset Knowledge Management (UN Cutover Assessment)"/>
        <s v="LPL / SEC Rule 206(4)-1 (Marketing Rule) Support / $985,000"/>
        <s v="HP Channel Execution Design"/>
        <s v="Claims Solution Modernization &gt;&gt; FEPOC plan and design #PayerCO&amp;ITrans"/>
        <s v="Commercialization capability build #XPCGrowth"/>
        <s v="Citi Enterprise Risk Management Training Extension: TNA"/>
        <s v="Bayer OnePSS Pilot - Global Trade"/>
        <s v="MS CIS Risk - Exception Governance Framework Phase 2"/>
        <s v="SBSD 2021 Amend"/>
        <s v="WFHL Investor Risk Management #ClearControl"/>
        <s v="Wells Fargo Enterprise Services Governance Office: Peer Benchmarking and Target Op Model #Core"/>
        <s v="Citizen's Bank - Front End Development Support"/>
        <s v="Citrix Financial Close and Systems Support"/>
        <s v="SaaS Product Commercialization: PLM Design &amp; CLC Build"/>
        <s v="Managed Services for Trading System"/>
        <s v="Demand Planning as a Managed Service"/>
        <s v="BKR_CPQ_Salesforce"/>
        <s v="Centene VBC Analytics Design and Implementation"/>
        <s v="Ops Transformation"/>
        <s v="Byram Apria Technology Strategy"/>
        <s v="Cabot_LeadToCash_Salesforce"/>
        <s v="Supply Chain Improvement"/>
        <s v="SO_Click to SFS Migration_Salesforce"/>
        <s v="TTS-Enterprise Agility Ph 1"/>
        <s v="Williams - Managed Services - Trading Systems"/>
        <s v="Astec  SSO Assessment &amp; Roadmap"/>
        <s v="Grid_Clean Energy E&amp;U Cloud_Salesforce"/>
        <s v="GE Separation - Corporate - GRC Phase 2"/>
        <s v="Avangrid_LandMgt and SFS_Salesforce"/>
        <s v="Spirit Aero - Defense Planning - Phase 2"/>
        <s v="Quality Management"/>
        <s v="Lixil Americas Benchmarking - Phase 2"/>
        <s v="Chipotle - personalization at scale"/>
        <s v="CCAR and Capital Reg Support"/>
        <s v="Project Guinness Extension FY23"/>
        <s v="PSS: In-Flight Review Support Phase 1 (myPBM) #PayerCOI&amp;Trans"/>
        <s v="GE GP Aero E2E Supply Chain Strategy &amp; Planning, OTD"/>
        <s v="Integration Assessment / Dashboards / Management"/>
        <s v="Intel Marketplace_Design Phase - Sprint 4"/>
        <s v="SNAP - CRM Experience &amp; Relationship Mgmt Phase 2"/>
        <s v="Enterprise Risk Implementation Roadmap"/>
        <s v="CVR Energy Right Angle - Petroman Replacement"/>
        <s v="GPS xLOB Support &amp; NextGen Coordination  #PayerCO&amp;ITrans"/>
        <s v="PET 3"/>
        <s v="Ultimate Kronos - Treasury Managed Services #TreasuryMSO"/>
        <s v="Enabling 2.0 Strategy"/>
        <s v="Endur Upgrade - V17 - VX"/>
        <s v="3D Rendering Assessment"/>
        <s v="PACNW CommonSpirit Reimb: VMFH FFY24-26 WI/OM/Group Reclass *Strategic Reimbursement*"/>
        <s v="Cards Benefits Strategy"/>
        <s v="CDM&amp;CT EHR Optimization"/>
        <s v="GWAM - Organization Structure / Operating Model"/>
        <s v="CUNA - Workday change management"/>
        <s v="ERP Transformation - Enahancements"/>
        <s v="Gilead: Transformation- Commercial: HIV Long-Acting Treatment Pipeline GVAS"/>
        <s v="Gilead: Transformation: Magro AML/MDS GVAS"/>
        <s v="Data Analytics in Logistics"/>
        <s v="Design Brex Bank #FOB-Blueprint"/>
        <s v="Phase 2 Baystate//Cerner Rev Cycle Implementation - PMO *Rev Cycle* *RC Tech* Support FY23"/>
        <s v="EmblemHealth - Project Saltine"/>
        <s v="Pre/Post Implementation Assessment - 2023"/>
        <s v="Wabash National FP&amp;A Build"/>
        <s v="USAA P&amp;C Agency Strategy &amp; Design (Phase 2)"/>
        <s v="Potential work US Bank Climate"/>
        <s v="MS at Work - Restricted Securities Market Entry (Phase 3)"/>
        <s v="2022 Comerica Credit Model Development #credit"/>
        <s v="Afterpay - FP&amp;A Integration Support II"/>
        <s v="MSFT HR FY23 TLI GLD H1 Support"/>
        <s v="Seagate - SAP Phase 2 Comms Support"/>
        <s v="GTC Design &amp; Implementation (Q3 2022)"/>
        <s v="Morgan Stanley - Finance Academy #ProEdgexWorkforce (Phase 2&amp;3)"/>
        <s v="PSEG_Gas MVP Support"/>
        <s v="VGX3100 Launch Strategy - Wave 3"/>
        <s v="Merch and Supply Chain System Selection #CMRETAIL #RMO"/>
        <s v="CVS Health - Aetna Medicaid Capability Review"/>
        <s v="Project College - CTO  VMP &amp; Trx"/>
        <s v="MSFT TLI GTM Sponsorship Design and Build"/>
        <s v="2019 - 2023 Annual H&amp;W Services"/>
        <s v="ISO 20022 Strategy"/>
        <s v="Citizens - BaaS Framework Assessment and SME Support"/>
        <s v="Verizon Digital Twin - Phase 3"/>
        <s v="Onshore Wind Cost-Out and Operating Model"/>
        <s v="GE Gas Power Product Lifecycle Configuration Management Roadmap #GET+DD"/>
        <s v="Chronograph Implementation Support"/>
        <s v="Rocket Solar (Rocket Mortgage)"/>
        <s v="EPM Roadmap Development"/>
        <s v="VCG Efficiency Execution"/>
        <s v="F-35 Training - Cost Strategy &amp; Analytics #DVC"/>
        <s v="PwC FY23 H&amp;W Consulting - General (1st Half)"/>
        <s v="Morgan Stanley / Global Settlements Platform 2H22 / $850,000"/>
        <s v="Aflac Group Strategy"/>
        <s v="Medicare FFY 24 &amp; 25 Wage Index and Occupational Mix Analysis *Strategic Reimbursement*"/>
        <s v="KP MembershipConnect CDS CY2022 Q3 #PayerCO&amp;ITrans"/>
        <s v="Aggregated Sourcing Phase 2"/>
        <s v="Grid Mod OT PMO - PB Phase B #PMaaS"/>
        <s v="ASML Manufacturing Supplier Market Scan"/>
        <s v="Value Capture Team - July to Dec"/>
        <s v="Bodylogical (BL) - Ulcerative Colitis Modeling for R&amp;D"/>
        <s v="Media Investments &amp; Sales Leads: Media Mix Model"/>
        <s v="Regulatory Reporting - Program &amp; Directory"/>
        <s v="Surprise Billing - execution support #PayerCO&amp;ITrans"/>
        <s v="FNB Corp Bank Transformation Blueprint #&lt;$50B #FOB #FOB-Blueprint"/>
        <s v="NiSource Safety App"/>
        <s v="BCBSM - Benefit Configuration Future State Planning #PayerCO&amp;ITrans"/>
        <s v="Medical Cost Reduction / Abacus #HVM"/>
        <s v="MS - IT Asset Inventory Sec Reqs"/>
        <s v="Inovio - Knowledge Center Support #QualityManagedServices"/>
        <s v="Project Symphony - LD1 Extension - Data Horizontal"/>
        <s v="Sales Playbook and Customer Planning"/>
        <s v="Distribution Strategy and Optimization"/>
        <s v="CHS Empower - Staffing Support"/>
        <s v="Weatherford Sustainability Roadmap Implementation #ESG"/>
        <s v="Partner Data Exchange - Ecosystem Design and Support"/>
        <s v="Morgan Stanley Client Service &amp; Sales Enhancement"/>
        <s v="Fashion Nova - Back Ofc: HRIS Transformation"/>
        <s v="ISG Compliance Projects Support"/>
        <s v="2022 KeyBank Dynamic Credit Surveillance Implementation Support #Credit"/>
        <s v="Supply Chain Control Tower / NOC Step 2 (MVP) #MW"/>
        <s v="URI Logistics Op Model Ph 1"/>
        <s v="Reimagining the Digital Experience - TLN Group"/>
        <s v="IWMS Implementation"/>
        <s v="L'Oreal USA - Performance Analyzer (SaaS)"/>
        <s v="TECO - Flowcal measurement upgrade"/>
        <s v="Myriad Genetics_UOM_Ph1_Vision &amp; Solution Design Combined-Phase Approach"/>
        <s v="Back Office Transformation - 2023 Software Selection"/>
        <s v="SRM Strategy/Go Forward Framework and Plan"/>
        <s v="AT&amp;T Public Sector P&amp;L &amp; Ops Portal Execution"/>
        <s v="Project Alpha: implementation and migration support #PayerCO&amp;ITrans"/>
        <s v="Marriott Employee Engagement Platform Strategy and Implementation"/>
        <s v="iFIT #MI"/>
        <s v="P66 CLM"/>
        <s v="SFBLI Lifetime Value Analytics"/>
        <s v="AIM platform design and planning #PayerCO&amp;ITrans #HVM"/>
        <s v="RJF $100Bn Threshold - Risk &amp; Capital Gap Assessment"/>
        <s v="Capital Management Phase 2"/>
        <s v="BD Commercial Contracting - Phase 1 Process Re-engineering *Pricing*"/>
        <s v="Digital Twin Commercialization for UAS Frequency Allocation"/>
        <s v="McKesson - Responsible Sourcing Program Phase 2 2022 #S&amp;P #ESG"/>
        <s v="Regions Core Finance Opportunity #RocktheSEPipe"/>
        <s v="*CI* Kelsey Seybold Patient Experience Design"/>
        <s v="CVS HCB IT Strategy Support"/>
        <s v="OptumRx - RFP for IRIS replatforming"/>
        <s v="Ally Smart Auction - Q4 Development"/>
        <s v="GE Separation - Corporate - DT Retroactive CO 1"/>
        <s v="HMS Carve out support - CR4"/>
        <s v="PCI - Madison Remediation"/>
        <s v="Comprehensive Rx Assessment"/>
        <s v="Beaumont Division *FFG* Design and Planning"/>
        <s v="Business Continuity Planning Support (Process Work, Training, Testing) - Ext 08"/>
        <s v="Cox Automotive Tech Disruptor Strategy Proposal"/>
        <s v="Baptist Memorial ERP Phase 0"/>
        <s v="Jacobs - Divergent Solutions - Data Solutions Phase 1"/>
        <s v="CRS Connected Commerce - Strategy / PoC"/>
        <s v="SPB #Coupa S2P Implementation: Build, Test, &amp; Deploy"/>
        <s v="Project Orbit Cost Takeout / Stranded Cost Remediation Support"/>
        <s v="CoH FCCS Implementation"/>
        <s v="IWTA Implementation"/>
        <s v="Baptist Memorial_Marketing Cloud Expansion"/>
        <s v="Centene - Tango Implementation Oversight"/>
        <s v="BMS China - R&amp;D Implementation Support #orgstrat"/>
        <s v="Payments Strategy Modernization #Digitalassets"/>
        <s v="Workiva Stat Transformation"/>
        <s v="Ops VIP Project Support"/>
        <s v="TPM Design &amp; Implementation Phase 1 &amp; 2"/>
        <s v="MSFT GTM Talent Management Principles"/>
        <s v="DTNA OpCom Strategy"/>
        <s v="MSR Acquisitions Workflow Solution Build"/>
        <s v="Bayview Funds - FFG"/>
        <s v="Intercompany Process Improvement"/>
        <s v="Stryker - Accelerate Field Inventory / Business Integrator Support - $750K"/>
        <s v="TCCC - FP&amp;A Transformation Phase 1B - Implementation - CO # 1 (Two Month Extension)"/>
        <s v="Honda - Smart Factory Use Case Deployment &amp; Strategy"/>
        <s v="Deals Support"/>
        <s v="Kyriba Support (Jul - Dec 2022)"/>
        <s v="Liberty Mutual  - Surety Mobilization"/>
        <s v="LM Space Supply Chain Assessment #AvWeek"/>
        <s v="Pershing Wealth Soln - OpModel Review"/>
        <s v="SCL ITSM Assessment and Systems Consolidation"/>
        <s v="CDW - Treasury Managed Services #TreasuryMSO"/>
        <s v="Signet - Treasury Managed Services #TreasuryMSO"/>
        <s v="Papa John's - Treasury Managed Services #TreasuryMSO"/>
        <s v="Pregis - Treasury Managed Services #TreasuryMSO"/>
        <s v="Workiva - Treasury Managed Services #TreasuryMSO"/>
        <s v="Skechers - Treasury Managed Services #TreasuryMSO"/>
        <s v="Walgreens - Treasury Managed Services #TreasuryMSO"/>
        <s v="Lamar - Treasury Managed Services #TreasuryMSO"/>
        <s v="HCE IT service/solution optimization #PayerCO&amp;ITrans"/>
        <s v="Steward Health Care - Treasury Managed Services #TreasuryMSO"/>
        <s v="Taylor Morrison Home Corp - Treasury Managed Services #TreasuryMSO"/>
        <s v="Lubes - Pricing Technology Roadmap #bigbet"/>
        <s v="DSP Modernization"/>
        <s v="Yondr Americas - Strategic Support"/>
        <s v="ADP Ventures CoSo Contractor Worker Estimated Tax Payment Solution"/>
        <s v="*Rev Cycle* Ops Opportunity Assessment"/>
        <s v="Deere_Marketing Transformation_placeholder"/>
        <s v="GE Healthcare - Sales &amp; Operations Planning"/>
        <s v="#QMS ADM Managed Services Complaints &amp; Doc Management"/>
        <s v="Phase 2 Rev Cycle Extension *Rev Cycle* *RC Tech*"/>
        <s v="EHI S2P - Phase 3B - Coupa CLMA Rollout #S&amp;P"/>
        <s v="Kyriba Support (July - Dec 2022)"/>
        <s v="North America (ARCS &amp; FCM)"/>
        <s v="GRM Distribution Company Carve Out: Field Op Model Strategy &amp; Execution"/>
        <s v="GSK Pharma Digital Commerce"/>
        <s v="GSK Pharma Digital Commerce Phase 2"/>
        <s v="#QMS CTDO Fusion implementation support"/>
        <s v="Alight Solutions - Treasury Managed Services #TreasuryMSO"/>
        <s v="R&amp;D Velocity and Predictability"/>
        <s v="Agile Transformation"/>
        <s v="Finance Modernization - Phase 1 (2020) #Hawk"/>
        <s v="Beigene Capital Process Development and Tool Selection"/>
        <s v="ADM eQMS Implementation"/>
        <s v="*CI* MedEd Affiliation Strategy and Design"/>
        <s v="MS - ETFC CX"/>
        <s v="#IOBP-Portfolio Ops R&amp;D Initiative: R&amp;D Functional Planning Optimization (SPOT)"/>
        <s v="Digital Quality Systems Implementation"/>
        <s v="Health &amp; welfare recurring consulting"/>
        <s v="Merchandise Hierarchy Phase 2"/>
        <s v="Brookfield - Treasury Managed Services #TreasuryMSO"/>
        <s v="Back Office Transformation - SOW  #2 Reporting, PayBill IS, CRM/TRM"/>
        <s v="WG&amp;S Digital Commerce"/>
        <s v="BX Financed Emissions #cs_esg"/>
        <s v="Procurement as a service #S&amp;P#POD #TMTMSO"/>
        <s v="Partner Payments TOM- Technology Solution"/>
        <s v="Centerpoint ESG"/>
        <s v="Zappos Finance Transformation"/>
        <s v="Transformation - Sports Campaigns"/>
        <s v="Sysco FP&amp;A review"/>
        <s v="JPS - Phase2 - Financial and Strategic Planning"/>
        <s v="Management Company Value Creation #Hawk"/>
        <s v="GE Separation - Healthcare - IT Contract Separation Support #S&amp;P#POD"/>
        <s v="Finance Close Optimization &amp; Transformation #FSProcessMining"/>
        <s v="DTO Part II -  ~5 Additional Design Areas"/>
        <s v="GDMS Oracle EPM Implementation - Phase III"/>
        <s v="Loyalty financial management implementation"/>
        <s v="Valero - SAP - Carbon Ledger Implementation"/>
        <s v="Wine.com - Finance Transformation Phase 1"/>
        <s v="Idea to Market - Phase 2"/>
        <s v="Budgeting Forecasting - Phase I"/>
        <s v="Product Management &amp; Software Development Refresh"/>
        <s v="WellStar CRM Transformation: PRM #MSFTProvider"/>
        <s v="iCPQ Business Integrator for Specialty"/>
        <s v="Old Mutual Job Architecture Design (US)"/>
        <s v="Healthfirst 2021 - Next best action / personalized member experience - #Payer Customer Advocacy"/>
        <s v="Little Rock FFY 2024-2026 RRC-Wage-OM - *Strategic Reimbursement*"/>
        <s v="DoorDash Wolt AIMO Extension"/>
        <s v="Consumer Digital Integration - Strategic Advisory Support"/>
        <s v="Manitoba - Liquor Sales Privatization - 750,000"/>
        <s v="AT&amp;T - Employee Experience (internal Zoo)"/>
        <s v="Economic Cost of Racial Inequities in Healthcare MA"/>
        <s v="Copa Loyalty Strategy &amp; Program Design"/>
        <s v="India Manufacturing Center of Excellence Strategy"/>
        <s v="Global Payments Peerless Org Transformation - Direct"/>
        <s v="EHI Coupa Phase 4"/>
        <s v="Mosaic Digital Upskilling: Ph 2 ProEdge"/>
        <s v="Workday Integrations Extension 2nd Half '22"/>
        <s v="CoH EPM Assessment, Support and Roadmap"/>
        <s v="Consumer SME Digital transformation"/>
        <s v="US Bank Core Transformation - Alignment Workshops"/>
        <s v="Procurement Optimization"/>
        <s v="Oracle Cloud - HFM to the Cloud"/>
        <s v="Gilead: Transformation - Commercial: Salesforce Transformation Strategy"/>
        <s v="ICERTIS Implementation Phase 0"/>
        <s v="OEE / Manufacturing Improvement"/>
        <s v="MSWM Workplace Salesforce Cases Implementation #WM"/>
        <s v="FIS - Procurement Contract Tool Integration to Oracle Cloud"/>
        <s v="Leveraged Procurement / Procurement On Demand #S&amp;P#POD"/>
        <s v="FRB Doc prep system selection #Comm50B+"/>
        <s v="*CI* UTSW School of Public Health Planning- Phase 3 Support"/>
        <s v="Strategic Pricing and Cost Reduction for Revenue Cycle *Rev Cycle*"/>
        <s v="PLADS Growth / Operational Strategy"/>
        <s v="Kaiser Simplify Collaboration"/>
        <s v="CVS Pharmacy Human Centered Design COE"/>
        <s v="Seagate - SAP Phase 2 Comms Support - $750K - Updated"/>
        <s v="WellStar CRM Transformation: Provider Portal #MSFTProvider"/>
        <s v="Distribution Strategy Support"/>
        <s v="Citizens Climate Risk #cs_esg"/>
        <s v="Commercialization Function Design"/>
        <s v="IOTG - PMCE - Foundational Capabilities - Phase 1"/>
        <s v="LM Space UK Strategy Phase 2"/>
        <s v="Google xWS FY22 Controls Assessment"/>
        <s v="Extension - Banks ETRADE IT Governance Integration"/>
        <s v="Synchrony CDP MVP Managed Services"/>
        <s v="Tensar Integration and S4 Assessment"/>
        <s v="AMZN Finance: Accounting Reconciliation Support"/>
        <s v="Hershey SAP TPM+DME Upgrade + S4 Integration - Change Order 5 #Time line changes for US/CA SIT/UAT"/>
        <s v="Potential work after ASUS.ESG.CC-John Hancock Net Zero Transition"/>
        <s v="FRB - Middle / Back Office Transformation - Bridge Phase"/>
        <s v="Clinician &amp; Patient Engage + Coord Capabilities - Diagnostic Phase"/>
        <s v="Enterprise Cost of Care and Care Model #HVM"/>
        <s v="Trimble - Digital transformation training &amp; upskilling #adopt #ProEdgexWorkforce"/>
        <s v="BMO Digital Advice Assessment"/>
        <s v="KCP NA GTM Transformation"/>
        <s v="Wintrust nCino R1 FY22 #&lt;50B"/>
        <s v="HCSC Personalization Product Factory 1"/>
        <s v="HCSC CX Org Activation"/>
        <s v="MS - Re Imagine Real Estate (Take 2!)"/>
        <s v="Transcontinental Sales Effectiveness Value Selling"/>
        <s v="Phase 0 - ERP COA and Big Rock"/>
        <s v="MS IIS - PMO Quick Bid (2022) #WM"/>
        <s v="UKG Billing &amp; Revenue Recognition- PEPM"/>
        <s v="Commercial Analytics"/>
        <s v="mRNA Flu Purchasing and Contracting Assessment"/>
        <s v="Global sourcing"/>
        <s v="Cost of Complexity - Simulation Modeling"/>
        <s v="ARK - Investcloud Implementation Extension"/>
        <s v="Cambia ASO Strategy"/>
        <s v="DIRECTV Network Strategy"/>
        <s v="AbbVie Early Development Sourcing Strategy #ClinicalSourcing #OrgStrat"/>
        <s v="Mayo Clinic Nursing Total Rewards Strategy"/>
        <s v="Interos Market Evaluation, Intake and Product Development Process"/>
        <s v="Excellus - Project Eiffel Tower - May 2022 #PayerCO&amp;ITrans"/>
        <s v="Oklahoma Gas and Electric Customer Satisfaction"/>
        <s v="Federal Market Strategy"/>
        <s v="RL Finance - Costing and Inventory Support"/>
        <s v="R&amp;D Productivity and Innovation Enhancement"/>
        <s v="HMS Integration Phase 3a - Additional staffing"/>
        <s v="Brooks Supply Chain Execution -- Discovery (Global Best Practices &amp; Software Vendor Selection)"/>
        <s v="Intel - Strategic Workforce Planning - $675K"/>
        <s v="#QMS BMS Med Dev Phase 2 - 2022"/>
        <s v="Headway Collaboration Technologies"/>
        <s v="Dexcom COP - Sprint 2 PLS Hypergrowth #XPCGrowth"/>
        <s v="MSFT CELA Competition and Market Regulation Group Support - FY23"/>
        <s v="Abrigo Data Transformation &amp; TMO"/>
        <s v="UBS - Broadridge Tech Expertise"/>
        <s v="FSP - Phase 2 Additional (Go-Live in August) #TMTPricing"/>
        <s v="Lubrizol TPRM Program System Install_US284.6"/>
        <s v="S&amp;PS Engineering IT Operating Model definition"/>
        <s v="TPRM Build and Pilot_US284_2"/>
        <s v="Fare Trace Production Version"/>
        <s v="Valley Bank Customer Link #PRO"/>
        <s v="AWOW Q3"/>
        <s v="Tapesty_East_TPRM Technology Selection and Install_US284.6"/>
        <s v="Digital Transformation"/>
        <s v="Marketplace Strategy"/>
        <s v="Allstate B2B2C"/>
        <s v="Volvo - Logistics Benchmarking Study NA &amp; EU"/>
        <s v="USAA Customer Link #PRO"/>
        <s v="Customer Experience, Technology &amp; Data Assessment"/>
        <s v="Project Polaris - EPM Long Range Planning Solution"/>
        <s v="IT/Cybersecurity Maturity Assessment - Fresh Thyme"/>
        <s v="Customer Experience, Technology &amp; Data Assessment (Advanced Auto)"/>
        <s v="Inbound International Patient Care Program - Assessment and Business Plan"/>
        <s v="Digital Strategy"/>
        <s v="McKesson - Responsible Sourcing Program Phase I 2022 #S&amp;P #ESG"/>
        <s v="Chewy Digital Finance Transformation EPBCS"/>
        <s v="Oracle EPM - Enterprise Data Management (EDMCS)"/>
        <s v="SCL Supply Charge Capture Optimization *rev cycle*"/>
        <s v="CVS: Medicaid PHM ext 1"/>
        <s v="Pricing Support"/>
        <s v="Link Logistics - Customer Transformation / CX Strategy"/>
        <s v="WH - Phase 1 EHR Implementation Support *RC Tech* *Rev Cycle*"/>
        <s v="Industrial Manufacturing Growth Strategy"/>
        <s v="Project Symphony - Sign to Close - Pull-Thru - Tax Optimization"/>
        <s v="TDH Sales Comp Xactly Change Request"/>
        <s v="Integrated Mortgage Servicing Analytics for Wells Fargo"/>
        <s v="Treasury - Virtual Card Implementation"/>
        <s v="Enlink DDSR"/>
        <s v="Source-to-Pay Process Improvements Summer 2022"/>
        <s v="Strategic Pricing and Contract Review"/>
        <s v="mRNA Competitive War Games Phase 1"/>
        <s v="mRNA Competitive War Games Phase 2"/>
        <s v="Entergy: Perform for Texas Distribution (April 2022)"/>
        <s v="Memorial Sloan-Kettering Cancer Center *VBO* BC Denials A/R Assistance FY23 Extension"/>
        <s v="USAA P&amp;C Modernization FinPal Test Lead"/>
        <s v="*SMART* License - Houston Methodist"/>
        <s v="Signature FINANCIAL  - ncino Leasing Discovery"/>
        <s v="Microsoft- ISD Contracting Modernization FY23 Support"/>
        <s v="P66 Right Angle Support Managed Services Extension"/>
        <s v="Technology Analyst Program (TAP) Design"/>
        <s v="Geron - Commercialization Support - MDS Drug Launch - $600K"/>
        <s v="Sales and Finance Reporting Analytics Dashboard"/>
        <s v="Mexico Supplier Strategy Phase 1"/>
        <s v="NT Productivity Assessment"/>
        <s v="GA Expense Allocation"/>
        <s v="Freight Forwarder RFP"/>
        <s v="Wabash Digital Marketplace Phase 1"/>
        <s v="Fit for Growth Assessment"/>
        <s v="Lilly TeVO Strategy Refresh Phase 2 #medable"/>
        <s v="Amica Customer Data Platform - Customer Link License"/>
        <s v="CVS: Clinical/Quality UM &amp; CM Support Continuation - 2022 #PayerCO&amp;ITrans #HVM"/>
        <s v="Risk Analytics Vendor Selection and Implementation"/>
        <s v="Commercial systems Managed Services"/>
        <s v="CareSource Phase 2 #DVC"/>
        <s v="RSVP Ops Pod - Managed Service #TMTMSO"/>
        <s v="#IOBP -- BIRA Support Operations - Wave 2 - Year 1"/>
        <s v="Distribution Network Optimization"/>
        <s v="Google - MATI Support 2022"/>
        <s v="Synovus nCino LOS Delivery Release 1 FY23 #&lt;$50B #SCB"/>
        <s v="Amica Customer Data Platform - Services"/>
        <s v="Project Barber Shop  - Phase 2 (Tactical Brands)"/>
        <s v="*SMART* License - Atrium Health"/>
        <s v="Consolidated FCE CMP Implementation Follow-On"/>
        <s v="Dental platform implementation execution support PayerCO&amp;ITrans"/>
        <s v="WFRD ESG Placeholder"/>
        <s v="INGR - Commodity Managed Services"/>
        <s v="Claims technology platform modernization - proof of concept and planning #PayerCO&amp;ITrans"/>
        <s v="Endur Managed Services"/>
        <s v="Project Management Support"/>
        <s v="Project Orange - Finance Integration and Accounting Support"/>
        <s v="Transocean Inventory Optimization"/>
        <s v="PLM and S2P Assessment and Roadmapping"/>
        <s v="CDP and Customer Engagement Technology Implementation"/>
        <s v="VZ Innovation Center Support"/>
        <s v="Treasury-as-a-Service - Delivery - #TreasuryMSO"/>
        <s v="PHP Provider Implementation #CO&amp;IPayerTrans"/>
        <s v="1211 Voice Network Simplification"/>
        <s v="VNG Cost Reasonableness Study"/>
        <s v="Potential work after ESG Disclosure Program 2022"/>
        <s v="Cargill - TPE Phase 1 - Minimum Global Standards #RGM"/>
        <s v="Epic RCM Optimization Implementation"/>
        <s v="Endur Platform Hosting"/>
        <s v="Healthcare - Home Setting &amp; Specialty Pharmacy Due Diligence #XPCONC"/>
        <s v="Oracle Health Insurance OHI - implementation support #PayerCO&amp;ITrans"/>
        <s v="Excellus Provider Digital Strategy and Design"/>
        <s v="ARCS Implementation - Phase 1"/>
        <s v="Atrium:  Customer Experience &amp; Digital Strategy - Phase 2"/>
        <s v="Sales Effectiveness Assessment"/>
        <s v="EU Channel Service Strategy- Implemenation"/>
        <s v="Integrated Human Capital Blue Print"/>
        <s v="ncino TM/Cash Mgt Discovery #&lt;$50B"/>
        <s v="ASUX PLM Assessment Phase 2"/>
        <s v="Comcast HR Op Model BXT 2 &amp; Change Management Support"/>
        <s v="Intel IFS Pricing &amp; Sales Enablement #TMTPricing"/>
        <s v="BPO RFI Support"/>
        <s v="GRC Tech Strategy/Vision/Comm Plan and OpModel"/>
        <s v="Hershey SAP TPM+DME Upgrade + S4 Integration - FACTS Redesign  #RGM"/>
        <s v="Premier Health - Strategic Opportunities"/>
        <s v="Horizon - Analytics Staff Aug and Transformation #PayerAnalytics"/>
        <s v="*SMART* License - Henry Ford"/>
        <s v="KP PHM Program Design and Mobilization Phase 2 #HVM"/>
        <s v="Discord Trust &amp; Safety Phase 2"/>
        <s v="Aries -  2021 Finance Proj Ops"/>
        <s v="Grupo UNACEM - Proceso de Planeación Estratégica"/>
        <s v="Client Service / RIO Support Q4 2022"/>
        <s v="Client Service / RIO Support Q3 2022"/>
        <s v="CDP Strategy and Planning"/>
        <s v="Microsoft Advertising Strategic Go To Market Integration Support"/>
        <s v="CDP Strategy and Implementation Planning"/>
        <s v="Twilio - Segment GTM Integration"/>
        <s v="Country Trust Bank - Transformation Roadmap"/>
        <s v="5-Year Strategic Plan"/>
        <s v="Baycare | WebMD Marketing Attribution"/>
        <s v="PRP Enablement Support - Phase 0"/>
        <s v="Schneider USA Contact Center Digitization #callcenter"/>
        <s v="Netapp - Sales Compensation"/>
        <s v="Eli Lilly Personalized Guidance &amp; Behavior Change"/>
        <s v="Global Ben Admin Consulting"/>
        <s v="Hershey SAP - FACTS Remediation  #RGM"/>
        <s v="Cuprum - FY22 - Inorganic growth strategy"/>
        <s v="Textron External Website Redesign"/>
        <s v="Brinker - FP&amp;A Transformation Blueprint (Wave 1) - Oracle EPM"/>
        <s v="CPG Value Chain and CTS Assessment"/>
        <s v="Middle Markets Strategy"/>
        <s v="Chart of Accounts Redesign"/>
        <s v="Lancasco/Scentia_ Growth Strategy"/>
        <s v="ecoATM Channel Management"/>
        <s v="AMZN Finance: Tririga PM Support"/>
        <s v="CVS Health - Aetna FL Pre-RFP Planning #GCoE Medicaid"/>
        <s v="Business Performance KPI"/>
        <s v="Barclays AAIT Assessment &amp; Roadmap"/>
        <s v="MS IIS - MFO Policies, Procedures, &amp; Automation Governance Documentation (2022) #WM"/>
        <s v="CY2021-23 &amp; FY2022-24 Forms 5500 and Project Management Services"/>
        <s v="Project Cleef - Sign to Close Support"/>
        <s v="WIM CAO Cost Efficiency - Phase 2"/>
        <s v="CN - Cons. - Fuels Portfolio &amp; System Modernization_PwC US"/>
        <s v="OptumRx PDE Engagement"/>
        <s v="FY22 Google xWF Marketing Assessment"/>
        <s v="Hurley Reimbursement Strategies Analysis"/>
        <s v="GE Healthcare PLM Assessment"/>
        <s v="CDM&amp;CT EHR Transformation Office Phase 1"/>
        <s v="Claims AI Models Automation #xPC:CO&amp;I #AIML #Alliance:xAI"/>
        <s v="Marketing Effectivness"/>
        <s v="Apple B2B ROX Account Growth"/>
        <s v="Best Buy Health - Tech Blueprinting Phase 2"/>
        <s v="Ascension Hospital at Home Implementation Phase 1"/>
        <s v="General Atlantic - Post FFG Initiatives (Investran and Ops) #Hawk #core"/>
        <s v="Rite Aid HR Transformation - HR process and org"/>
        <s v="TriState Holdings - Post-Close Integration Planning"/>
        <s v="KKR Bank Rationalization"/>
        <s v="GRM - Liberty SA IMO Op Model &amp; Execution"/>
        <s v="Anthem Procurement Process Optimization"/>
        <s v="BMS Patient Services Strategy"/>
        <s v="Allegro upgrade"/>
        <s v="AbbVie Centralized Monitoring Assessment &amp; Strategy #DCT"/>
        <s v="Permian Sourcing/Contracting #S&amp;P#POD"/>
        <s v="Cybersecurity Roadmap Assessment"/>
        <s v="*CI*Dartmouth IP Assessment"/>
        <s v="Corbett Technology Solutions - Leasing / Managed Services"/>
        <s v="Lantheus Return to Office Change Management"/>
        <s v="PCI San Diego Site Assessment Extension"/>
        <s v="BMS Omnichannel Capability"/>
        <s v="TMZ - Performance Analyzer SaaS #RGM"/>
        <s v="Storage BU R&amp;D Diagnostic"/>
        <s v="Xignux, S.A. de C.V.. Coupa P2P"/>
        <s v="BD GDP Ph 2 Bridge #QMS"/>
        <s v="Shell Chemicals - CB Phase 3 - Salesforce Pilot"/>
        <s v="WO1 2022 - HCSC PSS Strategic Sourcing Support - Master SOW"/>
        <s v="GSK Performance Analyzer #RGM"/>
        <s v="Alpha Onboarding Transformation Assessment"/>
        <s v="Excellus CRM"/>
        <s v="GBS Eastern Europe Call Centers"/>
        <s v="bp- C&amp;P - Quantum Expansion - Data &amp; Analytics organization stand up"/>
        <s v="bp- C&amp;P - Quantum Expansion - Ongoing Integration Support"/>
        <s v="bp- C&amp;P - Quantum Expansion - Finance Integration"/>
        <s v="bp- C&amp;P - MX Integration into the ROO"/>
        <s v="bp- C&amp;P - Quantum Expansion - marketing / merchandising / food integration"/>
        <s v="Labcorp - Diagnostic revenue cycle system replacement Discovery Phase 2 &amp; Pre-implementation Planning"/>
        <s v="TPRM Managed Services #TMTMSO"/>
        <s v="BBYH - Revenue Cycle Management Phase 1"/>
        <s v="Aptiv - Wind River VCO (Phase II)"/>
        <s v="Integrated Financial Planning"/>
        <s v="Design and implementation of SuperRoth elective nonqualified plan"/>
        <s v="MS Finance ESG"/>
        <s v="MSWM - Data Remediation Factory"/>
        <s v="Honeywell Healthcare Growth Strategy"/>
        <s v="MSFT HR - FY23 Strategic Program Support"/>
        <s v="*Strategic Reimbursement* - 2nd Reimbursement Services Contract Extension"/>
        <s v="HPE Contra ML POC - Aruba EMEA"/>
        <s v="HP Talent Acquisition Reinvention"/>
        <s v="Clinical Data Exchange #PayerAnalytics"/>
        <s v="Lilly CSP Assessment"/>
        <s v="RRP 2022-2023"/>
        <s v="Payments One API Optimization"/>
        <s v="AA - SAF Fuel Management Strategy #ESG"/>
        <s v="BMHCC VBO"/>
        <s v="MRI Implementation - Phase 3"/>
        <s v="Statutory CoA + Ledgers - Gap Assessments"/>
        <s v="#IOBP - DSI R&amp;D Accruals Implementation"/>
        <s v="Excellus - Project Cortland - Duals 2022 Strategy #GCOE  #DSNP"/>
        <s v="Duracell - Performance Analyzer License"/>
        <s v="LPL / Operations Operating Model Optimization / $500,000"/>
        <s v="OptumInsight digital value creation / digital factory"/>
        <s v="AT&amp;T Biz Seller's Insight Portal for Fed, SLED, FirstNet"/>
        <s v="Digital Commerce"/>
        <s v="FPA and Close Support"/>
        <s v="Rite Aid- #ProjectNorthstar - FP&amp;A Short Term Process Improvement (Secondary)"/>
        <s v="Marketing Effectiveness"/>
        <s v="B2B Loyalty"/>
        <s v="Coca-Cola Leasing Software Implementation"/>
        <s v="FP&amp;A Transformation"/>
        <s v="Multi-Line Digital Experience Strategy"/>
        <s v="GBS/SSC Assessment"/>
        <s v="WF CIB Front Line Procedures Factory"/>
        <s v="UTRGV FFG Phase II Implementation"/>
        <s v="UMiami MSOM FFG"/>
        <s v="Delta ERISA Expert Witness"/>
        <s v="ERISA Expert Witness Support"/>
        <s v="Embecta Separation Strategy"/>
        <s v="ARCA - Mx2020 - RGM to MGM process evolution"/>
        <s v="Partner Programs and Operations"/>
        <s v="2022-2023 Valuation Cycle"/>
        <s v="Molina Driver Based Planning"/>
        <s v="BKR DS Repair Components Depreciation"/>
        <s v="KeyBank cost modeling license - #NextGenCostingMSO"/>
        <s v="A&amp;H VB Mobilization and Roadmapping"/>
        <s v="Anthem MyNexus Integration"/>
        <s v="B2B2C Loyalty"/>
        <s v="SRM Assessment"/>
        <s v="Operational Excellence"/>
        <s v="MSWM Graystone-Institutional Op Model Execution (TBD-TBD) #WM"/>
        <s v="Labcorp - Diagnostic revenue cycle system replacement - Cerner Assessment Change Order #4*Rev Cycle* *RC Tech"/>
        <s v="ROX in partnership with Qualtrics expansion"/>
        <s v="*A&amp;AN* IU Health: Patient Access Transformation - Diagnostic and Assessment (Phase 1)"/>
        <s v="UBS Project Overdrive: Customer Link Analytics as a Service"/>
        <s v="Acct Optimization Design &amp; Impl-Phase III"/>
        <s v="Barclays CB&amp;P Resiliency Operating Model Implementation"/>
        <s v="Biz Expansion - Phase II"/>
        <s v="bp P&amp;O Maintenance and Reliability, Phase 1"/>
        <s v="VCG Refurbished Device Strategy"/>
        <s v="CIB - Business Simplification (Alteryx)"/>
        <s v="Reimagine Campaign - Asset Lifecycle Management (Implementation Phase 3)"/>
        <s v="PRIME Conversions"/>
        <s v="DCS Follow-On Remediation Support From Ops Risk Assessment"/>
        <s v="Organ Acquisition Reimbursement Assessment - *Strategic Reimbursement*"/>
        <s v="Alcohol Global priorities assessment"/>
        <s v="Pharmacy Assessment"/>
        <s v="HighRoads - product &amp; benefit implementation support #PayerCO&amp;ITrans"/>
        <s v="GE Aviation Inventory Transformation"/>
        <s v="FY21-25 Transfer DRG &amp; SB Analysis - *Strategic Reimbursement*"/>
        <s v="AAA - 2022 - Digital Transformation"/>
        <s v="Potential work after ESG Strategy - continuation of board sessions"/>
        <s v="Retail Bank- Core Modernization"/>
        <s v="VGX3100 Launch Strategy - US Market Access Strategy"/>
        <s v="Sumitomo - Value Initiatives &amp; Strategic Study Planning #RWDEvGen"/>
        <s v="Intel - IFS Operating Model"/>
        <s v="Electronics Control Tower"/>
        <s v="GoDaddy - CDaaS"/>
        <s v="E2E July Support Planning - 2022"/>
        <s v="Marketing Transformation P1 #TMTPricing"/>
        <s v="Subservicing Operating Model"/>
        <s v="ORx - Network Strategy"/>
        <s v="MDACC Innovation Market Research Services"/>
        <s v="Rocket Mortgage IVR Transformation"/>
        <s v="WestRock Sourcing &amp; Procurement Transformation"/>
        <s v="Call Center Transformation"/>
        <s v="Ally Bank - Blueprint + Core Selection #FOB-Blueprint"/>
        <s v="Aftermarket Ecommerce Strategy &amp; Prototype"/>
        <s v="Catalina Finance Transformation Phase 1"/>
        <s v="BCBSM Health Care Values Strategic Plan"/>
        <s v="ncino Commercial LOS Discovery #&lt;$50B"/>
        <s v="A&amp;H Administration and Claims Assessment Extension - 90 Day Plan"/>
        <s v="WFRD Contract Management / CLM Implementation Support #S&amp;P#POD"/>
        <s v="AT&amp;T Compass Operationalisation"/>
        <s v="Pricing Models"/>
        <s v="Enterprise Cost Take Out"/>
        <s v="Category Management"/>
        <s v="Audit"/>
        <s v="TMT Pricing Pod Collateral Development"/>
        <s v="Kite: Transformation - IT: Global Launch IT Support Extension"/>
        <s v="Recycling Automation"/>
        <s v="Policy Redesign"/>
        <s v="Platform Services NAOU Transportation Value Capture"/>
        <s v="L3Harris FFG Corporate Functions"/>
        <s v="AT&amp;T - HR Talent Strategy"/>
        <s v="COLI financing for NQ plans #Powerof5"/>
        <s v="D3 Analytics Outsourcing/Structuring"/>
        <s v="BX Real Estate - Fund Admin Readiness and Conversion Support"/>
        <s v="Trinity Health - SCH/MDH Volume Decrease Adjustment (VDA) - *Strategic Reimbursement*"/>
        <s v="Business Value Realization"/>
        <s v="Intel Marketplace _ Design Phase - Sprint 1"/>
        <s v="Ecosystem Strategy LatAM"/>
        <s v="Avient Finance Operating Model Phase 2"/>
        <s v="Surgical business growth strategy"/>
        <s v="ACE Fitness - Subscription Transformation - Phase 2"/>
        <s v="Digital Value Creation"/>
        <s v="Danaher ESV PLS XPC"/>
        <s v="Spans &amp; Layers Phase II"/>
        <s v="Labcorp - ERP Transformation"/>
        <s v="Talent Experience and Upskilling Journey - #ProEdgexWorkforce"/>
        <s v="ADP CoSo SmartConnect Migrations"/>
        <s v="IR - Logistics Strategy and Supply Chain Flexibility"/>
        <s v="IU Health_Salesforce Contact Center Discovery_SFDC"/>
        <s v="SFDC R2R Process Improvement and Operating Model Strategy"/>
        <s v="HUN - Darwin Expansions"/>
        <s v="D&amp;I Strategy and Program #ESG"/>
        <s v="Med Ed Analysis - *Strategic Reimbursement*"/>
        <s v="Project Lotus - Workday Job Architecture, Security, and Process Optimization"/>
        <s v="Strategic commercialization plan"/>
        <s v="#IOBP -- PPM Analysis and Roadmap"/>
        <s v="ERP Market Considerations"/>
        <s v="Payroll Work Style Project"/>
        <s v="US Group Strategy"/>
        <s v="DT AG - Financial Svs Salesforce Data Driven Marketing"/>
        <s v="Digital supply chain opportunities"/>
        <s v="Enterprise Operational Cost Reduction"/>
        <s v="Customer Engagement Strategy"/>
        <s v="Workflow Implementation"/>
        <s v="Production System Optimization PMO &amp; CM"/>
        <s v="News Corp Bank Rationalization &amp; Payment Hub Implementation"/>
        <s v="Working Capital Transformation - O2C Phase 1"/>
        <s v="Joint GTM for Engagement"/>
        <s v="CCR RFP Response"/>
        <s v="*CI* Medical School Expansion"/>
        <s v="AB SPS Finance Optimization"/>
        <s v="ASP Digital Commerce Phase-1"/>
        <s v="Supplier enablement - science-based targets"/>
        <s v="Alteryx CoE Build"/>
        <s v="Energy Infrastructure Council - #ESG Climate Disclosure Cost of Compliance"/>
        <s v="Group Benefits Ecosystem Strategy #ITC2021"/>
        <s v="Intel DCAI / CESG Cloud Growth Acceleration"/>
        <s v="Project Dragonfly Extension"/>
        <s v="NTAS Onboarding Assessment"/>
        <s v="Marketing Sophistication"/>
        <s v="ETFC Digital Direct Growth Strategy"/>
        <s v="Wells Fargo - Digital Assets Implications Assessment (ESV)"/>
        <s v="Business Process Automation"/>
        <s v="Intel - IFS SC Capabilities Design Assessment"/>
        <s v="Blackrock Payment System Implementation"/>
        <s v="Transformation"/>
        <s v="Gorilla Glue Performance Analyzer #RGM"/>
        <s v="Distribution Management - Inception"/>
        <s v="CLV Modelling"/>
        <s v="Hershey - AEP implementation - phase 2"/>
        <s v="NBH - Digital Transformation Strategy Blueprint"/>
        <s v="KDP - Digital route to market - eB2B #RGM -  MVP/POC"/>
        <s v="GBS Phase 1 - Strategy and Planning #FFG"/>
        <s v="BMS Med Affairs Planning and Data Integration Phase 0"/>
        <s v="Bridgewater - Vendor Agreement Revisions"/>
        <s v="KP Interoperability CY 22 Run #PayerAnalytics"/>
        <s v="P66 Reliability Program - APM Extension"/>
        <s v="Bridgewater  - Employment Agreement Revisions"/>
        <s v="Bridgewater - Regulatory Compliance Retainer"/>
        <s v="Harvard Services - Private - Managed Services"/>
        <s v="Bridgewater - Insurance Products"/>
        <s v="NuVasive Growth Strategy"/>
        <s v="HPE - GreenLake Deal Governance #TMTPricing"/>
        <s v="Bridgewater - Geopolitical Retainer"/>
        <s v="Bridgewater - Investor Servicing"/>
        <s v="CPG Finance Optimization FY '23 - North America Phase 1"/>
        <s v="Volvo Cars_CRM Expansion_Salesforce"/>
        <s v="T.Marzetti - SAP TPM AMS #RGM"/>
        <s v="nxtgenERP Finance Support (L48)"/>
        <s v="Tech Ops Supply Chain Assessment"/>
        <s v="IU Health PRM &amp; Referral Management Strategy and Roadmap"/>
        <s v="PRM &amp; Referral Management Strategy and Roadmap (Nebraska Market)"/>
        <s v="Net Zero Strategy #ESG"/>
        <s v="Clinical Development Op Model Refresh"/>
        <s v="Embecta - Marketo Integration"/>
        <s v="GPC Unifier Phase 2"/>
        <s v="Demand Forecasting as a Service, S&amp;OP, and Digital Twin"/>
        <s v="Return on Experience"/>
        <s v="Call Center of the Future / Op Model Design"/>
        <s v="Cleveland Clinic CX Qualtrics Implementation"/>
        <s v="Intel Enhance Gladius Transformation"/>
        <s v="Elanco Ops Transformation Roadmap"/>
        <s v="MSK - Help Desk"/>
        <s v="SNC Shared Services Wave 2 implementation"/>
        <s v="HRIS Strategy &amp; Selection"/>
        <s v="Eaton Treasury and WCM"/>
        <s v="PLM Assessment"/>
        <s v="WF CB Data Strategy - Wallet Share Use Case Ph2 #comm50b+ #FoTFSDistribution"/>
        <s v="Wells Fargo Cost Transformation"/>
        <s v="*CI* KP BJT SOM Title IV"/>
        <s v="Strategic Sourcing / Cost Takeout - Wave 1"/>
        <s v="MSFT HR - FY22 GTA Extension - Skill-Based Hiring Model"/>
        <s v="NetJets Finance evolution roadmap and ERP #selection"/>
        <s v="Performance Management and Employee Experience"/>
        <s v="Nuvance CDM Consolidation - Phase 2 *Rev Cycle*"/>
        <s v="DSI - OCM support for Modern Work Tenant Consolidation and Security 8/30/21"/>
        <s v="Customer Centricity and Transformation - Initial phase"/>
        <s v="Product Line Transformation Phase 1"/>
        <s v="Comprehensive Reimbursement Services *Strategic Reimbursement*"/>
        <s v="PepsiCo (NAB/PBNA) - Performance Analyzer #RGM"/>
        <s v="AT&amp;T - Network Decommissioning Cost Allocation"/>
        <s v="FDX Performance Marketing"/>
        <s v="Northside Hospital *VBO* Small Balance &amp; Aged A/R FY23 Extension"/>
        <s v="MSFT HR FY23 TLI Employee Career &amp; Development H1 Support"/>
        <s v="NextGen Cost and Profitability - Advisory Phase"/>
        <s v="MIllipore Strategy"/>
        <s v="Partner Customer Success Solution #TMTPricing"/>
        <s v="Annual Planning Process Redesign - Advisory Phase"/>
        <s v="GE Separation - Corporate - Payroll &amp; Global People Operations Support"/>
        <s v="ESG Program - Strategy + Net Zero Cloud"/>
        <s v="CVS Workforce Orchestrator"/>
        <s v="FDX:  Sales &amp; Marketing Convergence / Alignment:"/>
        <s v="SVB LAS Integration RFP"/>
        <s v="NextGen FP&amp;A - Advisory Phase"/>
        <s v="Cardinal Health_Sales &amp; Service Cloud Implementation_SFDC"/>
        <s v="Lead to Cash Operations - Agiloft"/>
        <s v="AT&amp;T Business Legacy Product Migration"/>
        <s v="MRO Optimization Phase 1 #MW"/>
        <s v="AT&amp;T Mid-Market Sales Comp Strategy and Automation"/>
        <s v="Supply Chain Digital Upskilling / Talent Development"/>
        <s v="Pfizer Integrated Data Repository for Precision Medicine"/>
        <s v="Analytics Function/Capability Strategy"/>
        <s v="SAP Alliance -- ESG reporting technology transformation strategy"/>
        <s v="UNFI - Private Label TCO Assessment"/>
        <s v="Zeomega SDOH Solution Strategic Delivery Partner for JPS Health Network #HVM #Alliance:Zeomega"/>
        <s v="AT&amp;T Future of MVNO"/>
        <s v="Digital Quality Implementation"/>
        <s v="Healthfirst - Project Twosday - 2-2-22 #PayerCO&amp;ITrans"/>
        <s v="VBC Analytics"/>
        <s v="340B Set-up and Management Assessment"/>
        <s v="AT&amp;T Biz Data Migration - Change Management"/>
        <s v="Knowledge Center Managed Service"/>
        <s v="Kustomer - B2B marketing growth"/>
        <s v="DTV Service / Contact Center CX Journey Mapping"/>
        <s v="Marketing Transformation and Growth Strategy"/>
        <s v="Tufts Public Plans Turnaround Phase 4"/>
        <s v="Cox Media Finance Op Model and"/>
        <s v="Provider Portal - Message Automation &amp; Scheduling"/>
        <s v="#DVC #CS_EDT_Health_Services #DigitalEcosystem"/>
        <s v="Core Modernization Strategy"/>
        <s v="DevSecOps Support"/>
        <s v="Growth Discussion"/>
        <s v="PharmaJet Revenues Review"/>
        <s v="Experience Design Resource Support"/>
        <s v="Consumer Trust MVP Build"/>
        <s v="WHR - AWS - People: Cloud Education and Culture"/>
        <s v="Contact Center IVR Strategy"/>
        <s v="Enterprise CLM"/>
        <s v="Billing system remediation"/>
        <s v="HCA Revenue Cycle Transformation"/>
        <s v="Littelfuse Values + Culture Strategy_$500K_P0/P1"/>
        <s v="Project ACESO Non-tech Expansion 2021"/>
        <s v="KCNA TPM Conceptual Design - S4 program"/>
        <s v="Omnichannel Strategy Development"/>
        <s v="CCSWB End to End Process Improvement"/>
        <s v="API / Workday Connection Strategy"/>
        <s v="Meta Content Governance 2022 Support Amendment"/>
        <s v="Sales Automation"/>
        <s v="COLI financing for NQ plans"/>
        <s v="HCA - Connected Health Ecosystems (CHE 3.0) Pilot Build"/>
        <s v="AEP + CustomerLink Integration"/>
        <s v="Project Astra Phase #2 - Re-implementation"/>
        <s v="USAA P&amp;C IT Delivery Operating Model"/>
        <s v="Future State Servicing Oversight Model"/>
        <s v="Reliability Improvement -- Materials Management"/>
        <s v="Salesforce-Slack Integration Planning"/>
        <s v="Marketing Strategy &amp; Roadmap"/>
        <s v="CX Design"/>
        <s v="A&amp;AN Access Strategy"/>
        <s v="Metlife Payment Strategy Definition"/>
        <s v="Change Management for Oracle Supply Chain"/>
        <s v="#QMS Cardinal Health Supplier Quality System Design Phase"/>
        <s v="Org Design"/>
        <s v="IT FFG Testing Pilot"/>
        <s v="GE Healthcare Logistics Cost Reduction"/>
        <s v="Sheetz - ERP Future State #Burgh"/>
        <s v="HP: Supply Chain Process Optimization"/>
        <s v="API / CDX Strategy and Architecture"/>
        <s v="Fare Trace Pilot"/>
        <s v="*Rev Cycle* Ops Opportunity Design and Business Case"/>
        <s v="Healthfirst Predictive Model Support Futurecast"/>
        <s v="Operating Model - Anchored Agility"/>
        <s v="CX Pilot"/>
        <s v="IPE Integration with Seagate Model-N #TMTPricing"/>
        <s v="Capital One - Payment Modernization #FOB-Blueprint #&lt;50B"/>
        <s v="Executive Financial Coaching"/>
        <s v="Core Soln for New Bank Financial (Technisys)"/>
        <s v="GTM Enablement for IPO Readiness #TMTPricing"/>
        <s v="Insights to Action - Reporting Platform"/>
        <s v="Healthfirst Cares - CX / Digital / CRM Enabling Platform"/>
        <s v="PepsiCo DTC Strategy"/>
        <s v="Application Rationalization"/>
        <s v="Finance System Strategy"/>
        <s v="AWS - GoT Managed Service"/>
        <s v="BCBSA FEP Hub Expansion"/>
        <s v="AdventHealth Data Monetization"/>
        <s v="Zafin BAAS Strategy"/>
        <s v="Digital Commerce Strategy"/>
        <s v="Kaiser Cognitive Scale P1 #xPC:PayerAnalytics #Alliance:CognitiveScale #PayerAnalytics"/>
        <s v="M&amp;A Integration Support - H1 2023"/>
        <s v="#IOBP-Portfolio Ops R&amp;D Initiative: Project Planning Center of Excellence"/>
        <s v="Clinical Quality Transformation"/>
        <s v="Berra Org and Operating Model - Culture activation"/>
        <s v="DCT Optimization"/>
        <s v="Emblem Health Driver Based Planning"/>
        <s v="Chipotle - Metaverse (Governance, NFT Platform, etc.)"/>
        <s v="Catering Supply Chain Category Mgmt #Profit"/>
        <s v="B2B Loyalty - Phase 3 Program Design &amp; Mobilization"/>
        <s v="Supply Chain Resiliency"/>
        <s v="D365 for Call Center"/>
        <s v="GBS Strategy"/>
        <s v="BBYH Project Core phase 2"/>
        <s v="Wells Fargo Contact Center Transformation Program"/>
        <s v="Booking Treasury and Payments Strategy Phase 2"/>
        <s v="Oracle Sourced Suspect Oppty - EPM"/>
        <s v="Medicaid PHM Next Gen Support"/>
        <s v="Back Office Transformation - 2023 Wave 1 Outsourcing Selection and Transition"/>
        <s v="Back Office Transformation - 2023 Ongoing Big Rocks and Interim Solutions"/>
        <s v="Pepsico ESG Technology Deployment - Microsoft Co-Sell - #ESGMSFT"/>
        <s v="EHI Finance Transformation - Phase 2"/>
        <s v="Celanese - BlackLine Release 2"/>
        <s v="Celanese - Journal Entry Remediation"/>
        <s v="Celanese - Finance Integration"/>
        <s v="S+N Global Pricing and CPQ support - $500k *Pricing*"/>
        <s v="AWS - Grow Our Own Talent - Managed Services #TMTMSO"/>
        <s v="P66 - Power and Gas Platform - AWS hosting"/>
        <s v="Metlife Bank Rationalization"/>
        <s v="BKR_Sustainability Cloud_Salesforce"/>
        <s v="ESV follow-on from fraud work"/>
        <s v="CX - Commercial Model Transformation"/>
        <s v="Restructuring Support - Atlantic"/>
        <s v="US Banking &amp; Systems Implementation"/>
        <s v="Viatris Project Platinum Divestiture Support"/>
        <s v="S&amp;OP Rollout - Phase 4 Wave 1"/>
        <s v="aQIVc Launch Strategy - Phase 2"/>
        <s v="Treasury Management System"/>
        <s v="Celanese - Project Milan Finance IMO - Phase 2"/>
        <s v="NNA:  EV Manufacturing Investments"/>
        <s v="Shell - Power Trading Training"/>
        <s v="TA Call Center Remediation"/>
        <s v="ODU EVMS post integration support"/>
        <s v="Project Mercury - Workforce Planning"/>
        <s v="L&amp;R Divestiture Feasibility"/>
        <s v="Enterprise Quality Implementation #QMS"/>
        <s v="Vendor Rationalization #SKO"/>
        <s v="HCSC Texas Cost of Care Planning #HVM"/>
        <s v="Smart Portfolio Growth Strategy"/>
        <s v="MSFT HR TLI FY22 Demand planning analysis"/>
        <s v="Investment Data Management OpModel"/>
        <s v="SBCH - Volume Decrease Adjustment - *Strategic Reimbursement*"/>
        <s v="NFLX - Metaverse Strategy"/>
        <s v="Moderna 2023 Flu Pre-Booking Experience"/>
        <s v="Claims Program Remediation"/>
        <s v="Gensler -  Intelligent Places: Software Definition, Development and Piloting"/>
        <s v="Legal Entity Management Platform Support"/>
        <s v="EIS Subcontracting"/>
        <s v="ABCBS Multi-State Employer Strategy #Strategy #Tax"/>
        <s v="Mirum CGT Ops in the Box"/>
        <s v="Retirement Plan Recordkeeper / Investment Advisor Search"/>
        <s v="Cambia Leadership support"/>
        <s v="BGS Ecommerce Analytics Program"/>
        <s v="Commodity Risk Management - Phase 3: US Rollout and Technology Selection"/>
        <s v="Lithia_Salesforce expansion"/>
        <s v="Adobe Customer Support Benchmarking RFP"/>
        <s v="Advocate Aurora D365 for Care Mgmt target #MSFTProvider"/>
        <s v="MSFT HR FY22 TLI TLX Demand Planning"/>
        <s v="Healthscope - IT design and implementation"/>
        <s v="Intermountain_Salesforce_Blueprinting"/>
        <s v="Harwick - Custom FAW Development"/>
        <s v="Celanese - Project Milan Org Design and Talent Assessment"/>
        <s v="Sustainable Impact PMO #ESG #ESG-TMT-Wave1"/>
        <s v="Celanese - Project Milan IT IMO - Phase 2"/>
        <s v="Celanese - Project Milan HR IMO - Phase 2"/>
        <s v="GE Healthcare - SBU Transformation + Technology Enablement (Supply Chain Analytics)"/>
        <s v="Smart and Connected Operating Model"/>
        <s v="Rivian Automotive - Anaplan Headcount Planning"/>
        <s v="Pricing Operations Design"/>
        <s v="PEP RGM RevolutioM New 2022 Deployments"/>
        <s v="Polaris Controllership Org and Delivery Model"/>
        <s v="Oxy - Low Carbon Ventures - OLCV Conceptual Model 2022 - Phase 2"/>
        <s v="HPE - PRM/Partner Portal"/>
        <s v="Provation SaaS GTM support"/>
        <s v="Cleveland Clinic: Sourcing/IT Strategy"/>
        <s v="MetLife - LatAm Digital Transformation"/>
        <s v="Center for Breakthrough Medicine CGT Platform"/>
        <s v="#IOBP - AMP 2022 Extension"/>
        <s v="Blues Collaboration"/>
        <s v="bp P&amp;O IAM Phase I"/>
        <s v="#IOBP-Portfolio Ops R&amp;D Initiative: Business Executive Reporting"/>
        <s v="CHS Empower - CHS Charge Capture/*Rev Cycle*"/>
        <s v="Pension compliance reviews and documentation"/>
        <s v="Pfizer DH Start Up"/>
        <s v="#IOBP-Portfolio Ops R&amp;D Initiative: Project Management Excellence"/>
        <s v="Regional One Health Foundation *VBO*"/>
        <s v="Global Customer Analytics Record"/>
        <s v="Managed PMO Services"/>
        <s v="Medicaid Clinical Care Model Transformation"/>
        <s v="AT&amp;T_Emp Tax Consulting 2022-24_500K"/>
        <s v="CPG Board 2022-2024 DEI Support"/>
        <s v="Connected Health Ecosystems (CHE 3.0) for AAH Atrium merger (ESV connected oppty)"/>
        <s v="Wintrust Workday Financials Change Management Support"/>
        <s v="Operations Integration"/>
        <s v="R&amp;D NewCO Product Development Operating Model"/>
        <s v="Vertex Procurement on Demand #S&amp;P#POD"/>
        <s v="Microsoft CSET Forex and Currency - Phase 2 (FY23 Q1) Assessment, Design &amp; Recs"/>
        <s v="Shell - IT Operating Model"/>
        <s v="CVS Procurement on Demand #S&amp;P#POD"/>
        <s v="Mobile applications"/>
        <s v="Trimble - Contract Lifecycle Management"/>
        <s v="Pandemic Pricing options"/>
        <s v="Ad Sales Experience Phase 2"/>
        <s v="Takeda Change Mgmt (WoF)"/>
        <s v="Enterprise Fabrication - Performance / Capacity Improvement Program"/>
        <s v="NOC Data &amp; Analytics Mobilization"/>
        <s v="Salesforce Marketing Efficiency and Effectiveness"/>
        <s v="Customer experience transformation"/>
        <s v="Strategic resource allocation / VBP"/>
        <s v="CSP Digital Plays, Omni Channel, and ABC Roadmap"/>
        <s v="Becton Dickinson - Treasury Support"/>
        <s v="Infra - Finance Modernization/Transformation"/>
        <s v="Project Hundo So Cal"/>
        <s v="IGP - Colwen Hotels"/>
        <s v="Finance Operating Model Design and Policy Development"/>
        <s v="Lifepoint IT Assessment"/>
        <s v="ETX w/Qualtrics (Employee Tech Experience)"/>
        <s v="HTM Harwick Phase2 (FFG)"/>
        <s v="Enterprise Payer Insights Solution #PayerAnalytics"/>
        <s v="BSC Data Analytics Managed Services"/>
        <s v="Top Accounts Strategy &amp; Design"/>
        <s v="*SMART* License - Providence St. Joseph"/>
        <s v="GE Renewable ONW Product Cost Out"/>
        <s v="CoC BCBSMA Medical Economics Dashboarding and Operating Models #HVM"/>
        <s v="Account Reconcilidations Tool Update"/>
        <s v="PowerPlatform for Patient Access"/>
        <s v="BCBS NC Self Service Assessment"/>
        <s v="BCBSM Legacy Migration to Cloud and Managed Services"/>
        <s v="Fund VII Launch Support"/>
        <s v="Experian Healthcare Payments Strategy Exec"/>
        <s v="Project Minecraft - Phase 2"/>
        <s v="Salesforce FS &amp; SAP FSM product SI"/>
        <s v="LifePoint CEO Agenda (various pursuits)"/>
        <s v="Enterprise Portfolio Optimization - Fit-for-Purpose"/>
        <s v="OR utilization and block time - physician change mgmt - Texas market"/>
        <s v="Sales excellence enablement phase 3 (RL)"/>
        <s v="FP&amp;A COE optimization and reporting services"/>
        <s v="HMSA MSO Strategy #HVM"/>
        <s v="CVS Integrated Value Strategy"/>
        <s v="Hengrui Intelligent Trial Design #ClinTrialDesign"/>
        <s v="#IOBP -- Hengrui PPM Enablement"/>
        <s v="Listing preparedness as a service"/>
        <s v="Halliburton Supply Chain Emissions Baseline #ESG"/>
        <s v="Strategic Sourcing opt"/>
        <s v="Enterprise Oncology Growth Strategy #XPCONC"/>
        <s v="FP&amp;A Roadmap"/>
        <s v="Optimal Cost"/>
        <s v="Mobilization work for Sharecare Plus + Anthem"/>
        <s v="Back Office Transformation - 2023 Op Model"/>
        <s v="AT&amp;T Network Financial Report Automation"/>
        <s v="Claims and Absence Strategy"/>
        <s v="AbbVie Study &amp; Vendor Oversight Strategy #ClinicalSourcing"/>
        <s v="Data and Analytics Enablement of Value Based Care"/>
        <s v="Apps High Performing Team"/>
        <s v="*SMART* License - UHHS"/>
        <s v="KPGA Revenue/Membership Growth"/>
        <s v="Best Buy Health - Current Health App Integration"/>
        <s v="KPGA Operating Income Improvement #HVM"/>
        <s v="Digital Delivery Support"/>
        <s v="Hershey - AEP implementation Business Integrator"/>
        <s v="MSWM - Retirements Long Term Strategy"/>
        <s v="MSFT Trade MBO FY23 Program Support"/>
        <s v="Electric Distribution Modernization Program - Phase 1"/>
        <s v="#DCT -- GSK DCT Strategy &amp; Assessment"/>
        <s v="#ClinTrialDesign -- GSK Protocol Design Lab Strategy &amp; Assessment"/>
        <s v="MRL Unified Support Activation"/>
        <s v="AbbVie Aesthetics Commercial Operations"/>
        <s v="AI Ops Phase 2"/>
        <s v="Robertsons - Finance Process Standardization"/>
        <s v="DIRECTV - Adobe CDP"/>
        <s v="OptumRx/OptumHealth Formulary"/>
        <s v="ADM - #QMS LIMS Selection Support"/>
        <s v="DTNA - Confidential (Battery Insights)"/>
        <s v="OptumRx Risk Adjustment"/>
        <s v="CX Strategy Phase 2"/>
        <s v="Juniper - CDP implementation"/>
        <s v="Affiliate Reinsurance Structure"/>
        <s v="Comerica Bank - Contact Center Transformation Strategy #GreatAttractor"/>
        <s v="ERP Assessment"/>
        <s v="#IOBP-Portfolio Ops Resource Management: RM Pilot"/>
        <s v="Lowe's #MI"/>
        <s v="Innovation at Scale"/>
        <s v="Boeing HighRadius Business Integrator"/>
        <s v="Camibia - Cost of Care and Delivery Model of Care #HVM"/>
        <s v="Aon HCS Advisory Playbook Definition"/>
        <s v="EPM Design for AS"/>
        <s v="Centene Enterprise Digitization / Modernization - Phase 1"/>
        <s v="Kohls Salesforce Loyalty"/>
        <s v="Advanced Planning System Selection"/>
        <s v="MSFT Data/Care Mgmt strategy"/>
        <s v="SCJ Performance Analyzer International TPM"/>
        <s v="Horizon - Project Flying Clothesline - A&amp;G MS Phase Zero 2022"/>
        <s v="Workday - Talent Acquisition Strategy and Onboarding"/>
        <s v="Citizens Financial: Accounting Opening Transformation"/>
        <s v="Citizens Financial: Marketing Tech / Sales Stack"/>
        <s v="GE Separation - Energy - DT - Microsoft (M365) Future Strategy"/>
        <s v="SOM State Police Culture Change Management and Pilot Program"/>
        <s v="Supply Chain Integration Extension"/>
        <s v="Omnichannel Planning and Mobilization"/>
        <s v="CX / Customer Strategy with Qualtrics Discover"/>
        <s v="GE Separation - Energy - DT -  Network Advisory"/>
        <s v="FIS Workday Position Management"/>
        <s v="HPE GreenLake Managed Services Strategy"/>
        <s v="Duty Drawback VW GoA"/>
        <s v="Anthem - CareMore EMR Planning"/>
        <s v="LifePoint Health D&amp;A Platform Program Support"/>
        <s v="WTW Anaplan COE - Managed Service"/>
        <s v="Global HCP Portal Q2 2022 Design and Implementation Support"/>
        <s v="Cloud Strategy"/>
        <s v="KKR Corp Procurement Managed Service #S&amp;P#POD"/>
        <s v="Project Barbados (Phase Zero Core Admin Transformation at Blue Cross of Idaho)"/>
        <s v="SaaS Product Commercialization - Phase 2b - Build and Deploy"/>
        <s v="UPS - Customer Data Platform"/>
        <s v="Solar Mosaic Q2C Discovery &amp; Design"/>
        <s v="Assess CORTX Software Development Practices"/>
        <s v="Assess PDP Process and PD Capabilities"/>
        <s v="MSK - IT Enterprise Wide - PMO Tools Eval"/>
        <s v="Enterprise Digital Transformation Support"/>
        <s v="Value Based Planning #XPCVBB"/>
        <s v="Supply Chain Network Model Implementation"/>
        <s v="Ent Digital Team/Transformation #&lt;$50B"/>
        <s v="Pfizer PAP"/>
        <s v="WIM WFA Cost Reduction Consulting"/>
        <s v="NNA Supply Chain Cost &amp; Risk Mitigation"/>
        <s v="Carbon Digital Solutions - Design"/>
        <s v="Securian Transformational OCM"/>
        <s v="Shell ESG Consulting"/>
        <s v="*SMART* License - UnityPoint Health"/>
        <s v="*SMART* License - HSHS"/>
        <s v="Buckeye EPM selection"/>
        <s v="*SMART* License - Ballad Health"/>
        <s v="#QMS GMP Audit Transformation"/>
        <s v="BXC TCL Detailed Design"/>
        <s v="Baystate - Sales Transformation"/>
        <s v="Digital Modernization Roadmap Phase 1"/>
        <s v="#IOBP -- Pfizer PPM Simplification Enablement"/>
        <s v="VW_Marketing Cloud_Salesforce"/>
        <s v="Nissan_Marketing Cloud_Salesforce"/>
        <s v="CX B2B Return on Experience (ROX)"/>
        <s v="AT&amp;T - 5G SA Core Digital Twin"/>
        <s v="FedEx Time &amp; Attendance planning (ph1)"/>
        <s v="Horizon - Care Model Planning #HVM"/>
        <s v="Digital Execution Phase 1"/>
        <s v="RIG - Working Capital"/>
        <s v="Wage Index Review and Reclass *Strategic Reimbursement*"/>
        <s v="*A&amp;AN* IU Health: Patient Access Transformation - Design (Phase 2)"/>
        <s v="URSMD Education Portfolio Assessment - 2019"/>
        <s v="Comerica Service Transformation"/>
        <s v="Contact Center as a Service Telephony Strategy"/>
        <s v="Project Beta Compliance Support"/>
        <s v="Momentive - Smart Factory Strategy"/>
        <s v="Upside Broker Dealer Build"/>
        <s v="Payments End-to-End Assessment- Phase 2"/>
        <s v="MS - ETFC Acct Conversion Support - Ops #WM"/>
        <s v="Lumen-Network Implementation Process-SFDC #SiteTracker"/>
        <s v="Global Stat Process - Enterprise Standard"/>
        <s v="Lumen - ZBB and Unit Cost Reduction"/>
        <s v="D - LDC Billing System - Ohio SBS Analysis"/>
        <s v="D - LDC Billing System - WV HIPS Analysis"/>
        <s v="Digital Journey Mapping &amp; Transformation"/>
        <s v="LM - OneLM Data RFI"/>
        <s v="UA MP MarTech Assessment &amp; RFP"/>
        <s v="Healthfirst Project Persistence 2"/>
        <s v="MS - ShareWorks Architecture Assessment"/>
        <s v="Pandemic Commercial Model Phase IV"/>
        <s v="2021 Employee Experience / Culture"/>
        <s v="Plant &amp; Product Optimization - Phase 2"/>
        <s v="Labcorp - CPQ Pricing"/>
        <s v="Investment Management - TOM"/>
        <s v="FNMA_FFG_Case for Change and Stand up TMO"/>
        <s v="UCT: Hamlet Operating Model"/>
        <s v="*SMART* License - St. Luke's Health"/>
        <s v="Cardinal Health Electromechanical Service Strategy"/>
        <s v="Vz - Planning, Rptg &amp; Data Support"/>
        <s v="SIC EB Claims Op Model"/>
        <s v="KP -  Medi-Cal consumer Study"/>
        <s v="IT Infrastructure Assessment #COVID-19"/>
        <s v="Project Symphony - Sign to Close - Pull-Thru - Risk Org Design"/>
        <s v="Medicare Supplement UW/Pricing Implementation + Monitoring Dashboard"/>
        <s v="BL - RA for Elderly Phase 3 (US Portion)"/>
        <s v="Pandemic Commercial Model Phase IIIB"/>
        <s v="MCA Tech platform assessment"/>
        <s v="Federated SSO program expansion"/>
        <s v="MLS Tech strategy"/>
        <s v="LPL / Treasury and Ops Enhancement and 17a5 Controls Review / $485,000"/>
        <s v="TMO Phase 2"/>
        <s v="Anaplan Implementation Support"/>
        <s v="Tatari Integration Support"/>
        <s v="Coca-Cola ME&amp;E Phase 4 - LATAM Procurement Excellence"/>
        <s v="embecta post spin HR PMO support"/>
        <s v="Morgan Stanley - Restricted Securities Market Entry - Central Team Support"/>
        <s v="HP - Teradici L2C PMO, MoC"/>
        <s v="EGWP SHP Strategy"/>
        <s v="Anthem CX/HCD CoE Foundation #FF Phase 2"/>
        <s v="Inbound Transportation Centralization Opportunity Assessment #S&amp;P#POD"/>
        <s v="SoCalGas - MSP Modernization"/>
        <s v="Treasury - Paymentus Migration"/>
        <s v="Portfolio Central Support Q4 2022"/>
        <s v="Portfolio Central Support Q3 2022"/>
        <s v="MSFT MSA Xandr Change Management Support"/>
        <s v="*SMART* License - Novant Health"/>
        <s v="FSOP Market Research"/>
        <s v="MSWM - FSS Rollover Build Out (July-Dec)"/>
        <s v="TCCC ME&amp;E - Marketing Planning"/>
        <s v="Nicor Cost Reasonableness Assessment"/>
        <s v="FYE22 Retiree Medical Valuations"/>
        <s v="Corp Dev / M&amp;A Group Standup #FSDeals"/>
        <s v="Healthcare Integration GTM Strategy"/>
        <s v="USE Integration into Workday"/>
        <s v="IT Strategy"/>
        <s v="WHR - AWS - People: Org. Design"/>
        <s v="Pricing, Segmentation and Next Generation Roles"/>
        <s v="Value Unlock- Operating Model and Benchmarking"/>
        <s v="FB&amp;T nCino Discovery"/>
        <s v="WGL - Transformation Office"/>
        <s v="Takeda GTN Bluesheet Transition + Anaplan 2022"/>
        <s v="Growth &amp; Innovation Strategy"/>
        <s v="Syneos Health - Phase 1 Supplier Diversity Program Implementation #S&amp;P #ESG"/>
        <s v="DSI Culture / Change Management / D&amp;I"/>
        <s v="Target Inventory Shrink Remediation"/>
        <s v="Allstate - Salesforce Contact Center #FSINS"/>
        <s v="Cayan Oracle Salesforce Integration"/>
        <s v="Supply Chain Support"/>
        <s v="HealthPartners Oracle Rev &amp; Billing Integration: Phase 2"/>
        <s v="HP LFP Digital New Markets Entry Strategy #XPCGrowth"/>
        <s v="Medicaid Call Center Consolidation Support #GCOE #Medicaid"/>
        <s v="Executive Talent Management"/>
        <s v="Trimble PDT Strategy"/>
        <s v="Sierra Space - Strategic Planning"/>
        <s v="Medicare Sales Strategy"/>
        <s v="Trimble Partnership &amp; JV Strategy"/>
        <s v="Intel - RSA Program Assessment"/>
        <s v="Trimble PaaS Strategy"/>
        <s v="Global Account Mgmt Practices and Org Design"/>
        <s v="Horizon - Project Olive Oil - Assessing  current vendor relationship of Facets platform for Medicaid #PayerCO&amp;ITrans"/>
        <s v="Chewy Proprietary Brands - Capabilities &amp; Op Model"/>
        <s v="Real Estate Equity - Data Operations &amp; Valuations Process Support"/>
        <s v="Employee Upskilling and Learning"/>
        <s v="TPA Mobilization Support #PayerCO&amp;ITrans"/>
        <s v="Lazard - HR vision and tech review"/>
        <s v="*CI* ASUEP- Business Planning Support"/>
        <s v="CHC Consumer Study"/>
        <s v="Consumption OpModel Design"/>
        <s v="GCP Customer Support Integration Jun - Dec 2021"/>
        <s v="FP&amp;A management reporting and data strategy"/>
        <s v="FP&amp;A automation and digital vision, use case and enablement"/>
        <s v="Auto Lending - Serv Growth Strategy &amp; Value Proposition Design"/>
        <s v="FBP Planning Transformation"/>
        <s v="Call Center Optimization - Data/Process Strategy"/>
        <s v="Aptiv ASUX - SW Tools Rationalization PMO Support"/>
        <s v="Oracle EPM - Account Reconciliations (ARCS)"/>
        <s v="Potential work after MS ESG Internal Audit"/>
        <s v="SIB Charter - Phase 2"/>
        <s v="YURA - FFG"/>
        <s v="Segra: Supply Chain Assessment"/>
        <s v="Distribution/Agent Performance Management"/>
        <s v="Fox News Midterm Election Readiness Support"/>
        <s v="H-D - #ESG enviro P&amp;L update and forecast"/>
        <s v="FY23 SOX MYS Organizational Enablement Support - Q2"/>
        <s v="Galaxy - Post Close Communications (60 Days)"/>
        <s v="Citi Enterprise Risk Management Training Extension: TNA - FINAL"/>
        <s v="IGP - Tishman Hotel Corp - Hilton Swan and Dolphin Orlando"/>
        <s v="Sales Performance Management - CR#3 - Option"/>
        <s v="Google Cloud Marketing Workforce Blueprint"/>
        <s v="MSWM FSS IRA Rollover - Extension - Phase 1"/>
        <s v="Ally Smart Auction - 2.0"/>
        <s v="Amazon Treasury - Global Business Expansion and Banking Support"/>
        <s v="Project Force Phase 3 - Lease Admin Transition Support"/>
        <s v="Enterprise PMO Support"/>
        <s v="GRS Data Strategy"/>
        <s v="Anthem CX Strategy &amp; Vision Phase 1"/>
        <s v="Risk Management / Middle Office Support"/>
        <s v="Potential work after Wells Fargo - Sustainable Finance"/>
        <s v="Evolution of the Adult Vaccine Landscape Phase II"/>
        <s v="Prolec GE USA - ISA Migration Extension"/>
        <s v="Moderna Digital Commerce - MVP Restart Acceleration"/>
        <s v="Reimagining Sourcing"/>
        <s v="Anaplan Implementation - R&amp;D Phase 3"/>
        <s v="E&amp;S Strategic Review"/>
        <s v="FOA - Reporting Process Optimization Phase 1"/>
        <s v="Takeda US FP&amp;A Transformation Phase 1 (Anaplan)"/>
        <s v="Wireless Field Force Operating Model Transformation"/>
        <s v="Diversity &amp; Belonging Talent Strategy"/>
        <s v="Blue Cross Blue Shield of Michigan #ProEdge - Renewal [Brewers] (GCAP / #ProEdgexAutomation )"/>
        <s v="PEP Cost of Climate Disruption"/>
        <s v="HR Business Excellence FY23 H1 Org Support"/>
        <s v="nCino Discovery #FOBComm #&lt;$50B #SCB"/>
        <s v="*SMART* License - SCL Health"/>
        <s v="GE Treasury - Supply chain finance"/>
        <s v="Template Creation Support Q2-Q4 2022 #PayerCO&amp;ITrans"/>
        <s v="ESG Phase II Automation (Baker Hughes)"/>
        <s v="Intercompany Strategic Foundations"/>
        <s v="GE Gas Power Logistics"/>
        <s v="Henry Schein Contract Management"/>
        <s v="SCL Health - Virtual Health Analytics &amp; Strategy"/>
        <s v="PII - Supply Chain Constraint Management ph 1"/>
        <s v="Brand Strategy &amp; Change Management Support"/>
        <s v="Confidential New Facility Build - Project Development PM/CM Services - Phase 1"/>
        <s v="First Hawaiian Bank - nCino Discovery #&lt;$50B #SCB"/>
        <s v="FDX: B2B Loyalty - contracting; insourcing/outsourcing"/>
        <s v="Product Management Strategy and Design #PayerCO&amp;ITrans"/>
        <s v="PU Hedging Strategy"/>
        <s v="McDonalds Mesoamérica - Operating Model Design"/>
        <s v="Aflac Procurement on Demand and Strategy Development Opportunity #S&amp;P#POD"/>
        <s v="nxtgenERP Activity Analysis"/>
        <s v="Bank of Hawaii - LOS Discovery #&lt;$50B #SCB"/>
        <s v="Dealer Services - LOS and servicing system selection strategy"/>
        <s v="First Hawaiian Bank SB Strategy #&lt;$50B #SCB"/>
        <s v="TCCC MyCoke evolution"/>
        <s v="AT&amp;T Indirect Channel Transformation Planning &amp; Pilot Design"/>
        <s v="Back office platform strategy &amp; roadmap #PayerCO&amp;ITrans"/>
        <s v="L3Harris - UAE Country Playbook #FFG"/>
        <s v="ICON Business Unit COE Desktop Evaluations Extension #1"/>
        <s v="Tiger - Finance Org Design"/>
        <s v="Pharma Partnership Model &amp; Growth plan #XPCONC"/>
        <s v="PGE.com Support - Sprint 0 Detailed Design"/>
        <s v="MSIM - Private Credit Digital Experience - PIF"/>
        <s v="PepsiCo #NFT &amp; #Metaverse Op Model Strategy"/>
        <s v="Future of Finance: Operating Model Assessment &amp; Proposal"/>
        <s v="P&amp;G - EU MDR Compliance Roadmap"/>
        <s v="UCT: Service Supply Chain Assessment"/>
        <s v="ADI Global - PIM"/>
        <s v="Centene VBC Analytics / Enterprise Provider Platform"/>
        <s v="Finance Service delivery model / Shared service center set-up"/>
        <s v="Commercial Card Launch - GTM Strategy"/>
        <s v="Implementation Readiness"/>
        <s v="Constellation Brands - Sales Technology Vision"/>
        <s v="GPS - SNOW GRC (Policy mgmt)"/>
        <s v="CVS Aetna OhioRISE Medicaid Implementation Extension #GCoE"/>
        <s v="UST - Project Endeavour - Transition Planning #CO&amp;I"/>
        <s v="Phase 0 - S/4 Requirements/Design Functional Support"/>
        <s v="JMS - SWAT Support for FY20 and FY21 Planning #RGM"/>
        <s v="Pershing Client Interview Preparation"/>
        <s v="Aptitude Optimization"/>
        <s v="BU Finance Process Redesign (Midland)"/>
        <s v="Apollo Year End Compensation Support"/>
        <s v="#ClinicalSourcing -- Clinical Operations Sourcing Strategy assessment"/>
        <s v="MWI ABCForce Discovery"/>
        <s v="The University of Texas Southwestern Medical Center *VBO* Rev Cycle Functions Supplemental Staffing"/>
        <s v="Takeda GTN Bluesheet Transition + Anaplan 2022 Extension"/>
        <s v="Merchant Services Strategy"/>
        <s v="BNYM - Treasury and/or Local PGH Market Strategy"/>
        <s v="NRM GBS- Playbook Training Support"/>
        <s v="Gore Marketing Analytics Capability Development"/>
        <s v="Harwick - Integration Surge Resources"/>
        <s v="BCBSM Enterprise Dashboard"/>
        <s v="CE Consortium Volatility Workstream Ph 1"/>
        <s v="Tele-Emergency/Hospitalist Phase 4"/>
        <s v="Insulet Chargebacks and Rebates Vistex Blueprinting *Pricing*"/>
        <s v="Project Controls for Power Delivery Construction Portfolio"/>
        <s v="E2E Process Review: Bank Consumer Lending"/>
        <s v="Allstate Claims and Backoffice RFI Extension #S&amp;P#POD"/>
        <s v="Data integration support: EMR integration, claims, playbook #PayerCO&amp;ITrans"/>
        <s v="FIS Government Market Analysis #Alliance #SKO"/>
        <s v="Sunoco RightAngle Managed Services"/>
        <s v="Media Intelligence Phase II"/>
        <s v="Oracle EPM Planning - Change Management Execution ph 2"/>
        <s v="C&amp;W - D&amp;I Strategy"/>
        <s v="Offer-to-Report Offering Presentment Simplification #TMTPricing"/>
        <s v="Marketplace Proof of Concept #ESG #S&amp;P#POD"/>
        <s v="Hess ESG Placeholder"/>
        <s v="ProEdge for HPE (ELA)"/>
        <s v="Halliburton Sustainable Products, EHS &amp; Service Quality #ESG"/>
        <s v="Capital Portfolio Optimization - Copperleaf - Phase 1"/>
        <s v="#IOBP -- AMP Medical Affairs Enablement"/>
        <s v="Sustainable1 Policies, Procedures and Controls Phase 2 - Detailed Process Design &amp; IHS/TCS Controls"/>
        <s v="LAS Discovery #FOBComm #&lt;$50B #SCB"/>
        <s v="ARC Implementation"/>
        <s v="Customer Analytics"/>
        <s v="ERP Selection"/>
        <s v="Direct Investing - Process Design"/>
        <s v="BGS Metrics Diagnostic"/>
        <s v="BHSH Epic Optimization *Rev Cycle* *RC Tech*"/>
        <s v="Employee Value Proposition Redesign"/>
        <s v="GE Aviation MSO Spares Forecasting"/>
        <s v="UniFirst Customer Experience Strategy"/>
        <s v="EFE Platform Market Evaluation"/>
        <s v="ADI Digital Commerce Strategy"/>
        <s v="IBX Risk Adj Strategic Capabilities Phase 2 #HVM"/>
        <s v="AmeriHealth Caritas RFP Support 2023 #GCOE #Medicaid"/>
        <s v="Tailored Plan Implementation Support - North Carolina #PayerCO&amp;ITrans #Medicaid"/>
        <s v="BCBSM Behavioral Health Discovery"/>
        <s v="BCBSM Group Pricing Transparency Strategy #PayerAnalytics #HVM"/>
        <s v="Anthem Price Trans Dashboard #xPC:PayerAnalytics #PayerAnalytics #Alliance:PwC"/>
        <s v="Busey Bank nCino Remediation #&lt;$50B #SCB"/>
        <s v="UST - Project Endeavour - Operating Model #CO&amp;I"/>
        <s v="TCCC - Supply Chain Resilience"/>
        <s v="Key Bank Media Assessment + Compliance"/>
        <s v="Finance Evolution Design and Roadmap"/>
        <s v="Working Capital - Supply Chain &amp; SIOP Assessment"/>
        <s v="ECG L&amp;D"/>
        <s v="Tubi International Expansion"/>
        <s v="Financial Operations Optimization"/>
        <s v="Nielsen Media Qualtrics Phase 2"/>
        <s v="Amazon RME Onboarding Training Strategy Implementation"/>
        <s v="Media Intelligence"/>
        <s v="WFRD - Supply Chain Blockchain"/>
        <s v="Project Morocco - IT #PayerCO&amp;ITrans"/>
        <s v="Customer Digital Experience Strategy &amp; Platform"/>
        <s v="HAPS Market Messaging"/>
        <s v="Gilead: Transformation #IOBP - PPM Program Assessment"/>
        <s v="Grupo UNACEM_Proceso de Planeación Estratégica"/>
        <s v="Finance and EPM Operating Model and Cloud Execution Phase 1"/>
        <s v="Talent Management Onboarding"/>
        <s v="Claims Analytics"/>
        <s v="Pension Program Strategy"/>
        <s v="Comp Benefits Optimization"/>
        <s v="SFDC / MSFT Dynamics Assessment"/>
        <s v="CMO Marketing Transformation Benchmarks/Practices"/>
        <s v="5G Labs - Phase 4"/>
        <s v="2022-2023 ASC 715 GE Postretirement  Benefits - Separation Calculations"/>
        <s v="STT Alpha PM + BA Support (Lazard Asset Management)"/>
        <s v="Product and benefit management: product &amp; implementation planning #PayerCO&amp;ITrans"/>
        <s v="WIM Reboot -Future state options"/>
        <s v="Revenue Forecasting POC"/>
        <s v="ASD GTM Discovery &amp; Roadmapping"/>
        <s v="Product MGMT. Transformation - Case for Change"/>
        <s v="Dynamic Service Strategy"/>
        <s v="Mental Health Parity Gap Assessment"/>
        <s v="Data Literacy Program Roll Out"/>
        <s v="DJI - Covid Epi Data #Covid19"/>
        <s v="Omnichannel Experience Optimization"/>
        <s v="UM and CM *Rev Cycle* Op Model Strategy"/>
        <s v="TowneBank ncino Discovery #&lt;$50B #SCB"/>
        <s v="Galaxy #digitalassets standup"/>
        <s v="IT Business Planning Program Assessment"/>
        <s v="NPS Phase 2"/>
        <s v="CDK Finance Assessment"/>
        <s v="Vialto Partners- Phase 2 Payroll Implementation"/>
        <s v="Lamar Treasury Support"/>
        <s v="Comerica Customer Link_License_#PRO"/>
        <s v="Coupa Consolidation"/>
        <s v="Indirect Spend Reduction"/>
        <s v="ESG Strategy, Roadmap and Year 1 Reporting"/>
        <s v="GE Energy - FieldCore Cost Reduction / Spend Assessment"/>
        <s v="COO Risk Programs Policy Execution Support"/>
        <s v="GE Healthcare - Finance Op Model Baseline Assessment"/>
        <s v="FedEx ARCS Statutory Reconciliation Assessment"/>
        <s v="USCO - Cobalt - Phase 3 - Extension"/>
        <s v="Kao SAP TPM - AMS extension till 2023"/>
        <s v="Cullman Regional 340b *Strategic Reimbursement*"/>
        <s v="Crypto Acceptance at POS"/>
        <s v="BCBSMA PY2020 Pharmacy Assessments (4 of 4)"/>
        <s v="BCBSMA PY2020 Pharmacy Assessments (3 of 4)"/>
        <s v="PEP North America SAP TPM Assessment"/>
        <s v="Healthfirst - Paydoc Agile Planning Support #PayerCO&amp;ITrans"/>
        <s v="SAIL - Target Operating Model Framework"/>
        <s v="CVS Novologix Commercial Migration Change Order 2"/>
        <s v="Responsible Sourcing Standards"/>
        <s v="HR Transformation/Strategy"/>
        <s v="Vital Proteins - Warehouse Master Plan"/>
        <s v="Fresh Flex Store Cost Improvement Assessment"/>
        <s v="BeiGene Finance Assessment"/>
        <s v="AMZN Finance: Global Stat Reporting PM Support Extension 6 (June 2022+)"/>
        <s v="Aspen Snowmass Loyalty Strategy"/>
        <s v="Workday Process Reconciliation"/>
        <s v="Chime Payment Processing Platform Replacement Tech Strategy"/>
        <s v="GE Sonazoid Ultrasound Contrast Media Opportunity Assessment - US Phase 1 #XPCONC"/>
        <s v="Realtor.com Organization Review"/>
        <s v="IP Reimagine: Tax Career Pathing"/>
        <s v="Coca-Cola ROX/VOC"/>
        <s v="Pricing Assessment"/>
        <s v="Comcast Corporate Compensation Year-End Executive Reporting"/>
        <s v="Managed Accounts Analytics MVP &amp; Use Case Prioritization"/>
        <s v="Distribution Network Optimization Strategy Ph2 - Execution Support"/>
        <s v="*SMART* License - Rush"/>
        <s v="MS E*TRADE Integration UAT Support"/>
        <s v="TIGER - Enterprise Fluidity"/>
        <s v="Potential work after RGA: ESG Materiality Assessment"/>
        <s v="Sales Audit Modernization"/>
        <s v="Insights Platform"/>
        <s v="MESSA Medical and Rx RFP"/>
        <s v="Revision de Capacidades"/>
        <s v="Reimagine Campaign - Phase 1 (Assess)"/>
        <s v="*SMART* License - OhioHealth"/>
        <s v="Renewables Capital Program Delivery Capability Assessment"/>
        <s v="Vendor Rationalization"/>
        <s v="BSC - ProEdge"/>
        <s v="Molina Quality Management Office Mobilization #GCOE"/>
        <s v="Shannon: Pharmacy Optimization Analysis &amp; Implementation *FFG*"/>
        <s v="Metaverse strategy and roadmap"/>
        <s v="Access Center Consulting Services"/>
        <s v="Capital Project Execution Playbook"/>
        <s v="Grainger - Sourcing &amp; Supplier Management Optimization"/>
        <s v="Bimbo Bakeries RGM Diagnostic PA #RGM"/>
        <s v="UCB Zogenix Integration Support"/>
        <s v="U.S. BANK HOME EQUITY - CUSTOMER LINK"/>
        <s v="Everseen Service Deployment Transformation"/>
        <s v="Zebra: Supply Shortage Assessment"/>
        <s v="Capital Allocation Structures"/>
        <s v="API EcoSystem Architecture/Org. Structure Assessment"/>
        <s v="BizLink and Lubes MS Extension"/>
        <s v="FFG--Phase I Expense Roadmap"/>
        <s v="WIM Policy &amp; Procedure Remediation"/>
        <s v="AT&amp;T Business Sales Offload Time &amp; Motion Study"/>
        <s v="Hyundai Heavy Equipment org. design"/>
        <s v="Ameritas - Software Innovation / Agile Governance"/>
        <s v="Republic Job Architecture"/>
        <s v="Enterprise Data &amp; Analytics Op Model Definition"/>
        <s v="Omnichannel Pricing Strategy"/>
        <s v="Dexcom - Smart Factory PoC - ~$350k"/>
        <s v="#IOBP - AMP e7 Upgrade Support"/>
        <s v="Payment Hub Vendor Selection"/>
        <s v="Behavioral Segmentation Analytics"/>
        <s v="MAPFRE Customer Analytics Loyalty Pilot"/>
        <s v="IBC Transparency in Coverage analysis #D&amp;A #HVM"/>
        <s v="#MedAffairs #RWDEvGen - - RWE Governance &amp; Operations"/>
        <s v="USAA - LifeCo Servicing Transformation"/>
        <s v="*RC Tech* *Rev Cycle*"/>
        <s v="Accenture_Employee Tax Inquiry Assistance_$100K"/>
        <s v="90/10 Response Strategy"/>
        <s v="*SMART* OP - RWJBarnabas Health"/>
        <s v="#QMS PostMarket Quality Transformation Phase 1"/>
        <s v="Product and Engineering Transformation Phase 2"/>
        <s v="FCCS Phase 2 Support"/>
        <s v="C&amp;W - Brokerage Optimization - FA Pool Rollout Support"/>
        <s v="Succession Planning DEI Phase 2"/>
        <s v="CHS PRS Cash Plan *Strategic Reimbursement*"/>
        <s v="#QMS PostMarket Quality Quality Transformation - Phase 1"/>
        <s v="Allstate Procurement Category Sourcing | Phase 2"/>
        <s v="CBRE IM - IA&amp;R Process Optimization"/>
        <s v="Comm Real Estate LAS RFP Support"/>
        <s v="MSFT ENGCLA FY23 Engineering Learning Extension of Instructional Design Support"/>
        <s v="Net Zero Roadmap"/>
        <s v="Global Payments Revenue Leakage Assessment"/>
        <s v="Communications and Lettering - Extension: Paperless"/>
        <s v="Climate Literacy Program"/>
        <s v="Pricing and Monetization of Digital Therapeutics and Digital Companion Apps"/>
        <s v="CMO Sales Strategy"/>
        <s v="Process Optimization - Operations"/>
        <s v="#QMS Fortive ASP PostMarket Quality Transformation - Phase 1"/>
        <s v="Project Magellan - Broadcast Stations"/>
        <s v="AA - Catering Supply Chain - Sourcing Cost Reduction #Profit"/>
        <s v="Partnership Design"/>
        <s v="Defining the Customer Experience"/>
        <s v="Defining IT Strategy and Operating Model"/>
        <s v="Envisioning the Data and Analytics Design"/>
        <s v="Oncology data-driven products and services design #XPCONC"/>
        <s v="FY21 - Vitro - Strategic Market Assessment for business growth"/>
        <s v="S&amp;OP Third Party Assessment - Phase 1"/>
        <s v="Aesthetics Operations - Operating Model Design"/>
        <s v="NRTC Sales Operating Model Assessment"/>
        <s v="Intel - IFS CRM Implementation Support"/>
        <s v="Roku Close Acceleration Assessment"/>
        <s v="ANA #MI Phase 2"/>
        <s v="CUNA Mutual Corporate Performance Office Support"/>
        <s v="Mare Island Smart City Road Map Development - $350k"/>
        <s v="AbbVie ClinOps Benchmarking #clinops"/>
        <s v="GPO Model Design"/>
        <s v="EFE Digital Wellness - Inorganic Strategy"/>
        <s v="Finance Systems Roadmap"/>
        <s v="Providence Health Plan Growth Strategy Refinement"/>
        <s v="nCino Discovery #&lt;$50B"/>
        <s v="Centerpoint Procurement Managed Service Support #S&amp;P#POD"/>
        <s v="WHR - AWS - People: Upskilling"/>
        <s v="AbbVie Investigator Satisfaction Survey #clinops"/>
        <s v="BCH Capacity Assessment"/>
        <s v="CDW Seller Pricing Playbook"/>
        <s v="Synovus ncino FLOOD tool &lt;$50B"/>
        <s v="Inari Close Acceleration Phase 2"/>
        <s v="Project P - Phase 1"/>
        <s v="PTC (Pricing, Terms, &amp; Conditions)"/>
        <s v="Cox Business Operating Model"/>
        <s v="Rockland Trust - Core Banking Platform Selection"/>
        <s v="EVP/EX Measurement and Design"/>
        <s v="Supplier Code of Conduct Phase 2 #S&amp;P #ESG"/>
        <s v="DEI Assessment"/>
        <s v="*SMART* License - Integris"/>
        <s v="IoT Roadmap"/>
        <s v="Customer Service Quality Assessment - Worldpay"/>
        <s v="TIGER - Portfolio Planning 2.0"/>
        <s v="Cone Health - DFD Release 2.2 Implementation"/>
        <s v="Medicare Call Center Redesign and Member Experience"/>
        <s v="Onboard Services"/>
        <s v="Horizon - Product Management - Future of Product #PayerCO&amp;ITrans"/>
        <s v="Enabling Outcome Based Contracting"/>
        <s v="#Coupa Supplier Enablement &amp; S2P Rapid Diagnostic"/>
        <s v="Payments Hub Migration Plan &amp; Orchestration Layer Design"/>
        <s v="Moderna Pricing &amp; Contracting Process Design"/>
        <s v="Cook Medical Pricing and Revenue Leakage Assessment *Pricing*"/>
        <s v="GP - HR Shared Service Activity Analysis + Benchmarking"/>
        <s v="Google Services Benchmarking"/>
        <s v="Swap Dealer Phase 2"/>
        <s v="Amrock IVR Implementation &amp; Contact Center Transformation"/>
        <s v="Banking Operations Stand up and Technology Implementation (Extension 07)"/>
        <s v="Teladoc Xactly Commission Exp Accounting &amp; WDAY Integration"/>
        <s v="Pricing Efficiency and Effectiveness"/>
        <s v="M&amp;A Playbook &amp; Capacity Expansion"/>
        <s v="Finance Close Acceleration"/>
        <s v="Clinical Development Culture Activation"/>
        <s v="PFG Source to Pay"/>
        <s v="Silicon Valley Campus (SVC) Capital Project Process and Control Review"/>
        <s v="GPO RFP"/>
        <s v="Asset Knowledge Management - Mapping Cycle Time"/>
        <s v="Inova Health - *SMART* IP License - FY23 Renewal"/>
        <s v="HCSC Clinical Technology Transformation #HVM #GCOE"/>
        <s v="GCD NPI Baseline &amp; Assessment - PVT &amp; GA Ramp"/>
        <s v="MSFT HR FY22 TM Strategy and PM Support"/>
        <s v="Ochsner Health System - *SMART* License  IP Renewal - FY22"/>
        <s v="Walmart Co-Branded Credit Card - Vendor Data integrity &amp; controls"/>
        <s v="COGS Process Improvement and System Migration Support"/>
        <s v="NYT 2022 Actuarial Services"/>
        <s v="Potential work after ESG Net Zero"/>
        <s v="Project Renew - RightAngle Upgrade"/>
        <s v="Alts FFG Data - Business Validation Design Support #DATA"/>
        <s v="United for Business Support"/>
        <s v="Gestión de demanda"/>
        <s v="CEG Bridge Phase"/>
        <s v="Introducing a Consumption Pricing Capability"/>
        <s v="Rapid Product Development Tx"/>
        <s v="#MedAffairs--Microbiome Digital Twin MSLs"/>
        <s v="Finance Transformation - Phase 2"/>
        <s v="HR Dashboard Support"/>
        <s v="HR Dashboards"/>
        <s v="*SMART* License - Scripps"/>
        <s v="*SMART* License - Multicare Health"/>
        <s v="Auto Modernization Pivot Strategy &amp; Planning"/>
        <s v="Data &amp; Analytics Op Model Design"/>
        <s v="IT Roadmap Consolidation &amp; Portfolio Management Strategy"/>
        <s v="SPM Implementation - SoldQuota/Einstein CR #RocktheSEPipe"/>
        <s v="IGP - Hilton Anatole"/>
        <s v="Grupo Sese - US Task Force Support - Phase 4"/>
        <s v="PDC Consumo - Inorganic Growth Startegy"/>
        <s v="FIS - Capital End to End"/>
        <s v="Syneos Health - Phase 2 Supplier Diversity Program Implementation #S&amp;P #ESG"/>
        <s v="CDW - Finance Transformation Office"/>
        <s v="*SMART* OP License - Nuvance Health"/>
        <s v="Emerald Talent Architecture"/>
        <s v="MSFT Data Center Capital Project Policy and Process Assessment"/>
        <s v="Workday ESG Materiality Assessment RFP #ESG"/>
        <s v="Baker Hughes #ProEdge - Production - #ProEdgexESG"/>
        <s v="Zagg: Operations Assessment"/>
        <s v="Customer Link OI/IO"/>
        <s v="Trimble- Reverse Logistics- Operating Model"/>
        <s v="Cardinal Health Plastics Category Strategy"/>
        <s v="SBTi Contingency Plan / Net Zero"/>
        <s v="Avangrid H&amp;W Expanded Scope"/>
        <s v="Operacionalización ESG"/>
        <s v="DNaS Staff Aug Support"/>
        <s v="MCL GTM Effectiveness"/>
        <s v="Energy Infrastructure Council - #ESG Climate Market Impact Analysis"/>
        <s v="M2GEN - Business Model Commercialization w/ ORIEN Network #RWDEvGen"/>
        <s v="AA - Fare Trace Pilot"/>
        <s v="IDBNY TOM and Capabilities Assessment #&lt;$50B #SCB"/>
        <s v="*CI* TGH Research IP Assessment"/>
        <s v="Shell - Greenlots Operations Execution - Charging Stations"/>
        <s v="DE&amp;I Program: Governance and mobilization assistance"/>
        <s v="Earnings Code Review"/>
        <s v="Finance SAP PMO and Enhancement support"/>
        <s v="Media Mix Analysis"/>
        <s v="BCBSM Mainframe Architecture"/>
        <s v="Temple Health Digital Strategy and Roadmap"/>
        <s v="Talent Strategy - Top Roles Planning"/>
        <s v="Media Supply Path Optimization"/>
        <s v="KCNA TPM Assessment - S4 program"/>
        <s v="Oncology marketing and sales excellence [placeholder]"/>
        <s v="JetBlue Finance Operating Model / Sourcing Assessment"/>
        <s v="Project Alpha: implementation planning and mobilization #PayerCO&amp;ITrans"/>
        <s v="Coupa SIM Implementation"/>
        <s v="Profitability Improvement #Profit"/>
        <s v="#MedAffairs #RWDEvGen -- Evidence Generation Governance and Framework (Amgen)"/>
        <s v="Microsoft Surface DaaS Phase 3 (Readiness)"/>
        <s v="GE GP Aero S&amp;OP"/>
        <s v="DENSO MX Import / Export"/>
        <s v="Milwaukee Tool Performance Analyzer #RGM"/>
        <s v="Halo Top Performance Analyzer #RGM"/>
        <s v="King's Hawaiian Performance Analyzer #RGM"/>
        <s v="Gilead:IT  Gilead NextGen Clinical Platform PoC #R&amp;DAutomation"/>
        <s v="Klein Tools Performance Analyzer #RGM"/>
        <s v="GE Gas Power CoQ"/>
        <s v="MassMutual Lead Generation"/>
        <s v="Digital Optimization"/>
        <s v="AFLAC - Dental &amp; Vision - Distribution Sales Support"/>
        <s v="*CI* Nursing Build or Buy"/>
        <s v="Fluor - Operations Policy &amp; Procedures Benchmarking and Compliance Review - Phase 1"/>
        <s v="#ClinTrialDesign - CORTEX Analytics Implementation"/>
        <s v="Planning, Budgeting &amp; Forecasting"/>
        <s v="Live Oak Finxact Discovery #&lt;$50B"/>
        <s v="BX Real Estate Fund Administration Selection Support"/>
        <s v="Workers Com Growth Strategy: Business Insurance"/>
        <s v="CDW - WMS Selection"/>
        <s v="RightAngle Managed Services"/>
        <s v="Baker Oracle EPM - Close Assessment #MW"/>
        <s v="MassMutual Extension: Service Model, HR Ops and Comms"/>
        <s v="BCBSM - Benefit Management Strategy #PayerCO&amp;ITrans"/>
        <s v="Experity - Interoperability Strategy and Plan"/>
        <s v="Analytical selling and SalesForce optimization"/>
        <s v="Enterprise Analytics Strategy"/>
        <s v="GE Appliances / Connected Home Ecosystem"/>
        <s v="DRC Analytics for Customer Acquisition- Assessment #incs"/>
        <s v="Servicing Oversight Reporting"/>
        <s v="*SMART* IP - Allina Health"/>
        <s v="Agent Comp Current State Assessment"/>
        <s v="CSL Plasma - City Design and Sell In"/>
        <s v="GRM--BL/Small Commercial UW &amp; Pricing Strategy"/>
        <s v="Operationalize Brand Marketing"/>
        <s v="Resideo #ESG strategy and implementation plan - Phase 2"/>
        <s v="Watts-Territory Pricing Uplift"/>
        <s v="CoP 2022/2023 Job Architecture"/>
        <s v="Bank of Tampa - nCino Discovery #SCB #&lt;$50B"/>
        <s v="IBC Payer Growth/#DVC #FFG"/>
        <s v="WHR - AWS - People: Career Architecture"/>
        <s v="Morgan Stanley ISG #Digitalassets"/>
        <s v="Sales / Supply Chain Optimization"/>
        <s v="GE Corporate InterCo Remediation"/>
        <s v="#QMS Health@ Organization Value Profile"/>
        <s v="C2R - Last Mile Process Enhancement - Phase II"/>
        <s v="Assess Finance Operating Model with Central Finance"/>
        <s v="MSFT MCB Learning FY23 H1"/>
        <s v="M&amp;A Market Scan"/>
        <s v="Digital Product Strategy"/>
        <s v="Support for Talent Management Business Case"/>
        <s v="Digital Supply Chain"/>
        <s v="MSK - IT Asset Management (Ph2)"/>
        <s v="VW - Supplier Task Force SKBA - Phase 1"/>
        <s v="ManCo Value Creation #Hawk"/>
        <s v="#IOBP - GSK IRM Operational Reporting Support"/>
        <s v="R&amp;D Portfolio Management"/>
        <s v="Finance of America Growth Strategy"/>
        <s v="AbbVie Intercompany Reconciliation"/>
        <s v="Physician Relationship Management (PRM) Pilot"/>
        <s v="Valley Health Growth Strategy &amp; Capabilities (CDS)"/>
        <s v="Lead to Renewal BXT"/>
        <s v="Pivot - FE Phase I support"/>
        <s v="POS Technology Deployment Acceleration"/>
        <s v="Cleanroom RFP support for VCG - Media"/>
        <s v="ADS - Capex Buyers #PoD"/>
        <s v="CVR - Maximo Upgrade (Project Renew)"/>
        <s v="Strategic Option - Assistance/Go Forward Plan"/>
        <s v="CPQ GTM Business Strategy"/>
        <s v="MS Productivity Hub"/>
        <s v="MCL Go Forward Strategy"/>
        <s v="Trimble, Inc. ESG Salesforce Net Zero Cloud Implementation"/>
        <s v="Norfolk Southern - Capital Assessment &amp; Sourcing"/>
        <s v="Norfolk Southern - Procurement Transformation"/>
        <s v="Norfolk Southern - Return on Customer Experience"/>
        <s v="BCBSM Price Transparency Strategy #PayerAnalytics #HVM"/>
        <s v="Fairview Cloud Acceleration Center Startup"/>
        <s v="Kemper CustomerLink #PRO (P&amp;C)"/>
        <s v="AWS Roster Change Management Opportunity"/>
        <s v="Project Rodeo - Migration 2.0"/>
        <s v="FITB Healthcare TM Receivables Managed Service"/>
        <s v="Medicare Call Center Sourcing Support and Transition #GCOE #Medicare"/>
        <s v="LRM/MPOR Framework Gap Assessment Implementation"/>
        <s v="Commercial Digital Team PPM Support"/>
        <s v="Best Buy Health CRM Optimization - Assessment and Planning Phase"/>
        <s v="AT&amp;T Business Pricing Strategy"/>
        <s v="Safety App Triage Process Support"/>
        <s v="BMS Gross-to-Net Revenue Leakage Diagnostic *Pricing*"/>
        <s v="Experience Architecture - Pilot #Hawk"/>
        <s v="Houston Methodist CDP-CareSense Bariatric Clinical Pipeline Integration"/>
        <s v="EHR pre-implementation planning"/>
        <s v="Simply Business Market Strategy"/>
        <s v="NTAM Blueprint and Digital Transformation"/>
        <s v="MSFT TrIP Risk Refresh"/>
        <s v="RWJ Hamiton Strategy - Follow-Up"/>
        <s v="Cox Edge - Growth Support"/>
        <s v="End to End Experience Strategy"/>
        <s v="Protective Inorganic Growth Strategy"/>
        <s v="Duracell S2P Tech Business Case &amp; Selection"/>
        <s v="#IOBP - Illumina R&amp;D Demand vs Spend Assessment"/>
        <s v="S&amp;T Commercial TOM #&lt;$50B #SCB"/>
        <s v="HP Insights POC"/>
        <s v="Cloudflare - GL Close and Earnings Acceleration - $300K"/>
        <s v="DEI Innovation Summit 2022"/>
        <s v="Cornerstone - IT Ops Support"/>
        <s v="MSFT HRDT Change Management Strategy and Delivery"/>
        <s v="IT Operations Transformation: Phase 2 Financial Management #S&amp;P#POD"/>
        <s v="SPMC Backlog Discovery and Business Integration Support"/>
        <s v="Org Design and Workforce Architect Consulting Services (2022 - 2023)"/>
        <s v="ETX"/>
        <s v="Loyalty financial management requirements"/>
        <s v="Cloud L2C Integration for Mycroft"/>
        <s v="Co-Opting Model Transformation - Phase 1"/>
        <s v="Real Estate Construction Portfolio Advisory"/>
        <s v="BAH Treasury Transformation"/>
        <s v="Oxy Supplier Diversity Program Strategy #ESG #S&amp;P"/>
        <s v="NAOU Supply Chain Strategy - Phase 2 Digital Roadmap"/>
        <s v="PlayAnywhere Strategic Accelerators"/>
        <s v="KellerWilliams FP&amp;A support"/>
        <s v="Medicare Operational Analytics"/>
        <s v="Enterprise Customer Experience"/>
        <s v="Digital Engineering Opportunity Analysis"/>
        <s v="Employee Financial Wellness Program"/>
        <s v="*SMART* License - Piedmont Healthcare"/>
        <s v="THR *FFG* G&amp;A Expanded Benchmarking"/>
        <s v="RIG - Cost Take Out Phase 2"/>
        <s v="Moderna - Clinical Operations Support"/>
        <s v="KPMC Accounting Assessment"/>
        <s v="Visa_Global Talent Acquisition Strategy_$300K"/>
        <s v="AdventHealth Physician Governance Structure &amp; Operating Model"/>
        <s v="NJOY - Std Reporting Phase 3"/>
        <s v="Phase 2 Inventory Improvement"/>
        <s v="*SMART* License - Adventist Health West"/>
        <s v="SAP S/4 Finance Assessment"/>
        <s v="Synovus Tech Org design"/>
        <s v="ORx - Underwriting Tools and Process [RFP]"/>
        <s v="BX Procurement Phase 1 2022 Transformation #S&amp;P#POD"/>
        <s v="Media Intelligence POC"/>
        <s v="Sephora Mexico Commerce Assessment"/>
        <s v="CRC Industries Performance Analyzer"/>
        <s v="Well Pet Performance Analyzer"/>
        <s v="Assess and Optimize EPM Operating Model"/>
        <s v="DTV - Cloud ERP Implementation Support (Augmenting Internal SI Team)"/>
        <s v="SPG Fin Optimization - Costing and Margin Analysis Optimization Phase 2"/>
        <s v="Spirit Aero - Defense Planning - Phase 1"/>
        <s v="AG - Innovation Foundry Setup #Transformation #ESV #DDV #Digital"/>
        <s v="International Org Design"/>
        <s v="Growth Assessment"/>
        <s v="FDX:  Customer Journey Activation"/>
        <s v="TE Connectivity-NPI Pricing"/>
        <s v="SBNY nCino Digital Asset Lending Discovery / Delivery    #&lt;$50B"/>
        <s v="Phase 0 - Product lifecycle management"/>
        <s v="Payroll and HR Outsourcing Optimization Assessment"/>
        <s v="IU Health Extended EPM HyperCare"/>
        <s v="Marketing Analytics - BU Resource Allocation/Marketing360"/>
        <s v="PACNW CommonSpirit Reimb: VMMC FFY25-26 WI/OM/Rural IME Change Order *Strategic Reimbursement*"/>
        <s v="Wells Fargo Consumer - Digital &amp; Banking Ecosystems"/>
        <s v="Finance L&amp;D - Phase 2"/>
        <s v="Outsourcing contract review"/>
        <s v="P&amp;G Marketing Efficiency &amp; Effectiveness"/>
        <s v="AT&amp;T Business Cyber Strategy"/>
        <s v="B2B Marketing and Commerce Enablement"/>
        <s v="Operational Compliance Review 2022 for Benefit Plans"/>
        <s v="Compensation Process Review Part 3"/>
        <s v="*CI* Strategy and Business Planning"/>
        <s v="Medicom Biopharma Real World Data Go-to-Market #XPCONC"/>
        <s v="EPM Ph1 - Liquidity and Investment Model POC"/>
        <s v="KP Medi-Cal Innovaccer POC Support"/>
        <s v="DENSO N. America  - EPM 2.0: CaRS/FCCS Data integration and FCCS optimization"/>
        <s v="Cardinal Health GBS upfront analysis/RFP Support"/>
        <s v="CM Ops - Rapid Supplier Cost Reduction - Delta #S&amp;P"/>
        <s v="Audi North America (NAR 360)"/>
        <s v="iCapital Process Review - Phase 2 - Initiative 1B"/>
        <s v="#IOBP ? Jazz Planning and Forecasting Assessment"/>
        <s v="Wells Fargo CSBB - 'Affluent Away' Proposition / Op Model"/>
        <s v="#IOBP ? Takeda Assessment"/>
        <s v="S&amp;T nCino Remediation Discovery #&lt;$50B #SCB"/>
        <s v="Credit-as-a-Servicing Modelling &amp; Market Research"/>
        <s v="Comcast HR Op Model BXT 3"/>
        <s v="Potential work after Wells Fargo - CYB"/>
        <s v="Fund VII Selection Support"/>
        <s v="HIG GB CDX Strategy &amp; Op Model"/>
        <s v="Project Orbit - Employee Services TSA Exit Support"/>
        <s v="Epirus Growth and GTM Strategy"/>
        <s v="FMV Modeling"/>
        <s v="2021 Finance Transformation - Automation COE"/>
        <s v="HCSC IT Program Health Assessment"/>
        <s v="NT Digital Asset Strategy"/>
        <s v="Biopharma commercialization opportunities  #XPCONC"/>
        <s v="Kite: Transformation: IT TechOps Support"/>
        <s v="Operations Compete Managed Service #TMTMSO"/>
        <s v="Resideo Supply Chain Resilience Assessment"/>
        <s v="CBRE IM - IA&amp;R Service Delivery Support"/>
        <s v="Oxy Chem Inflation in Capital Projects"/>
        <s v="Consultoría para la adopción al cambio"/>
        <s v="MS at Work: Participant Experience Transformation (Op Model) #WM"/>
        <s v="Pillpack Supplier CLM assessment"/>
        <s v="Portfolio Management Design"/>
        <s v="Best Buy Health - Current Health Implementation Enhancement"/>
        <s v="Danaher Life Sciences Shared Services"/>
        <s v="AT&amp;T HALO CMS on Sanity Expansion"/>
        <s v="Meta Global Mobility Surveys 2022"/>
        <s v="ESG Integrated Reporting"/>
        <s v="Houston Methodist CRM - Scope Enhancement Change Order #MSFTProvider"/>
        <s v="Houston Methodist CDP - Scheduled Appointments Enhancement"/>
        <s v="Univar Solutions Finance Deep Dive &amp; Future State Organizational Model"/>
        <s v="TIGER - Org Intersection R&amp;R Initiative 2.0"/>
        <s v="Sales Recognition Event"/>
        <s v="Bark - #ESG net zero support"/>
        <s v="Colonial Life Compensation Strategy - Phase 2"/>
        <s v="S&amp;T Finance - Assessment &amp; Strategy"/>
        <s v="Meta - Pro Serve"/>
        <s v="MSFT Digital Store Approach"/>
        <s v="Operating Model and Future State Design Assessment"/>
        <s v="AUS Distribution Strategy"/>
        <s v="Yum! Planning Market Assessment &amp; Design Requirements"/>
        <s v="Triumph EPM Transformation - Phase 2"/>
        <s v="MSFT ENGCLA FY22 Engineering Learning Extension of Instructional Design Support"/>
        <s v="MSFT HR FY22 TLI GLD H2 Q4 Extension - Manager &amp; Leader"/>
        <s v="Meta (Facebook) MIP - Media Effectiveness and Efficiency"/>
        <s v="Dollar General Merchandising System #RocktheSEPipe"/>
        <s v="eQMS Architect Support"/>
        <s v="AH West Florida Division Physician Market Assessment"/>
        <s v="Health &amp; Welfare Implementation Support"/>
        <s v="ESG Strategy"/>
        <s v="USB Rapid Experimentation Testing Program"/>
        <s v="TAVNEOS Agency of Record Contract Audit #MI"/>
        <s v="NA Vaccines Process Improvement / Op Model Options"/>
        <s v="Commercialization Supply Chain Roadmap"/>
        <s v="Potential work after Supplier Code of Conduct Development #ESG"/>
        <s v="Rules Engine Backlog Discovery and Business Integration Support"/>
        <s v="Mosaic Employee Experience Strategy and Assessment"/>
        <s v="Real Estate Lifecycle Management - Phase 4 System Testing"/>
        <s v="AB - Neurology Market Research"/>
        <s v="*CI* ODU-EVMS Accreditation Support"/>
        <s v="Locke Lord - Recurring Actuarial Services"/>
        <s v="Evolution of the Adult Vaccine Landscape"/>
        <s v="BIAH Global Rep Orchestration"/>
        <s v="Kite_Patient Portal MVP Launch_SFDC"/>
        <s v="AT&amp;T EBIT Assessments 2021-2023"/>
        <s v="C&amp;W - Upskilling Assessment and Execution - Expansion into other CW practices"/>
        <s v="Baseline and Future State Design Review"/>
        <s v="Amazon Bank Fee Analysis Support"/>
        <s v="Driving digital adoption CoSo Money Movement, Check Printing, and W2 Printing Businesses"/>
        <s v="MassMutual Extension: Service Model, HR Ops and Comms_updated"/>
        <s v="GBS: Mosaic Capability Center Extension #2"/>
        <s v="Hain Celestial THWR Pricing Integration"/>
        <s v="Lilly Social Media Competitive Benchmarking Assessment"/>
        <s v="Pension 404A Method Change"/>
        <s v="Comcast Retail Employee Experience BXT"/>
        <s v="Emerson - Olive Branch WMS and Warehousing PHII"/>
        <s v="Nestlé NA - Finance Acceleration Assessment"/>
        <s v="NEJE PY2021 Pharmacy Assessment (2 of 4)"/>
        <s v="H&amp;R Block - Media Intelligence"/>
        <s v="Github Global Expansion Strategy and Program Support"/>
        <s v="THD - Fixed Asset Assessment - $250K"/>
        <s v="Clinical research planning"/>
        <s v="Mayo MBD &amp; S-10 Analysis *Strategic Reimbursement*"/>
        <s v="HRB - Aha! JBR - Implementation Support"/>
        <s v="AMZN Finance: AP / AR System Architecture / Accounting Team Support"/>
        <s v="Oracle EPM - FCCS and Oracle Planning Alignment to SAP"/>
        <s v="Metlife - Salesforce"/>
        <s v="Noble - Retained Functions &amp; Fund Admin Selection"/>
        <s v="GE Separation - Energy - DT -  ITSM-Service Now Assessment"/>
        <s v="Small Commercial Customer Segmentation and Growth Model"/>
        <s v="Finance Assessment Accelerator and Baseline"/>
        <s v="Enterprise Data Analytics, Governance and AI Optimization"/>
        <s v="UChicago Referral Leakage &amp; Patient Access"/>
        <s v="Eastern Backbase Account Opening Support"/>
        <s v="Shorten Close Process"/>
        <s v="Workforce Planning Support"/>
        <s v="Lansinoh Supply Chain Review"/>
        <s v="CPE Org Design and Change Management"/>
        <s v="Gilead: Transformation: Public Affairs- ESG Strategy/transformation"/>
        <s v="Customer Acquisition"/>
        <s v="Nisource TA Optimization"/>
        <s v="MS Finance Workforce Strategy"/>
        <s v="Synovus nCino LOS Delivery Release 1 EXTENSION FY23 #&lt;$50B #SCB"/>
        <s v="Columbia Sportswear Company - Media Intelligence"/>
        <s v="Unum HRConnect Strategy Refresh"/>
        <s v="BMO Employee and Client Integration Support"/>
        <s v="PI Customer Segmentation"/>
        <s v="OTAAG - Advanced Analytics Benchmark"/>
        <s v="Payment Risk"/>
        <s v="Banking-as-a-Service Offering"/>
        <s v="SFG Life Future State Customer Experience Roadmap"/>
        <s v="UM/PA Automation  Automation #xPC:PayerAnalytics #AIML #HVM #PayerAnalytics"/>
        <s v="Lab Growth Strategy 2022 #XPCONC"/>
        <s v="Ascension - Scheduling Analytics"/>
        <s v="TPM Strategy Phase Zero"/>
        <s v="Cost to Collect for Revenue Cycle *Rev Cycle*"/>
        <s v="Granjas Carroll de México - FY22 - Diagnóstico, definición e implementación de modelo operativo"/>
        <s v="Global Business Services Strategy and Evaluation: GL/ P2P/ Location"/>
        <s v="ESG program assessment"/>
        <s v="*SMART* License - Sentara Healthcare"/>
        <s v="Field Ops Enhancements"/>
        <s v="Distribution planning - second phase"/>
        <s v="HIG - Next Generation Expense Management #NextGenCostingMSO"/>
        <s v="Portfolio Monitoring Op Model"/>
        <s v="Digital Therapeutic Assessment"/>
        <s v="MSE - 2022"/>
        <s v="Digital strategy and CX"/>
        <s v="BSSe Broadband Business Readiness"/>
        <s v="VBG SKU Complexity Reduction"/>
        <s v="Nokia Marketing &amp; Sales Modernization"/>
        <s v="TD - U.S. BNPL Strategy"/>
        <s v="Post Event Analysis - TCCS Waterfall"/>
        <s v="MS Family Office Middle Office - Celonis #WM #FSProcessMining"/>
        <s v="GoPuff Inventory Process &amp; Systems"/>
        <s v="DFR and Trade"/>
        <s v="Ambulatory Current State Assessment"/>
        <s v="Rakuten - Media Intelligence"/>
        <s v="Pizza Hut &amp; KFC_HCM Planning and Roadmap"/>
        <s v="L3Harris Working Capital &amp; Inventory Reduction"/>
        <s v="Baker OFS Performance Management Project"/>
        <s v="FDX Express US DEI project"/>
        <s v="Meta: Legal Learning Training Development Vendor RFP"/>
        <s v="Finance Controls and SOX Operations"/>
        <s v="FDX Express LATAM DEI"/>
        <s v="FDX:  Time &amp; Attendance advisement"/>
        <s v="FDX:  BOT HR Assessment"/>
        <s v="Discord Treasury Setup"/>
        <s v="SAF/Sustainable Fuel Mgmt POV (ESG)"/>
        <s v="ITW - Operations and Supply Chain Target"/>
        <s v="Intel Finance Org Assessment"/>
        <s v="Priority Health Enterprise Agility"/>
        <s v="Reimbursement - *Strategic Reimbursement*"/>
        <s v="Credit Karma - Media Intelligence"/>
        <s v="Bristol-Myers Squibb Co. - Media Intelligence"/>
        <s v="CBRE - Data Management Program"/>
        <s v="CX - Aligning approach across all of CX for Consumer"/>
        <s v="MQ Escheatment Assessment"/>
        <s v="Payroll Harmonization"/>
        <s v="Data &amp; Analytics (Insight &amp; Solutions)  Restructuring"/>
        <s v="HR Workday Assessment"/>
        <s v="CDW Personalization Implementation Support"/>
        <s v="SCJ - Revenue Growth Management"/>
        <s v="AT&amp;T Marketing Operations - Martech Investments"/>
        <s v="SCJ - Digital Commerce"/>
        <s v="Takeda GBS Process Assessment and Standardization"/>
        <s v="Voyager II Phase 2 Design"/>
        <s v="Boeing Supply Chain Visibility Pilot"/>
        <s v="Palo Alto Networks ESG Assessment #ESG"/>
        <s v="Pricing Insights and Analytics"/>
        <s v="DVC_Capacity Mgmt"/>
        <s v="DVC_Transformation"/>
        <s v="CCSWB Planning and Logistics Phase 2"/>
        <s v="HPE - ProEdge for Technical Talent - $250K - Expansion"/>
        <s v="Customer Loyalty"/>
        <s v="MunichRe&quot;  Oracle In-bound OFSAA Lead"/>
        <s v="McLeod Regional Medical Center of the Pee Dee *VBO* Cerner Transition"/>
        <s v="TIGER - Finance Transfo. - Planning and Close Improvement"/>
        <s v="KDP - Digital route to market - eB2B #RGM"/>
        <s v="Johnson Financial Group - Target Operating Model #&lt;$50B #SCB"/>
        <s v="Molina ERP Planning Support"/>
        <s v="DVC_Cost Reduction"/>
        <s v="AWS Compliance Vendor Managed Services Setup and Design #TMTMSO"/>
        <s v="Digital Upskilling &amp; Transformation - Finance"/>
        <s v="Nestlé NA - Marketer of the Future"/>
        <s v="HR/Payroll capabilities in Workday, Analytics and Shared Services and Data Analytics"/>
        <s v="AdventHealth *VBO* Denials Mgmt Ongoing Low Balance Work FY23 Extension"/>
        <s v="Real Estate Data Platform"/>
        <s v="Workforce Planning Design"/>
        <s v="CSL Center Experience Assessment"/>
        <s v="CSL In Center Training"/>
        <s v="FOS Procedures and Training Documentation"/>
        <s v="BMS - Adobe Workfront"/>
        <s v="Community Activation (Referral)"/>
        <s v="#PayerAnalytics-MSFT Alliance - Pop Health CC for Carefirst"/>
        <s v="#PayerAnalytics-MSFT Alliance-Pop Health CC for Molina"/>
        <s v="#PayerAnalytics-MSFT Alliance-Pop Halth CC for CVS"/>
        <s v="ESG Strategy &amp; Program"/>
        <s v="CDE Kaiser Perm #xPC:PayerAnalytics #Alliance:MSFT #PayerAnalytics"/>
        <s v="Charter / Growth New Business Models"/>
        <s v="#PayerAnalytics-MSFT Alliance-Pop Health CC for Kaiser Permanente"/>
        <s v="CDE Molina  #xPC:PayerAnalytics #Alliance:MSFT #PayerAnalytics"/>
        <s v="Retirement Partners Strategic Implementation"/>
        <s v="SFDC - TMS Design, Migration Strategy"/>
        <s v="Intel - Asset Lifecycle Mgmt"/>
        <s v="DataPocalypse Work"/>
        <s v="CIBC Swap Review Phase 3"/>
        <s v="F&amp;G Hybrid Leadership Strategy #Hawk #RocktheSEpipe"/>
        <s v="AT&amp;T - Field Ops GIS Enablement"/>
        <s v="Intel Foundry Program Advisory &amp; Support"/>
        <s v="VBG Digital Strategy and Roadmap"/>
        <s v="Grupo Alen - FY23 - RFP Trade Promotion Management, Assessment, Future state and Change Strategy"/>
        <s v="Conagra SBT Setting #ESG"/>
        <s v="Amerisourcebergen - MWI B2C Commerce"/>
        <s v="Contract Technology"/>
        <s v="U.S. Bank Core Transformation Workshops"/>
        <s v="Medicare CAHPS HealthFirst #xPC:PayerAnalytics #Alliance:C3AI #PayerAnalytics"/>
        <s v="Medicare CAHPS Horizon #xPC:PayerAnalytics #Alliance:C3AI #PayerAnalytics"/>
        <s v="Medicare CAHPS CareFirst #xPC:PayerAnalytics #Alliance:C3AI #PayerAnalytics"/>
        <s v="Microsoft Linkedin Growth Strategy"/>
        <s v="Deal Workflow Redesign"/>
        <s v="CVS: L&amp;D V/R Deployment"/>
        <s v="Legal FFG"/>
        <s v="SAP Process and controls and insights"/>
        <s v="Avnet Revenue Management Leakage Assessment"/>
        <s v="FFG G&amp;A Benchmarking"/>
        <s v="TCGM"/>
        <s v="FY22 CR Report &amp; ESG Strategy"/>
        <s v="Hyatt - Digital Marketing Strategy - Adobe"/>
        <s v="Nestlé NA - Asset-Light Strategy"/>
        <s v="Nestlé NA - Marketing Agency Model"/>
        <s v="#QMS Quality Metrics"/>
        <s v="Group Data Exchange"/>
        <s v="PACNW CommonSpirit Reimb: Rural Health Clinic (RHC) Strategy *Strategic Reimbursement*"/>
        <s v="Workday ESG Program TCFD Support #ESG-TMT-Wave2"/>
        <s v="Integrated ESG Due Diligence"/>
        <s v="Vertex - DTE EPM Project Manager"/>
        <s v="Apple ESG Program Support #ESG-TMT-Wave2"/>
        <s v="Separation Support"/>
        <s v="Samsara OTC"/>
        <s v="GoDaddy - Bridge Opportunity - SFDC"/>
        <s v="Finance Transformation Wave 2 - Chart of Accounts Design"/>
        <s v="CELA LENS - Monitoring, Reporting, Automation, &amp; Engineering Support"/>
        <s v="Westfield M&amp;A Playbook Design"/>
        <s v="RIA Growth Strategy and Go to Market"/>
        <s v="Boeing Finance L&amp;D"/>
        <s v="SGT Costpoint Planning (Original)"/>
        <s v="FFG Assessment"/>
        <s v="FedEx - Financial Close Assessment"/>
        <s v="Farmers New World Life - Post Audit - Conversion Tool Target #insconversiontool"/>
        <s v="Hitachi GSIB Refresh"/>
        <s v="WBA Product Operating Model"/>
        <s v="MAR: ESPP"/>
        <s v="*CI* Health Equity Assessment"/>
        <s v="Work and Asset Management Assessment #bigbet"/>
        <s v="Source to Pay Ph 2 Implementation"/>
        <s v="Microsoft HRDD Strategic Deal Design #PRA"/>
        <s v="#IOBP Vertex PPM Strategy &amp; Biz Case"/>
        <s v="Project Blue"/>
        <s v="HCP360 Foundational Capabilities"/>
        <s v="ERP-EPM Selection"/>
        <s v="Modern Marketing"/>
        <s v="CHS Empower - CDM/ Charge Master / Item Master Integration"/>
        <s v="P&amp;G - EU MDR Compliance Phase 2"/>
        <s v="BCBSM WT Pension/Ret Medical Investment Advisor RFP"/>
        <s v="BHF - EDAF Platform Support"/>
        <s v="GRS-Salesforce Adoption &amp; Enablement"/>
        <s v="DPA design and implementation"/>
        <s v="End-to-end Integration Playbook"/>
        <s v="Inventory Reduction"/>
        <s v="AT&amp;T - HR/Talent Role Discussion"/>
        <s v="Globe Life - Conversion Tool Target #insconversiontool"/>
        <s v="*CDMCT* Qualtrics Experience"/>
        <s v="Commerce (FB Shops)"/>
        <s v="M&amp;C Finance Transformation Agenda Support"/>
        <s v="Anaplan Phase 1"/>
        <s v="VARS approach and benchmarking"/>
        <s v="M&amp;C FFG/CDS Phase 1"/>
        <s v="M&amp;C Performance Management / RPAT Phase 1"/>
        <s v="Regions Wealth Management Automation Initiative RFP"/>
        <s v="Strategic Adjacencies Assessment"/>
        <s v="Back Office Transformation - SOW #5 Scope Outsourcing Wave 1"/>
        <s v="Design/implementation of a partner nonqualified plan usIng COLI"/>
        <s v="Finance Transformation Phase 1"/>
        <s v="RGA - FP&amp;A Phase 1 Implementation"/>
        <s v="FHE - Post Day One - FT P2P"/>
        <s v="Fiserv Banking Product sell with"/>
        <s v="Nestlé NA - ESG Strategy"/>
        <s v="Cookie/Pixel discovery and assessment"/>
        <s v="#QMS CTDO Digital Quality strategy/roadmap"/>
        <s v="Product Costing"/>
        <s v="Phase 3 Digital Insight for Aero"/>
        <s v="Payroll Tool - Beacon"/>
        <s v="MS IIS - Institutional Digital Vault (2022) #WM"/>
        <s v="Microsoft Surface Marketing Multinational Deals Phase 2"/>
        <s v="MS IIS - Vendor Implementation Support / Analytics &amp; Reporting (2022) #WM"/>
        <s v="China Audit Project"/>
        <s v="KDP Media Intelligence"/>
        <s v="Microsoft Dynamics analysis"/>
        <s v="Gilead: Transformation- Commercial: Gross-to-Net Support"/>
        <s v="Nutanix - CRM Data Hygiene &amp; Governance"/>
        <s v="SMBC CFTC Capital Requirements Reporting Gap Assessment"/>
        <s v="P1: CLM tool - procure to pay"/>
        <s v="Spectrum Ready Program Standup"/>
        <s v="VBG Marketing Technology Optimization"/>
        <s v="Billing Ops - Org Design"/>
        <s v="UTRGV Accreditation Roadmap for Optometry, Podiatry and Pharmacy Schools"/>
        <s v="Centene Claims QA Automation #PayerCO&amp;ITrans #xPC:CO&amp;I #Alliance:xAI"/>
        <s v="CMO Advisory - Media Intelligence"/>
        <s v="Supply Chain Control Tower #SupplyChain"/>
        <s v="Finance Modernization - Reinsurance Phase 2  (2021) #Hawk"/>
        <s v="*CDMCT* Care Model Evolution - Quadruple Aim"/>
        <s v="Coca-Cola Label Review &amp; Approval Optimization"/>
        <s v="Medical and Prescription Claims Coding Audit *Rev Cycle*"/>
        <s v="GE Separation - Corporate - Payroll Delivery Model Optimization Services"/>
        <s v="FINRA 4210 Assessment"/>
        <s v="WM - Payroll Outsourcing Evaluation"/>
        <s v="Pfizer Claims Validation and Market Access Analytics"/>
        <s v="UST Data Center ESG Strategy"/>
        <s v="S4 Finance Functional Support"/>
        <s v="Finance Transformation - Outsourcing Selection"/>
        <s v="Gilead: Transformation: Alliance and Collaboration Agreement Support"/>
        <s v="P2P Assessment - Ph 1"/>
        <s v="Digital Lab Services #BigBet"/>
        <s v="Mosaic D&amp;I Data Analytics Tool"/>
        <s v="Risk Adjustment (HCC) Coding Program Implementation *Rev Cycle*"/>
        <s v="S/4 Migration Phase 0"/>
        <s v="Best Buy Health - Cloud and Data Strategy"/>
        <s v="WAL/AmeriHome Real Time Reporting Assessment"/>
        <s v="Kimberly-Clark:  CDP + Journey Orchestration"/>
        <s v="Geisinger Telehealth Risk and Strategy #COVID"/>
        <s v="IT Operating Model - execution support #PayerCO&amp;ITrans"/>
        <s v="PowerPlatform CoE #MSFTProvider"/>
        <s v="Visible - Payment Method Strategies"/>
        <s v="AA - Loyalty Point Valuation"/>
        <s v="Enterprise Experience &amp; Journey Mapping"/>
        <s v="GEICO Digital Finance &amp; Small Automation"/>
        <s v="TPH Finance Assessment"/>
        <s v="Robust Subscriber Data Strategy"/>
        <s v="#PayerAnalytics-MSFT Alliance-Pop Health #Alliance:MSFT CC for Anthem"/>
        <s v="CDE Centene #xPC:PayerAnalytics #Alliance:MSFT #PayerAnalytics"/>
        <s v="#PayerAnalytics-MSFT Alliance-Pop Health CC for Centene #Alliance:MSFT"/>
        <s v="Job Catalog Simplification Support"/>
        <s v="CDE OptumTech #xPC:PayerAnalytics #Alliance:MSFT #PayerAnalytics"/>
        <s v="Kemper Climate Risk Support"/>
        <s v="#PayerAnalytics-MSFT Alliance-Pop Health CC for UHG/Optum"/>
        <s v="#PayerAnalytics-MSFT Alliance-Pop Health CC for CareSource"/>
        <s v="Return to Work PM Support #Medicaid #Medicare #GCOE"/>
        <s v="Turo Treasury Standup"/>
        <s v="US HR Standup and Workforce Transition Support Phase 1"/>
        <s v="CDE CareSource #xPC:PayerAnalytics #Alliance:MSFT #PayerAnalytics"/>
        <s v="#PayerAnalytics-MSFT Alliance-Pop Health CC for Excellus"/>
        <s v="#PayerAnalytics-MSFT Alliance-Pop Health CC for BCBS Michigan"/>
        <s v="GovCon Systems Design"/>
        <s v="#PayerAnalytics-MSFT Alliance-CDE #Alliance:MSFT for Anthem"/>
        <s v="Social Eyes Growth Strategy"/>
        <s v="Eastern Salesforce Support"/>
        <s v="Eastern Digital Banking Servicing Support"/>
        <s v="Embecta M&amp;A Strategy"/>
        <s v="*SMART* License - Loma Linda"/>
        <s v="Oatly Blackline Implementation"/>
        <s v="McDonald's DEI Support"/>
        <s v="#IOBP-Portfolio Ops R&amp;D Initiative: Strategic Initiatives Framework"/>
        <s v="Digital Strategy including Digital Data Marketplace"/>
        <s v="Materials Management - Asset Management Integration"/>
        <s v="IDH Test Automation Approach"/>
        <s v="Materials Demand Planning Assess and Design"/>
        <s v="Cash &amp; Working Capital"/>
        <s v="USAA - Change Analytics CM"/>
        <s v="Wells Fargo Enterprise Complaint Management Office Optimization"/>
        <s v="Asset Mgmt Enterprise Value Framework and Implementation"/>
        <s v="Norfolk Southern - ESG Strategy"/>
        <s v="Panera Loyalty"/>
        <s v="United Cargo EWR Warehouse Design and Implementation Phase 3"/>
        <s v="CCA Risk Adjustment &amp; Encounters Assessment #HVM"/>
        <s v="Battery E2E"/>
        <s v="Microsoft FFG: Total Customer / Partner / Deal Economics &amp; ROI - Phase 2"/>
        <s v="United Airlines- Self ID Campaign"/>
        <s v="Wabash_SUTA Amended Return Assistance_$250K"/>
        <s v="Finance OpModel &amp; Workforce Roadmap"/>
        <s v="Onestream - data transformation support"/>
        <s v="Dengue launch"/>
        <s v="Rite Aid- Digital Commerce RX Evolution (Secondary)"/>
        <s v="BCBS MA_Salesforce CPQ Implementation_SFDC"/>
        <s v="FIS FT Transfer Agent Lift Out Support"/>
        <s v="SIC CRM Desktop Mobilization"/>
        <s v="PAS Transformation Business Case &amp; Strategic Planning Roadmap"/>
        <s v="Medicare Call Center COE #GCOE #Medicare"/>
        <s v="Digital Assets strategy and approach"/>
        <s v="Shell Power People Training Approach"/>
        <s v="*Strategic Reimbursement* - PRS"/>
        <s v="Metaverse strategy and approach"/>
        <s v="AT&amp;T - BSSe customer billing migration"/>
        <s v="GE Power CSA Simplification (Project Eagle)"/>
        <s v="GE Aviation CSA Simplification (Project Eagle)"/>
        <s v="Morgan Stanley - Marketing Cloud Implementation (Investment Services) - 2022 #FSSalesforce"/>
        <s v="Risk Operating Model Framework"/>
        <s v="VBO Support Back-end Revenue Cycle *Rev Cycle*"/>
        <s v="DTV eCommerce Journey &amp; Acquisition"/>
        <s v="CEX.io - Finance Capabilities Definition, Software Selection and Roadmap"/>
        <s v="US ESG Strategy"/>
        <s v="Project Accelerator - Net Revenue Optimization"/>
        <s v="NuVasive Deals Integration"/>
        <s v="BL - Modeling innovation (US Portion)"/>
        <s v="BL - Digital Twins (US Portion)"/>
        <s v="Financial Flexibility"/>
        <s v="Access and Physician Enterprise"/>
        <s v="GE Gas Power Construction Effectiveness - Cost Out"/>
        <s v="Customer Experience Pilot"/>
        <s v="Medicare Advantage Marketing Materials Operating Model #GCOE"/>
        <s v="Establishing Product Ideation Strategy"/>
        <s v="Procurement Transformation Roadmapping"/>
        <s v="Media Intelligence Pilot"/>
        <s v="CVS: Retail Omnichannel &amp; Digital Commerce"/>
        <s v="bp T&amp;S NA Gas and Trading Salesforce Community"/>
        <s v="TowneBank System Selection #&lt;$50B #SCB"/>
        <s v="GRM US--OneClick Application for BI &amp; Personal Specialty"/>
        <s v="Microsoft Content Moderation Discuss - Regulatory and Policy Strategy"/>
        <s v="Sanderson Financial Wellness Strategy &amp; Licensing"/>
        <s v="DTCC Business Architecture Process Taxonomy #PRCExcellence"/>
        <s v="Mohawk Valley Health System *VBO* Hospital Billing A/R Support"/>
        <s v="Gas Investment Planning - Copperleaf Implementation"/>
        <s v="Capability Driven Strategy"/>
        <s v="CHI Franciscan - Rural Strategy - *Strategic Reimbursement*"/>
        <s v="Carvana_Customer Journey Mapping_Salesforce"/>
        <s v="Vornado Employee Engagement Survey with Inclusion Lens"/>
        <s v="BSC - Impact of OTC model on Credit/Collections Operations"/>
        <s v="PBM Market Check and Strategy"/>
        <s v="P2P Assessment"/>
        <s v="ERP Consolidation Assessment"/>
        <s v="IGP - High-Rise Hotels"/>
        <s v="BSC Capital Equipment / Service Enablement Transformation"/>
        <s v="BSC Clinical Trial Management Streamlining"/>
        <s v="*SMART* License - Kettering Health Network"/>
        <s v="ABC Sellable Returns Project Execution"/>
        <s v="Small Biz Pricing Options"/>
        <s v="Metaverse Assessment and support for Regions #metaverse"/>
        <s v="Qualtrics EX *CDMCT*"/>
        <s v="MSFT TrIP Risk Refresh FY23 Phase 2"/>
        <s v="Global Pay Equity"/>
        <s v="BCS Outcome based models"/>
        <s v="BCS Pricing"/>
        <s v="LPL / BCP Program assistance"/>
        <s v="nCino TM Readiness - Discovery #&lt;$50B"/>
        <s v="Global ISG Trading Controls Assessment - Phase 2"/>
        <s v="BSC AI in Quality (Bottoms Up)"/>
        <s v="Virtual Health and New Care Model, including Digitally Enabled Care"/>
        <s v="GA Phase 0 Finance Transformation"/>
        <s v="BSC AI in Commercial / Commercial Model Maturity"/>
        <s v="CVS Health: Medicare claims platform stabilization #PayerCO&amp;ITrans"/>
        <s v="Medicare Marketing Materials Assessment and Redesign #GCOE #Medicare"/>
        <s v="Wabash_1-1-2023 Employee Moves_$250K"/>
        <s v="Laika Portfolio Assessment"/>
        <s v="Brookfield Renewable US Utilities Operating Model"/>
        <s v="GBS Location Assessment &amp; Business Case"/>
        <s v="Front Office - Salesforce"/>
        <s v="GRM Global Growth Model"/>
        <s v="HIA FFG - CO&amp;I - Government Program Claim Modernization"/>
        <s v="PAA Organization Design"/>
        <s v="Farmers &amp; FWS Distribution &amp; Op model support"/>
        <s v="Project River"/>
        <s v="Project Frontier"/>
        <s v="Bayer R&amp;D Finance"/>
        <s v="Virtual Health Operational Transformation"/>
        <s v="ADM: ESG System Implementation - Sphera Core to Cloud Migration"/>
        <s v="DOW_Commercial Excellence_Salesforce #HP"/>
        <s v="DTNA - Risk Management Transformation"/>
        <s v="Chipotle - Loyalty Transformation"/>
        <s v="P&amp;G: ESG System Implementation - Sphera Core to Cloud Migration"/>
        <s v="MS Contact Center Value Realization"/>
        <s v="Schreiber Foods OCM Transformation Support"/>
        <s v="GE Separation - Energy - DT -  EUCC Strategy"/>
        <s v="CSBB Small Business Growth Platform"/>
        <s v="Power Platform Opportunity - Finance"/>
        <s v="AT&amp;T ESG Controllership &amp; Reporting Impact"/>
        <s v="SMBC Nikko - 2LoD Market Risk TOM"/>
        <s v="SFDC - Treasury Management System Selection"/>
        <s v="LMSSC Localization - KSA"/>
        <s v="SmartNews - future of work"/>
        <s v="WTW Anaplan Support - LRP Change Order"/>
        <s v="UTSW Patient Access Assessment"/>
        <s v="Deals Strategy and Support"/>
        <s v="HP ADAPT People Plan Support - Extension"/>
        <s v="HR Benchamarking -- Talent Acquisition"/>
        <s v="BCBSM Digital Strategy - Digital Front Door"/>
        <s v="GBS Design and Strategy"/>
        <s v="UPS - AEM"/>
        <s v="DTNA Bus Strategy"/>
        <s v="Univ of Chicago - Data Commercialization"/>
        <s v="Netflix Production Capabilities Scaling Strategy"/>
        <s v="DCT Strategy Phase #Medable #DCT"/>
        <s v="Omni Channel DVC Digital Transformation"/>
        <s v="HR Shared Services Assessment"/>
        <s v="Schreiber - Front &amp; Back Office Implementation"/>
        <s v="Gilead: Transformation R&amp;D: DCT Strategy Phase #Medable #DCT"/>
        <s v="Magna Powertrain Control Tower and Pitstop"/>
        <s v="#IOBP - Takeda Accruals &amp; Finance Optimization"/>
        <s v="BMS - Working Capital - DPO"/>
        <s v="Citizens - How to drive the national bank"/>
        <s v="Bed Bath / Growth Strategy"/>
        <s v="MS Finance Controls"/>
        <s v="Carbon Ledger Strategy"/>
        <s v="SAIC Oracle Planning Support Phase 2"/>
        <s v="Colonial - Maximo Inventory &amp; Work Mgmt Ph 1"/>
        <s v="OneStream - EPM Assessment"/>
        <s v="BP ESG Consulting"/>
        <s v="MS Finance Regulatory EUC Simplification"/>
        <s v="ESG Consulting"/>
        <s v="Compensation consulting services"/>
        <s v="MS IIS - RIA Integration (2022) #WM"/>
        <s v="Expanded HR Benchmarking Services"/>
        <s v="Outsourced Reimbursement Functions *Strategic Reimbursement*"/>
        <s v="#QMS QMS Transformation"/>
        <s v="#QMS ISO Batch Release - Roche"/>
        <s v="#QMS ISO Batch Release - BMS"/>
        <s v="Baker OFS Inflation Analytics"/>
        <s v="#QMS Bayer CSV Compliance Organizational Strategy"/>
        <s v="Procurement Op Model Assessment"/>
        <s v="VS&amp;Co Strategy and Digital Contact Solutions"/>
        <s v="Gulfstream Supplier Performance Assessment"/>
        <s v="ADC - Managed Care Business Case $250K #XPCDigital"/>
        <s v="PEP Supplier Diversity Growth Strategy #S&amp;P #ESG"/>
        <s v="Project Fresh Phase 2 PMO Support"/>
        <s v="E+H US HR Shared Services Retainer"/>
        <s v="o9 SC Control Tower: Phase 1"/>
        <s v="RGA - Financial Planning &amp; Data Strategy"/>
        <s v="Marketing Capabilities Assessment"/>
        <s v="Morgan Stanley / Data CoE Celonis Support / $250,000 #FSProcessIntelligence"/>
        <s v="2023 AOP Support"/>
        <s v="Design/implementation of a partner nonqualified plan using POLI"/>
        <s v="Abbott: ESG System Implementation - Sphera Carbon Accounting (EA)"/>
        <s v="Bayer Policy Review"/>
        <s v="Process Automations"/>
        <s v="HCA Standard Program Pricing Framework Implementation Support"/>
        <s v="WHR - SF - Franchisee Loyalty Strategy"/>
        <s v="DTNA/DTFS CX Strategy"/>
        <s v="Astra 2.0 (LE Forecasting) - Design Phase"/>
        <s v="CDE HealthFirst #xPC:PayerAnalytics #Alliance:MSFT #PayerAnalytics"/>
        <s v="Rivian HR Transformation"/>
        <s v="Trading Controls Assessment Phase 2"/>
        <s v="#QMS Quality &amp; Digital Transformation - Merck"/>
        <s v="Iridium Satellite / IoT Growth"/>
        <s v="#QMS Quality &amp; Digital Transformation - Merck KGaA"/>
        <s v="Synovus Cost Assessment"/>
        <s v="#QMS Quality &amp; Digital Transformation - Astra Zeneca"/>
        <s v="Marketing procurement"/>
        <s v="Fairlife Packaging Strategy - Phase 2"/>
        <s v="VS&amp;Co - Technology Landscape Assessment"/>
        <s v="Marketing - Dynamic OBPPC"/>
        <s v="AT&amp;T - HR Leadership Development"/>
        <s v="AP Outsourcing Advisory"/>
        <s v="DVC"/>
        <s v="AT&amp;T - Employee Rewards"/>
        <s v="CMO Advisory"/>
        <s v="HCM Vendor Search and Selection"/>
        <s v="ATC Close &amp; Consolidation - Intercompany Workstream"/>
        <s v="WEX - Coupa EMEA (Ent Install Campaign)"/>
        <s v="Plant finance operational improvement"/>
        <s v="Trimble - Legal Entity/Distribution Channel Optimization"/>
        <s v="MSFT HR FY23 TR/HRBI - PM &amp; CM Support"/>
        <s v="NGC Data &amp; Reporting Persona Design - Defense"/>
        <s v="*CI* Floyd-Polk Healthcare Foundation/Health Equity"/>
        <s v="Finance Talent Support / Assistance"/>
        <s v="Multi-channel sales &amp; effectiveness strategy"/>
        <s v="VBR optimization #hvm"/>
        <s v="Intuit MarTech Capability Assessment"/>
        <s v="GHG MRV Follow-Up"/>
        <s v="Healthfirst - PNM - Provider Portal Assessment"/>
        <s v="Digital Channel Strategy"/>
        <s v="DTNA Supply Chain Strategy - Operations"/>
        <s v="IP - Reimagine Enterprise"/>
        <s v="AST2 Project IMS extension"/>
        <s v="Web3 entertainment strategy"/>
        <s v="IP - Reimagine Finance"/>
        <s v="#QMS Quality &amp; Digital Transformation - Daiichi Sankyo"/>
        <s v="Procurement Op Model and Spend Assessment #S2P"/>
        <s v="Prisma Health Transfer DRG *Strategic Reimbursement*"/>
        <s v="#QMS Quality &amp; Digital Transformation - AbbVie"/>
        <s v="#QMS Quality &amp; Digital Transformation - Astellas"/>
        <s v="#QMS Quality &amp; Digital Transformation - Bayer"/>
        <s v="Access Analytics Product"/>
        <s v="#QMS Quality &amp; Digital Transformation - Novo Nordisk"/>
        <s v="Slipstream Delaware client onboarding"/>
        <s v="#QMS Quality &amp; Digital Transformation - Roche"/>
        <s v="#QMS Quality &amp; Digital Transformation - GSK"/>
        <s v="FIS Government Capture Support #Alliance #SKO"/>
        <s v="#QMS Quality &amp; Digital Transformation - BMS"/>
        <s v="#QMS Quality &amp; Digital Transformation - Eli Lilly"/>
        <s v="Payments &amp; Cash In / Cash Out Market Assessment"/>
        <s v="Media Intelligence Platform &amp; Allstate"/>
        <s v="#QMS Quality &amp; Digital Transformation - Mylan"/>
        <s v="AA - Benefits Management"/>
        <s v="Data Platform Implementation - Phase 2"/>
        <s v="SMB Quality Transformation #QMS"/>
        <s v="Supplier Pit Stop"/>
        <s v="Mfg. Plant Optimization"/>
        <s v="IDP Contract Management"/>
        <s v="Shell NA terminal modernization"/>
        <s v="Morgan Stanley / Map Program Support / $250,000"/>
        <s v="Horizon- AI-Enabled Claims Adjustment Optimization  Automation #xPC:PayerAnalytics #AIML #Alliance:xAI #PayerAnalytics"/>
        <s v="Southwest - Salesforce Trading Cloud Pilot for Fuel Management"/>
        <s v="#QMS Quality &amp; Digital Transformation - Teva"/>
        <s v="*CDMCT* Performance Improvement"/>
        <s v="AMZN Finance Transformation"/>
        <s v="BCBS RFI: EIT Demand and Capacity Best Practices"/>
        <s v="NTAS Productivity Assessment"/>
        <s v="Predictive Turnover Analytics Pilot Phase 1 (China Market)"/>
        <s v="Revenue Cycle *Rev Cycle* Operating Model Strategy - Phase 2"/>
        <s v="FFY 2024-2026 USC Keck RRC Reclass - *Reimbursement*"/>
        <s v="Grupo UNACEM_Growth Strategy for UNACEM Chile"/>
        <s v="UCM Medicare Advantage Strategy Services"/>
        <s v="Immunity Bio - Org Design &amp; SWFP - $250K"/>
        <s v="Sierra Space Workforce Planning$2500"/>
        <s v="ADM - Sustainable Procurement"/>
        <s v="US Cash &amp; Banking Transformation Phase I"/>
        <s v="BD Pricing POC"/>
        <s v="Cardinal Health Automation AI Solutions"/>
        <s v="Legacy Aetna Distribution Management Majesco Staff Aug"/>
        <s v="MA and ACA Campaign Performance Assessment"/>
        <s v="CareSource IT Consulting/Contractor Labor"/>
        <s v="Liberty Bank - Change Management, Culture and Employee Onboarding Strategy #&lt;$50B #SCB"/>
        <s v="NRLC 2020 Ben Admin RFI"/>
        <s v="UM/PA Automation Automation #xPC:PayerAnalytics #AIML #Alliance:OliveAI #HVM #PayerAnalytics"/>
        <s v="*SMART* License - Vidant Health"/>
        <s v="Tech-Enabled Growth Transformation"/>
        <s v="S+N Rebate Optimization"/>
        <s v="Hospital at Home Strategy #H@H"/>
        <s v="UM/PA Automation #BCBSAR  Automation #xPC:PayerAnalytics #AIML #Alliance:OliveAI #HVM #PayerAnalytics"/>
        <s v="GE Gas Power - Fieldcore Productivity Improvement Ph 1"/>
        <s v="Intel Talent Acquisition"/>
        <s v="*SMART* License - BILH"/>
        <s v="Workday HR"/>
        <s v="MSWM - Alternative Reconciliations Support QB #DVC"/>
        <s v="Charles Schwab Supplier Diversity Assessment"/>
        <s v="NetJets Anaplan Implementation Phase 3 -  Qtrly Release #2"/>
        <s v="Digital Upskilling/Automation/ProEdge - Expansion"/>
        <s v="EV Transition Strategy"/>
        <s v="Claims Optimization #PayerCO&amp;ITrans"/>
        <s v="Houston Methodist CRM - Application Support"/>
        <s v="FIS A2A Payments"/>
        <s v="UM/PA Automation  Automation #xPC:PayerAnalytics #AIML #Alliance:OliveAI #HVM #PayerAnalytics"/>
        <s v="Talent Acquisition Op Model Assessment"/>
        <s v="UM/PA Automation Automation #xPC:PayerAnalytics #AIML #Alliance:OliveAI #PayerAnalytics"/>
        <s v="Distribution/Go to Market &amp; Partnership Strategy Refresh"/>
        <s v="Anthem Driver Based Planning"/>
        <s v="Project Clarity Near-Term Implementation Support"/>
        <s v="#ClinTrialDesign -- AI Enabled Clinical Design Optimization"/>
        <s v="Workday Sales Compensation Process Redesign"/>
        <s v="IBP assessment"/>
        <s v="Gilead: Transformation- R&amp;D: #ClinTrialDesign -- AI Enabled Clinical Design Optimization"/>
        <s v="Veritiv - ERG Launch and Support"/>
        <s v="iFIT Brand Experience Measurement"/>
        <s v="Lifepoint CRM Strategy"/>
        <s v="Onboarding and Turnover Product"/>
        <s v="Digital Upskilling"/>
        <s v="Access Analytics for BMHCC"/>
        <s v="JCI - ESG Tech-Enabled Reporting Transformation"/>
        <s v="Renewable: Target Operating Model assess and consult"/>
        <s v="Workflow Tool Selection"/>
        <s v="McKesson PSaS Sales/Ops AI"/>
        <s v="Cintas 2022 ESG Data and Technology Roadmap #ESG"/>
        <s v="Sustainable1 ESG Scores Media Stakeholder Analysis (MSA) &amp; IOSCO Recommendation Assessment"/>
        <s v="S2P Zycus Implementation Support- Coupa US team support PwC UK"/>
        <s v="MS CIS Business Admin Support"/>
        <s v="Pfizer Cost to Serve - Hospitals BU"/>
        <s v="Firmwide Marketing PMO Support"/>
        <s v="Counterparty Risk Management Platform-Model Risk Management"/>
        <s v="Potential work after ESG Materiality Assessment Support"/>
        <s v="MS Technology Asset Inventory roadmap"/>
        <s v="MS IIS - Scrum Master Support 2022 #WM"/>
        <s v="Hunterdon FY22 &amp; FY23 Reimbursement Analysis - *Strategic Reimbursement*"/>
        <s v="Hilton IGP Deployment - Chicago Market - Year 4-5"/>
        <s v="MS Finance IM Investment Structure Re-evaluation"/>
        <s v="Onestream EPM Legacy &amp; Acct. Rec. Assessment"/>
        <s v="CAR-T Operations Strategy"/>
        <s v="VBG Strategy - Secondment"/>
        <s v="MSIM / EV Website Redesign QB - Phase 2"/>
        <s v="Digital Supply Chain Strategy"/>
        <s v="NEJE PY2020 Pharmacy Assessment (3 of 4)"/>
        <s v="NEJE PY2020 Pharmacy Assessment (4 of 4)"/>
        <s v="Lexmark P&amp;O Actuarial Services 2020"/>
        <s v="Automatización Inteligente"/>
        <s v="IGP - Hilton Orlando"/>
        <s v="Global Communications Interpretation Strategy Phase 2"/>
        <s v="SGT Costpoint Planning (v2)"/>
        <s v="H&amp;P - Asset Management Ph 1"/>
        <s v="MS at Work - Compliance Channel Commercialization Capability Design &amp; Execution"/>
        <s v="Eaton Digital Strategy &amp; Commercialization"/>
        <s v="622 BRM Facilitation Support"/>
        <s v="SPB #Coupa S2P Implementation: Solution Design"/>
        <s v="Implementación Oficina de Proyectos"/>
        <s v="Pfizer Supplier Diversity Baselining &amp; Opportunity Assessment #S&amp;P #ESG"/>
        <s v="Wells CIB- Whole Loan Trading Implementation-Project Planning#Core"/>
        <s v="RevElate transition *RC Tech* *Rev Cycle*"/>
        <s v="Credit Ops - RPA Automation P2"/>
        <s v="Data - classification, lineage, and data quality practices"/>
        <s v="MSFT ENGCLA FY22 Instructional Design Support Extension"/>
        <s v="Payroll Process Assessment"/>
        <s v="#NLHR [Client Name] Workday HR Optimization Project"/>
        <s v="Moderna Customer Registration Process"/>
        <s v="Cerner Transition *RC Tech* *Rev Cycle*"/>
        <s v="Back-Office Revenue Cycle Assessment &amp; Contracting Support *Rev Cycle*"/>
        <s v="TTS Negotiated Documentation Operating Model - Design Phase"/>
        <s v="Potential work after MassMutual ESG Product Development Framework"/>
        <s v="MS at Work - Designated Brokerage Operating Model Design Addendum (Feb 2022)"/>
        <s v="Takeda Model N Data Analytics Implementation"/>
        <s v="MSFT HR FY22 TLI-GTM Sponsorship Comparative Scan"/>
        <s v="Takeda Model N Data Analytics Strategy"/>
        <s v="Channel Assessment"/>
        <s v="Automobile Club Of So. California - Actuarial Services OPEB Plan"/>
        <s v="Aon ProEdge Pilot #ProEdge - Expansion"/>
        <s v="EPM Refresh : FDMEE - HANA Connection"/>
        <s v="Merck MilliporeSigma:  Dynamic Pricing Assessment and Pilot-Extension"/>
        <s v="Microsoft HRDD FY22 Strategic Deal Assessment #PRA"/>
        <s v="Potential work after KKR - ESG PortCo Reporting Support"/>
        <s v="THL - ERP Selection"/>
        <s v="Froedtert Health: Pharmacy Optimization (Phase 1: Assessment) *FFG*"/>
        <s v="Gilead Global Pricing Data Lake Migration - Azure to AWS"/>
        <s v="2022 - 2025 Administrative Outsourcing"/>
        <s v="Safety stock and risk buy process"/>
        <s v="CPR Workflow Tool Development Support"/>
        <s v="Anthem HCD E-Commerce"/>
        <s v="5G Labs Q2: Consumer and Business Support"/>
        <s v="5G Labs Q2: Operations and AWS Support"/>
        <s v="Ambulatory Scheduling Optimization"/>
        <s v="Compensation Support"/>
        <s v="Northwestern Wellbeing Strategy &amp; Assessment"/>
        <s v="Thrive Stock Plan Vendor Search &amp; Implementation"/>
        <s v="Univar - EPM implementation guidelines and roadmap"/>
        <s v="HCSC - Market Enablement"/>
        <s v="Employment Tax - Recurring Consulting"/>
        <s v="Timex - Phase 3b"/>
        <s v="AT&amp;T Public Sector P&amp;L &amp; Ops Portal POC"/>
        <s v="Argus Dental and Vision - AWS"/>
        <s v="Lowe's Change Management and AVP Transformation"/>
        <s v="SYF Origination Testing"/>
        <s v="Meta Business Messaging CPQ Process Enhancement"/>
        <s v="Arkema - Benchmarking Opportunity"/>
        <s v="Yondr Americas - Strategic PMO Support - Pilot Phase"/>
        <s v="Demand Gen Strategy"/>
        <s v="Nuvance MAA Analysis *Strategic Reimbursement*"/>
        <s v="Blackstone RE - BREP Data &amp; Analytics Operating Model - Phase 1"/>
        <s v="SMC Market Study"/>
        <s v="EPM Cons &amp; FP&amp;A SW Selection"/>
        <s v="GBS and Location Strategy Assessment"/>
        <s v="Global Shared Services Phase II (Buildout)"/>
        <s v="Oncology Launch Strategy"/>
        <s v="Digital Service Activation and Monitoring"/>
        <s v="PH and Agent Service Operations"/>
        <s v="Forbearance Efficacy"/>
        <s v="LPL / Escheatment Process Enhancement / $200,000"/>
        <s v="Erie- Digital Workplace Assessment and Approach"/>
        <s v="DXC #Endurance Resource Mgmt and Deployment | 0064L000002cHSRQA2"/>
        <s v="iCapital FFG / Operating Model Diagnostic"/>
        <s v="Real Estate Loan / Asset Servicing Company"/>
        <s v="Liquidity review (Minimum liquidity analysis)"/>
        <s v="Novant Health MAA Analysis - *Strategic Reimbursement*"/>
        <s v="International Target DD Support"/>
        <s v="Citi TTS Libor Transition Business Program - ext. H2'2022"/>
        <s v="USAA FSB Retail Banking &amp; Payments Strategic Roadmap"/>
        <s v="Media Intelligence Platform - Ally Financial"/>
        <s v="Home Depot México - FY22 - Workforce transformation / Digital Upskilling / HR Analytics"/>
        <s v="Change Management &amp; Communications"/>
        <s v="IOTG - Portfolio Management"/>
        <s v="Temple Medical Center IT Roadmap"/>
        <s v="Mt Sinai Concurrent Coding Compliance"/>
        <s v="DVC_OptumCare Phase 1"/>
        <s v="RWJF - PAA Function Redesign"/>
        <s v="Project Par 280G Calculations"/>
        <s v="Carveout in a Box - Infrastructure Phase 1 - Argos"/>
        <s v="AT&amp;T Indirect Channel Recurring Benchmark"/>
        <s v="HPE - NPI / NSI redesign"/>
        <s v="Contract Digitization-- Arteria"/>
        <s v="Irvine Company / Tenant Engagement Platform &amp; Strategy Assessment"/>
        <s v="VGX3100 Launch Strategy - US Patient Market Mapping"/>
        <s v="FedEx BPO Assessment"/>
        <s v="Yondr Americas - DC Operational Process Development"/>
        <s v="MSIM Content - Phase 2"/>
        <s v="WHR - AWS - People: Customer Onboarding Tech"/>
        <s v="Automation of external financial reporting"/>
        <s v="Panera Indirect / Store DTV / Transformation #S&amp;P #Profit"/>
        <s v="Nestlé NA - Success in Acquisitions"/>
        <s v="Indirect Procurement#S&amp;P#POD"/>
        <s v="HCC and DRG Validation Support *Rev Cycle*"/>
        <s v="Treasury Function Migration"/>
        <s v="ACI Issuer Offerings Market Assessment"/>
        <s v="CHS Empower - EPM Part 2 FCCS"/>
        <s v="Total Rewards Comms - Deal Support"/>
        <s v="#QMS eQMS Selection"/>
        <s v="HPE - Supply Chain Blockchain"/>
        <s v="HPE - Supply Chain Advance Planning System"/>
        <s v="Mayo Rochester FFY24-25 Wage Index Strategy *Strategic Reimbursement*"/>
        <s v="FNF:  Oracle Cloud Migration #Hawk #Oracle_INS"/>
        <s v="RRT Expansion &amp; Enhancement"/>
        <s v="Real Estate Lifecycle Assessment"/>
        <s v="WestRock - Intransit Automation"/>
        <s v="Microsoft Surface Engineering Warranty Phase 2"/>
        <s v="The Hartford - Medical/Rx RFP"/>
        <s v="AZZ - EPM Strategy"/>
        <s v="Arrow ESG Technology Deployment - Microsoft - #ESGMSFT"/>
        <s v="NetApp ESG Technology Deployment - Microsoft - #ESGMSFT"/>
        <s v="#Metaverse market entry analysis"/>
        <s v="ET RightAngle Managed Services"/>
        <s v="Inova Health - *SMART* OP License"/>
        <s v="Stryker_2021 Employment Tax Refunds_$200K"/>
        <s v="BCBS NC Statutory Accounting Advisory and Assistance"/>
        <s v="FYE2022 / FY2023"/>
        <s v="Paper Bill Redesign"/>
        <s v="Deferred Comp Plan Support - 2022"/>
        <s v="#QMS #OWT CQO Support"/>
        <s v="UST - Project Endeavour - People Strategy #CO&amp;I"/>
        <s v="HPE - Ordering Process? Design #TMTPricing"/>
        <s v="HPE - Partner Enablement Value Proposition #TMTPricing"/>
        <s v="Payments Innovation Strategy"/>
        <s v="HPE - Partner Program/ Incentives/ Comp #TMTPricing"/>
        <s v="MSFT Trade Modern Workplace PoC"/>
        <s v="HPE - Renewal and Expansion Process Design #TMTPricing"/>
        <s v="Demand Planning"/>
        <s v="Gas Operations Data Assessment"/>
        <s v="Cost of Payments Analysis"/>
        <s v="Product Management Model Playbook and Training Plan"/>
        <s v="Enterprise Digital &amp; Data Op Model"/>
        <s v="RTR Healthcheck - Implementation"/>
        <s v="Deere OneStream Implementation"/>
        <s v="Vontier_Salesforce &amp; Tech Roadmap_SFDC"/>
        <s v="Branded Payments Innovation Strategy"/>
        <s v="Beaumont Health System S-10 Services"/>
        <s v="Construction Project Management Vendor Selection"/>
        <s v="Fleet / Logistics Assessment"/>
        <s v="AAPL - Supply Chain Emissions Assessment"/>
        <s v="ACI Market Scan"/>
        <s v="FDA Project Optimus"/>
        <s v="CPQ Transformation PMO"/>
        <s v="*SMART* License - Advocate"/>
        <s v="ANTH #Alliance:MSFT Health/Care Value Management #HVM"/>
        <s v="HPE - CPQ Requirements #TMTPricing"/>
        <s v="HPE - Friction Free Program Management"/>
        <s v="HPE - Pre-qualification process #TMTPricing"/>
        <s v="AI tools"/>
        <s v="Intel - Capital Lifecycle Management - Assessment"/>
        <s v="Elara DSNP Specialty Strategy  #GCOE #Medicare"/>
        <s v="MSHS Pop Health Member Services Zendesk Optimization #PayerAnalytics"/>
        <s v="GRS Op Model Transformation - Change Management-Pull-Through"/>
        <s v="Bank of Tampa - LOS System Selection #SCB #&lt;$50B"/>
        <s v="Alaska Air ESG and SEC Climate Change Support #ESG"/>
        <s v="ADX eQMS Change Order"/>
        <s v="Corbett Technology Solutions - Finance Value Accelerator"/>
        <s v="United Airlines- Early Careers Program"/>
        <s v="Enterprise Quality Assessment and Strategy #QMS"/>
        <s v="TSMC AZ Offboarding"/>
        <s v="LVHN 3M Engage One CDI Implementation Assistance *Rev Cycle*"/>
        <s v="Lilly Market Research Core"/>
        <s v="Kao - agile product development support"/>
        <s v="Payment/Pricing Root Cause Analysis"/>
        <s v="Luminace Customer Team and Portal Selection"/>
        <s v="Freeport - OneStream design phase"/>
        <s v="Amendment 02 - Global Diversity &amp; Inclusion 2022 Report"/>
        <s v="Renewable Natural Gas (RNG) Target Operating Model Assessment"/>
        <s v="Kaiser_Net Zero Implementation_SFDC"/>
        <s v="Shell - Chemicals - Louisiana Corridor ESG Risk Assessment Phase 2"/>
        <s v="GCP Trust Research"/>
        <s v="#QMS Olympus Risk Management Assessment"/>
        <s v="US Banking RFP"/>
        <s v="Procurement Roadmapping"/>
        <s v="Aon Procurement Roadmapping"/>
        <s v="CPM Portfolio Analytics"/>
        <s v="HPE Talent Assessment - CTO Pilot"/>
        <s v="MUB Resiliency/BCP  #resilience"/>
        <s v="Exelixis - QMR #QualityManagedServices"/>
        <s v="Project Playbook"/>
        <s v="RL Customer Mindset"/>
        <s v="TM Platform Integration w/ Core DDA Support"/>
        <s v="Unum MDM Program Assessment"/>
        <s v="CX-AX extension - move money"/>
        <s v="AMI Program Assurance"/>
        <s v="EPM - Close and Consolidations Healthcheck"/>
        <s v="DTCC - Deals Strategy"/>
        <s v="leon Medical Center Physician Education"/>
        <s v="US Brand Positioning"/>
        <s v="MESSA PBM RFP"/>
        <s v="CenterPoint - Jana risk model SAP integration"/>
        <s v="Sierra Space ESG Program Assistance 2022 Expansion 1"/>
        <s v="NetJets Chart of Accounts Redesign"/>
        <s v="Multi-dimensional Profitability / Reporting"/>
        <s v="UST Innovation - Energy Pilots"/>
        <s v="JFI - ESG 2021 - $200K"/>
        <s v="Advantasure Risk Adj. &amp; Stars Market Assessment #HVM"/>
        <s v="BSC Enterprise Performance Dashboard"/>
        <s v="Giant Eagle IWMS Vendor Selection"/>
        <s v="280G Consulting"/>
        <s v="Shell - IT - Sector Decarbonization Digital Advisory Support"/>
        <s v="Finance Function of the Future"/>
        <s v="Regions Bank - MSR Valuation Support"/>
        <s v="Underground Program (Investment)"/>
        <s v="CMS Command Center - 2021-22"/>
        <s v="Spirit 280G"/>
        <s v="Northrop Oracle EPM"/>
        <s v="Process Intelligence CoE Support"/>
        <s v="2024 Medicare Wage Index - *Strategic Reimbursement*"/>
        <s v="For-Profit Business Line Financial and Strategic Assessment"/>
        <s v="Talent Upskilling Strategy--Finance"/>
        <s v="Talent Upskilling Strategy--Data/Analytics"/>
        <s v="HR M&amp;A Support"/>
        <s v="Provider Data Management Automation"/>
        <s v="Oceanview Clearwater Data Support"/>
        <s v="FCG Electrical Connectors Market Growth Strategy"/>
        <s v="Acquisition Medicare Risk Adj Subject Matter Expertise #HVM"/>
        <s v="LBT - OneStream Implementation"/>
        <s v="Abbott Laboratories #ProEdge Production License - Expansion"/>
        <s v="PG&amp;E_Customer_Experience_Vision"/>
        <s v="ESG Climate Program and Emissions"/>
        <s v="#QMS Risk Management Support"/>
        <s v="Wabash National - Front Office Tech Strategy"/>
        <s v="HealthPartners Rev Cycle Support"/>
        <s v="DD Accounting Operations"/>
        <s v="OBPPC (Pricing)"/>
        <s v="Citizens - Total Experience Initiative"/>
        <s v="AT&amp;T - HR Learning Data and Insight Capabilities"/>
        <s v="Citizens - People Retention Strategy"/>
        <s v="2022 / 2023 Listen Platform"/>
        <s v="Ampere Inventory Management"/>
        <s v="NFT &amp; #Metaverse Strategy #Digitalassets"/>
        <s v="DD Alteryx dev"/>
        <s v="DD Coupa"/>
        <s v="MRI Job Costing"/>
        <s v="IGP - Innvest Hotels"/>
        <s v="Excellus Project Golden Flyer - Vendor Management May 2022"/>
        <s v="MSK - Hygiene"/>
        <s v="Walmart Packaging"/>
        <s v="Expense Allocations Support"/>
        <s v="Advanced Therapy FFG: Dicerna Process Development &amp; Manufacturing Strategy"/>
        <s v="Digital TPA Transformation - Mobilization"/>
        <s v="Project Puppet - Integration Support"/>
        <s v="Lucid ESG Technology Consulting"/>
        <s v="HP Supplies Forecasting"/>
        <s v="Private LTE Network Assessment"/>
        <s v="LPL / Advisory Billing Root Cause Assessment (Phase II) / $200,000"/>
        <s v="NT Automation Assessment"/>
        <s v="Gilead U.S. Contracting System Vendor Assessment"/>
        <s v="TE Innovation Strategy"/>
        <s v="*SMART* License - UCI Medical Center"/>
        <s v="Roku HR Change Management"/>
        <s v="UM Rural Health Clinic opportunity *Strategic Reimbursement*"/>
        <s v="Cost Baseline &amp; Diagnostic Refresh (FFG Ph 1)"/>
        <s v="TE Digital Ops"/>
        <s v="Advocate-Aurora Rural Health Clinic *Strategic Reimbursement*"/>
        <s v="#QMS BD Complaints Efficiency &amp; Automation"/>
        <s v="Genentech Commercial Operations and Pricing Support"/>
        <s v="IT/MA PMO Support"/>
        <s v="Price Transparency Compliance *rev cycle*"/>
        <s v="Baker Hughes Workforce Planning"/>
        <s v="Coupa Reintegration Support"/>
        <s v="Comcast Business - Fed Gov GTM Strategy, Managed Services"/>
        <s v="Loyalty Strategy - US in Support of UK/DE"/>
        <s v="Nursing Workforce Transformation"/>
        <s v="Associated LOS RFP #FOBComm #&lt;$50B #SCB"/>
        <s v="Trimble, Inc. ESG Green Growth Strategy"/>
        <s v="Dynamic Credit Surveillance + Growth ideas #credit"/>
        <s v="HPE - Contra - Partner Benefits"/>
        <s v="5G MIL Support"/>
        <s v="PANW MSSP Technical Writing support"/>
        <s v="Heineken USA - Innovation: Project Nebula  - Phase 2"/>
        <s v="Sandy Spring Wealth Management Strategy #&lt;$50B #SCB"/>
        <s v="MSR Model Implementation Support"/>
        <s v="Graduate School Accreditation Assessment"/>
        <s v="Sysco Cyber PMO Support #PMaaS Extension2"/>
        <s v="BMS Pricing &amp; Reimbursement Modernization *Pricing*"/>
        <s v="Power &amp; Energy Assessment"/>
        <s v="Micro Focus Sales Ops Org Design"/>
        <s v="iManage Cloud Upgrade"/>
        <s v="FEMSA - OneStream Implementation - Phase 1 (US Portion)"/>
        <s v="Xignux / Viakable - FY22 - Return on Experience / Voice of Customer"/>
        <s v="FA Digital Service Capability Assessment"/>
        <s v="ESG - Scenario Analysis"/>
        <s v="ESG - Circularity at Scale - Phase 1"/>
        <s v="MoO HQ Readiness Assessment - Ph 1 - Culture Assessment"/>
        <s v="Alternative Distribution Strategy"/>
        <s v="Compliance Data Access Support"/>
        <s v="High Value Service Co - Feasibility #SS&amp;O #PayerCO&amp;ITrans"/>
        <s v="Bank of Missouri - FY23 Transformation Office #SCB #&lt;$50B"/>
        <s v="COP - Treasury IHB Design"/>
        <s v="ADS Functional Support"/>
        <s v="Travel POS Financing (US portion of UK Program)"/>
        <s v="Cardinal Health Tech Services Change Control Process Phase 2"/>
        <s v="Google MATI Support"/>
        <s v="Programa para la creación de valor compartido y el diseño de negocios inclusivos"/>
        <s v="Microsoft Office of CTO AirSim Strategy"/>
        <s v="ncino DAO #&gt;$50B #Comm50B+"/>
        <s v="SPS CPQ Sales Enablement Discovery"/>
        <s v="DSP Job Architecture"/>
        <s v="Compensation consulting"/>
        <s v="Investment Pipeline Support Q4 2022"/>
        <s v="Investment Pipeline Support Q3 2022"/>
        <s v="Synchrony - Coupa CRA Enhancement"/>
        <s v="Comcast Business - Orion CO - Dev to Deploy Support"/>
        <s v="Bodylogical Pilot - Spain"/>
        <s v="Amazon GTC AP FinOps Support (June - September 2022)"/>
        <s v="Signature - ncino CMF/Deployment #2 CO1   #&lt;$50B"/>
        <s v="Aon ITPS BusOps support"/>
        <s v="BMS-Turning Point Integration: 280G and Equity Compensation"/>
        <s v="EV Charging Strategy"/>
        <s v="Potential work after SEC ESG Guidelines - Compliance Assessment"/>
        <s v="IGP - The Duniway and Hilton Portland Downtown"/>
        <s v="NetApp Phase 1 User Story Development - Change Order 1"/>
        <s v="Insulet Acton Smart Inventory Flow #MedTech"/>
        <s v="VCI Contract Management System Assessment - OCM"/>
        <s v="Kimball Intl - 2022 H&amp;W Consulting"/>
        <s v="Roche Canada - Advisory - Ecosystems Journey AI Solutions Ph1"/>
        <s v="Innovation Pilot Boost"/>
        <s v="OPPD VOD/Qualtrics Services"/>
        <s v="PL - Actuarial Valuation &amp; Pension Plan Benefit Administration"/>
        <s v="UMWA 2024 EGWP Analysis"/>
        <s v="SVB PMO - Strategic and Regulatory Initiatives Support - Change Order 3"/>
        <s v="Project Titan - 280G Consulting"/>
        <s v="JLL Vendor Data Clean-up Phase II#S&amp;P#POD"/>
        <s v="Geo Expansion - C &amp; F"/>
        <s v="Morgan Stanley - Finance Academy #ProEdgexWorkforce (Phase 1)"/>
        <s v="*SMART* License - SB Cottage Hospitals"/>
        <s v="UCB U.S. Neurology Workshop"/>
        <s v="Eisai Aspire Core Q2'22 Change Order"/>
        <s v="Target Inventory Accuracy &amp; Shrink Project"/>
        <s v="TSMC NA SuccessFactors Recruiting and Onboarding"/>
        <s v="Microbiome Market Analysis"/>
        <s v="Magna MMLE Plant Improvement Ph. 1"/>
        <s v="UI Path Sales Comp Operational Assessment"/>
        <s v="H&amp;M Payroll Assessment"/>
        <s v="Block S2P Contingent Workforce Strategy Assess &amp; Design"/>
        <s v="HPE - Aruba Supply Chain planning and reporting diagnostic"/>
        <s v="Workiva Stat Assessment"/>
        <s v="BOM / Catalog Optimization"/>
        <s v="Payroll Process Change (current to arrears and change effective dates)"/>
        <s v="UST Innovation - Shared RAN"/>
        <s v="FAS / xCenda Project Mgtm Support"/>
        <s v="Comparion - Agent Life Sales Assessment"/>
        <s v="MSFT FastTrack BOM and Support - Azure"/>
        <s v="Mizuho - Risk, IT, Ops, Rotational Program"/>
        <s v="Future of Work, Enterprise Operations People Strategy"/>
        <s v="Honorhealth - Talent Acquisition Re-design Phase 3"/>
        <s v="Specialized Bicycle Components - EPM Assessment"/>
        <s v="Avangrid OpCo Pension Plan Mergers"/>
        <s v="Clinical Data Reporting Strategy"/>
        <s v="Strategy Support Q3'22 Extension"/>
        <s v="09 Solutions - DEI"/>
        <s v="Waggener Edstrom Worldwide - Hiring Journey Assessment"/>
        <s v="340B Optimization - Patient Referral Arrangement - *Strategic Reimbursement*"/>
        <s v="IGP - Minneapolis Hilton"/>
        <s v="BIAH Core Flex Agreement"/>
        <s v="Aetna ACA Strategy Review P2 - Survey"/>
        <s v="MSFT HR FY22 H2 ECD - Aspire Communications"/>
        <s v="MS Pricing Horizontal - Q3 Extension"/>
        <s v="Diagnóstico organizacional"/>
        <s v="MSFT HR FY23 H1 TLI GLD First Year Learning"/>
        <s v="Inventory and Demand Planning"/>
        <s v="Eisai SP Expansion Extension"/>
        <s v="Stephen Gould - 2022 Inventory Process Gap Analysis"/>
        <s v="AT&amp;T Credit Market Scan - 2022"/>
        <s v="Finance Modernization - Data and Reporting Strategy #Hawk  #RocktheSEpipe"/>
        <s v="BIAH Product Launch War Games"/>
        <s v="Vendor Selection"/>
        <s v="Constellation Brands Spend Analysis #S&amp;P#POD"/>
        <s v="ESG Strategy Proposal"/>
        <s v="GTM Alliances Phase 2 #TMTPricing"/>
        <s v="News Corp Spend Analysis and Monthly Refresh - #S&amp;P#POD"/>
        <s v="162m calculations"/>
        <s v="Potential work after Protective Sustainability Program Review and Roadmap"/>
        <s v="GE Nuclear Medicine Tracers Opportunity Assessment - US Phase 2 #XPCONC"/>
        <s v="Comcast_Cable Consent Management Platform - Product Owner Jul Dec 2022"/>
        <s v="MSFT DLS FY22 Project Denali (ABK) - IMO Standup"/>
        <s v="MSFT DLS FY22 Project Denali (ABK) - IMO Standup CO1"/>
        <s v="HR M&amp;A Playbook"/>
        <s v="Shellpoint Investor Accounting and Investor Reporting Technology Assessment 1"/>
        <s v="IGP - Hilton Baltimore"/>
        <s v="MSFT HR FY22 TLI BEX BM"/>
        <s v="Treasury Strategy &amp; Liquidity Management"/>
        <s v="ResLife DTO VA - M&amp;A Playbook"/>
        <s v="Future of Commerce - Omnichannel Capability Roadmap"/>
        <s v="MHS Strategic Workforce Planning Phase 2"/>
        <s v="C&amp;IS Digital Blueprint and Roadmap - Ext. 1"/>
        <s v="Finance Function Assessment"/>
        <s v="WT _ FY22 FY23 payroll loan staff"/>
        <s v="Google Finance - Poland Site Lead Support"/>
        <s v="PSHP Performance Improvement"/>
        <s v="AdventHealth *VBO* Legacy Epic Infusion Services FY23 Extension"/>
        <s v="401(k) Adhoc Support"/>
        <s v="Supply chain optimization"/>
        <s v="INGR - Forecasting (Ops through Finance)"/>
        <s v="BPY Administrator Platform Support and Advice"/>
        <s v="Grange - DC recordkeeping DD"/>
        <s v="E&amp;I Medical Policy Optimization Assessment"/>
        <s v="FY22 #ESG Strategy &amp; Prioritization"/>
        <s v="Payer Services Transformation"/>
        <s v="Rocket Mortgage - Leasing tool vendor selection"/>
        <s v="IFS Marketing Dashboards"/>
        <s v="T-Mobile Wholesale and IoT Growth"/>
        <s v="Change Management Op Model--Visualization/Navigator"/>
        <s v="Toll Brothers - SW Innovation"/>
        <s v="Augustus White Institute"/>
        <s v="Citrofrut - FY22 - Standard Costing"/>
        <s v="Woodie?s Wash Shack - Finance Project"/>
        <s v="Trimble, Inc. SEC Readiness Evaluation for ESG Disclosures"/>
        <s v="Adinah SK IT and Cyber DD"/>
        <s v="CMO M&amp;E Culture Project"/>
        <s v="Arc Home Mortgage Originations Process Assessment"/>
        <s v="FB: IBOS as a Service"/>
        <s v="AR/ VR Ecommerce Strategy and Prototype"/>
        <s v="IGP - DoubleTree by Hilton Boston Downtown"/>
        <s v="Amsted - H&amp;W Benefits"/>
        <s v="Potential work after MetLife Environmental Goals Implementation - Extension"/>
        <s v="Finance Transformation Phase 3"/>
        <s v="RadNet - HR Assessment"/>
        <s v="AMZN Finance: Scribe Process Improvement Support"/>
        <s v="Roth savings opportunity leveraging COLI policies"/>
        <s v="Organizational Redesign"/>
        <s v="NAR Rebate Strategy Assessment *Pricing*"/>
        <s v="NQ Plan Financing"/>
        <s v="Veritiv - Supplier Diversity"/>
        <s v="Frontline Workforce strategy"/>
        <s v="MSFT PowerApps target"/>
        <s v="Performance Management Strategy - That Game Company"/>
        <s v="Liftoff Global Payroll RFI"/>
        <s v="Expense Allocation Review #NextGenCostingMSO"/>
        <s v="Walmart Energy as a Service (EaaS)"/>
        <s v="DCC P&amp;O (Tax) - H&amp;W Plan Consolidation Consulting - Phase I"/>
        <s v="NGES Cost Model 2.0 Roadmap"/>
        <s v="Avient Finance Operating Model Assessment Phase 1"/>
        <s v="Universal Parks &amp; Resorts Tag Audit"/>
        <s v="Development Process Diagnostic Assessment"/>
        <s v="*SMART* License - Cape Fear Valley Health Systems"/>
        <s v="*SMART* License - Northside Hospital"/>
        <s v="*SMART* License - Wellstar Health"/>
        <s v="Performance Management Assessment"/>
        <s v="Meta Ads and Mission Control Headcount Process Rationalization"/>
        <s v="Corbett Technology Solutions - SSC Assessment &amp; Standup"/>
        <s v="FY22 - Lixil México - Optimización procesos comerciales Unidad Negocios México"/>
        <s v="NVA P2P Assessment: Coupa and Oracle"/>
        <s v="AMZN Finance: Blackline Secondary Account Reconciliation"/>
        <s v="*SMART* License - Northeast Georgia"/>
        <s v="LifePoint Health Managed Care Strategy *Reimbursement*"/>
        <s v="Process Assessment via Process Mining Phase 1"/>
        <s v="United Airlines- Fuel Management System Selection"/>
        <s v="Tech and Operational Assessment"/>
        <s v="Digital Upskilling (Finance)"/>
        <s v="Employee Preference analytics"/>
        <s v="Investment Advisor &amp; Participant Financial Education Due Diligence"/>
        <s v="Finance Org Design Phase II (Buildout)"/>
        <s v="UBS - Bank Charter/Structure review"/>
        <s v="LEO plan redesign"/>
        <s v="ESG - Sustainability Assessment"/>
        <s v="Fiber Build Process Improvement"/>
        <s v="ETHOS Technology Strategy"/>
        <s v="Values, Behaviors and Ways of Working"/>
        <s v="FFY24 Bellin Wage Index Analysis"/>
        <s v="*Rev Cycle* - Lifepoint"/>
        <s v="Customer Engagement Technology Stack Assessment"/>
        <s v="#IOBP -- Nutrien Portfolio and Capital Planning"/>
        <s v="BD Global Pricing - Project Revolution - Extension *Pricing*"/>
        <s v="*Rev Cycle* - LVHN"/>
        <s v="Finance Modernization - Phase 1"/>
        <s v="Duracell Master Data Management Discovery"/>
        <s v="GLL Diversification phase 3"/>
        <s v="Intel - Mobileye for Smart City"/>
        <s v="Procurement Diagnostic"/>
        <s v="Tanium Growth"/>
        <s v="Merchandising Operating Model"/>
        <s v="CVS - Kidney Care Production Prep"/>
        <s v="Veritone - SW Innovation &amp; Prod Mgmt Op Model"/>
        <s v="Beachbody - Commissions Benchmarking &amp; Cost Analysis"/>
        <s v="Navistar Well Being"/>
        <s v="Aisin - H&amp;W Benefits Assessment"/>
        <s v="IPO Readiness"/>
        <s v="Luminar Location Assessment and Business Case"/>
        <s v="ADM - Outsourcing Contracts"/>
        <s v="*SMART* License - Christiana Care"/>
        <s v="Cullman Regional RHC *Strategic Reimbursement*"/>
        <s v="Complex Care Medical Services Assessment *Rev Cycle*"/>
        <s v="ALG Integration Planning"/>
        <s v="Embecta Hedging Program Launch"/>
        <s v="Discover Digital Bank"/>
        <s v="Galen Medical Group Rev Cycle Assessment"/>
        <s v="NUSA Direct to Consumer Strategy"/>
        <s v="Secure eCommerce Value Pricing Training"/>
        <s v="DEI Employee Sentiment"/>
        <s v="FPL - SAP Customer Transformation Roadmap and Business Case"/>
        <s v="Clorox Procurement &amp; Supply Chain Capability Assessment"/>
        <s v="PNS Standalone and TSA Support"/>
        <s v="Engineering inventory management"/>
        <s v="Vz - FPAS Capacity Management"/>
        <s v="FP&amp;A Automation Enablement"/>
        <s v="Teladoc Sales Planning &amp; TQM Detailed Scoping"/>
        <s v="2022 Global Equity Consulting"/>
        <s v="ATT Biz Joe Blount Support"/>
        <s v="Microsoft Surface New Device #1 GTM Research Study - Phase 2"/>
        <s v="Bath &amp; Body Works Loss Prevention Program Design"/>
        <s v="ADM - Food Traceability (Seed-to-Fork) #InsightsFactory"/>
        <s v="GM Aftermarket support"/>
        <s v="H&amp;W Cost Assessment"/>
        <s v="GDIT Finance Optimization"/>
        <s v="Customer Link POC/Pilot for Gerber Life"/>
        <s v="HPE - Clari &amp; Anaplan Interlock"/>
        <s v="HR Transformation &amp; Total Rewards"/>
        <s v="AA - Fuels Operating Model"/>
        <s v="Okta Assessment of ESG Reporting Systems and Data Platform #ESG-TMT-Wave2"/>
        <s v="Open Innovation"/>
        <s v="Annual Strategic Planning Leadership Workshop"/>
        <s v="International Banking Strategy / Support"/>
        <s v="Payables RFP"/>
        <s v="WM Market Deep Dive"/>
        <s v="Vialto - Partner Compensation Strategy"/>
        <s v="Marsh - Treasury Practices Design Support"/>
        <s v="Profit in Inventory 2022 - Hologic"/>
        <s v="Kindeva Ops Assessment Ph 2"/>
        <s v="Employee Preference Tool (Rewards)"/>
        <s v="Aon Responsible Sourcing"/>
        <s v="*SMART* License - Indiana University Health, Inc - OP"/>
        <s v="Cintas 2022 ESG Strategy and Targets #ESG"/>
        <s v="Ally Smart Auction - Canada PMO"/>
        <s v="Eli Lilly Clinical Trials Technology Strategy #medable"/>
        <s v="Tackling the War-on-Talent"/>
        <s v="Managing Enterprise-Wide Transformation"/>
        <s v="Definition and Pilot of an Enterprise-Wide Agile Framework"/>
        <s v="Currency Billing Support - Phase 2"/>
        <s v="Vital Proteins - S&amp;OP Toolkit Enablement"/>
        <s v="Capabilities Assessment"/>
        <s v="Materials Demand Planning Assess and Design - Major Projects"/>
        <s v="Innovaccer SI Opportunity - Elevate Health"/>
        <s v="Wintrust Balance Sheet Planning and Multi-Dimensional  Profitability"/>
        <s v="Procurement Roadmap Assessment"/>
        <s v="CFTC CCO Program Enhancement"/>
        <s v="CVS: D365/PowerPlatform target"/>
        <s v="R&amp;D Talent Market Assessment"/>
        <s v="Employee Experience Assessment and Design"/>
        <s v="BMS Finance - Commercial_Above Market Extension"/>
        <s v="Intel supply chain resiliency"/>
        <s v="DTNA - Marketing Cloud POC"/>
        <s v="GM - MarTech/Customer 360"/>
        <s v="Commercial Deposit Account Opening - Discovery"/>
        <s v="*SMART* License OP - Peacehealth"/>
        <s v="US Bank_Union Bank Payroll Tax Assistance_$150K"/>
        <s v="Salesforce CRM Enhancements"/>
        <s v="Leadership Competency Framework and Assessment"/>
        <s v="Farmers Agent Talent Strategy"/>
        <s v="WellPet - Trade Program Structuring #RGM"/>
        <s v="Accounting / ERP TAM"/>
        <s v="HCSC - Change Navigator"/>
        <s v="ESG Prioritization Mapping &amp; Diagnostic"/>
        <s v="Microsoft Surface New Device #2 GTM Research Study"/>
        <s v="Crocs - Hey Dude Ops integration extension"/>
        <s v="Design and Project Management Process Mining Pilot"/>
        <s v="Meta - Infra Benchmarking"/>
        <s v="UHC Medical Policy Optimization Phase 2"/>
        <s v="Sales compensation consulting"/>
        <s v="Salesforce Platform Health Assessment"/>
        <s v="E&amp;I New Market Entry Strategy Support"/>
        <s v="Cycle Counts/PI's and Shrink Inventory Analysis"/>
        <s v="BD PFS traceability- stakeholders mapping"/>
        <s v="Edutainment Market Research"/>
        <s v="LP Template Support Q4 2022"/>
        <s v="LP Template Support Q3 2022"/>
        <s v="Actualización ACB"/>
        <s v="Health Actuarial Modernization - Ops Model Assessment"/>
        <s v="RDOF Extension"/>
        <s v="MS at Work - Participant Activation June/July 2022"/>
        <s v="Value Capture - Change Order Management"/>
        <s v="Mitsui Fudosan America - Finance Assessment"/>
        <s v="2022 BMS Finance Integration (LER/Rhine) - Addendum #3 (EAMT)"/>
        <s v="AES Clean Energy Finance Assessment Close to Report"/>
        <s v="CSL Web Design Extension"/>
        <s v="Saratoga Benchmarking license (US and Global) winback - Willis Towers Watson"/>
        <s v="Fulfillment Chargeback Assessment"/>
        <s v="Waymo Phase 2 Supplier Diversity Future State &amp; Roadmap #ESG"/>
        <s v="MUFG LIBOR CLM - Phase 3"/>
        <s v="Saratoga Benchmarking renewal license - IBM"/>
        <s v="IGP - Millennium Hilton Hotel"/>
        <s v="Internal Audit 2022 Competency Assessment"/>
        <s v="ERP Software Selection"/>
        <s v="HR Maturity Assessment"/>
        <s v="GE Separation - 2022-2023 ASC 712 Postemployment Benefits"/>
        <s v="Transformación Centralizadores Coppel"/>
        <s v="*CDMCT* Experience Transition to Qualtrics"/>
        <s v="FedEx ALPA - pension plan consulting"/>
        <s v="HPE Sustainability GTM #ESG-TMT-Wave1"/>
        <s v="Ascension Health | WebMD/Krames/Salesforce work"/>
        <s v="VBC Assessment"/>
        <s v="Pivot Bio - Impact Reporting and Roadmap"/>
        <s v="Coupa P2I (Corp)"/>
        <s v="Indigo Workforce Transformation"/>
        <s v="Live Oak Next Gen product discovery  #&lt;$50B"/>
        <s v="Shell - Terminal Modernization Catalyst Event"/>
        <s v="Martek Phase 0"/>
        <s v="MS at Work - Participant Activation May 2022"/>
        <s v="Crypto/NFT Set-up"/>
        <s v="Global Payroll Design Phase 1"/>
        <s v="Citrix CDP Assessment &amp; Design"/>
        <s v="Citrix CDP Implementation"/>
        <s v="Financial-Model Support"/>
        <s v="Acension Acquisition FICA Refund Opportunity"/>
        <s v="WT - 2022 Cash Balance Plan Feasibility and Implementation"/>
        <s v="PwC Partner Affairs Surveys"/>
        <s v="MSFT HR TLI FY23 Q1 Leadership Signals Support"/>
        <s v="FIS Payment Solution for GSK"/>
        <s v="Barings_Change Management &amp; Technology #FOW"/>
        <s v="UofMizzou Transfer DRG Analysis *Strategic Reimbursement*"/>
        <s v="CF: ESG System Implementation - Sphera Core to Cloud Migration"/>
        <s v="SunChemical: ESG System Implementation - Sphera Core to Cloud Migration"/>
        <s v="AirProducts: ESG System Implementation - Sphera Core to Cloud Migration"/>
        <s v="COGS Modeling"/>
        <s v="Onboarding Equipos Agiles TI"/>
        <s v="University of Alabama Health - *SMART* IP and OP License Renewal - FY22"/>
        <s v="EMC Small Commercial Strategy"/>
        <s v="Weatherford - Sustainability Workshop #ESG"/>
        <s v="MS at Work - Retirement Controls Review Addendum 1"/>
        <s v="Fiber Telco Colocation Analysis"/>
        <s v="Whirlpool FY22 #ESG Materiality Assessment"/>
        <s v="ADM - Llamasoft Coach"/>
        <s v="Gilead Global Pricing SAP Integration Extension"/>
        <s v="Project Connect AP/AR Support"/>
        <s v="Amazon Finance: HFM PM Support - Extension 3"/>
        <s v="Equity Stabilization &amp; Payroll Tax Health Check"/>
        <s v="Car allowance tax analysis"/>
        <s v="Citrofrut - FY22 - Implementation Fit for Growth Phase 1"/>
        <s v="PAN - LTQ Initiative"/>
        <s v="Supplier Diversity Assessment - #PCS #ESG"/>
        <s v="Customer Link - Hershey Entertainment &amp; Resorts"/>
        <s v="MS at Work - Retirement Solutions Controls and Roadmap"/>
        <s v="Stormont-Vail Rural Health Clinic Conversion *Strategic Reimbursement*"/>
        <s v="DC Investment Advisor Record Keeper Diligence"/>
        <s v="Internal Partner Affairs- Feedback Tool"/>
        <s v="MS Banks IT Change Management Addendum 2"/>
        <s v="GWLifeCo 2022 IT Leadership Workshop Support"/>
        <s v="LP1P Support Q4 2022"/>
        <s v="LP1P Support Q3 2022"/>
        <s v="Digital Wallet Market Entry Strategy Evaluation"/>
        <s v="Portfolio Management and Project Controls Assessment Refresh and Roadmap"/>
        <s v="NRECA GBP claims assessment"/>
        <s v="D&amp;I Education Session Phase 2"/>
        <s v="MSFT DLS FY22 EXO IMO Support - Change Order 6"/>
        <s v="MSFT HR FY22 TLI TLX Course Intake Process Design"/>
        <s v="IGP - The Silver Hotel Group"/>
        <s v="Oxy - ESG - Occupational Health Software Selection"/>
        <s v="MSFT MAVS HR FY22 ABK HR PMO Launch SOW"/>
        <s v="PepsiCo GBS Digital Factory Tech Staff Aug"/>
        <s v="Grid Mod OT PMO - PD Phase B #PMaaS"/>
        <s v="Reinsurance management compensation benchmarking"/>
        <s v="Coding Assessment *Rev Cycle*"/>
        <s v="IGP - MH Hotels"/>
        <s v="IGP - DoubleTree Resort by Hilton Myrtle Beach Oceanfront"/>
        <s v="*SMART* License - OP- WakeMed Health &amp; Hospitals"/>
        <s v="Finance RPA"/>
        <s v="MembershipConnect Alteryx"/>
        <s v="ESG Strategy &amp; Reporting"/>
        <s v="Deere - Workiva Implementation Support"/>
        <s v="Employment Tax Consulting"/>
        <s v="Atwell HR data review"/>
        <s v="#QMS Quality &amp; Digital Transformation - Novartis"/>
        <s v="#QMS Quality &amp; Digital Transformation - Biogen"/>
        <s v="WT FY22 - FY23 MD Life Insurance global tax diligence"/>
        <s v="Geisinger Health: Pharmacy Optimization *FFG*"/>
        <s v="Memorial Hermann: Cost Optimization *FFG*"/>
        <s v="#QMS Digital Quality Transformation - Sanofi"/>
        <s v="#QMS Quality &amp; Digital Transformation - Sanofi"/>
        <s v="Pricing Roadmap and Architecture"/>
        <s v="Garland Industries 2022 ESOP Consulting"/>
        <s v="Valero - OneStream implementation design Phase 0"/>
        <s v="VCI Subscription Model support - assess and recommend (audi reLease)"/>
        <s v="Oracle Cloud - On Prem Hyperion to the Cloud (Tools Group)"/>
        <s v="Enhance Customer Profile with Social Handle Data"/>
        <s v="P&amp;G - Medical Device Software Work Process Development"/>
        <s v="TBOM BaaS  Provider Assessment / Evaluation CO1 - Extension"/>
        <s v="Change Healthcare Integration"/>
        <s v="Beacon Orthopaedic Partners *VBO* Project Jade A/R Analysis"/>
        <s v="Qurate - Martech Advisory"/>
        <s v="Best Buy Health - Tech Portfolio Op Model and Roadmap"/>
        <s v="WM IE&amp;D Data Tools and Analysis"/>
        <s v="Baltimore Orioles NFT Strategy"/>
        <s v="USB Marketo Developer Support"/>
        <s v="PM Pediatrics FP&amp;A MS"/>
        <s v="DTCC - FP&amp;A"/>
        <s v="BJC - Strategy, M/A"/>
        <s v="Roku - Financial Close Optimization"/>
        <s v="Spotify - Talent Acquisition Automation &amp; Dashboard"/>
        <s v="Blackstone RE - Deal Management Process Analysis"/>
        <s v="Jones Day Procurement on Demand/Org Design #S&amp;P#POD"/>
        <s v="AT&amp;T Business - AEP"/>
        <s v="Embecta Marketing Competencies"/>
        <s v="GBS Benchmark &amp; Advisory Services -"/>
        <s v="Finance platform #Intacct"/>
        <s v="Mayo Rural Health Clinic *Strategic Reimbursement*"/>
        <s v="Ascension Rural Health Clinics *Strategic Reimbursement*"/>
        <s v="NFR Function Project Management Support"/>
        <s v="RJ - CRM Tool to Improve FA Experience &amp; Product Support"/>
        <s v="AMN Procurement on Demand #S&amp;P#POD"/>
        <s v="Bank Optimization and Rationalization"/>
        <s v="DEI Leadership Experiences"/>
        <s v="Comcast Business - Sales Comp Design"/>
        <s v="2022 APS Compensation Consulting"/>
        <s v="BD - Contract Mgmt Analysis"/>
        <s v="TD Bank_Card strategy support"/>
        <s v="MS Project Apollo - Addendum 1"/>
        <s v="Retail Media - US in Support of UK/DE"/>
        <s v="DTCC - Workforce of the Future"/>
        <s v="Project Switzerland: Access &amp; SFDC"/>
        <s v="Front Office Capability"/>
        <s v="Versare ERC Analysis"/>
        <s v="HP CS SSC MDM Additional PS Automation"/>
        <s v="Thibault/WF Enterprises, Inc. ERC Analysis and Calculations"/>
        <s v="CPS Products - ERC Analysis and Computations"/>
        <s v="Cattron  ERC Analysis and Calculations"/>
        <s v="Pension Live Online Administration System"/>
        <s v="BBYH - Revenue Cycle Management Phase 0"/>
        <s v="Legal Business Services"/>
        <s v="Marketing Analytics Roadmap"/>
        <s v="LifePoint Medicare &amp; Medicaid Reimbursement Assessment - *Strategic Reimbursement*"/>
        <s v="BFKN - H&amp;W Benefits"/>
        <s v="General Ledger Standardization"/>
        <s v="Inovio Budget Process Support"/>
        <s v="Country CLIC 2.0 Life PAS Transformation Mobilization"/>
        <s v="PaloAltoNetworks - Renewals Testing Support"/>
        <s v="Contracts and Tenders Assessment"/>
        <s v="FCCS - Application Migration (new SKU)"/>
        <s v="Mt Sinai: Digital Marketing Transformation"/>
        <s v="Corn Syrup / Supply Chain Commodity Solutions"/>
        <s v="ESG - Reporting - Workiva"/>
        <s v="WCMC Mission Based Assessment"/>
        <s v="TX Marketplace Remediation"/>
        <s v="RGM as Service"/>
        <s v="HP CX Pilot PM Extension"/>
        <s v="Employee Resource Group (ERG) Relaunch"/>
        <s v="#QMS Digital Quality Transformation"/>
        <s v="HC Upskilling (recruiting function)"/>
        <s v="Global Self- ID Campaign"/>
        <s v="StoneX Global Payments Enterprise Agile"/>
        <s v="StoneX Global Payments Brand Awareness"/>
        <s v="Inclusion/Engagement Survey"/>
        <s v="High Value Engineering"/>
        <s v="#QMS Veeva Platform Analysis, Business Case"/>
        <s v="Revene Growth - Data Monetization"/>
        <s v="CNA - ESG Target"/>
        <s v="MCA Advisors Operating Model Expense Refresh"/>
        <s v="Emory University *VBO* Support Epic Implementation"/>
        <s v="Duracell Supplier Diversity Program - Design &amp; Implementation"/>
        <s v="Cloudflare Sales Compensation Administration"/>
        <s v="Mimecast POINTS Assessment Follow-up"/>
        <s v="UBS - WMAP Azure related #WMA"/>
        <s v="Church &amp; Dwight #RGM"/>
        <s v="Equator Principles Implementation"/>
        <s v="Heineken #RGM"/>
        <s v="The Queen's Health Systems *Strategic Reimbursement*"/>
        <s v="Dairy Farmers of America #RGM"/>
        <s v="Spire Integrated Planning"/>
        <s v="Johnsonville Sausage #RGM"/>
        <s v="Landfill Decarbonization Extension"/>
        <s v="#QMS (Managed Service) MTPC Complaints"/>
        <s v="Pension Plan Redesign"/>
        <s v="Mexico Site Location Strategy"/>
        <s v="UHG C&amp;S 2023 Operations Migration Support - Project Igloo - #PayerCO&amp;ITrans"/>
        <s v="CC Business Case &amp; Implementation"/>
        <s v="IGP - Embassy Santa Clara-Silicon Valley SNCCA"/>
        <s v="Banner &amp; Witcoff - H&amp;W Benefits"/>
        <s v="Gilead: Transformation: Commercial: Gross-to-Net Diagnostic"/>
        <s v="Indigo Equity Clean Up"/>
        <s v="ESG Deals Integration"/>
        <s v="Meta Anaplan Implementation"/>
        <s v="Kemper Actuarial Modernization"/>
        <s v="ADM - Safety Quality"/>
        <s v="Dayvigo Patient Journey"/>
        <s v="*RC Tech* *Rev Cycle* Tenet"/>
        <s v="Consumer 360"/>
        <s v="Bayview - Funding &amp; Capital Markets FFG Lite Diagnostic"/>
        <s v="IAT Duck Creek Claims Implementation Support - Assessment"/>
        <s v="P&amp;G - NA TPM Design #Pricing #RGM"/>
        <s v="HIG GB Claims Automation"/>
        <s v="Morgan Stanley / Automation Strategy / $100,000"/>
        <s v="AT&amp;T Mobile Traffic Optimization with BandwidthX"/>
        <s v="Reckitt Benckiser #RGM"/>
        <s v="Evergy - Risk System evaluation"/>
        <s v="Supply Chain Transformation Support"/>
        <s v="FY22 Strategic Opportunity:  Bringing the Advents Together"/>
        <s v="SH Hotels Decarbonization Project #ESG"/>
        <s v="Bridgewater - HQ Relocation"/>
        <s v="CBRE IM | IAR Administrator 2022 Fee Analysis"/>
        <s v="Treehouse - RGM Managed Service #RGM"/>
        <s v="INGR - Time to Market for new products"/>
        <s v="INGR - Demand Forecasting"/>
        <s v="INGR - Capital Allocation"/>
        <s v="Hologic Digital Finance"/>
        <s v="Project Brown - Financial Reporting &amp; Treasury Addendum"/>
        <s v="AT&amp;T Biz Partnership Opportunities"/>
        <s v="GBS Automation - O2C Process Intelligence"/>
        <s v="Centene Enterprise Spans &amp; Layers Analysis"/>
        <s v="Neato Robotics Cost Assessment"/>
        <s v="Shiseido Company #RGM"/>
        <s v="INGR - Plant Optimization | SMART Factory"/>
        <s v="Nasdaq Revenue Optimization and Process Mining"/>
        <s v="Heartland Foods Performance Analyzer #RGM"/>
        <s v="BHF - Future of Distributions"/>
        <s v="Charles Schwab New Abnormal/RTW #COVID-19"/>
        <s v="Atkinson - Compensation Consulting"/>
        <s v="Credit Card of the Future"/>
        <s v="BHF - Future of Product"/>
        <s v="BHF - Enterprise Performance Analysis"/>
        <s v="HR SSC Greater Asia Assessment"/>
        <s v="Cox Auto - M&amp;A Integration Governance model consulting"/>
        <s v="HCSC AI Pilot #xPC:PayerAnalytics #Alliance:C3AI #PayerAnalytics"/>
        <s v="NFLX - Customer Experience"/>
        <s v="Scheduling Analytics *RC Tech* *Rev Cycle*"/>
        <s v="Inspira Health: Microsoft CRM Pilot #MSFTProvider"/>
        <s v="UPMC: Microsoft CRM Strategy #MSFTProvider"/>
        <s v="Distribution and Logistics - 2022"/>
        <s v="Bellin Cost Report Reimbursement Analysis - FY 2021 and Prior"/>
        <s v="Intel Marketplace Bridge_Change Order"/>
        <s v="Sentry Assessment"/>
        <s v="BCBSMA AI pilot #xPC:PayerAnalytics #Alliance:C3AI #HVM"/>
        <s v="BSC Citizen-Led AI pilot #xPC:PayerAnalytics #Alliance:C3AI #PayerAnalytics"/>
        <s v="AmeriHealth AI pilot #xPC:PayerAnalytics #Alliance:C3AI #PayerAnalytics"/>
        <s v="Fairview Health Services *VBO* FY23"/>
        <s v="Vita Coco Performance Analyzer #RGM"/>
        <s v="Employee Financial Education and Wellness"/>
        <s v="Pfizer HADEA Tender Support"/>
        <s v="WT _ FY22 FY23 payroll operational and tax review"/>
        <s v="BC Idaho - Ops / Compliance Transformation - Medicare Intelli-Hub #GcoE #Automation"/>
        <s v="Vertex Control Tower"/>
        <s v="Vertex Supply Chain RFS"/>
        <s v="TSX VENTURE EXCHANGE INC.:  Oracle RMB Opportunity #ORACLE_BCM"/>
        <s v="CME:  Oracle RMB Opportunity #ORACLE_BCM"/>
        <s v="NASDAQ:  Oracle Revenue Leakage Analysis #ORACLE_BCM"/>
        <s v="IU Health: RRC IME + 340B *Strategic Reimbursement*"/>
        <s v="Boeing Engineering Effectiveness"/>
        <s v="P66 Aligne, MorningStar Replacement assessment"/>
        <s v="BIAH - Equine Omnichannel Excellence (Phase 1)"/>
        <s v="Kohl's Procurement on Demand #S&amp;P#POD"/>
        <s v="Claims Inception Phase"/>
        <s v="People Analytics -- Personas and Observational Research"/>
        <s v="Agile product delivery model implementation"/>
        <s v="Voya Analytics - Use Case Prioritization - Workshop"/>
        <s v="RSI_Procurement Integration Support"/>
        <s v="Commonwealth Care Alliance - Project Diehard - SFDC Platform Assessment"/>
        <s v="INGR - Compensation Plan Alignment"/>
        <s v="Equity Payroll Assistance"/>
        <s v="Datasite Sales Comp Assessment"/>
        <s v="FIS Loyalty - Pay with Points"/>
        <s v="W&amp;C Evaluation of tax treatment of non-US partners in US pension plans"/>
        <s v="#QMS ISO Batch Release - Kyowa Kirin"/>
        <s v="Project Kickstart - FIMO &amp; R2R+O2C Integration Support"/>
        <s v="Pension actuarial/admin services"/>
        <s v="AT&amp;T Network Process Simplification"/>
        <s v="ICON Business Unit CoE Design"/>
        <s v="ICON Business Unit CoE Implementation Planning PMO"/>
        <s v="ICON Demand and Capacity Management Capability"/>
        <s v="Eisai IT Roadmap Support Jun-Aug'22"/>
        <s v="BMS - Supply Chain Metrics"/>
        <s v="Workforce Capabilities Assessment"/>
        <s v="HealthPartners Oracle OHI #PayerCO&amp;ITrans"/>
        <s v="R2R - Finance Transformation"/>
        <s v="*Rev Cycle* of the Future Discussion/Opportunity"/>
        <s v="ITTL OCM &amp; Program write up"/>
        <s v="AWS - Country Requirements Gathering"/>
        <s v="Sports Betting at DIRECTV"/>
        <s v="PACNW CommonSpirit Reimb: Critical Access Hospital (CAH) Strategy *Strategic Reimbursement*"/>
        <s v="Compensation Tax Consulting - Additional Fees"/>
        <s v="FY22 Strategic Opportunity:  Digital as a Service"/>
        <s v="Intel - Capital Lifecycle Management - IA Support Q1FY22"/>
        <s v="BSC Shared Services Location Analysis RFP"/>
        <s v="K-C Supply Chain"/>
        <s v="RCG Strategy &amp; Competitor Offsite"/>
        <s v="2022 TNC Compensation Review"/>
        <s v="CBC Cyber Security"/>
        <s v="Supplier Diversity- Tier 1 Program Support"/>
        <s v="BGIS:  Oracle RMB Opportunity #ORACLE_PE"/>
        <s v="#QMS Quality Transparency"/>
        <s v="Pipe/Ware Model Assessment"/>
        <s v="Billing system update"/>
        <s v="FB_Data Center Supply Chain"/>
        <s v="Project Solar 280G Consulting"/>
        <s v="UPMC: Pharmacy Optimization *FFG*"/>
        <s v="Statutory Accounting Outsourcing (US and International)"/>
        <s v="Okta - B2E IAM"/>
        <s v="Digital Culture/Upskilling - WoF"/>
        <s v="Project Prolific 280G Consulting"/>
        <s v="Customer Centricity Analytics Pilot"/>
        <s v="Rev Cycle - cost approach"/>
        <s v="Restaurant Profitability Improvement #Profit"/>
        <s v="PBM and Pharma"/>
        <s v="Finance Analytics"/>
        <s v="Finance FFG"/>
        <s v="Trust for enterprise"/>
        <s v="Culture &amp; Leadership alignment workshop"/>
        <s v="Upstart - Assistance with driving auto lending growth through Prodigy acquisition"/>
        <s v="Simplify SSC CME Testing Support"/>
        <s v="SOM - H&amp;W Strategy"/>
        <s v="Telco Energy Management"/>
        <s v="MSFT HR FY22 TR/HRBI Program Management and Change Management Support"/>
        <s v="2022 Stripe Recharge Project"/>
        <s v="HR transformation (Customer Experience &amp; Underlying technology)"/>
        <s v="Actuarial/Administration of DB Plan"/>
        <s v="Chris Carmody: Analytics"/>
        <s v="Procurement on Demand Procurement Start Up #S&amp;P#POD"/>
        <s v="2022 ORSA Support"/>
        <s v="Finance Transformation Assessment &amp; Roadmap"/>
        <s v="Executive compensation consulting"/>
        <s v="Qurate - Workplace Capital Management"/>
        <s v="ERP Implementation - Phase 0"/>
        <s v="Supply Chain Planning System Selection"/>
        <s v="Market Disruption Management #archegos"/>
        <s v="50 South FFG/Automation Diagnostic"/>
        <s v="P32H Digital Strategy"/>
        <s v="PAN - Master data"/>
        <s v="CBRE - IA&amp;R ESG Reporting"/>
        <s v="Harvard Services - 2022 - Financial Close Improvement - Private"/>
        <s v="Fuel Our Growth Phase 2 - Procurement Capability Assessment"/>
        <s v="Harvard Services - 2022 - OBS Oct Acquisition - Private"/>
        <s v="Saratoga Benchmarking winback - Takeda"/>
        <s v="Talent Strategy (WFoF) #workforce"/>
        <s v="Leave Management Review"/>
        <s v="eQMS Selection"/>
        <s v="Logistics Go to Market"/>
        <s v="Ground Operations Excellence"/>
        <s v="Sentiment Analysis / Customer Insight"/>
        <s v="Amerigas RightAngle reconciliation support"/>
        <s v="Enterprise Services - Zero-based Budgeting #ZBB"/>
        <s v="Tech innovation in patient services"/>
        <s v="Temple Health: Pharmacy Optimization *FFG*"/>
        <s v="Christus Health: Pharmacy Optimization *FFG*"/>
        <s v="ProEdge - Broader Roll out across Rocket - Expansion"/>
        <s v="Phase 2 - Career Lattice Program"/>
        <s v="Customer Link - Segmentation"/>
        <s v="BJC HealthCare: Pharmacy Optimization *FFG*"/>
        <s v="HonorHealth: Pharmacy Optimization *FFG*"/>
        <s v="STD Program Analysis"/>
        <s v="Multicare: Pharmacy Optimization *FFG*"/>
        <s v="SSM Health: Pharmacy Optimization *FFG*"/>
        <s v="Sentara: Pharmacy Optimization *FFG*"/>
        <s v="Scripps Health: Pharmacy Optimization *FFG*"/>
        <s v="Asante: Pharmacy Optimization *FFG*"/>
        <s v="Northwell Health: Pharmacy Optimization *FFG*"/>
        <s v="KeyBank Sustainable Finance ESG"/>
        <s v="VZ Catapult - Unicorns Partnerships &amp; Commercialization"/>
        <s v="Qurate - Digital Value Creation #DVC"/>
        <s v="RFP Development Support *Rev Cycle*"/>
        <s v="#QMS Kyowa Kirin - QRM Module Implementation"/>
        <s v="MetLife Stat Automation"/>
        <s v="Finance Transformation - Upskilling Pro-Edge"/>
        <s v="ESG Reporting Strategy"/>
        <s v="HP CS SSC MDM Governance CO#2"/>
        <s v="ADM - Asset Optimization and Retirement"/>
        <s v="EU Health Emergency Preparedness Plan Support"/>
        <s v="CDW - Finance Forward Phase 2"/>
        <s v="UBS Asset Management - Environmental, Social &amp; Governance (ESG)"/>
        <s v="Product Rationalization"/>
        <s v="Warsaw -  procurement contract review"/>
        <s v="#TMTMSO - Change Management aaS"/>
        <s v="Coupa - Post implementation support #S&amp;P#POD"/>
        <s v="#TMTMSO - Learning Management"/>
        <s v="#QMS eQMS Vendor Selection"/>
        <s v="Blockchain Strategy"/>
        <s v="Breakshit labs - Ongoing Support &amp; Delivery"/>
        <s v="Design and implementation of a partner cash balance plan"/>
        <s v="Comcast Chatbot: Xfinity Assistant"/>
        <s v="Vornado Supplier Diversity"/>
        <s v="Actuarial Forecast Model Support"/>
        <s v="Data Strategy &amp; Reporting"/>
        <s v="Danaher Life Sciences Expanding Services Business"/>
        <s v="Adobe UX Design Opportunity"/>
        <s v="StoneX - Payments Strategy"/>
        <s v="P66 - PRA Replacement Strategy"/>
        <s v="Workday Order form Data Flow Mapping Proposal"/>
        <s v="Roku HR optimization implementation"/>
        <s v="DEI Landscape Assessment"/>
        <s v="BSC ESG as a Differentiator"/>
        <s v="ProEdge in EWS"/>
        <s v="Key Procurement on Demand #S&amp;P#POD"/>
        <s v="GRM Portfolio Review"/>
        <s v="CUNA:  Oracle In-bound ERP/EPM Opportunity  #ORACLE_INS"/>
        <s v="CCB CRM Assessment #Comm50B+"/>
        <s v="2022/2023 Global Equity Consulting"/>
        <s v="Cash Balance Plan Redesign"/>
        <s v="PRT consultant to Cov client"/>
        <s v="Vertex: VX-2030: Cell &amp; Gene Therapy Market Access"/>
        <s v="CVS LDTI Strategy"/>
        <s v="Vertex: Supply Chain Resiliency"/>
        <s v="New Product Launch Planning and Support"/>
        <s v="State Tax Pension Reporting Requirements and"/>
        <s v="Hologic Treasury / Tax Structuring"/>
        <s v="BIAH - Equine Omnichannel Excellence (Phase 2)"/>
        <s v="Yale FY21 Organ &amp; Beds *Strategic reimbursement*"/>
        <s v="FP&amp;A Operating Model"/>
        <s v="BIAH - Equine Omnichannel Excellence (Phase 3)"/>
        <s v="ESPP Administrative Oversight Support"/>
        <s v="Headspace Revenue Cycle Assessment *rev cycle*"/>
        <s v="BIAH - Equine Omnichannel Excellence (Phase 4)"/>
        <s v="Pension Actuarial Valuation"/>
        <s v="Rapid Finance Diagnostic &amp; Roadmap"/>
        <s v="Salesforce Field Service Lightning Optimization"/>
        <s v="BILH // Virtual Care -Clin-Ops and Workflow"/>
        <s v="Future of Compliance #COVID-19"/>
        <s v="MSK: Pharmacy Optimization *FFG*"/>
        <s v="John Hancock Worksite Support"/>
        <s v="2022 401(k) Operational Compliance Assessment"/>
        <s v="Microsoft - Data Center Predictive Maintenance - $100k"/>
        <s v="Essentia Health *VBO*"/>
        <s v="ProMedica Health System - *SMART* Outpatient License"/>
        <s v="Vehicle M&amp;A Targeting"/>
        <s v="ERG Governance and Deployment"/>
        <s v="Panera data &amp; analytics strategy"/>
        <s v="DoorDash Policy and Regulatory Intelligence (PRI)"/>
        <s v="Gilead: Transformation - Finance/ D&amp;A: GTN Support *Pricing*"/>
        <s v="*SMART* License - Griffin Health"/>
        <s v="*SMART* License - Lee Memorial Health"/>
        <s v="RIG - ESG/Carbon Ledger"/>
        <s v="UCT Singapore SAP Support"/>
        <s v="Honda Smart Factory Proof of Concept"/>
        <s v="Taylor Morrison Treasury Services"/>
        <s v="Merck: Working Capital Reduction"/>
        <s v="Business Model Review"/>
        <s v="KP Product Management Strategy"/>
        <s v="Merck Life Sciences: Supply Chain Resiliency"/>
        <s v="Actuarial Support 2022"/>
        <s v="Merck MilliporeSigma: eCommerce Upgrade"/>
        <s v="T. Marzetti SAP TPM Reporting Test Support CO 3"/>
        <s v="Global COVID-19 Launch Workshop"/>
        <s v="Bridgewater Associates - Compensation and Benefits"/>
        <s v="CBRE - IA&amp;R - Time Tracking Advice"/>
        <s v="SFBLI - Data Warehouse Solution Design"/>
        <s v="Estudio de mercado y actualizar ACB, Aeropuerto Tamuin"/>
        <s v="Knowledge Transition Training"/>
        <s v="Payroll and HR Compliance - SCOPE REVISION"/>
        <s v="Jabil - FYE 2022 Retirement Plan Valuations"/>
        <s v="2022 Pulse Survey Support"/>
        <s v="Resource Demand Model - POC"/>
        <s v="2022 Pension Services"/>
        <s v="Fever FY2022 ASC 718 Support"/>
        <s v="Scripps_Health Online Payment Support"/>
        <s v="BCBSNC RBC Analysis"/>
        <s v="FY23-Estrategia ESG-BECLE"/>
        <s v="Partner Payment Process for Agency Model #TMTPricing"/>
        <s v="2022 Ballard Spahr Bonus Review"/>
        <s v="Sedgwick WT SBC Accounting and Val 2022"/>
        <s v="Project Strike - Global Benefits Diligence"/>
        <s v="Microsoft &quot;GSMO&quot; Social Entrepreneurship Phase 2 - US Market Research"/>
        <s v="FY22 and FY23 162(m) Consulting"/>
        <s v="Hilite Employee Retention Credit"/>
        <s v="Employee Engagement Survey"/>
        <s v="Microsoft Surface Marketing Compete: Consumer Expansion"/>
        <s v="Project Galaxy - Post-Close Talent ESG Scorecard Support"/>
        <s v="Payroll Process and Controls Assessment"/>
        <s v="FY22 - Lamosa - S4 Hanna Migration"/>
        <s v="Potential work after Progressive ESG Assurance"/>
        <s v="Conrad Indianapolis - IGP"/>
        <s v="FY23-ESG Strategy-BECLE"/>
        <s v="VSTG Golden Parachute Consulting (2022)"/>
        <s v="A15 New Business Plan"/>
        <s v="Centessa FY22 Compensation Tax Matters"/>
        <s v="IGP - Doubletree Los Angeles Westside"/>
        <s v="Evolus - ESG benchmarking"/>
        <s v="IGP - Conrad Washington DC"/>
        <s v="2021 Forms 5500 - Nexstar / Tribune"/>
        <s v="IGP - San Jose Hilton"/>
        <s v="Bridgewater Workday Integration Support 2022 (July extension)"/>
        <s v="Yahoo - HR Analytics"/>
        <s v="2022 PRP Multi-Rater Feedback Program"/>
        <s v="FedEx ARCS Reporting"/>
        <s v="Gates Stock Comp DTA support - IFRS"/>
        <s v="Bic - Commodity &amp; Inflation Analytics Capability #pricing"/>
        <s v="IGP - Conrad Fort Lauderdale"/>
        <s v="IGP - C Baldwin Hotel Houston"/>
        <s v="IGP - theWit Hotel"/>
        <s v="Documentación de Procesos para generación de Reportes Regulatorios"/>
        <s v="COLI financing SupeRoth Phase I"/>
        <s v="Wellington - WT - Providing subject-matter advice on a defined benefit plan"/>
        <s v="Lowe's Listening Strategy - Stay Program"/>
        <s v="SVB Procurement/TPRM/Cyber Transformation PMO"/>
        <s v="MSFT RE&amp;S Operations Risk and Control Assessment - Advisory"/>
        <s v="Shell Mobility Deal Support"/>
        <s v="Coupa - Optimization"/>
        <s v="Chico's Lucernex Assessment"/>
        <s v="Finance Transformation Planning"/>
        <s v="FP&amp;A Optimization (Anaplan)"/>
        <s v="Intel Construction Fraud Program Support"/>
        <s v="BX Insurance Outsource Assessment"/>
        <s v="Qualified Plan Compliance Assistance"/>
        <s v="Global Equity Consulting"/>
        <s v="American Safety Workforce Transformation Project"/>
        <s v="Design/Implementation of New DB Plans"/>
        <s v="Kinder - 280G 162m support - post diligence support"/>
        <s v="EFM - Fleet Process Improvement"/>
        <s v="Successor Employer Analysis"/>
        <s v="Evolving DEI in WFT"/>
        <s v="WT - 2023 Actuarial Valuation for Sheppard Mullin Cash Balance Plan"/>
        <s v="HP Inc. Employment Tax Refunds"/>
        <s v="Shell - IT - Safety Environment Carbon (SEC) Market Scan"/>
        <s v="FY23 Beneficiary Financial Counseling"/>
        <s v="KKDC US Controllership Finance Value Accelerator"/>
        <s v="Project Kinder - 162(m) and 280G Analysis"/>
        <s v="FFG Org Design Insights"/>
        <s v="2022 Compensation Consulting"/>
        <s v="2022 Employee Survey Support"/>
        <s v="Team Polling Customization"/>
        <s v="CVS Health #ProEdge"/>
        <s v="AG - ESG Assessment"/>
        <s v="MS IIS - Client Journey Map (2021) #WM"/>
        <s v="Trade Promotion Process Enhancements #RGM"/>
        <s v="Payroll Refund Review_$75K"/>
        <s v="Globe Life_Payroll Tax Process_$75K"/>
        <s v="Pepsico ESG Scope 3 Technology Deployment - Design - Sphera"/>
        <s v="Staff Engagement Survey Services 2022"/>
        <s v="Talent ESG Survey Support"/>
        <s v="LTI Modelling"/>
        <s v="PPP KYC Advisory"/>
        <s v="MIcrosoft CO+I Compliance Org Design - Team offsite"/>
        <s v="Professional Dashboard"/>
        <s v="Fusion 2.0 BIA"/>
        <s v="Marcolin Chargeback Process Assessment *Pricing*"/>
        <s v="Recurring cash balance actuarial"/>
        <s v="Fanatics Holdings, Inc. - Finance System Strategy"/>
        <s v="UTRGV Texas Child Mental Health Care Consortium Corrective Action Plan"/>
        <s v="Jazwares - SG&amp;A Overhead/Mgmt Services Allocation Study"/>
        <s v="Trade Spend FMV Benchmarking"/>
        <s v="Richemont NA Pay Equity"/>
        <s v="Assist in adoption EAS 47"/>
        <s v="PL - Defined Benefit Administration &amp; Call Center With Additional Actuarial Services"/>
        <s v="*SMART* IP &amp; OP Coding Consulting Renewal - FY22"/>
        <s v="FY23-360E-MobilityMkt-HONDA"/>
        <s v="University of Chicago Medicine - *SMART*Ingalls Memorial Hospital Addition"/>
        <s v="Shift4 162(m) Consulting (2022)"/>
        <s v="Takeda HR Benchmarking and Saratoga"/>
        <s v="KKR - Data Ops Support Q3 2022"/>
        <s v="KKR - Data Ops Support Q4 2022"/>
        <s v="VHOD API Development *Rev Cycle* *RC Tech*"/>
        <s v="IGP - Embassy Suites San Antonio Riverwalk"/>
        <s v="IGP - Hampton Inn South Plainfield and Hilton Garden Inn Wayne NJ"/>
        <s v="Quantum Golden Parachute Consulting"/>
        <s v="2022 Exec. Comp &amp; LTI Plan"/>
        <s v="#IOBP - Amgen PD Design Support"/>
        <s v="FCA US - Tier 2 Transparency #FFG"/>
        <s v="Progressive Insurance Medical Claim Implementation Assessment"/>
        <s v="Peloton Contract Remediation #S&amp;P"/>
        <s v="MSA Safety Incorporated - Phase 1 - Gross Margin add-on"/>
        <s v="NexTier - ESG Readiness 2022"/>
        <s v="IGP - Hyatt HOTEL 50 BOWERY NYC"/>
        <s v="*SMART* License - Mount Nittany"/>
        <s v="PL - Actuarial Valuation &amp; Benefit Administration"/>
        <s v="Esperion-Employment Tax Consulting-60K"/>
        <s v="Currency Billing Support - Phase 1"/>
        <s v="Avanos Compensation Tax Matters FY2022"/>
        <s v="ERG Playbook"/>
        <s v="Project Impact PMO Extension #3"/>
        <s v="Project Galaxy Post-Close Talent ESG (v2)"/>
        <s v="RADV Validation and RADV Risk Mitigation"/>
        <s v="Cash balance plan design/implementation"/>
        <s v="CD&amp;R Internal Communications Planning Support"/>
        <s v="HR Reporting and Dashboards"/>
        <s v="McDonald's Supplier -DEI Assessment"/>
        <s v="Revenue Integrity Strategy *Rev Cycle*"/>
        <s v="Andreessen Horowitz - Retirement Plan Design/Implementation (Workforce Transformation)"/>
        <s v="2021 Forms 5500"/>
        <s v="BSC BPO Service Study"/>
        <s v="#mxwebsourced - Mercado Libre - FY22 - Estrategia de Regreso a Oficinas"/>
        <s v="MDHHS Job Fit Assessment 2022"/>
        <s v="Ogden CAP Properties 2022 Health and Welfare Benefits Consulting"/>
        <s v="Payroll &amp; Employment Tax Compliance Review"/>
        <s v="#mxwebsourced - Dentsu Mexico - FY22 - Consultoría sobre ley de publicidad"/>
        <s v="Rockwell #ProEdge - Automation support"/>
        <s v="ProEdge - Finance transformation support"/>
        <s v="PL - Define Benefit Pension Administration &amp; Call Center &amp; Other Actuarial Services"/>
        <s v="Saratoga Benchmarking - Winback - Zebra Technologies"/>
        <s v="PY2021 Medical Claim Assessment"/>
        <s v="Fluor 2022 Stock-based Compensation Consulting"/>
        <s v="IGP - Waldorf Astoria Buckhead"/>
        <s v="2021 Form 5500 filings - Lazard/Wilmington"/>
        <s v="Process Intelligence - Lala"/>
        <s v="Asesoría en Bonos Verdes"/>
        <s v="Customer Centricity"/>
        <s v="Healthfirst Project Ventura - Spans and Layers  - Dec 2021"/>
        <s v="Compensation Tax Consulting"/>
        <s v="Roche - external workforce value case advisory support"/>
        <s v="*SMART* License - Bronson Healthcare Group Inc."/>
        <s v="Zilliant Pricing"/>
        <s v="JLL Marketplace Business Model - Executive Presentation &amp; Business Case #ESG #S&amp;P#POD"/>
        <s v="Cambia Health Solutions #ProEdge"/>
        <s v="Secondment Program"/>
        <s v="Elective Allocation Plan"/>
        <s v="Lucid ESG Human Rights Policy"/>
        <s v="FY22 Compensation Cons _ Recurring Servs"/>
        <s v="Salaried Compensation Support - LATAM"/>
        <s v="ProEdge for AT&amp;T"/>
        <s v="HIG GB - Art of the possible in the #metaverse"/>
        <s v="Allstate Corporation #ProEdge2.0"/>
        <s v="Providence Health &amp; Services #ProEdge"/>
        <s v="Coupa Extended Hypercare"/>
        <s v="Coupa Healthcheck"/>
        <s v="Terrain Insight - WMAP Benefits Realisation"/>
        <s v="Contingent labor strategy"/>
        <s v="ProEdge @ Schwab #ProEdgexWorkforce"/>
        <s v="Chip Shortage Strategy"/>
        <s v="Ad Hoc Accounting Advisory"/>
        <s v="BankUnited Credit Card Insourcing"/>
        <s v="*SMART* License - Singing River Health System"/>
        <s v="ProEdge for Ross Stores"/>
        <s v="Intermountain Healthcare #ProEdge"/>
        <s v="Ascensus Supplier Diversity Phase I Program Design #ESG #S&amp;P"/>
        <s v="CVS HCB IBNR Reserve PAD Analysis"/>
        <s v="Delta #ProEdge Opportunity - FP&amp;A"/>
        <s v="AMZN Finance: Tririga Stabilization"/>
        <s v="DEUTSCHE BANK AKTIENGESELLSCHAFT - #ProEdge"/>
        <s v="Phil Pharmacy Strategic Planning"/>
        <s v="FIS + PwC Hyundai Asset Finance Opportunity"/>
        <s v="BCBS Arkansas #ProEdge #ProEdgexAutomation"/>
        <s v="SCJ - Deals - M&amp;A Playbooks and Accelerators Design"/>
        <s v="Saratoga Benchmarking - KKR &amp; Various Portcos"/>
        <s v="Stock Comp Support"/>
        <s v="UBS - CRM #WMA"/>
        <s v="Hinshaw &amp; Culbertson - H&amp;W Benefits Assessment"/>
        <s v="Manulife #ProEdge2.0 - HR Business Partners"/>
        <s v="Source to Pay Analysis &amp; Strategy #ProcessIntelligence"/>
        <s v="BNYM Master Data Cleansing Support"/>
        <s v="Hawaii Medical Service Assn #ProEdge2.0"/>
        <s v="Real Estate Funds RFI 2022"/>
        <s v="*SMART* License - Nebraska Methodist Health System"/>
        <s v="Brightspeed Anaplan Implementation"/>
        <s v="Centric Brands #ProEdge Opportunity"/>
        <s v="KKR - ProEdge Opportunity #ProEdge"/>
        <s v="Employment Tax Consulting Services"/>
        <s v="PPL Kentucky Account Reconciliations and Close Management"/>
        <s v="Tapestry Saratoga Benchmarking"/>
        <s v="*SMART* License - The University of Kansas Health System"/>
        <s v="Amstead Employee Financial Wellness Program"/>
        <s v="CSL Behring #ProEdge Qtrly True Up #2"/>
        <s v="CSL Behring #ProEdge Qtrly True Up #1"/>
        <s v="Project Saints 280G"/>
        <s v="*SMART* License - FirstHealth of the Carolinas"/>
        <s v="FDX CAST - Change Management  #Getyourducksinarow_FDX?"/>
        <s v="FDX CAST Process Optimization #Getyourducksinarow_FDX?"/>
        <s v="FDX Succession Planning #Getyourducksinarow_FDX?"/>
        <s v="VizSense 2021 Employee Retention Tax Credit"/>
        <s v="MUHealth Workforce Automation, Intelligent document ingestion"/>
        <s v="Project Aardvark Purchase Accounting"/>
        <s v="Non Qualified Pension Merger Feasibility Study"/>
        <s v="USC FY22 Xover MBD Analysis *Strategic Reimbursement*"/>
        <s v="PI Growth Model"/>
        <s v="ProEdge -- MassMutual: HR"/>
        <s v="Protective Risk Taxonomy Refresh"/>
        <s v="ProEdge - Hyatt Hotels"/>
        <s v="R&amp;D Delivery Model"/>
        <s v="AFA Pension Consulting Services"/>
        <s v="Kemet 404A Review - 2020 - 2021"/>
        <s v="Shaw Industries Anaplan Implementation"/>
        <s v="Sales Lifecycle Process &amp; Tech Transformation Phase 0"/>
        <s v="RLI_Emp Tax Consulting_$50K"/>
        <s v="*SMART* License - Cheyenne Regional Medical Center"/>
        <s v="Equity Consulting"/>
        <s v="CNG Rate Case - Pension Work"/>
        <s v="Project Darwin (Global trade opportunity)"/>
        <s v="Global Shared Services Phase I (Design)"/>
        <s v="AP Construction 2022 Engagement Survey"/>
        <s v="AWS Reporting Dashboard"/>
        <s v="ProEdge Opportunity #ProEdge"/>
        <s v="Saratoga Benchmarking License - CEO.works"/>
        <s v="Vertex Pharma #ProEdge DEI"/>
        <s v="HPE - Guided Selling (Sales Utopia UK)"/>
        <s v="Phase 0 CFIN Business Support Phase 0"/>
        <s v="Spire - Cyber Tabletop for Board Meeting"/>
        <s v="Raymond James ProEdge Extension #ProEdge - Expansion"/>
        <s v="Trinet #ProEdge"/>
        <s v="Hines Technology Strategy"/>
        <s v="Broadridge - ProEdge"/>
        <s v="Navistar ESG Opportunity"/>
        <s v="AG - ProEdge"/>
        <s v="LHC Group #ProEdge"/>
        <s v="Project Pearl - ITDD"/>
        <s v="Kimball Employee Financial Wellness"/>
        <s v="Return to Work"/>
        <s v="Intel - ProEdge Learning Pilot"/>
        <s v="THD Merchandising Enhancements"/>
        <s v="Total Rewards Labor Prep Support"/>
        <s v="Transportation Reporting Extension"/>
        <s v="Kobe H&amp;W Opportunity Assessment"/>
        <s v="Google: YouTube Health Strategy"/>
        <s v="Queens Library - 2021 Compensation Consulting"/>
        <s v="CX Strategy"/>
        <s v="Triple S ProEdge #ProEdge"/>
        <s v="SCJ - Customer Advantage"/>
        <s v="#WFOD Platform Sign up"/>
        <s v="Bank Consolidation"/>
        <s v="FY22_Neovasc US - Employee Retention Tax Credit Consulting"/>
        <s v="Mayo Clinic - #ProEdge Licenses (post trial) #ProEdgexOracle"/>
        <s v="BJC Healthcare #ProEdge 2.0"/>
        <s v="Bill &amp; Melinda Gates Foundation #ProEdge"/>
        <s v="Incentive Compensation Management Platform"/>
        <s v="Memorial Hermann Health System #ProEdge2.0"/>
        <s v="Early Retirement Window - Pension Calculations 2021 Update"/>
        <s v="PNM Merger P&amp;O Consulting"/>
        <s v="IT Org Advisory"/>
        <s v="HR Transformation opportunities"/>
        <s v="Customer Transformation opportunities"/>
        <s v="Valero Energy Corporation - #ProEdge"/>
        <s v="Genentech Inc. #ProEdge"/>
        <s v="ProEdge - Broader Enterprise Expansion"/>
        <s v="NMSDC Regional Council Award Automation Assessment"/>
        <s v="ProEdge - ConocoPhillips"/>
        <s v="Amazon HR - #ProEdgexWorkforce"/>
        <s v="P32H ESG"/>
        <s v="Workday POV"/>
        <s v="National Oilwell Varco, Inc. - #ProEdge"/>
        <s v="Expanded Swap Reporting review"/>
        <s v="Selective_WT Consulting_50K"/>
        <s v="Molina Healthcare #ProEdge"/>
        <s v="FDX ShopRunner data monetization #Getyourducksinarow_FDX?"/>
        <s v="Project Ocean Global Equity Consulting"/>
        <s v="#PayerAnalytics-MSFT Alliance-Care Mgmt for Centene #HVM #Alliance:MSFT"/>
        <s v="Patient Experience"/>
        <s v="2022 Employee Survey"/>
        <s v="Otsuka America #ProEdge Finance Digital Upskilling"/>
        <s v="DTCC - ProEdge"/>
        <s v="Eli Lilly ProEdge Share for Central IT"/>
        <s v="AMZN Finance:  Close Process Support"/>
        <s v="AMZN Finance:  FX Conversion"/>
        <s v="Snyk _ WT _ Compensation Consulting incl tax FMV FY22"/>
        <s v="Reddit Global Equity Consulting"/>
        <s v="Distribution Materials Demand Planning PM Support"/>
        <s v="Analytics and HR reporting assistance"/>
        <s v="RJF - Cash Strategy"/>
        <s v="BCBS Nebraska #ProEdge"/>
        <s v="Commonwealth Care Alliance - Medicare Workshop - Project Beanpot"/>
        <s v="Liftoff Mobile_Employment Tax Consulting_$50K"/>
        <s v="#QMS - Project Yellow (QMS Assessment)"/>
        <s v="Medical Pricing Tool"/>
        <s v="Change Support BAO &amp; MAC Rapid Assessment"/>
        <s v="Curology - HR cultural enablement assessment"/>
        <s v="EPM Anaplan SI Support"/>
        <s v="Gilead: Transformation- ESG: Charitable Contribution Benchmarking #ESG"/>
        <s v="Capital Blue Cross #ProEdge #ProEdgexAutomation"/>
        <s v="2022 Ballard Spahr Pay Equity Analysis"/>
        <s v="Benchmarking Support"/>
        <s v="Qurate - Supply Chain Transformation"/>
        <s v="#ProEdge Pilot"/>
        <s v="P32H #ProEdge ProEdgexAutomation"/>
        <s v="Arxada Hybrid Policy Review"/>
        <s v="Worldwide Clinical Trials #ProEdge Trial"/>
        <s v="Project PE Pack (IT &amp; Cyber) - US"/>
        <s v="CareFirst Regulatory/tax alignment"/>
        <s v="Verizon - S2P Op Model Transformation"/>
        <s v="Peninsula - LIT Group B - 280G Analysis"/>
        <s v="Bayer Corporation - #ProEdge"/>
        <s v="Time and Attendance Evaluation and Consolidation"/>
        <s v="PSEG ProEdge"/>
        <s v="Jazwares - Supply Chain &amp; Logistics Consulting"/>
        <s v="Spire ProEdge"/>
        <s v="Morgan Stanley / Mortgage Application Celonis Use Case / $50,000 #FSProcessIntelligence"/>
        <s v="SCJ - IT Ops Strategy and Design"/>
        <s v="2021 Nubank Global Equity Consulting"/>
        <s v="WT - Recurring compensation tax consulting"/>
        <s v="Abbvie #ProEdge2.0"/>
        <s v="Bristol Myers Squibb #ProEdge Finance - Expansion"/>
        <s v="FY22 Advanced Energy Global Equity Consulting"/>
        <s v="Supply Chain Assessment"/>
        <s v="Retirement Plan Consulting"/>
        <s v="HRTS DD"/>
        <s v="IR/GD Post deal HR Operating Model"/>
        <s v="Staff DB plan projections refresh"/>
        <s v="Time and Attendance &amp; FLSA Healthcheck"/>
        <s v="BCBS AZ #ProEdge"/>
        <s v="Premera Blue Cross #ProEdge"/>
        <s v="Workday Next Level HR"/>
        <s v="Defined Benefit Plan Redesign"/>
        <s v="Citrix NewCo Integration ESG"/>
        <s v="ProEdge: Digital Upskilling in Automation-Phased - Expansion"/>
        <s v="Aegis Therapies 2022 Engagement Survey"/>
        <s v="*SMART* License - NorthShore University HealthSystem"/>
        <s v="AMZN Finance: Close Optimization"/>
        <s v="AMZN Finance: Finance University"/>
        <s v="LSC_EIN Retention_$50K"/>
        <s v="Astronics employee retention credit"/>
        <s v="Anthem #ProEdge Blues Campaign"/>
        <s v="Ascension Health - *SMART* Abstract Migration Fees - Michigan Ministries"/>
        <s v="ED Coding Education &amp; Training (extension of Telehealth Work) *Rev Cycle*"/>
        <s v="BCBS of Minnesota #ProEdge"/>
        <s v="Montefiore Health System - *SMART* HL7 and AD Conversion Fees"/>
        <s v="Private Equity &amp; Tactical Opportunities Fund Administration RFI Refresh"/>
        <s v="TD: Disputes and Chargebacks"/>
        <s v="GA Digital Upskilling ProEdge"/>
        <s v="GA - Annuity"/>
        <s v="GA - Distribution Model of the Future"/>
        <s v="SSC Reestructura"/>
        <s v="Revenue Assurance"/>
        <s v="2021-2023 Forms 5500 (NY-P, NY-P Hudson &amp; NY-P Queens)"/>
        <s v="Workit Health Patient Analytics support"/>
        <s v="Technology roadmap and value proposition #PayerCO&amp;ITrans"/>
        <s v="MSFT HR FY22 BEX OD PMO Support"/>
        <s v="IGP - Zemi Beach House Anguilla"/>
        <s v="ProEdge  - L&amp;D"/>
        <s v="Saratoga Benchmarking Renewal - Standard Insurance Company"/>
        <s v="Dual Downlink Current State Assessment"/>
        <s v="IGP - Hilton Stockton"/>
        <s v="PL - Benefit Administration &amp; Call Center Actuarial Services"/>
        <s v="Peter Condakes - WT - 2022 Pension Valuation"/>
        <s v="Tampa General Hospital *VBO*"/>
        <s v="Saratoga Benchmarking - Novo Nordisk"/>
        <s v="Saratoga Benchmarking - UC Davis"/>
        <s v="PMO Support - Finance Revenue Recognition - Extension June 2022"/>
        <s v="Project Bronco - HR Diligence"/>
        <s v="162m Analysis Memo"/>
        <s v="2022 Safety Survey"/>
        <s v="FY2022 Theravance Compensation Tax Matters"/>
        <s v="Saratoga Benchmarking (License) - UnniCo"/>
        <s v="Markel - Job Leveling Framework"/>
        <s v="PL - Pension/Actuarial/Plan Administration Services"/>
        <s v="Pre-Sales Support Benchmarking #TMTPricing"/>
        <s v="Wintrust SBA PPP LF Notice"/>
        <s v="2022 Robinson &amp; Diss Compensation Consulting"/>
        <s v="Mirum CGT Scheduling tool"/>
        <s v="AJCongress - 2022 pension actuarial services"/>
        <s v="2022 Feasibility Study - PDAP Nonqualified Elective Deferrals"/>
        <s v="May 2022 Secondary"/>
        <s v="Waymo Phase 1 Supplier Diversity Mission / Vision &amp; Exec Preso #ESG"/>
        <s v="Total Rewards Training"/>
        <s v="Employee Retention Credit"/>
        <s v="CVS - Red Oak Compensation Benchmarking Study"/>
        <s v="Ireland Gender Pay Gap Reporting Estimate"/>
        <s v="Saratoga Benchmarking winback multiyear (1 of 3) - Moffitt Cancer Center"/>
        <s v="Saratoga Benchmarking renewal multiyear (1 of 3)- Cook Children's Health"/>
        <s v="Saratoga Benchmarking renewal multiyear (1 of 3) - Temple University Health"/>
        <s v="Saratoga Benchmarking renewal - Akron Children's Hospital"/>
        <s v="Dole Total Produce Lease Validation Scope"/>
        <s v="Manulife Market Fee Analysis - General Account Assets"/>
        <s v="PCMCS model review"/>
        <s v="PL - Actuarial Valuation &amp; Call Center With Benefits Calculations"/>
        <s v="Saratoga Benchmarking license - AMN Healthcare"/>
        <s v="Saratoga Benchmarking License - West Monroe"/>
        <s v="DC Bar - 2023 Compensation Consulting"/>
        <s v="FRB Cleveland Engagement Survey 2022"/>
        <s v="2022 Post Implementation Claim Assessment"/>
        <s v="FRB Cleveland 2022 Engagement Survey"/>
        <s v="IGP - Hampton Inn &amp; Suites Boone NC"/>
        <s v="IGP - Candlewood Suites Bordentown"/>
        <s v="Charlotte Pipe  &amp; Foundry 2022 OPEB Valuation"/>
        <s v="PL - System Maintenance"/>
        <s v="Astellas Pharma ProEdge"/>
        <s v="EG_2022 Employee Movements_30K"/>
        <s v="Saratoga Benchmarking (license) - Agile Dynamics"/>
        <s v="Periodic Outpatient Coding Assessments"/>
        <s v="Saratoga Benchmarking (license) - OEM America"/>
        <s v="FY2022 CVET Compensation Tax Support - FYE2021 Tax Return"/>
        <s v="Payroll Review"/>
        <s v="DCC US 401(k) 2021 Plan Year Nondiscrimination Testing"/>
        <s v="HPE - Culture M&amp;A Playbook - $30K"/>
        <s v="ESG Sustainability"/>
        <s v="QSBS Consulting"/>
        <s v="Project Lightning - Worker Classification Considerations"/>
        <s v="Benefit Plan Compliance"/>
        <s v="Albany - DOL 95-1"/>
        <s v="TTX - DOL 95-1"/>
        <s v="Windstream - DOL 95-1"/>
        <s v="General Payroll Consulting"/>
        <s v="Project Parachutes"/>
        <s v="HRAA 2021 Stock-based Compensation Assistance"/>
        <s v="Saratoga Benchmarking renewal - Cargill"/>
        <s v="QSBS Review"/>
        <s v="Saratoga Benchmarking winback - Northwell Health"/>
        <s v="FY22 Comp Consulting"/>
        <s v="Potential work after Progressive - ESG Assurance Readiness"/>
        <s v="162(m) Review (FYE 3/31/23)"/>
        <s v="IGP - Hampton Inn and Suites - Olympia"/>
        <s v="Saratoga Benchmarking renewal multiyear (1 of 3) - Eskenazi Health"/>
        <s v="Saratoga Benchmarking renewal - Virginia DHRM"/>
        <s v="Saratoga Benchmarking winback - Broward Health"/>
        <s v="Saratoga Benchmarking - Winback - Cox Enterprises"/>
        <s v="Saratoga Benchmarking - Honorhealth"/>
        <s v="IGP - Hampton Inn Bordentown"/>
        <s v="PL - Benefit Calculations, Call Center &amp; Admin. Platform"/>
        <s v="APS - CR - Field Length &amp; Sabrix"/>
        <s v="Proyecto de Consultoría en Customer Experience KPI´s (NiHUB)"/>
        <s v="401(k) Nondiscrimination Testing"/>
        <s v="Global Shared Services Salary &amp; Compensation Benchmarking"/>
        <s v="Hyperion-Employment Tax Refund Review-$25K"/>
        <s v="Centerpoint Energy Inc. - #ProEdge"/>
        <s v="GTCR Learning System Support"/>
        <s v="IBC #ProEdge digital upskilling in Actuary #ProEdgexActuary"/>
        <s v="Festo DEI Leadership Education"/>
        <s v="Qualified Plan Feasibility Study"/>
        <s v="*SMART* Outpatient - Stony Brook University"/>
        <s v="DEI Consulting Retainer"/>
        <s v="FIS MBP System Implementation"/>
        <s v="Pension consulting Phase 1 - options and considerations"/>
        <s v="Finance Integration/Transformation"/>
        <s v="GMI ESG Strategy"/>
        <s v="Oncor_Employment Tax Refund Review_$25K"/>
        <s v="GD-OTS Digital and Finance Transformation Phase 0"/>
        <s v="FY21 Beacon Cost Report *Strategic Reimbursement*"/>
        <s v="Venture Global ProEdge #ProEdge"/>
        <s v="Methodist Health System *VBO*"/>
        <s v="WakeMed *VBO*"/>
        <s v="Yondr Americas - Diverse Supplier Assessment"/>
        <s v="Talent Workstream Big Bets"/>
        <s v="Harvard Services - 2022 - Acquisition Playbook - Private"/>
        <s v="Inpatient SMART Coding Reviews"/>
        <s v="*SMART* OP License - MSMC"/>
        <s v="ProEdge Opportunity - Avangrid"/>
        <s v="UBS - #ProEdge Channel of Risk #ProEdgexRisk"/>
        <s v="Covetrus General Compensation Consulting for 2022"/>
        <s v="ESG Whitepaper Interaction"/>
        <s v="Starbucks - Net Zero Transformation"/>
        <s v="Starbucks - Digital ESG Reporting Solutions"/>
        <s v="BCBS Kansas #ProEdge - Employer Reporting #ProEdgexAutomation"/>
        <s v="Instant Brands-Payroll Ops Business Case-$25K"/>
        <s v="S&amp;OP and S&amp;OE"/>
        <s v="ESG Placeholder"/>
        <s v="AA - ESG Placeholder"/>
        <s v="Listen Platform Stakeholder Impact Assessment"/>
        <s v="SCL - Oracle Optimization SCL - Opportunistic"/>
        <s v="*SMART* OP - Boston Medical Center"/>
        <s v="Stellar Health Tender Offer Tax Calculations"/>
        <s v="2021 - 2023 Forms 5500"/>
        <s v="PL - Annual Actuarial Valuation &amp; Benefit Administration"/>
        <s v="Saratoga Benchmarking - Church and Dwight"/>
        <s v="Saratoga Benchmarking renewal - Align Technology"/>
        <s v="Saratoga Benchmarking - Buckman"/>
        <s v="Saratoga Benchmarking - Viatris"/>
        <s v="FY22 WT consulting, EMEA tax rates research"/>
        <s v="2022 ASC 718 Market-Based Award Val"/>
        <s v="HP Inc Ethical Supply Chain and Worker Empowerment Project"/>
        <s v="Saratoga Benchmarking renewal - American International Group (AIG)"/>
        <s v="Saratoga Benchmarking - Citi"/>
        <s v="ESPP Consulting"/>
        <s v="Frozen Plan Termination Support"/>
        <s v="Alight_Gift Card Analysis_$20K"/>
        <s v="Saratoga Benchmarking - FIS Global"/>
        <s v="WT - 2022 Quarterly Benefit Statements for CBP"/>
        <s v="ADM - Saratoga Benchmarking (Global)"/>
        <s v="Saratoga Benchmarking - Kyndryl"/>
        <s v="Payroll Reporting &amp; IRS Assistance"/>
        <s v="Saratoga Benchmarking - Heraeus"/>
        <s v="Saratoga"/>
        <s v="FRB Minneapolis Self Service Listen"/>
        <s v="Global Equity Consulting - Recharge Support"/>
        <s v="Saratoga Benchmarking (FY22) - Stemcell Technologies"/>
        <s v="Saratoga Benchmarking winback - Avaya"/>
        <s v="AEW Capital Management 2021 Form 5500 Filings"/>
        <s v="Saratoga Benchmarking - Wescott Financial Advisory Group LLC"/>
        <s v="Saratoga Benchmarking - Warner Music Group"/>
        <s v="Saratoga Benchmarking - AmerisourceBergen"/>
        <s v="Saratoga Benchmarking - SABIC"/>
        <s v="Saratoga Benchmarking - DuPont"/>
        <s v="Saratoga Benchmarking - Wellpath"/>
        <s v="Saratoga Benchmarking - Petco"/>
        <s v="Saratoga Benchmarking - Springfield Clinic"/>
        <s v="Saratoga Benchmarking - Estee Lauder"/>
        <s v="Saratoga Benchmarking - Havi Group"/>
        <s v="Saratoga Benchmarking - Altium"/>
        <s v="Saratoga Benchmarking - Appnovation"/>
        <s v="Saratoga Benchmarking - Hrsoft"/>
        <s v="Saratoga Benchmarking - Davis-Standard"/>
        <s v="Saratoga Benchmarking - Ochsner Health"/>
        <s v="Saratoga Benchmarking - BMO Harris Bank"/>
        <s v="Saratoga Benchmarking - Kongsberg Automotive"/>
        <s v="Saratoga Benchmarking - Netflix"/>
        <s v="Saratoga Benchmarking - Vertex Pharmaceuticals"/>
        <s v="Saratoga Benchmarking - Union Bank &amp; Trust"/>
        <s v="Saratoga Benchmarking - iManage"/>
        <s v="Saratoga Benchmarking - Regeneron Pharmaceuticals"/>
        <s v="Saratoga Benchmarking - 2U, Inc."/>
        <s v="Saratoga Benchmarking - Ansys Inc."/>
        <s v="Saratoga Benchmarking - Banner Health"/>
        <s v="Saratoga Benchmarking - Pro Mach"/>
        <s v="Saratoga Benchmarking - Trimble"/>
        <s v="Saratoga Benchmarking - Factspan"/>
        <s v="Saratoga Benchmarking - Coca-Cola"/>
        <s v="Saratoga Benchmarking - Washington University St. Louis"/>
        <s v="2021 DFE Forms 5500"/>
        <s v="Análisis Mercado Eléctrico"/>
        <s v="Process Intelligence P2P"/>
        <s v="Leave Administration Market Scan"/>
        <s v="Saratoga Benchmarking - Mentor Network"/>
        <s v="Saratoga Benchmarking - Wintrust"/>
        <s v="Saratoga Benchmarking - Sharp Packaging Service"/>
        <s v="Saratoga Benchmarking - US Xpress"/>
        <s v="Saratoga Benchmarking - The Western Union Company"/>
        <s v="Saratoga Benchmarking - Workday"/>
        <s v="Saratoga Benchmarking - Wayne Health"/>
        <s v="Saratoga Benchmarking - Ribbon Communications"/>
        <s v="Saratoga Benchmarking winback - MyMichigan Health"/>
        <s v="Saratoga Benchmarking - Alkermes"/>
        <s v="Saratoga Benchmarking - Prudential Financial"/>
        <s v="Saratoga Benchmarking - SEKISUI Diagnostics"/>
        <s v="Saratoga Benchmarking - Valley National"/>
        <s v="Saratoga benchmarking - Poly"/>
        <s v="Saratoga Benchmarking - Nebraska Medicine"/>
        <s v="Saratoga Benchmarking winback - Grady Memorial Health"/>
        <s v="Saratoga Benchmarking - BorgWarner"/>
        <s v="SARATOGA Benchmarking - Agilent Technologies"/>
        <s v="Saratoga Benchmarking - PNC"/>
        <s v="Saratoga Benchmarking - Beth Israel Lahey Health Inc."/>
        <s v="Saratoga Benchmarking - Draftkings"/>
        <s v="Saratoga benchmarking - Microsoft"/>
        <s v="Saratoga Benchmarking - Signature Bank"/>
        <s v="Saratoga Benchmarking - Lineage Logistics"/>
        <s v="Saratoga Benchmarking - Perrigo Company"/>
        <s v="Saratoga Benchmarking - State Street"/>
        <s v="Saratoga Benchmarking - Catholic Health Initiatives"/>
        <s v="Saratoga Benchmarking - American Tower"/>
        <s v="Saratoga Benchmarking - Barry Callebaut"/>
        <s v="Saratoga Benchmarking - Kinder Morgan"/>
        <s v="Saratoga Benchmarking - Gibraltar Industries"/>
        <s v="Saratoga Benchmarking - One Gas Inc."/>
        <s v="Saratoga Benchmarking Renewal - Tenet Healthcare"/>
        <s v="Saratoga Benchmarking - Somatus"/>
        <s v="Saratoga Benchmarking - Discover"/>
        <s v="Saratoga Benchmarking - Sallie Mae (net new)"/>
        <s v="Saratoga Benchmarking - DCP Midstream"/>
        <s v="Saratoga Benchmarking - QinetiQ Inc."/>
        <s v="Saratoga Benchmarking - Cerence"/>
        <s v="Saratoga Benchmarking - Boston Medical Center"/>
        <s v="Saratoga Benchmarking - Alvarez and Marsal"/>
        <s v="Saratoga Benchmarking - Centracare"/>
        <s v="Saratoga Benchmarking - Atlas Air Worldwide"/>
        <s v="Saratoga Benchmarking - Westerra Credit Union"/>
        <s v="Saratoga Benchmarking - Arkansas Children Hospital"/>
        <s v="Saratoga Benchmarking - TRS of Texas"/>
        <s v="Saratoga Benchmarking renewal - Jason Pharmaceuticals (Medifast)"/>
        <s v="Saratoga Benchmarking - Verisk"/>
        <s v="Saratoga Benchmarking  - eHealth"/>
        <s v="Saratoga Benchmarking renewal - Cuna Mutual Group"/>
        <s v="Saratoga Benchmarking - Univar Solutions"/>
        <s v="Saratoga Benchmarking - Carbon Health"/>
        <s v="Saratoga Benchmarking - Amdocs"/>
        <s v="Saratoga Benchmarking - Medavie"/>
        <s v="Saratoga Benchmarking renewal - Providence Health"/>
        <s v="Saratoga Benchmarking - SupportNinja"/>
        <s v="Saratoga Benchmarking - Peloton Interactive"/>
        <s v="Saratoga Benchmarking winback - AmeriHealth Caritas"/>
        <s v="Saratoga Benchmarking - Manulife (net new)"/>
        <s v="Saratoga Benchmarking - World Food Program USA"/>
        <s v="Saratoga Benchmarking - Inter Parfums Inc."/>
        <s v="Saratoga Benchmarking - Avnet"/>
        <s v="Saratoga Benchmarking - Cohesity"/>
        <s v="Saratoga Benchmarking - Akamai"/>
        <s v="Saratoga Benchmarking - Chime"/>
        <s v="Saratoga Benchmarking - Mohawk Valley Health System"/>
        <s v="Saratoga Benchmarking - NSF International"/>
        <s v="Saratoga Benchmarking winback - Johnson Controls"/>
        <s v="Saratoga Benchmarking - LHC Group Inc."/>
        <s v="Saratoga Benchmarking - GlaxoSmithKline (GSK)"/>
        <s v="Saratoga Benchmarking - TE Connectivity"/>
        <s v="Saratoga Benchmarking - Health Management Academy"/>
        <s v="Saratoga Benchmarking - Adaptive Biotechnologies"/>
        <s v="Saratoga Benchmarking - Farmers Group"/>
        <s v="Saratoga Benchmarking - Arete Advisors"/>
        <s v="Saratoga Benchmarking - Merck"/>
        <s v="Saratoga Benchmarking - Home Point Financial"/>
        <s v="Saratoga Benchmarking - Duquesne Light"/>
        <s v="Saratoga Benchmarking - Prime Therapeutics"/>
        <s v="Saratoga Benchmarking - Citizens Bank"/>
        <s v="Saratoga Benchmarking (Winback) - Target"/>
        <s v="Saratoga Benchmarking - Alcon Laboratories"/>
        <s v="Saratoga Benchmarking - Celestica"/>
        <s v="Saratoga Benchmarking - FGI"/>
        <s v="Saratoga Benchmarking - Vertiv"/>
        <s v="Saratoga Benchmarking - M&amp;T Bank (Net New)"/>
        <s v="Saratoga Benchmarking - Crane Co."/>
        <s v="Saratoga Benchmarking - Shift4"/>
        <s v="Saratoga Benchmarking - Center for Creative Leadership"/>
        <s v="Saratoga Benchmarking - UBS Group AG"/>
        <s v="Saratoga Benchmarking - Fred Hutchinson Cancer Research Center"/>
        <s v="Saratoga Benchmarking - Blue Apron"/>
        <s v="Saratoga Benchmarking - Securian"/>
        <s v="Saratoga Benchmarking - Beachbody"/>
        <s v="SARATOGA Benchmarking - Bio-RAD"/>
        <s v="Saratoga Benchmarking - Danaher"/>
        <s v="Saratoga Benchmarking - FRB Minneapolis"/>
        <s v="Saratoga Benchmarking - South Jersey (SJ) Industries"/>
        <s v="Saratoga Benchmarking - Edward Jones (Net New)"/>
        <s v="Saratoga Benchmarking - Bryan Health"/>
        <s v="Saratoga Benchmarking - Ilitch Holdings"/>
        <s v="Saratoga Benchmarking - Premier, Inc."/>
        <s v="Saratoga Benchmarking - Coalfire Systems"/>
        <s v="Saratoga Benchmarking winback - Baylor Scott &amp; White Health"/>
        <s v="Saratoga Benchmarking renewal - Alzheimer's Association"/>
        <s v="Saratoga Benchmarking (License) - LBell HR Consulting"/>
        <s v="Saratoga Benchmarking - Lake Trust Credit Union"/>
        <s v="Saratoga Benchmarking - Figure"/>
        <s v="Saratoga Benchmarking - Captario"/>
        <s v="Saratoga Benchmarking - Duke University Health"/>
        <s v="Saratoga Benchmarking - City + Ventures"/>
        <s v="Saratoga Benchmarking - PCG"/>
        <s v="Saratoga Benchmarking - Databricks"/>
        <s v="Saratoga Benchmarking - HTT World Stamping Inc."/>
        <s v="Saratoga Benchmarking - Outset Medical"/>
        <s v="Saratoga Benchmarking - Quest Diagnostics"/>
        <s v="Saratoga Benchmarking - Evoke"/>
        <s v="Saratoga Benchmarking - Ralph Lauren"/>
        <s v="Saratoga Benchmarking - Caleres (Winback)"/>
        <s v="Saratoga Benchmarking - US Venture"/>
        <s v="Saratoga Benchmarking - Hamilton Company"/>
        <s v="Saratoga Benchmarking - HJF"/>
        <s v="Saratoga Benchmarking - Microland"/>
        <s v="Saratoga Benchmarking - Victoria's Secret"/>
        <s v="Saratoga Benchmarking renewal - MaineHealth"/>
        <s v="Saratoga Benchmarking renewal - MassMutual"/>
        <s v="Saratoga Benchmarking - Duquesne Light Company (DLC)"/>
        <s v="Saratoga Benchmarking - Scotia Investments"/>
        <s v="Saratoga Benchmarking Winback - McKesson"/>
        <s v="Saratoga Benchmarking - Intuit"/>
        <s v="Saratoga Benchmarking - University of Vermont Health Network"/>
        <s v="Saratoga Benchmarking - United Natural Foods Inc. (UNFI)"/>
        <s v="Saratoga Benchmarking renewal - Emergent BioSolutions"/>
        <s v="Saratoga Benchmarking renewal - Enable Midstream"/>
        <s v="Saratoga Benchmarking - Timken"/>
        <s v="Saratoga Benchmarking - Snowflake"/>
        <s v="Saratoga Benchmarking - Emerson Hospital"/>
        <s v="Saratoga Benchmarking - Aledade"/>
        <s v="Saratoga Benchmarking winback - Equifax"/>
        <s v="Saratoga Benchmarking - Lowe's"/>
        <s v="Saratoga Benchmarking - Mckesson"/>
        <s v="Saratoga Benchmarking - Sumeru Equity"/>
        <s v="Saratoga Benchmarking - GE Healthcare"/>
        <s v="Saratoga Benchmarking - Amway"/>
        <s v="Saratoga Benchmarking winback - Honeywell"/>
        <s v="Saratoga Benchmarking - JPMorgan"/>
        <s v="Saratoga Benchmarking winback - Froedtert Health"/>
        <s v="Saratoga Benchmarking - Comcast"/>
        <s v="Saratoga Benchmarking - Community Health Systems"/>
        <s v="Saratoga Benchmarking - PeopleConnect"/>
        <s v="Saratoga Benchmarking - CNM"/>
        <s v="Saratoga Benchmarking - OEConnection"/>
        <s v="Saratoga Benchmarking - SNEF"/>
        <s v="Saratoga Benchmarking - Great Minds"/>
        <s v="Saratoga Benchmarking - G&amp;W Electric"/>
        <s v="Saratoga Benchmarking - Dome Construction"/>
        <s v="Saratoga Benchmarking - Morningstar"/>
        <s v="SARATOGA Benchmarking - Biohaven Pharmaceuticals"/>
        <s v="Saratoga Benchmarking winback - AECOM"/>
        <s v="Saratoga Benchmarking - Bechtel"/>
        <s v="Saratoga Benchmarking - Seattle Genetics"/>
        <s v="Saratoga Benchmarking winback - PG&amp;E"/>
        <s v="Saratoga Benchmarking - HP"/>
        <s v="Saratoga Benchmarking - City National Bank"/>
        <s v="Saratoga Benchmarking winback - Vidant Health"/>
        <s v="Saratoga Benchmarking - Axon Enterprise"/>
        <s v="Saratoga Benchmarking - TruGreen"/>
        <s v="Saratoga Benchmarking - ANDE"/>
        <s v="Saratoga Benchmarking - Centra Health"/>
        <s v="Saratoga Benchmarking - CHOP"/>
        <s v="Saratoga Benchmarking - Greystar Real Estate"/>
        <s v="Saratoga Benchmarking - Beauty for All (BFA) Industries"/>
        <s v="Saratoga Benchmarking - First Republic Bank"/>
        <s v="Saratoga Benchmarking - Fulton Financial"/>
        <s v="Saratoga Benchmarking - Wilcox and Flegel"/>
        <s v="Saratoga Benchmarking - Tiffany &amp; Co."/>
        <s v="Saratoga Benchmarking - Coinbase"/>
        <s v="Saratoga Benchmarking - Swisher"/>
        <s v="Saratoga Benchmarking - City National Bank of Florida"/>
        <s v="Saratoga Benchmarking - Herbalife"/>
        <s v="Saratoga Benchmarking - Farmer Mac"/>
        <s v="Saratoga Benchmarking - Envista Holdings Corporation"/>
        <s v="Saratoga Benchmarking - Ocwen Financial Corporation"/>
        <s v="Saratoga Benchmarking renewal - GEODIS"/>
        <s v="Saratoga Benchmarking - FNB Corporation"/>
        <s v="Saratoga Benchmarking - XPO Logistics"/>
        <s v="Saratoga Benchmarking - USAA"/>
        <s v="Saratoga Benchmarking - Framatome"/>
        <s v="Saratoga Benchmarking - SAP"/>
        <s v="Saratoga Benchmarking - Paychex"/>
        <s v="Saratoga Benchmarking - ACCO Brands"/>
        <s v="SARATOGA Benchmarking - Sobi"/>
        <s v="Saratoga Benchmarking - WakeMed"/>
        <s v="Saratoga Benchmarking - UChicago Medicine"/>
        <s v="Saratoga Benchmarking - NJM"/>
        <s v="Saratoga Benchmarking - PTTGC"/>
        <s v="Saratoga Benchmarking renewal - Memorial Medical Center - FY23"/>
        <s v="SARATOGA Benchmarking - Parexel"/>
        <s v="SARATOGA Benchmarking - Taro Pharmaceuticals"/>
        <s v="SARATOGA Benchmarking - Alexion"/>
        <s v="Saratoga Benchmarking - T Rowe Price"/>
        <s v="SARATOGA Benchmarking - Boston Scientific"/>
        <s v="Saratoga Benchmarking - Barge Design Solutions"/>
        <s v="Saratoga Benchmarking - Federal Reserve Board of Governors"/>
        <s v="Saratoga Benchmarking - Truist"/>
        <s v="SARATOGA Benchmarking - Mapfre"/>
        <s v="Saratoga Benchmarking - Veeam"/>
        <s v="Saratoga Benchmarking - Adobe"/>
        <s v="CCA #ProEdge Finance/Bi Expansion"/>
        <s v="Capex Workshop"/>
        <s v="GMO 2021 Form 5500 Filings"/>
        <s v="2021 &amp; 2022 Forms 5500 (Retiree Welfare Benefit Plan - Plan 508)"/>
        <s v="Beazer - FY2023 Stock-Based Comp Valuation"/>
        <s v="2021-2023 Forms 5500"/>
        <s v="Saratoga Benchmarking winback - UCSF Medical Center"/>
        <s v="Saratoga Benchmarking renewal - Carle Foundation Hospital (ASHHRA upgrade)"/>
        <s v="Saratoga Benchmarking - Shannon Health (Winback, ASHHRA)"/>
        <s v="Saratoga Benchmarking - Loma Linda Health"/>
        <s v="Saratoga Benchmarking renewal - Deaconess Health System (ASHHRA upgrade)"/>
        <s v="Saratoga Custom Benchmarking - Gusto"/>
        <s v="Saratoga Benchmarking expansion - Cordis (Global)"/>
        <s v="Varde #ProEdge"/>
        <s v="Keystone Dental Group - Compensation Consulting"/>
        <s v="Diversity Dashboard - Broward Health"/>
        <s v="LPL #ProEdge - STO"/>
        <s v="Beam - Global TPM Strategy #RGM"/>
        <s v="EU:  ERP System Selection"/>
        <s v="AML TMS #risk #transformation #gfc"/>
        <s v="Saratoga Benchmarking winback - Los Angeles County"/>
        <s v="Saratoga Benchmarking - TravelCenters"/>
        <s v="Finance Org Design / Finance Effectiveness Phase I (Assessment)"/>
        <s v="IGP - Meadowland NJ Hilton Property"/>
        <s v="RGM"/>
        <s v="Assessment of C&amp;I rooftop solar market in Chile and Mexico"/>
        <s v="Business terms development for pharma partnerships #XPCONC"/>
        <s v="Saratoga Benchmarking - Equifax (EFX)"/>
        <s v="Saratoga Benchmarking - Solis Mammography"/>
        <s v="ProEdge - School of Workday"/>
        <s v="ProEdge for Finance GBS"/>
        <s v="Pricing Excellence"/>
        <s v="Blue Cross Of Idaho - Project Manory - 2022 ProEdge Pilot #ProEdge"/>
        <s v="ProEdge @ US Bank - Analytics (Pilot)"/>
        <s v="Saratoga Benchmarking winback - CBRE"/>
        <s v="UGI - ProEdge Phase 2 Expansion"/>
        <s v="Volvo Payroll Change Webinar Dev and Delivery"/>
        <s v="Astro for Adobe - Digital Concierge"/>
        <s v="Saratoga Benchmarking - KBR Inc."/>
        <s v="Saratoga Benchmarking - MAG Aerospace (Fed Contractor)"/>
        <s v="Saratoga Benchmarking (Fed Contractor) - Abt Associates"/>
        <s v="Saratoga Benchmarking (Fed Contractor) - Elbit Systems of America"/>
        <s v="Saratoga Benchmarking (Fed Contractor) - Analytical Mechanics Associates"/>
        <s v="Saratoga Benchmarking (Fed) - Mission Support and Test Services (MSTS) (Fed)"/>
        <s v="Saratoga Benchmarking renewal - General Dynamics AIS/MS (Fed)"/>
        <s v="2022 NDT &amp; Form 5500"/>
        <s v="Internal - 2022 GPS - Finland"/>
        <s v="IGP - Hilton Hawaiian Village Additional Scanned Locations"/>
        <s v="Medicare Discount Research - *Strategic Reimbursement*"/>
        <s v="ProEdge | NB"/>
        <s v="Internal - 2022 GPS - Indonesia"/>
        <s v="Saratoga Custom Benchmarking - Verizon"/>
        <s v="Hilton Chicago O'Hare Stationary Buttons"/>
        <s v="Saratoga Benchmarking winback - Beck International (CPEG)"/>
        <s v="Saratoga Benchmarking - AECOM URS (CPEG) Winback"/>
        <s v="Saratoga Benchmarking Renewal - Walbridge (CPEG)"/>
        <s v="Saratoga Benchmarking renewal - Graham Management Services (CPEG)"/>
        <s v="Cultura Centrada en el Cliente"/>
        <s v="Saratoga Benchmarking - Altru Health System"/>
        <s v="Saratoga Benchmarking renewal - Sarah Bush Lincoln Health (ASHHRA HR Metrics Tool) - FY22"/>
        <s v="Internal - 2022 GPS - France"/>
        <s v="Saratoga Benchmarking - Lumina Health Partners (ASHHRA)"/>
        <s v="Saratoga Benchmarking - Donor Network of Arizona (ASHHRA)"/>
        <s v="Saratoga Benchmarking - ProLink Healthcare (ASHHRA)"/>
        <s v="Saratoga Benchmarking Renewal - Memorial Health System (ASHHRA HR Metrics Tool)"/>
        <s v="Unilever - #RGM Campaign"/>
        <s v="Mohawk Industries - #RGM Campaign"/>
        <s v="ConAgra - #RGM Campaign"/>
        <s v="Land O'Lakes - #RGM Campaign"/>
        <s v="Reckitt Benckiser - #RGM Campaign"/>
        <s v="MSFT DLS HR FY22 Workforce Orchestrator View"/>
        <s v="Saratoga Benchmarking Renewal - OSS Health (ASHHRA HR Metrics Tool)"/>
        <s v="Saratoga Benchmarking Renewal - Ozarks Medical Center (ASHHRA HR Metrics Tool)"/>
        <s v="Saratoga Benchmarking Renewal - Vail Health (ASHHRA HR Metrics Tool)"/>
        <s v="Duracell - S2P Technology Selection, Design, Implementation #S&amp;P"/>
        <s v="Saratoga Benchmarking Renewal - Canton Potsdam Hospital (ASHHRA HR Metrics Tool)"/>
        <s v="Saratoga Benchmarking Renewal - Riverside Medical Center (ASHHRA HR Metrics Tool)"/>
        <s v="Saratoga Benchmarking Renewal - Wyoming Medical Center (ASHHRA HR Metrics Tool)"/>
        <s v="Pantaleon - Estrategia de Incidencia en su Fundación"/>
        <s v="Redox - Global Expansion"/>
        <s v="SYSTEM INTEGARTOR PARTNER OPPORTUNITY"/>
        <s v="SAC Division-level Implementations"/>
        <s v="SAC - Additional Functionality and Enhancements"/>
        <s v="SAC - Data Conversion"/>
        <s v="Centene - Job Descriptions and Compensation Benchmarking"/>
        <s v="AON Global Limited - Digital Value Creation #DVC"/>
        <s v="Automatic Data Processing, Inc. - Digital Value Creation #DVC"/>
        <s v="AT&amp;T Inc. - Digital Value Creation #DVC"/>
        <s v="Danaher Corporation - Digital Value Creation #DVC"/>
        <s v="Blue Care Network Of Michigan - Digital Value Creation #DVC"/>
        <s v="Dexcom, Inc. - Digital Value Creation #DVC"/>
        <s v="Bristol-Myers Squibb Company - Digital Value Creation #DVC"/>
        <s v="Cna Insurance. - Digital Value Creation #DVC"/>
        <s v="Fiserv Inc. - Digital Value Creation #DVC"/>
        <s v="Moody's Corporation - Digital Value Creation #DVC"/>
        <s v="HPE Inc. - Digital Value Creation #DVC"/>
        <s v="The Hartford Financial Services Group - Digital Value Creation #DVC"/>
        <s v="Liberty Mutual Holding Company Inc. - Digital Value Creation #DVC"/>
        <s v="Intel Corporation - Digital Value Creation #DVC"/>
        <s v="Stryker Corporation - Digital Value Creation #DVC"/>
        <s v="QVC INC. - Digital Value Creation #DVC"/>
        <s v="Synaptics Incorporated - Digital Value Creation #DVC"/>
        <s v="Verizon Communications Inc. - Digital Value Creation #DVC"/>
        <s v="The Western Union Company - Digital Value Creation #DVC"/>
        <s v="Zoom Video Communications Inc. - Digital Value Creation #DVC"/>
        <s v="PepsiCo USA Use Case Deployment"/>
        <s v="Allstate Corporation - Digital Value Creation #DVC"/>
        <s v="Kaiser Cognitive Scale Opportunity Exploration"/>
        <s v="Trapac,"/>
        <s v="NGPL Holdings LLC"/>
        <s v="Thayer Lodging"/>
        <s v="RHP Properties"/>
        <s v="Innovaccer SI Opportunity - Fallon Health"/>
        <s v="Innovaccer SI Opportunity - CareAbout"/>
        <s v="Innovaccer SI Opportunity - Franciscan"/>
        <s v="Innovaccer SI Opportunity - GuideWell"/>
        <s v="Innovaccer SI Opportunity - Health Partners Plans Inc"/>
        <s v="Innovaccer SI Opportunity - Rise Health"/>
        <s v="Innovaccer SI Opportunity - MEDITECH"/>
        <s v="Innovaccer SI Opportunity - Trinity Health"/>
        <s v="Omnichannel in Aesthetics"/>
        <s v="Analytics for Launch"/>
        <s v="Allergan Asset Mangement"/>
        <s v="Aesthetics Customer Service"/>
        <s v="Botox Model Shift"/>
        <s v="Aesthetics GTM Strategy"/>
        <s v="AI-enabled Automation in Commercial"/>
        <s v="GlobalStar / Growth Strategy"/>
        <s v="XXXX Placeholder 2"/>
        <s v="Boeing - Oracle EPM Program Planning"/>
        <s v="Growth Strategy and IoT"/>
        <s v="KK - Loyalty POC"/>
        <s v="Brookfield Property REIT"/>
        <s v="Sera Global"/>
        <s v="Poseidon Water"/>
        <s v="Evoque"/>
        <s v="Hitachi - Global Digital Holdings"/>
        <s v="Capital Spend/Returns #LumenCampaigns"/>
        <s v="Terrazero"/>
        <s v="Fiber Build Out #LumenCampaigns"/>
        <s v="Aon Internal Tools Program Standup"/>
        <s v="BXT Product Strategy Session"/>
        <s v="Harley Davidson"/>
        <s v="Vivid Seats NFT Perspective"/>
        <s v="G&amp;A Benchmarking (Tool Enabled)"/>
        <s v="M&amp;A Playbook"/>
        <s v="Knowledge Transition Academy"/>
        <s v="DIRECTV General Biz Dev - Mktg/Sales/Service"/>
        <s v="PLS Hypergrowth #XPCGrowth"/>
        <s v="DIRECTV General Biz Dev - Finance"/>
        <s v="RFP Operating Model Scalability Assessment"/>
        <s v="Customer Link - Amazon"/>
        <s v="Seagate #ProEdge - Trial -  Support of Upskilling-Reskilling Initiative"/>
        <s v="Vertex VX-2030 Transformation for Accounting Function"/>
        <s v="Paypal #ProEdge Trial"/>
        <s v="EPM - Close &amp; Consolidations and Planning"/>
        <s v="ES OneStream CO#3 - Security Redesign &amp; Implementation"/>
        <s v="Customer Link - MRM Consulting"/>
        <s v="Business Transformation Strategy ADC Development and Supply"/>
        <s v="Saratoga Benchmarking - Cielo Talent License - Amendment"/>
        <s v="S1 - Media Stakeholder Analysis Assessment (Christina Twomey)"/>
        <s v="Liberty Mutual - Media Intelligence"/>
        <s v="Skills for Society - 2022 - Data Analysis and Visualization"/>
        <s v="Coca-Cola ME&amp;E Phase 5 - Volume Prioritization / Commercial+"/>
        <s v="ProMedica - ProEdge"/>
        <s v="Takeda HR Symposium"/>
        <s v="BCBSNC Medicare Risk Adjustment Strategy"/>
        <s v="Wayfair - Media Intelligence"/>
        <s v="Present ABS Pricing findings to Andy Gillard"/>
        <s v="Dish Network - Media Intelligence"/>
        <s v="Visa - Media Intelligence"/>
        <s v="Wendy's Co. - Media Intelligence"/>
        <s v="Customer Link - Five-Star Bank"/>
        <s v="ProEdge - #ESG #ProEdgexESG (Investment)"/>
        <s v="BCBSNC Clinical Platform"/>
        <s v="manufacturing &amp; Supply Chain visibility proof of concept"/>
        <s v="UiPath - Finance Modernization Program"/>
        <s v="Coca-Cola ME&amp;E Phase 4 - M+ Transition OPS - Change Order #1"/>
        <s v="FRB Commercial Bank Onboarding Blueprint #&gt;$50B #FOB - Phase 2"/>
        <s v="#xpcGrowth - Hypergrowth Opportunity"/>
        <s v="#xpcGrowth, Hypergrowth"/>
        <s v="TD Ameritrade Holding Corp. - Media Intelligence"/>
        <s v="Toronto-Dominion Bank (TD Bank Group) - Media Intelligence"/>
        <s v="TCCC - Beacon Payroll Leakage Tool"/>
        <s v="Chewy - Media Intelligence"/>
        <s v="Fit-for-Growth in R&amp;D Campaign"/>
        <s v="Data &amp; Analytics Campaign"/>
        <s v="CVS Cognitive Scale P0 Investment #xPC:PayerAnalytics #Alliance:CognitiveScale #PayerAnalytics"/>
        <s v="HR Biz Dev Opp"/>
        <s v="Finance Biz Dev Opp"/>
        <s v="Twilio #ProEdge - Trial"/>
        <s v="Expedia Group - Media Intelligence"/>
        <s v="Technology &amp; Network Biz Dev Opp"/>
        <s v="Worley - Salesforce Marketing Automation - MVP Implementation - Change Order"/>
        <s v="Business Solutions Biz Dev Opp"/>
        <s v="Project Bull Run - Pilot #DCT"/>
        <s v="Oracle Sourced Suspect Oppty - EPM and ERP"/>
        <s v="TSMC Workforce Orchestrator Pilot"/>
        <s v="Nokia #ProEdge2.0 - Trial"/>
        <s v="Yext potential vendor or alliance relationship"/>
        <s v="CVS: L&amp;D V/R Pilot"/>
        <s v="Oracle Cloud EPM"/>
        <s v="Stryker Quality Functional Benchmarking #QMS"/>
        <s v="Skills for Society - 2022 Project"/>
        <s v="Molina VMO Support #GCOE"/>
        <s v="CHS Empower -  Bio-med Operations"/>
        <s v="Future Cast Engagement Opportunity Proof of Concept"/>
        <s v="Fee Waived - Vendor and volunteer onboarding process assessment"/>
        <s v="Energy - Palantir"/>
        <s v="#strategic Workforce of the Future Change Management"/>
        <s v="CVS Health Corp. - Media Intelligence"/>
        <s v="Hershey Enterprise Performance Assessment"/>
        <s v="Customer Link - Cresa Global"/>
        <s v="Saratoga Benchmarking - W.I. Cook Foundation (Access as an affiliate of Cook Children's)"/>
        <s v="Evolution of Commercial GBS"/>
        <s v="GPN Acquisitions and Enhancements (MT,ZEGO, Comercia)"/>
        <s v="VOC - Stakeholder Analysis"/>
        <s v="Customer Link - FSCB"/>
        <s v="SLC Management Client Experience"/>
        <s v="Target &amp; FIS | Premium Payback"/>
        <s v="Key Customer Link #PRO"/>
        <s v="Operation BEST - Business Readiness &amp; IT Delivery Structure Support Amendment 1"/>
        <s v="Wintrust Financial Corp Customer Link #PRO"/>
        <s v="Morgan Stanley Customer Link #PRO"/>
        <s v="AdventHealth - Medical Group Optimization"/>
        <s v="Plan de Implementación Estrategia"/>
        <s v="Innovaccer SI Opportunity - Florence"/>
        <s v="R&amp;D: Strengthening R&amp;D IT Partnerships"/>
        <s v="R&amp;D: Smart Budgeting"/>
        <s v="TLX Compliance &amp; Policy for Hybrid Workplace (May 2022)"/>
        <s v="R&amp;D: Centralized / Remote Monitoring"/>
        <s v="Skills for Society - 2022 [Wildlands Restoration Project]"/>
        <s v="Cone Health Financial Performance Improvement"/>
        <s v="Treasury-as-a-Service - Business Case - #TreasuryMSO"/>
        <s v="Media Intelligence - Yum #Demand"/>
        <s v="PANW Anaplan Foundations"/>
        <s v="Skills for Society - 2022 Current SIte Optimization"/>
        <s v="QRG Enterprise Performance Assessment"/>
        <s v="IFS Customer Centric Model #TMTPricing"/>
        <s v="SVUDL Skills for Society 2022"/>
        <s v="Sentara - HR Process and WD Remediation for Contingent Labor &amp; Internal Transfers"/>
        <s v="Sustainable1 Workshop - &quot;Building Repeatable Integration Capabilities&quot;"/>
        <s v="Sustainable1 Workshop - &quot;Innovation and Product Lifecycle Management&quot;"/>
        <s v="Sustainable1 Workshop - &quot;Model Risk Management and GRC Exploration&quot;"/>
        <m/>
      </sharedItems>
    </cacheField>
    <cacheField name="Stage" numFmtId="0">
      <sharedItems containsBlank="1">
        <s v="Target"/>
        <s v="Interact"/>
        <s v="Close"/>
        <s v="Propose"/>
        <m/>
      </sharedItems>
    </cacheField>
    <cacheField name="Amount (converted) Currency" numFmtId="0">
      <sharedItems containsBlank="1">
        <s v="USD"/>
        <m/>
      </sharedItems>
    </cacheField>
    <cacheField name="Amount (converted)" numFmtId="3">
      <sharedItems containsString="0" containsBlank="1" containsNumber="1">
        <n v="8.5E7"/>
        <n v="8.0650381E7"/>
        <n v="6.6889708E7"/>
        <n v="5.0E7"/>
        <n v="4.26E7"/>
        <n v="4.025E7"/>
        <n v="4.0E7"/>
        <n v="3.7E7"/>
        <n v="3.0E7"/>
        <n v="2.9E7"/>
        <n v="2.8E7"/>
        <n v="2.7E7"/>
        <n v="2.505E7"/>
        <n v="2.5E7"/>
        <n v="2.3824102E7"/>
        <n v="2.0E7"/>
        <n v="1.93E7"/>
        <n v="1.85E7"/>
        <n v="1.65E7"/>
        <n v="1.5091712E7"/>
        <n v="1.5E7"/>
        <n v="1.4E7"/>
        <n v="1.3E7"/>
        <n v="1.25E7"/>
        <n v="1.215648E7"/>
        <n v="1.2E7"/>
        <n v="1.14E7"/>
        <n v="1.1E7"/>
        <n v="1.07E7"/>
        <n v="1.005E7"/>
        <n v="1.0E7"/>
        <n v="9900000.0"/>
        <n v="9400000.0"/>
        <n v="9300000.0"/>
        <n v="9250000.0"/>
        <n v="9200000.0"/>
        <n v="9050000.0"/>
        <n v="9000000.0"/>
        <n v="8500000.0"/>
        <n v="8100000.0"/>
        <n v="8000000.0"/>
        <n v="7500000.0"/>
        <n v="7300000.0"/>
        <n v="7000000.0"/>
        <n v="6900000.0"/>
        <n v="6700000.0"/>
        <n v="6653879.0"/>
        <n v="6500000.0"/>
        <n v="6250000.0"/>
        <n v="6200000.0"/>
        <n v="6100000.0"/>
        <n v="6000000.0"/>
        <n v="5862860.0"/>
        <n v="5852385.0"/>
        <n v="5833000.0"/>
        <n v="5785000.0"/>
        <n v="5640000.0"/>
        <n v="5500000.0"/>
        <n v="5350000.0"/>
        <n v="5250000.0"/>
        <n v="5200000.0"/>
        <n v="5100000.0"/>
        <n v="5085000.0"/>
        <n v="5070000.0"/>
        <n v="5050000.0"/>
        <n v="5000000.0"/>
        <n v="4903000.0"/>
        <n v="4900000.0"/>
        <n v="4800000.0"/>
        <n v="4650000.0"/>
        <n v="4646998.0"/>
        <n v="4500000.0"/>
        <n v="4250000.0"/>
        <n v="4200000.0"/>
        <n v="4100000.0"/>
        <n v="4000000.0"/>
        <n v="3900000.0"/>
        <n v="3500000.0"/>
        <n v="3450000.0"/>
        <n v="3400000.0"/>
        <n v="3339933.0"/>
        <n v="3250000.0"/>
        <n v="3200000.0"/>
        <n v="3150000.0"/>
        <n v="3100000.0"/>
        <n v="3060000.0"/>
        <n v="3000000.0"/>
        <n v="2995000.0"/>
        <n v="2900000.0"/>
        <n v="2850720.0"/>
        <n v="2800000.0"/>
        <n v="2794000.0"/>
        <n v="2790000.0"/>
        <n v="2700000.0"/>
        <n v="2600000.0"/>
        <n v="2500000.0"/>
        <n v="2400002.0"/>
        <n v="2400000.0"/>
        <n v="2390000.0"/>
        <n v="2375000.0"/>
        <n v="2350000.0"/>
        <n v="2300000.0"/>
        <n v="2250000.0"/>
        <n v="2200000.0"/>
        <n v="2156100.0"/>
        <n v="2150000.0"/>
        <n v="2145000.0"/>
        <n v="2100000.0"/>
        <n v="2000000.0"/>
        <n v="1988763.0"/>
        <n v="1966602.0"/>
        <n v="1950000.0"/>
        <n v="1900000.0"/>
        <n v="1870000.0"/>
        <n v="1860000.0"/>
        <n v="1850000.0"/>
        <n v="1800750.0"/>
        <n v="1800000.0"/>
        <n v="1795000.0"/>
        <n v="1781281.0"/>
        <n v="1750000.0"/>
        <n v="1730014.0"/>
        <n v="1730000.0"/>
        <n v="1729684.0"/>
        <n v="1725000.0"/>
        <n v="1700000.0"/>
        <n v="1650000.0"/>
        <n v="1626500.0"/>
        <n v="1616515.0"/>
        <n v="1615000.0"/>
        <n v="1600000.0"/>
        <n v="1560000.0"/>
        <n v="1550000.0"/>
        <n v="1541484.0"/>
        <n v="1520000.0"/>
        <n v="1500000.0"/>
        <n v="1460000.0"/>
        <n v="1446000.0"/>
        <n v="1417000.0"/>
        <n v="1400000.0"/>
        <n v="1375000.0"/>
        <n v="1300000.0"/>
        <n v="1275000.0"/>
        <n v="1263000.0"/>
        <n v="1250000.0"/>
        <n v="1200000.0"/>
        <n v="1190000.0"/>
        <n v="1140000.0"/>
        <n v="1127175.0"/>
        <n v="1120000.0"/>
        <n v="1115000.0"/>
        <n v="1100000.0"/>
        <n v="1092000.0"/>
        <n v="1085000.0"/>
        <n v="1067000.0"/>
        <n v="1050000.0"/>
        <n v="1040500.0"/>
        <n v="1025000.0"/>
        <n v="1000000.0"/>
        <n v="995000.0"/>
        <n v="991000.0"/>
        <n v="985000.0"/>
        <n v="980000.0"/>
        <n v="977552.0"/>
        <n v="975000.0"/>
        <n v="970000.0"/>
        <n v="965000.0"/>
        <n v="960000.0"/>
        <n v="950000.0"/>
        <n v="940000.0"/>
        <n v="931634.0"/>
        <n v="925000.0"/>
        <n v="910000.0"/>
        <n v="900000.0"/>
        <n v="895000.0"/>
        <n v="890000.0"/>
        <n v="888000.0"/>
        <n v="887250.0"/>
        <n v="882000.0"/>
        <n v="880000.0"/>
        <n v="879000.0"/>
        <n v="875000.0"/>
        <n v="874000.0"/>
        <n v="865000.0"/>
        <n v="860000.0"/>
        <n v="850000.0"/>
        <n v="842851.0"/>
        <n v="840000.0"/>
        <n v="837500.0"/>
        <n v="835000.0"/>
        <n v="825000.0"/>
        <n v="813550.0"/>
        <n v="800000.0"/>
        <n v="797000.0"/>
        <n v="794545.0"/>
        <n v="780000.0"/>
        <n v="775000.0"/>
        <n v="765000.0"/>
        <n v="762178.0"/>
        <n v="760000.0"/>
        <n v="752000.0"/>
        <n v="750000.0"/>
        <n v="748500.0"/>
        <n v="745000.0"/>
        <n v="735000.0"/>
        <n v="728000.0"/>
        <n v="725000.0"/>
        <n v="720000.0"/>
        <n v="716000.0"/>
        <n v="705000.0"/>
        <n v="700000.0"/>
        <n v="695000.0"/>
        <n v="690000.0"/>
        <n v="684000.0"/>
        <n v="682000.0"/>
        <n v="680360.0"/>
        <n v="680000.0"/>
        <n v="675000.0"/>
        <n v="670000.0"/>
        <n v="660000.0"/>
        <n v="650000.0"/>
        <n v="645000.0"/>
        <n v="636000.0"/>
        <n v="635000.0"/>
        <n v="630000.0"/>
        <n v="625000.0"/>
        <n v="620000.0"/>
        <n v="615000.0"/>
        <n v="612244.0"/>
        <n v="610778.0"/>
        <n v="610000.0"/>
        <n v="600000.0"/>
        <n v="598000.0"/>
        <n v="595000.0"/>
        <n v="590000.0"/>
        <n v="585000.0"/>
        <n v="580000.0"/>
        <n v="575000.0"/>
        <n v="570000.0"/>
        <n v="566517.0"/>
        <n v="560000.0"/>
        <n v="558914.0"/>
        <n v="555000.0"/>
        <n v="550000.0"/>
        <n v="549000.0"/>
        <n v="545000.0"/>
        <n v="540000.0"/>
        <n v="536000.0"/>
        <n v="535000.0"/>
        <n v="530000.0"/>
        <n v="525000.0"/>
        <n v="515000.0"/>
        <n v="514800.0"/>
        <n v="510000.0"/>
        <n v="506743.59"/>
        <n v="506255.0"/>
        <n v="506000.0"/>
        <n v="500000.0"/>
        <n v="499000.0"/>
        <n v="498000.0"/>
        <n v="497210.0"/>
        <n v="495212.0"/>
        <n v="495000.0"/>
        <n v="493000.0"/>
        <n v="490000.0"/>
        <n v="489120.0"/>
        <n v="485000.0"/>
        <n v="480900.0"/>
        <n v="480000.0"/>
        <n v="477000.0"/>
        <n v="475000.0"/>
        <n v="474625.0"/>
        <n v="474000.0"/>
        <n v="468000.0"/>
        <n v="465000.0"/>
        <n v="460000.0"/>
        <n v="450000.0"/>
        <n v="445000.0"/>
        <n v="443000.0"/>
        <n v="440000.0"/>
        <n v="439854.0"/>
        <n v="435000.0"/>
        <n v="430000.0"/>
        <n v="427450.0"/>
        <n v="425000.0"/>
        <n v="420000.0"/>
        <n v="415000.0"/>
        <n v="405000.0"/>
        <n v="400000.0"/>
        <n v="396960.0"/>
        <n v="396000.0"/>
        <n v="395000.0"/>
        <n v="390000.0"/>
        <n v="389802.76"/>
        <n v="389000.0"/>
        <n v="385048.0"/>
        <n v="385000.0"/>
        <n v="382000.0"/>
        <n v="380000.0"/>
        <n v="379766.0"/>
        <n v="379500.0"/>
        <n v="375000.0"/>
        <n v="373855.07"/>
        <n v="370000.0"/>
        <n v="365000.0"/>
        <n v="364000.0"/>
        <n v="360000.0"/>
        <n v="351123.6"/>
        <n v="350000.0"/>
        <n v="349500.0"/>
        <n v="349220.0"/>
        <n v="349000.0"/>
        <n v="347000.0"/>
        <n v="346000.0"/>
        <n v="340000.0"/>
        <n v="337000.0"/>
        <n v="330000.0"/>
        <n v="326146.55"/>
        <n v="325000.0"/>
        <n v="324134.0"/>
        <n v="320757.0"/>
        <n v="320000.0"/>
        <n v="318000.0"/>
        <n v="315000.0"/>
        <n v="314700.0"/>
        <n v="311000.0"/>
        <n v="310000.0"/>
        <n v="301500.0"/>
        <n v="300862.76"/>
        <n v="300400.0"/>
        <n v="300322.0"/>
        <n v="300000.0"/>
        <n v="299000.0"/>
        <n v="298875.0"/>
        <n v="298000.0"/>
        <n v="295947.03"/>
        <n v="295000.0"/>
        <n v="294943.82"/>
        <n v="290000.0"/>
        <n v="288600.0"/>
        <n v="288000.0"/>
        <n v="287500.0"/>
        <n v="287000.0"/>
        <n v="286200.0"/>
        <n v="285000.0"/>
        <n v="280000.0"/>
        <n v="277600.0"/>
        <n v="275000.0"/>
        <n v="274000.0"/>
        <n v="272000.0"/>
        <n v="270000.0"/>
        <n v="268000.0"/>
        <n v="266049.0"/>
        <n v="265000.0"/>
        <n v="260000.0"/>
        <n v="255000.0"/>
        <n v="252213.0"/>
        <n v="250802.57"/>
        <n v="250000.0"/>
        <n v="249500.0"/>
        <n v="249237.0"/>
        <n v="249000.0"/>
        <n v="248000.0"/>
        <n v="247500.0"/>
        <n v="246264.0"/>
        <n v="246125.0"/>
        <n v="245000.0"/>
        <n v="240000.0"/>
        <n v="237716.0"/>
        <n v="234000.0"/>
        <n v="232845.1"/>
        <n v="230000.0"/>
        <n v="227950.0"/>
        <n v="225722.31"/>
        <n v="225000.0"/>
        <n v="222000.0"/>
        <n v="220000.0"/>
        <n v="216000.0"/>
        <n v="215000.0"/>
        <n v="210000.0"/>
        <n v="205000.0"/>
        <n v="202800.0"/>
        <n v="200000.0"/>
        <n v="199565.0"/>
        <n v="199500.0"/>
        <n v="199000.0"/>
        <n v="198735.96"/>
        <n v="195000.0"/>
        <n v="193908.0"/>
        <n v="193000.0"/>
        <n v="192640.0"/>
        <n v="191000.0"/>
        <n v="190000.0"/>
        <n v="188160.0"/>
        <n v="188000.0"/>
        <n v="186000.0"/>
        <n v="185000.0"/>
        <n v="182000.0"/>
        <n v="180000.0"/>
        <n v="175000.0"/>
        <n v="170000.0"/>
        <n v="168000.0"/>
        <n v="165000.0"/>
        <n v="163021.67"/>
        <n v="162000.0"/>
        <n v="160000.0"/>
        <n v="155772.95"/>
        <n v="155177.0"/>
        <n v="155000.0"/>
        <n v="150000.0"/>
        <n v="145488.0"/>
        <n v="145465.49"/>
        <n v="145000.0"/>
        <n v="142274.0"/>
        <n v="140000.0"/>
        <n v="136430.97"/>
        <n v="135000.0"/>
        <n v="132000.0"/>
        <n v="130000.0"/>
        <n v="127500.0"/>
        <n v="125401.28"/>
        <n v="125000.0"/>
        <n v="123846.31"/>
        <n v="123180.0"/>
        <n v="120000.0"/>
        <n v="115000.0"/>
        <n v="114095.0"/>
        <n v="112861.16"/>
        <n v="110000.0"/>
        <n v="108000.0"/>
        <n v="107000.0"/>
        <n v="105000.0"/>
        <n v="103000.0"/>
        <n v="102000.0"/>
        <n v="100321.03"/>
        <n v="100000.0"/>
        <n v="99226.0"/>
        <n v="99000.0"/>
        <n v="98000.0"/>
        <n v="97813.0"/>
        <n v="97000.0"/>
        <n v="96000.0"/>
        <n v="95000.0"/>
        <n v="92000.0"/>
        <n v="90790.53"/>
        <n v="90000.0"/>
        <n v="86000.0"/>
        <n v="85774.48"/>
        <n v="85000.0"/>
        <n v="82300.0"/>
        <n v="82000.0"/>
        <n v="81088.0"/>
        <n v="80000.0"/>
        <n v="79000.0"/>
        <n v="77500.0"/>
        <n v="77000.0"/>
        <n v="75240.77"/>
        <n v="75000.0"/>
        <n v="73500.0"/>
        <n v="72000.0"/>
        <n v="70224.72"/>
        <n v="70200.0"/>
        <n v="70000.0"/>
        <n v="65000.0"/>
        <n v="62000.0"/>
        <n v="60000.0"/>
        <n v="55645.8"/>
        <n v="55508.38"/>
        <n v="55176.57"/>
        <n v="55000.0"/>
        <n v="54000.0"/>
        <n v="53000.0"/>
        <n v="52000.0"/>
        <n v="50400.0"/>
        <n v="50160.51"/>
        <n v="50000.0"/>
        <n v="48957.21"/>
        <n v="48668.0"/>
        <n v="48000.0"/>
        <n v="47000.0"/>
        <n v="46000.0"/>
        <n v="45900.0"/>
        <n v="45000.0"/>
        <n v="42000.0"/>
        <n v="41650.0"/>
        <n v="40500.0"/>
        <n v="40000.0"/>
        <n v="39150.0"/>
        <n v="37500.0"/>
        <n v="36000.0"/>
        <n v="35000.0"/>
        <n v="34000.0"/>
        <n v="33000.0"/>
        <n v="32000.0"/>
        <n v="30800.0"/>
        <n v="30740.0"/>
        <n v="30000.0"/>
        <n v="28500.0"/>
        <n v="28000.0"/>
        <n v="27550.0"/>
        <n v="27000.0"/>
        <n v="26000.0"/>
        <n v="25080.26"/>
        <n v="25000.0"/>
        <n v="24000.0"/>
        <n v="23587.2"/>
        <n v="21000.0"/>
        <n v="20720.7"/>
        <n v="20000.0"/>
        <n v="18000.0"/>
        <n v="17000.0"/>
        <n v="16537.5"/>
        <n v="16000.0"/>
        <n v="15048.15"/>
        <n v="15000.0"/>
        <n v="14500.0"/>
        <n v="14280.0"/>
        <n v="14000.0"/>
        <n v="13800.0"/>
        <n v="13000.0"/>
        <n v="12758.0"/>
        <n v="12500.0"/>
        <n v="12000.0"/>
        <n v="11000.0"/>
        <n v="10500.0"/>
        <n v="10000.0"/>
        <n v="7524.08"/>
        <n v="7000.0"/>
        <n v="6500.0"/>
        <n v="5000.0"/>
        <n v="4500.0"/>
        <n v="4258.0"/>
        <n v="3800.0"/>
        <n v="2508.03"/>
        <n v="2000.0"/>
        <n v="1500.0"/>
        <n v="1325.03"/>
        <n v="1000.0"/>
        <n v="675.0"/>
        <n v="650.84"/>
        <n v="600.0"/>
        <n v="573.75"/>
        <n v="200.0"/>
        <n v="100.0"/>
        <n v="2.0"/>
        <n v="1.0"/>
        <n v="0.0"/>
        <m/>
      </sharedItems>
    </cacheField>
    <cacheField name="Bucket" numFmtId="0">
      <sharedItems containsBlank="1">
        <s v="$50M or greater"/>
        <s v="$20M or greater"/>
        <s v="10-20M"/>
        <s v="5 - 9.9M"/>
        <s v="5-9.999M"/>
        <s v="1-4.9M"/>
        <s v="500K-999K"/>
        <s v="&lt;499,999M"/>
        <m/>
      </sharedItems>
    </cacheField>
    <cacheField name="Created Date">
      <sharedItems containsDate="1" containsBlank="1" containsMixedTypes="1">
        <d v="2021-06-12T00:00:00Z"/>
        <s v="15/2/2022"/>
        <s v="25/5/2022"/>
        <s v="17/12/2021"/>
        <d v="2020-06-11T00:00:00Z"/>
        <d v="2022-12-04T00:00:00Z"/>
        <d v="2021-07-12T00:00:00Z"/>
        <d v="2022-01-04T00:00:00Z"/>
        <d v="2021-05-05T00:00:00Z"/>
        <s v="20/4/2022"/>
        <d v="2021-09-04T00:00:00Z"/>
        <s v="28/4/2021"/>
        <s v="13/6/2022"/>
        <d v="2021-03-11T00:00:00Z"/>
        <s v="21/6/2021"/>
        <s v="14/9/2020"/>
        <d v="2019-09-12T00:00:00Z"/>
        <d v="2021-10-08T00:00:00Z"/>
        <s v="29/1/2022"/>
        <s v="19/4/2022"/>
        <d v="2020-11-09T00:00:00Z"/>
        <d v="2022-10-06T00:00:00Z"/>
        <s v="13/5/2021"/>
        <d v="2022-05-05T00:00:00Z"/>
        <s v="18/11/2021"/>
        <d v="2021-04-03T00:00:00Z"/>
        <d v="2022-09-04T00:00:00Z"/>
        <d v="2021-09-09T00:00:00Z"/>
        <d v="2021-02-11T00:00:00Z"/>
        <s v="14/10/2021"/>
        <d v="2022-09-06T00:00:00Z"/>
        <d v="2021-04-10T00:00:00Z"/>
        <s v="30/11/2021"/>
        <d v="2021-05-08T00:00:00Z"/>
        <s v="23/9/2021"/>
        <s v="21/2/2022"/>
        <s v="17/2/2022"/>
        <s v="16/1/2022"/>
        <d v="2022-04-05T00:00:00Z"/>
        <s v="29/4/2022"/>
        <s v="22/11/2019"/>
        <s v="25/1/2022"/>
        <s v="16/3/2022"/>
        <s v="14/8/2021"/>
        <d v="2021-05-10T00:00:00Z"/>
        <d v="2021-02-10T00:00:00Z"/>
        <d v="2022-06-01T00:00:00Z"/>
        <s v="23/8/2021"/>
        <s v="26/4/2022"/>
        <d v="2020-05-05T00:00:00Z"/>
        <d v="2022-03-03T00:00:00Z"/>
        <d v="2022-06-05T00:00:00Z"/>
        <d v="2022-02-03T00:00:00Z"/>
        <s v="28/7/2021"/>
        <s v="29/7/2021"/>
        <s v="26/8/2021"/>
        <s v="14/1/2021"/>
        <s v="18/9/2021"/>
        <s v="29/3/2022"/>
        <s v="13/1/2021"/>
        <s v="27/1/2022"/>
        <s v="22/4/2022"/>
        <d v="2021-11-11T00:00:00Z"/>
        <s v="23/7/2021"/>
        <d v="2022-01-06T00:00:00Z"/>
        <s v="17/11/2021"/>
        <d v="2020-09-01T00:00:00Z"/>
        <s v="23/5/2022"/>
        <s v="20/5/2022"/>
        <d v="2020-08-12T00:00:00Z"/>
        <s v="26/1/2022"/>
        <s v="22/2/2022"/>
        <s v="15/3/2019"/>
        <s v="14/6/2022"/>
        <s v="14/5/2021"/>
        <s v="14/4/2022"/>
        <d v="2022-05-04T00:00:00Z"/>
        <s v="21/10/2021"/>
        <s v="22/3/2022"/>
        <d v="2022-09-03T00:00:00Z"/>
        <d v="2020-04-11T00:00:00Z"/>
        <d v="2021-09-02T00:00:00Z"/>
        <d v="2021-08-01T00:00:00Z"/>
        <s v="31/8/2021"/>
        <d v="2021-07-10T00:00:00Z"/>
        <d v="2022-09-05T00:00:00Z"/>
        <s v="26/4/2018"/>
        <s v="24/9/2020"/>
        <s v="14/12/2021"/>
        <s v="27/4/2022"/>
        <s v="19/10/2021"/>
        <d v="2022-10-02T00:00:00Z"/>
        <s v="19/11/2021"/>
        <d v="2022-09-02T00:00:00Z"/>
        <d v="2020-12-08T00:00:00Z"/>
        <d v="2020-12-11T00:00:00Z"/>
        <d v="2021-09-11T00:00:00Z"/>
        <d v="2022-03-05T00:00:00Z"/>
        <d v="2021-01-11T00:00:00Z"/>
        <s v="23/2/2022"/>
        <s v="18/2/2022"/>
        <s v="23/12/2021"/>
        <s v="18/4/2022"/>
        <d v="2022-07-05T00:00:00Z"/>
        <d v="2022-08-02T00:00:00Z"/>
        <d v="2021-04-06T00:00:00Z"/>
        <s v="15/6/2022"/>
        <d v="2022-10-05T00:00:00Z"/>
        <d v="2022-02-02T00:00:00Z"/>
        <s v="16/6/2021"/>
        <d v="2022-07-04T00:00:00Z"/>
        <s v="30/4/2022"/>
        <s v="18/5/2022"/>
        <d v="2021-09-06T00:00:00Z"/>
        <d v="2020-07-05T00:00:00Z"/>
        <s v="14/9/2019"/>
        <d v="2021-09-08T00:00:00Z"/>
        <s v="13/1/2022"/>
        <d v="2021-07-05T00:00:00Z"/>
        <s v="22/4/2019"/>
        <d v="2022-11-05T00:00:00Z"/>
        <s v="23/6/2020"/>
        <d v="2019-07-10T00:00:00Z"/>
        <s v="20/4/2021"/>
        <d v="2022-02-06T00:00:00Z"/>
        <s v="16/7/2021"/>
        <d v="2022-12-01T00:00:00Z"/>
        <s v="25/2/2020"/>
        <d v="2019-08-03T00:00:00Z"/>
        <s v="21/1/2022"/>
        <s v="27/10/2021"/>
        <d v="2018-02-11T00:00:00Z"/>
        <s v="20/11/2020"/>
        <s v="16/9/2020"/>
        <d v="2022-11-01T00:00:00Z"/>
        <s v="18/5/2021"/>
        <s v="25/8/2020"/>
        <d v="2022-04-02T00:00:00Z"/>
        <s v="16/12/2021"/>
        <d v="2022-08-01T00:00:00Z"/>
        <s v="18/6/2021"/>
        <s v="24/3/2021"/>
        <s v="20/10/2021"/>
        <d v="2019-10-09T00:00:00Z"/>
        <d v="2021-01-12T00:00:00Z"/>
        <d v="2022-06-06T00:00:00Z"/>
        <d v="2021-10-09T00:00:00Z"/>
        <d v="2022-11-06T00:00:00Z"/>
        <s v="23/10/2019"/>
        <d v="2022-12-02T00:00:00Z"/>
        <s v="20/5/2021"/>
        <d v="2021-04-12T00:00:00Z"/>
        <s v="20/7/2021"/>
        <s v="14/7/2021"/>
        <s v="19/8/2021"/>
        <s v="27/9/2021"/>
        <d v="2022-04-01T00:00:00Z"/>
        <d v="2022-04-06T00:00:00Z"/>
        <s v="15/9/2021"/>
        <s v="30/9/2021"/>
        <d v="2020-01-10T00:00:00Z"/>
        <d v="2021-11-02T00:00:00Z"/>
        <d v="2021-10-11T00:00:00Z"/>
        <d v="2021-12-08T00:00:00Z"/>
        <s v="26/5/2022"/>
        <d v="2021-02-12T00:00:00Z"/>
        <s v="28/1/2022"/>
        <d v="2022-10-01T00:00:00Z"/>
        <s v="22/12/2021"/>
        <d v="2022-05-06T00:00:00Z"/>
        <s v="29/2/2020"/>
        <s v="16/6/2022"/>
        <s v="23/3/2022"/>
        <d v="2021-08-09T00:00:00Z"/>
        <s v="15/1/2022"/>
        <d v="2021-12-10T00:00:00Z"/>
        <s v="21/7/2021"/>
        <s v="25/4/2022"/>
        <s v="27/7/2021"/>
        <s v="27/5/2022"/>
        <d v="2022-08-04T00:00:00Z"/>
        <d v="2021-04-11T00:00:00Z"/>
        <s v="19/12/2019"/>
        <s v="16/8/2021"/>
        <s v="21/8/2020"/>
        <s v="21/9/2021"/>
        <s v="19/7/2021"/>
        <s v="17/8/2021"/>
        <s v="14/1/2022"/>
        <s v="24/9/2021"/>
        <s v="14/5/2022"/>
        <s v="18/12/2020"/>
        <s v="13/5/2022"/>
        <d v="2022-08-03T00:00:00Z"/>
        <d v="2022-08-06T00:00:00Z"/>
        <s v="14/9/2021"/>
        <s v="19/11/2020"/>
        <s v="26/2/2022"/>
        <d v="2021-10-10T00:00:00Z"/>
        <s v="29/10/2019"/>
        <s v="15/10/2021"/>
        <s v="23/3/2018"/>
        <s v="25/3/2022"/>
        <d v="2022-10-03T00:00:00Z"/>
        <s v="22/9/2021"/>
        <s v="25/2/2022"/>
        <d v="2022-01-02T00:00:00Z"/>
        <s v="18/6/2020"/>
        <s v="22/6/2020"/>
        <d v="2021-11-01T00:00:00Z"/>
        <d v="2021-11-08T00:00:00Z"/>
        <s v="22/2/2021"/>
        <s v="16/11/2021"/>
        <d v="2022-12-05T00:00:00Z"/>
        <d v="2019-07-02T00:00:00Z"/>
        <s v="27/2/2022"/>
        <s v="16/3/2021"/>
        <s v="26/3/2022"/>
        <d v="2022-04-03T00:00:00Z"/>
        <s v="17/9/2021"/>
        <d v="2021-10-12T00:00:00Z"/>
        <s v="17/5/2022"/>
        <s v="31/7/2020"/>
        <s v="28/5/2022"/>
        <d v="2021-07-04T00:00:00Z"/>
        <s v="13/4/2022"/>
        <s v="24/5/2022"/>
        <s v="26/8/2020"/>
        <s v="25/2/2021"/>
        <s v="22/4/2021"/>
        <s v="19/5/2022"/>
        <s v="29/1/2021"/>
        <d v="2022-01-03T00:00:00Z"/>
        <s v="25/9/2020"/>
        <d v="2022-03-06T00:00:00Z"/>
        <d v="2020-10-09T00:00:00Z"/>
        <s v="22/1/2022"/>
        <s v="28/10/2021"/>
        <s v="19/4/2021"/>
        <d v="2021-05-02T00:00:00Z"/>
        <d v="2021-06-01T00:00:00Z"/>
        <d v="2020-07-01T00:00:00Z"/>
        <d v="2021-02-09T00:00:00Z"/>
        <d v="2022-06-04T00:00:00Z"/>
        <s v="14/3/2022"/>
        <s v="20/12/2021"/>
        <s v="29/10/2021"/>
        <d v="2020-08-10T00:00:00Z"/>
        <s v="21/4/2022"/>
        <s v="18/3/2022"/>
        <d v="2022-07-03T00:00:00Z"/>
        <s v="23/4/2021"/>
        <s v="19/1/2022"/>
        <d v="2021-08-12T00:00:00Z"/>
        <d v="2022-04-04T00:00:00Z"/>
        <d v="2021-09-12T00:00:00Z"/>
        <s v="19/3/2021"/>
        <d v="2022-11-02T00:00:00Z"/>
        <s v="13/10/2021"/>
        <d v="2022-07-06T00:00:00Z"/>
        <d v="2022-11-03T00:00:00Z"/>
        <d v="2021-07-06T00:00:00Z"/>
        <s v="15/4/2022"/>
        <s v="21/5/2020"/>
        <s v="24/2/2022"/>
        <s v="18/1/2022"/>
        <s v="24/5/2021"/>
        <s v="30/3/2022"/>
        <s v="28/2/2022"/>
        <d v="2021-03-09T00:00:00Z"/>
        <s v="16/4/2021"/>
        <s v="13/2/2021"/>
        <d v="2020-11-11T00:00:00Z"/>
        <d v="2021-05-11T00:00:00Z"/>
        <s v="22/10/2021"/>
        <s v="28/4/2022"/>
        <d v="2021-03-03T00:00:00Z"/>
        <d v="2022-11-04T00:00:00Z"/>
        <s v="17/4/2021"/>
        <s v="31/3/2022"/>
        <s v="20/1/2022"/>
        <d v="2021-08-06T00:00:00Z"/>
        <s v="20/2/2022"/>
        <d v="2022-01-05T00:00:00Z"/>
        <s v="28/9/2021"/>
        <s v="31/5/2022"/>
        <s v="22/10/2019"/>
        <d v="2021-02-03T00:00:00Z"/>
        <s v="17/5/2021"/>
        <s v="30/10/2019"/>
        <s v="27/8/2021"/>
        <d v="2022-03-02T00:00:00Z"/>
        <s v="22/6/2021"/>
        <s v="25/10/2021"/>
        <s v="25/9/2021"/>
        <s v="24/7/2021"/>
        <s v="20/5/2020"/>
        <s v="16/5/2022"/>
        <d v="2022-08-05T00:00:00Z"/>
        <d v="2022-05-03T00:00:00Z"/>
        <s v="28/8/2021"/>
        <s v="16/9/2021"/>
        <d v="2022-05-02T00:00:00Z"/>
        <d v="2021-09-07T00:00:00Z"/>
        <s v="27/1/2021"/>
        <s v="24/4/2022"/>
        <s v="24/11/2021"/>
        <s v="30/12/2021"/>
        <s v="21/5/2022"/>
        <s v="17/2/2021"/>
        <d v="2021-12-09T00:00:00Z"/>
        <s v="23/11/2021"/>
        <s v="24/4/2021"/>
        <s v="20/1/2021"/>
        <d v="2019-06-04T00:00:00Z"/>
        <s v="29/6/2021"/>
        <s v="18/10/2021"/>
        <s v="19/2/2022"/>
        <s v="15/4/2021"/>
        <d v="2022-07-01T00:00:00Z"/>
        <s v="29/9/2021"/>
        <d v="2021-10-02T00:00:00Z"/>
        <s v="14/2/2022"/>
        <s v="24/3/2022"/>
        <s v="29/11/2021"/>
        <s v="31/10/2019"/>
        <s v="13/9/2021"/>
        <d v="2020-12-05T00:00:00Z"/>
        <s v="22/7/2021"/>
        <d v="2022-02-05T00:00:00Z"/>
        <d v="2019-11-09T00:00:00Z"/>
        <s v="16/8/2018"/>
        <d v="2020-09-09T00:00:00Z"/>
        <s v="27/5/2021"/>
        <d v="2021-02-08T00:00:00Z"/>
        <s v="25/3/2020"/>
        <s v="19/2/2021"/>
        <d v="2020-01-08T00:00:00Z"/>
        <s v="21/12/2021"/>
        <d v="2021-06-08T00:00:00Z"/>
        <s v="18/9/2020"/>
        <s v="24/6/2020"/>
        <d v="2021-05-01T00:00:00Z"/>
        <s v="20/8/2021"/>
        <d v="2020-06-08T00:00:00Z"/>
        <s v="25/7/2019"/>
        <d v="2021-03-12T00:00:00Z"/>
        <d v="2018-12-10T00:00:00Z"/>
        <s v="17/3/2022"/>
        <s v="24/4/2020"/>
        <s v="31/1/2022"/>
        <s v="28/3/2022"/>
        <s v="30/5/2022"/>
        <s v="21/8/2021"/>
        <d v="2020-02-10T00:00:00Z"/>
        <s v="26/10/2021"/>
        <d v="2021-04-08T00:00:00Z"/>
        <s v="14/12/2019"/>
        <s v="28/3/2019"/>
        <d v="2021-08-07T00:00:00Z"/>
        <d v="2021-06-04T00:00:00Z"/>
        <s v="25/2/2019"/>
        <s v="30/10/2020"/>
        <s v="30/3/2021"/>
        <d v="2021-09-10T00:00:00Z"/>
        <s v="19/2/2019"/>
        <s v="17/3/2021"/>
        <s v="27/6/2020"/>
        <s v="30/7/2021"/>
        <s v="15/12/2021"/>
        <s v="20/6/2020"/>
        <s v="18/12/2021"/>
        <s v="22/10/2020"/>
        <d v="2021-03-02T00:00:00Z"/>
        <s v="18/1/2020"/>
        <d v="2020-04-08T00:00:00Z"/>
        <d v="2020-09-08T00:00:00Z"/>
        <d v="2021-10-05T00:00:00Z"/>
        <d v="2018-11-10T00:00:00Z"/>
        <d v="2020-07-07T00:00:00Z"/>
        <d v="2021-03-06T00:00:00Z"/>
        <s v="18/3/2020"/>
        <s v="29/10/2020"/>
        <s v="27/8/2020"/>
        <d v="2021-06-05T00:00:00Z"/>
        <d v="2022-12-03T00:00:00Z"/>
        <d v="2022-05-01T00:00:00Z"/>
        <s v="22/11/2021"/>
        <s v="13/7/2021"/>
        <d v="2018-05-06T00:00:00Z"/>
        <s v="21/5/2021"/>
        <d v="2021-05-03T00:00:00Z"/>
        <s v="30/7/2020"/>
        <d v="2021-09-03T00:00:00Z"/>
        <d v="2020-03-01T00:00:00Z"/>
        <d v="2021-06-02T00:00:00Z"/>
        <d v="2020-01-09T00:00:00Z"/>
        <d v="2021-01-10T00:00:00Z"/>
        <d v="2021-08-11T00:00:00Z"/>
        <s v="14/12/2020"/>
        <d v="2021-07-07T00:00:00Z"/>
        <s v="18/7/2020"/>
        <s v="25/10/2019"/>
        <s v="13/4/2021"/>
        <s v="23/4/2022"/>
        <s v="18/8/2021"/>
        <d v="2021-12-03T00:00:00Z"/>
        <s v="27/5/2020"/>
        <d v="2021-02-07T00:00:00Z"/>
        <d v="2021-12-05T00:00:00Z"/>
        <d v="2021-03-08T00:00:00Z"/>
        <s v="17/7/2020"/>
        <d v="2019-02-11T00:00:00Z"/>
        <s v="23/6/2021"/>
        <d v="2020-11-05T00:00:00Z"/>
        <d v="2021-10-07T00:00:00Z"/>
        <s v="16/1/2021"/>
        <s v="16/2/2022"/>
        <s v="18/3/2021"/>
        <s v="29/6/2020"/>
        <d v="2020-11-12T00:00:00Z"/>
        <s v="26/6/2020"/>
        <s v="29/4/2021"/>
        <s v="26/1/2021"/>
        <s v="30/4/2018"/>
        <s v="13/3/2021"/>
        <s v="24/1/2022"/>
        <s v="27/2/2021"/>
        <s v="16/10/2021"/>
        <s v="13/8/2021"/>
        <s v="21/10/2020"/>
        <s v="24/7/2020"/>
        <s v="15/4/2020"/>
        <d v="2020-05-08T00:00:00Z"/>
        <s v="17/10/2021"/>
        <s v="27/4/2021"/>
        <s v="21/4/2021"/>
        <s v="19/9/2020"/>
        <s v="23/3/2019"/>
        <d v="2021-06-11T00:00:00Z"/>
        <s v="17/6/2021"/>
        <d v="2021-12-11T00:00:00Z"/>
        <d v="2022-12-06T00:00:00Z"/>
        <s v="13/12/2021"/>
        <d v="2021-02-06T00:00:00Z"/>
        <d v="2021-01-06T00:00:00Z"/>
        <s v="17/7/2021"/>
        <d v="2021-06-10T00:00:00Z"/>
        <s v="22/1/2021"/>
        <s v="14/8/2020"/>
        <d v="2020-09-11T00:00:00Z"/>
        <s v="17/1/2022"/>
        <d v="2021-01-02T00:00:00Z"/>
        <d v="2020-10-11T00:00:00Z"/>
        <d v="2021-06-03T00:00:00Z"/>
        <s v="27/1/2020"/>
        <s v="30/4/2021"/>
        <d v="2020-05-11T00:00:00Z"/>
        <s v="30/10/2021"/>
        <d v="2022-02-04T00:00:00Z"/>
        <s v="29/3/2021"/>
        <s v="23/3/2021"/>
        <d v="2021-10-06T00:00:00Z"/>
        <s v="29/3/2018"/>
        <d v="2020-06-07T00:00:00Z"/>
        <s v="15/3/2022"/>
        <d v="2021-01-04T00:00:00Z"/>
        <s v="21/9/2020"/>
        <d v="2019-05-11T00:00:00Z"/>
        <s v="26/2/2020"/>
        <s v="25/6/2020"/>
        <d v="2020-04-12T00:00:00Z"/>
        <s v="31/3/2021"/>
        <s v="21/1/2021"/>
        <s v="22/5/2021"/>
        <d v="2021-08-04T00:00:00Z"/>
        <d v="2021-02-02T00:00:00Z"/>
        <d v="2021-03-07T00:00:00Z"/>
        <s v="15/1/2021"/>
        <s v="24/1/2020"/>
        <s v="25/11/2021"/>
        <s v="25/8/2021"/>
        <d v="2020-03-11T00:00:00Z"/>
        <d v="2020-08-08T00:00:00Z"/>
        <d v="2022-07-02T00:00:00Z"/>
        <s v="25/1/2021"/>
        <s v="23/9/2020"/>
        <d v="2021-12-02T00:00:00Z"/>
        <d v="2020-09-12T00:00:00Z"/>
        <d v="2020-02-08T00:00:00Z"/>
        <s v="17/12/2020"/>
        <d v="2021-07-08T00:00:00Z"/>
        <s v="25/3/2019"/>
        <s v="31/10/2021"/>
        <d v="2020-03-12T00:00:00Z"/>
        <d v="2022-06-02T00:00:00Z"/>
        <d v="2021-01-08T00:00:00Z"/>
        <d v="2021-01-07T00:00:00Z"/>
        <s v="16/4/2022"/>
        <s v="22/9/2020"/>
        <s v="18/10/2019"/>
        <d v="2020-10-01T00:00:00Z"/>
        <s v="23/10/2021"/>
        <s v="18/4/2021"/>
        <s v="29/7/2020"/>
        <s v="29/9/2020"/>
        <s v="15/5/2022"/>
        <d v="2021-11-12T00:00:00Z"/>
        <d v="2021-11-10T00:00:00Z"/>
        <d v="2021-01-03T00:00:00Z"/>
        <d v="2022-03-04T00:00:00Z"/>
        <s v="19/4/2019"/>
        <s v="26/11/2019"/>
        <s v="16/6/2020"/>
        <s v="26/2/2021"/>
        <s v="25/9/2019"/>
        <s v="23/10/2020"/>
        <s v="26/3/2021"/>
        <s v="17/8/2020"/>
        <s v="15/6/2020"/>
        <s v="26/7/2021"/>
        <d v="2022-10-04T00:00:00Z"/>
        <s v="14/2/2020"/>
        <d v="2020-01-12T00:00:00Z"/>
        <s v="24/8/2021"/>
        <s v="14/5/2020"/>
        <s v="18/7/2019"/>
        <s v="16/2/2021"/>
        <s v="21/8/2019"/>
        <d v="2020-12-06T00:00:00Z"/>
        <s v="21/3/2022"/>
        <s v="13/7/2020"/>
        <s v="23/1/2021"/>
        <d v="2021-01-09T00:00:00Z"/>
        <s v="30/1/2022"/>
        <s v="16/11/2019"/>
        <d v="2019-04-07T00:00:00Z"/>
        <s v="25/9/2018"/>
        <s v="22/8/2020"/>
        <s v="29/1/2020"/>
        <s v="22/3/2021"/>
        <s v="23/7/2020"/>
        <s v="19/3/2022"/>
        <s v="15/2/2021"/>
        <d v="2018-12-09T00:00:00Z"/>
        <s v="25/3/2021"/>
        <s v="25/5/2021"/>
        <d v="2021-10-03T00:00:00Z"/>
        <s v="29/5/2020"/>
        <s v="20/7/2020"/>
        <d v="2019-08-11T00:00:00Z"/>
        <s v="13/5/2019"/>
        <s v="28/8/2019"/>
        <d v="2020-12-12T00:00:00Z"/>
        <s v="15/10/2020"/>
        <s v="28/10/2019"/>
        <d v="2020-03-03T00:00:00Z"/>
        <s v="15/6/2021"/>
        <d v="2021-12-07T00:00:00Z"/>
        <s v="15/7/2021"/>
        <s v="15/3/2020"/>
        <d v="2018-09-08T00:00:00Z"/>
        <d v="2021-08-10T00:00:00Z"/>
        <d v="2021-12-01T00:00:00Z"/>
        <s v="28/8/2020"/>
        <s v="17/1/2020"/>
        <d v="2021-07-09T00:00:00Z"/>
        <s v="20/9/2021"/>
        <s v="28/6/2021"/>
        <s v="26/3/2020"/>
        <s v="17/5/2019"/>
        <d v="2020-02-03T00:00:00Z"/>
        <s v="22/7/2020"/>
        <d v="2019-10-12T00:00:00Z"/>
        <s v="15/11/2021"/>
        <s v="15/12/2020"/>
        <s v="13/11/2021"/>
        <d v="2020-10-03T00:00:00Z"/>
        <s v="28/10/2020"/>
        <s v="18/5/2020"/>
        <s v="21/2/2020"/>
        <s v="27/10/2020"/>
        <d v="2020-10-04T00:00:00Z"/>
        <s v="20/11/2019"/>
        <s v="17/4/2020"/>
        <s v="17/11/2020"/>
        <d v="2021-02-04T00:00:00Z"/>
        <s v="26/4/2021"/>
        <s v="13/8/2020"/>
        <s v="21/7/2020"/>
        <s v="15/5/2021"/>
        <d v="2020-12-02T00:00:00Z"/>
        <s v="23/8/2018"/>
        <s v="13/2/2022"/>
        <s v="27/3/2021"/>
        <s v="30/9/2020"/>
        <s v="31/8/2018"/>
        <s v="20/10/2020"/>
        <d v="2019-01-11T00:00:00Z"/>
        <d v="2018-11-06T00:00:00Z"/>
        <s v="26/10/2020"/>
        <s v="18/2/2021"/>
        <d v="2019-12-12T00:00:00Z"/>
        <s v="19/8/2020"/>
        <d v="2020-02-09T00:00:00Z"/>
        <s v="26/11/2021"/>
        <d v="2021-04-02T00:00:00Z"/>
        <s v="26/6/2019"/>
        <s v="19/5/2021"/>
        <d v="2020-07-10T00:00:00Z"/>
        <s v="31/1/2020"/>
        <d v="2020-07-12T00:00:00Z"/>
        <s v="16/11/2020"/>
        <s v="14/4/2020"/>
        <d v="2021-04-01T00:00:00Z"/>
        <s v="16/10/2019"/>
        <s v="13/1/2020"/>
        <s v="24/4/2019"/>
        <s v="14/4/2021"/>
        <d v="2020-10-06T00:00:00Z"/>
        <s v="27/1/2018"/>
        <s v="13/10/2020"/>
        <d v="2021-11-09T00:00:00Z"/>
        <s v="24/11/2020"/>
        <s v="15/3/2021"/>
        <s v="15/7/2020"/>
        <s v="15/9/2020"/>
        <s v="30/11/2020"/>
        <d v="2018-04-09T00:00:00Z"/>
        <d v="2019-07-12T00:00:00Z"/>
        <d v="2022-03-01T00:00:00Z"/>
        <s v="23/1/2020"/>
        <d v="2020-02-04T00:00:00Z"/>
        <s v="31/12/2021"/>
        <s v="26/7/2020"/>
        <s v="16/8/2019"/>
        <d v="2019-06-06T00:00:00Z"/>
        <s v="31/10/2018"/>
        <s v="18/11/2020"/>
        <s v="17/10/2020"/>
        <d v="2018-08-11T00:00:00Z"/>
        <s v="28/3/2020"/>
        <s v="16/7/2020"/>
        <d v="2020-09-07T00:00:00Z"/>
        <s v="15/11/2019"/>
        <s v="26/1/2020"/>
        <s v="24/2/2021"/>
        <s v="28/7/2020"/>
        <s v="19/2/2020"/>
        <s v="28/5/2021"/>
        <s v="26/9/2020"/>
        <s v="22/11/2020"/>
        <s v="23/8/2019"/>
        <d v="2020-02-12T00:00:00Z"/>
        <s v="27/2/2020"/>
        <d v="2019-09-02T00:00:00Z"/>
        <s v="30/7/2019"/>
        <d v="2021-01-05T00:00:00Z"/>
        <s v="15/5/2020"/>
        <s v="27/11/2021"/>
        <s v="27/3/2020"/>
        <s v="31/8/2019"/>
        <s v="13/11/2020"/>
        <s v="20/4/2015"/>
        <s v="13/11/2019"/>
        <d v="2021-11-03T00:00:00Z"/>
        <s v="30/1/2021"/>
        <d v="2020-08-09T00:00:00Z"/>
        <s v="21/4/2015"/>
        <d v="2020-01-05T00:00:00Z"/>
        <s v="28/1/2021"/>
        <s v="18/10/2018"/>
        <s v="19/7/2018"/>
        <s v="26/9/2019"/>
        <d v="2019-10-10T00:00:00Z"/>
        <s v="17/9/2020"/>
        <d v="2021-04-05T00:00:00Z"/>
        <s v="14/1/2020"/>
        <s v="21/3/2019"/>
        <d v="2019-06-12T00:00:00Z"/>
        <d v="2020-06-05T00:00:00Z"/>
        <s v="27/9/2018"/>
        <s v="20/5/2019"/>
        <s v="28/1/2020"/>
        <s v="16/1/2020"/>
        <s v="16/4/2019"/>
        <s v="24/6/2021"/>
        <s v="18/4/2020"/>
        <s v="24/12/2019"/>
        <d v="2021-08-05T00:00:00Z"/>
        <d v="2019-03-12T00:00:00Z"/>
        <d v="2020-10-12T00:00:00Z"/>
        <s v="26/5/2021"/>
        <s v="14/6/2021"/>
        <s v="16/12/2020"/>
        <d v="2021-08-02T00:00:00Z"/>
        <d v="2021-03-05T00:00:00Z"/>
        <s v="20/3/2021"/>
        <s v="20/2/2021"/>
        <d v="2021-07-01T00:00:00Z"/>
        <s v="24/1/2021"/>
        <s v="15/8/2020"/>
        <d v="2019-07-11T00:00:00Z"/>
        <d v="2019-11-03T00:00:00Z"/>
        <s v="16/8/2020"/>
        <d v="2019-06-11T00:00:00Z"/>
        <s v="20/8/2020"/>
        <d v="2018-06-11T00:00:00Z"/>
        <s v="21/11/2020"/>
        <s v="24/10/2019"/>
        <s v="14/7/2020"/>
        <s v="20/2/2020"/>
        <d v="2020-12-09T00:00:00Z"/>
        <s v="18/2/2020"/>
        <d v="2020-03-10T00:00:00Z"/>
        <s v="31/7/2021"/>
        <s v="30/8/2021"/>
        <d v="2019-07-05T00:00:00Z"/>
        <s v="29/9/2018"/>
        <s v="30/6/2021"/>
        <s v="20/11/2021"/>
        <s v="22/1/2020"/>
        <m/>
      </sharedItems>
    </cacheField>
    <cacheField name="Close Date">
      <sharedItems containsDate="1" containsBlank="1" containsMixedTypes="1">
        <d v="2023-03-04T00:00:00Z"/>
        <s v="31/12/2022"/>
        <s v="22/5/2023"/>
        <d v="2024-01-07T00:00:00Z"/>
        <s v="30/6/2022"/>
        <s v="15/7/2022"/>
        <s v="29/7/2022"/>
        <d v="2022-07-07T00:00:00Z"/>
        <s v="30/4/2023"/>
        <s v="31/7/2022"/>
        <d v="2022-02-09T00:00:00Z"/>
        <s v="31/8/2022"/>
        <d v="2022-01-08T00:00:00Z"/>
        <s v="30/6/2023"/>
        <s v="30/6/2024"/>
        <d v="2022-04-10T00:00:00Z"/>
        <d v="2022-08-07T00:00:00Z"/>
        <s v="30/12/2022"/>
        <s v="16/6/2023"/>
        <s v="31/10/2022"/>
        <s v="25/11/2022"/>
        <s v="31/5/2023"/>
        <s v="17/6/2022"/>
        <s v="28/10/2022"/>
        <s v="27/12/2022"/>
        <s v="23/12/2022"/>
        <s v="30/9/2022"/>
        <d v="2024-04-01T00:00:00Z"/>
        <s v="30/8/2022"/>
        <s v="27/6/2022"/>
        <d v="2022-01-07T00:00:00Z"/>
        <d v="2022-01-10T00:00:00Z"/>
        <s v="29/12/2023"/>
        <s v="16/12/2022"/>
        <s v="30/11/2022"/>
        <s v="26/8/2022"/>
        <s v="15/12/2022"/>
        <d v="2023-01-07T00:00:00Z"/>
        <s v="16/6/2022"/>
        <s v="21/10/2022"/>
        <d v="2022-03-06T00:00:00Z"/>
        <s v="31/1/2023"/>
        <s v="20/1/2023"/>
        <d v="2023-01-06T00:00:00Z"/>
        <s v="31/3/2023"/>
        <d v="2023-01-03T00:00:00Z"/>
        <d v="2023-06-01T00:00:00Z"/>
        <d v="2022-12-11T00:00:00Z"/>
        <s v="28/7/2022"/>
        <d v="2023-04-03T00:00:00Z"/>
        <s v="14/10/2022"/>
        <s v="19/1/2024"/>
        <d v="2023-01-04T00:00:00Z"/>
        <s v="29/10/2022"/>
        <s v="28/9/2022"/>
        <s v="30/9/2023"/>
        <s v="28/11/2022"/>
        <s v="30/7/2022"/>
        <d v="2022-04-08T00:00:00Z"/>
        <d v="2022-10-06T00:00:00Z"/>
        <d v="2022-04-11T00:00:00Z"/>
        <d v="2022-07-10T00:00:00Z"/>
        <s v="19/8/2022"/>
        <s v="30/5/2022"/>
        <d v="2022-02-11T00:00:00Z"/>
        <s v="24/6/2022"/>
        <s v="20/12/2022"/>
        <d v="2022-11-07T00:00:00Z"/>
        <s v="31/5/2022"/>
        <d v="2022-01-12T00:00:00Z"/>
        <d v="2022-01-06T00:00:00Z"/>
        <d v="2022-05-12T00:00:00Z"/>
        <s v="31/8/2023"/>
        <s v="31/1/2024"/>
        <s v="24/6/2023"/>
        <d v="2023-03-03T00:00:00Z"/>
        <s v="24/2/2023"/>
        <s v="25/3/2023"/>
        <s v="22/7/2022"/>
        <d v="2022-01-09T00:00:00Z"/>
        <d v="2023-07-07T00:00:00Z"/>
        <s v="28/7/2023"/>
        <d v="2022-05-08T00:00:00Z"/>
        <s v="27/1/2023"/>
        <d v="2025-06-01T00:00:00Z"/>
        <d v="2024-08-01T00:00:00Z"/>
        <d v="2022-03-10T00:00:00Z"/>
        <d v="2022-09-09T00:00:00Z"/>
        <s v="17/2/2023"/>
        <d v="2023-01-01T00:00:00Z"/>
        <s v="13/5/2022"/>
        <s v="16/8/2022"/>
        <d v="2022-08-08T00:00:00Z"/>
        <d v="2022-11-08T00:00:00Z"/>
        <s v="29/9/2022"/>
        <d v="2022-02-12T00:00:00Z"/>
        <s v="30/3/2023"/>
        <s v="15/3/2023"/>
        <d v="2023-05-05T00:00:00Z"/>
        <d v="2023-04-08T00:00:00Z"/>
        <s v="28/2/2023"/>
        <s v="30/4/2022"/>
        <s v="23/9/2022"/>
        <d v="2022-12-08T00:00:00Z"/>
        <s v="20/6/2022"/>
        <s v="15/6/2022"/>
        <s v="18/7/2022"/>
        <s v="22/9/2022"/>
        <s v="25/12/2022"/>
        <s v="22/4/2023"/>
        <s v="31/7/2023"/>
        <d v="2023-03-07T00:00:00Z"/>
        <s v="29/4/2022"/>
        <d v="2022-09-12T00:00:00Z"/>
        <s v="30/10/2022"/>
        <d v="2023-02-01T00:00:00Z"/>
        <s v="16/9/2022"/>
        <s v="13/1/2023"/>
        <s v="28/4/2023"/>
        <s v="13/7/2022"/>
        <d v="2022-04-07T00:00:00Z"/>
        <s v="29/8/2022"/>
        <s v="15/6/2023"/>
        <s v="15/8/2022"/>
        <s v="21/6/2022"/>
        <s v="18/11/2022"/>
        <d v="2022-05-07T00:00:00Z"/>
        <d v="2023-10-02T00:00:00Z"/>
        <s v="27/5/2022"/>
        <s v="13/6/2022"/>
        <s v="13/9/2022"/>
        <s v="29/12/2022"/>
        <s v="15/9/2022"/>
        <d v="2022-12-07T00:00:00Z"/>
        <s v="31/5/2024"/>
        <s v="15/5/2024"/>
        <s v="15/5/2025"/>
        <s v="15/5/2026"/>
        <s v="17/5/2027"/>
        <s v="17/11/2023"/>
        <s v="15/5/2023"/>
        <d v="2023-01-11T00:00:00Z"/>
        <s v="29/4/2023"/>
        <s v="31/12/2023"/>
        <s v="18/6/2023"/>
        <d v="2022-06-07T00:00:00Z"/>
        <s v="25/8/2023"/>
        <s v="26/6/2022"/>
        <s v="25/7/2022"/>
        <s v="24/8/2022"/>
        <s v="20/5/2022"/>
        <d v="2022-03-09T00:00:00Z"/>
        <d v="2022-12-09T00:00:00Z"/>
        <d v="2022-05-09T00:00:00Z"/>
        <d v="2022-01-11T00:00:00Z"/>
        <d v="2023-01-02T00:00:00Z"/>
        <s v="27/6/2024"/>
        <s v="30/5/2024"/>
        <d v="2023-01-05T00:00:00Z"/>
        <d v="2022-06-06T00:00:00Z"/>
        <s v="29/6/2022"/>
        <s v="26/9/2022"/>
        <s v="14/6/2022"/>
        <d v="2023-05-07T00:00:00Z"/>
        <s v="13/10/2022"/>
        <d v="2023-03-02T00:00:00Z"/>
        <d v="2022-11-06T00:00:00Z"/>
        <d v="2024-01-04T00:00:00Z"/>
        <s v="28/12/2022"/>
        <s v="29/11/2022"/>
        <d v="2022-06-05T00:00:00Z"/>
        <s v="13/5/2023"/>
        <s v="18/8/2022"/>
        <s v="19/5/2023"/>
        <s v="17/5/2022"/>
        <s v="25/9/2022"/>
        <d v="2022-10-10T00:00:00Z"/>
        <d v="2022-09-08T00:00:00Z"/>
        <s v="15/10/2022"/>
        <s v="24/10/2022"/>
        <s v="28/3/2023"/>
        <s v="20/7/2022"/>
        <s v="24/11/2022"/>
        <d v="2022-11-11T00:00:00Z"/>
        <s v="14/8/2022"/>
        <s v="23/2/2023"/>
        <s v="27/7/2022"/>
        <s v="27/10/2022"/>
        <d v="2022-04-09T00:00:00Z"/>
        <s v="19/6/2022"/>
        <s v="18/4/2022"/>
        <s v="23/5/2022"/>
        <s v="20/9/2022"/>
        <d v="2022-10-07T00:00:00Z"/>
        <s v="20/5/2023"/>
        <d v="2022-03-07T00:00:00Z"/>
        <d v="2022-02-08T00:00:00Z"/>
        <s v="21/9/2022"/>
        <s v="20/10/2022"/>
        <d v="2022-02-05T00:00:00Z"/>
        <s v="23/6/2022"/>
        <s v="20/8/2024"/>
        <s v="21/7/2022"/>
        <d v="2023-12-05T00:00:00Z"/>
        <d v="2023-06-03T00:00:00Z"/>
        <s v="14/11/2022"/>
        <d v="2023-06-10T00:00:00Z"/>
        <d v="2023-02-10T00:00:00Z"/>
        <s v="25/6/2022"/>
        <s v="23/11/2022"/>
        <s v="18/5/2022"/>
        <d v="2023-11-07T00:00:00Z"/>
        <s v="19/7/2022"/>
        <d v="2022-07-06T00:00:00Z"/>
        <s v="22/4/2022"/>
        <s v="22/11/2022"/>
        <d v="2023-09-02T00:00:00Z"/>
        <s v="15/5/2022"/>
        <d v="2022-03-05T00:00:00Z"/>
        <s v="22/8/2022"/>
        <s v="31/7/2024"/>
        <s v="28/2/2024"/>
        <s v="16/5/2022"/>
        <s v="26/12/2022"/>
        <s v="25/8/2022"/>
        <s v="25/4/2022"/>
        <s v="22/6/2022"/>
        <s v="27/8/2022"/>
        <d v="2023-10-03T00:00:00Z"/>
        <d v="2023-09-01T00:00:00Z"/>
        <s v="24/9/2023"/>
        <s v="24/9/2024"/>
        <s v="19/5/2022"/>
        <s v="17/12/2022"/>
        <d v="2022-07-05T00:00:00Z"/>
        <s v="30/11/2023"/>
        <s v="21/11/2022"/>
        <d v="2022-09-05T00:00:00Z"/>
        <s v="26/7/2022"/>
        <s v="19/10/2022"/>
        <s v="18/6/2022"/>
        <s v="21/8/2022"/>
        <s v="17/8/2022"/>
        <s v="28/1/2023"/>
        <s v="15/11/2022"/>
        <d v="2022-07-09T00:00:00Z"/>
        <s v="17/10/2022"/>
        <d v="2022-05-11T00:00:00Z"/>
        <s v="24/3/2023"/>
        <s v="14/7/2022"/>
        <d v="2022-08-06T00:00:00Z"/>
        <d v="2023-10-01T00:00:00Z"/>
        <s v="26/5/2022"/>
        <s v="30/6/2025"/>
        <s v="20/8/2022"/>
        <s v="18/9/2022"/>
        <s v="26/10/2022"/>
        <s v="17/7/2022"/>
        <d v="2022-08-05T00:00:00Z"/>
        <d v="2022-10-05T00:00:00Z"/>
        <s v="13/6/2023"/>
        <d v="2022-11-05T00:00:00Z"/>
        <s v="23/7/2022"/>
        <s v="28/6/2022"/>
        <s v="26/5/2023"/>
        <s v="28/5/2022"/>
        <d v="2023-09-08T00:00:00Z"/>
        <s v="27/8/2023"/>
        <d v="2021-01-12T00:00:00Z"/>
        <s v="27/8/2024"/>
        <s v="17/9/2022"/>
        <s v="19/9/2022"/>
        <s v="31/10/2023"/>
        <d v="2022-08-09T00:00:00Z"/>
        <s v="19/12/2022"/>
        <d v="2023-07-01T00:00:00Z"/>
        <s v="31/12/2021"/>
        <s v="24/5/2022"/>
        <s v="17/3/2023"/>
        <s v="25/10/2022"/>
        <s v="31/7/2021"/>
        <s v="21/2/2023"/>
        <d v="2022-05-05T00:00:00Z"/>
        <d v="2024-01-12T00:00:00Z"/>
        <s v="29/6/2023"/>
        <s v="23/3/2023"/>
        <m/>
      </sharedItems>
    </cacheField>
    <cacheField name="System Close Date">
      <sharedItems containsDate="1" containsBlank="1" containsMixedTypes="1">
        <m/>
        <s v="25/5/2022 11:24 pm"/>
        <d v="2022-12-05T06:11:00Z"/>
        <d v="2022-01-06T23:02:00Z"/>
        <s v="21/7/2021 8:36 pm"/>
        <d v="2022-03-06T20:49:00Z"/>
        <s v="28/10/2021 9:24 pm"/>
        <s v="18/2/2022 8:08 pm"/>
        <s v="21/5/2021 10:50 pm"/>
        <d v="2022-06-05T14:22:00Z"/>
        <s v="21/5/2021 9:02 am"/>
        <s v="17/6/2021 4:53 pm"/>
        <s v="27/5/2022 1:29 am"/>
        <d v="2022-09-06T20:57:00Z"/>
        <d v="2022-04-05T18:17:00Z"/>
        <s v="20/5/2022 4:23 am"/>
        <d v="2022-03-02T01:07:00Z"/>
        <d v="2021-10-08T02:50:00Z"/>
        <s v="27/3/2022 8:17 pm"/>
        <s v="28/2/2022 10:29 pm"/>
        <d v="2022-07-06T20:34:00Z"/>
        <s v="30/3/2022 4:50 pm"/>
        <d v="2022-07-04T04:44:00Z"/>
        <s v="31/12/2021 5:10 pm"/>
        <d v="2022-04-05T23:26:00Z"/>
        <s v="20/8/2021 10:59 pm"/>
        <s v="31/8/2021 4:20 am"/>
        <d v="2022-02-05T20:20:00Z"/>
        <d v="2022-01-03T06:46:00Z"/>
        <s v="15/6/2022 8:14 am"/>
        <d v="2022-06-05T05:44:00Z"/>
        <s v="27/5/2022 6:41 am"/>
        <s v="22/3/2022 6:11 pm"/>
        <s v="19/4/2022 9:51 pm"/>
        <s v="27/4/2022 5:02 pm"/>
        <d v="2022-08-06T19:41:00Z"/>
        <d v="2021-10-06T01:25:00Z"/>
        <d v="2022-09-05T20:31:00Z"/>
        <d v="2020-08-10T22:32:00Z"/>
        <s v="13/5/2021 7:59 pm"/>
        <d v="2022-09-05T20:24:00Z"/>
        <s v="26/5/2022 7:58 pm"/>
        <s v="26/5/2022 6:52 pm"/>
        <s v="19/8/2021 10:55 pm"/>
        <d v="2021-03-05T10:25:00Z"/>
        <d v="2021-11-05T04:39:00Z"/>
        <s v="31/3/2022 4:49 pm"/>
        <s v="25/5/2022 2:12 am"/>
        <s v="31/7/2021 5:12 pm"/>
        <d v="2022-04-05T03:47:00Z"/>
        <s v="30/8/2021 7:27 pm"/>
        <s v="16/11/2021 1:53 am"/>
        <d v="2021-03-12T01:54:00Z"/>
        <s v="18/8/2021 11:16 pm"/>
        <s v="27/4/2022 9:43 pm"/>
        <s v="15/8/2021 4:34 pm"/>
        <s v="30/8/2021 8:05 pm"/>
        <s v="22/9/2021 7:21 pm"/>
        <s v="22/5/2021 1:22 pm"/>
        <d v="2022-08-03T20:21:00Z"/>
        <d v="2022-04-04T18:50:00Z"/>
        <s v="28/7/2020 9:00 am"/>
      </sharedItems>
    </cacheField>
    <cacheField name="Confidential" numFmtId="0">
      <sharedItems containsString="0" containsBlank="1" containsNumber="1" containsInteger="1">
        <n v="0.0"/>
        <m/>
      </sharedItems>
    </cacheField>
    <cacheField name="Opportunity Lead: Full Name" numFmtId="0">
      <sharedItems containsBlank="1">
        <s v="Matthew Comte"/>
        <s v="Ryan Hawk"/>
        <s v="Baqar Shah"/>
        <s v="Paul Carrannanto"/>
        <s v="Mike Pegler"/>
        <s v="George Mansour"/>
        <s v="Austin Morris"/>
        <s v="Jai Sinha"/>
        <s v="Michael Chapman"/>
        <s v="John Tvrdik"/>
        <s v="Harold Houser"/>
        <s v="Manoj Arora"/>
        <s v="TK (Touseef) Khowaja"/>
        <s v="Mohib Yousufani"/>
        <s v="Keith Considine"/>
        <s v="Sanchit Tiwari"/>
        <s v="Geoff Plese"/>
        <s v="Amy Cochran"/>
        <s v="Arup Chatterji"/>
        <s v="Mukund Srirangapatnam"/>
        <s v="Chad Leopard"/>
        <s v="Leonardo De Biasi"/>
        <s v="Christopher Scarpati"/>
        <s v="Robert Gruman"/>
        <s v="Charlotte Reardon"/>
        <s v="Maria Blanco"/>
        <s v="Adam Kennedy"/>
        <s v="Daryl Walcroft"/>
        <s v="Rakesh Bhatia"/>
        <s v="Brett Maher"/>
        <s v="Derek Manville"/>
        <s v="Kelly Pedersen"/>
        <s v="Stephen Pillsbury"/>
        <s v="Suheb Siddiqui"/>
        <s v="Susmitha Kakumani"/>
        <s v="Varun Sharma"/>
        <s v="Christopher Joyce"/>
        <s v="Aditi Bansal"/>
        <s v="Daniel O'Neill"/>
        <s v="Peter Domanko"/>
        <s v="John Rich"/>
        <s v="Larry Patrick"/>
        <s v="Robert Walker"/>
        <s v="Charlene Glidden"/>
        <s v="Jim Quick"/>
        <s v="Mithun Samani Mohan"/>
        <s v="Brian Houck"/>
        <s v="Reza Jenab"/>
        <s v="Justin Kaufman"/>
        <s v="Deepak Goyal"/>
        <s v="William Cotter"/>
        <s v="Randy Brown"/>
        <s v="Justin O'Connor"/>
        <s v="Paul Blase"/>
        <s v="Evan Siegal"/>
        <s v="Mike Boro"/>
        <s v="David Shebay"/>
        <s v="Sean Ruckel"/>
        <s v="Frank Kobyluch"/>
        <s v="Bobby Shuman"/>
        <s v="Will Nolen"/>
        <s v="Lev Holubec"/>
        <s v="Sarah Rodriguez"/>
        <s v="Charlie Hohenshelt"/>
        <s v="Jayanth Godla"/>
        <s v="Alex Kushnir"/>
        <s v="Blake Cooper"/>
        <s v="Kenneth LaManna"/>
        <s v="Jay Kaduson"/>
        <s v="Ian Shafer"/>
        <s v="Marty Makulski"/>
        <s v="Karen Brennan-Holton"/>
        <s v="Adam Taplinger"/>
        <s v="Amit Dhir"/>
        <s v="Michael Pino"/>
        <s v="Arjun Saxena"/>
        <s v="Manish Laad"/>
        <s v="Samir Singh"/>
        <s v="Reagan Strey"/>
        <s v="Dean Nicolacakis"/>
        <s v="Kabid Choudhury"/>
        <s v="Joseph Joy"/>
        <s v="Mike Pokorski"/>
        <s v="Joshua Carter"/>
        <s v="Meghan Murray"/>
        <s v="Alberto Corvo"/>
        <s v="Michael Hogan"/>
        <s v="Muhammad Hassan"/>
        <s v="Jurian Goei"/>
        <s v="Stacey Empson"/>
        <s v="Daniel Hays"/>
        <s v="Joe Henderson"/>
        <s v="Brian Slizgi"/>
        <s v="Brian Hurleigh"/>
        <s v="Patrick Pugh"/>
        <s v="Dave Powell"/>
        <s v="Ram Jayaraman"/>
        <s v="Ethan Dameron"/>
        <s v="Anup Madampath"/>
        <s v="Jamie Barakat"/>
        <s v="David Ganiear"/>
        <s v="Ari Kertesz"/>
        <s v="Samrat Sharma"/>
        <s v="Mukesh Singh"/>
        <s v="John Andrewes"/>
        <s v="Earl Simpkins"/>
        <s v="Mike Larson"/>
        <s v="Todd Shores"/>
        <s v="Jeffrey Jaymont"/>
        <s v="Richard Judy"/>
        <s v="Paul Kennedy"/>
        <s v="Keith Fengler"/>
        <s v="Kenny Chan"/>
        <s v="Chi Onyewuchi"/>
        <s v="David Moss"/>
        <s v="Derek Baker"/>
        <s v="Timothy Davis"/>
        <s v="Brian Decker"/>
        <s v="Jean-Marc Neimetz"/>
        <s v="Eric Cohen"/>
        <s v="Todd Jirovec"/>
        <s v="Holly McKenzie"/>
        <s v="Mark Mynhier"/>
        <s v="Frank Lemmon"/>
        <s v="Giri Rao"/>
        <s v="Claudia Douglass"/>
        <s v="Brian Updike"/>
        <s v="Kevin Caceres"/>
        <s v="Timothy Kuroda"/>
        <s v="Mike Scheller"/>
        <s v="Bryan Sung"/>
        <s v="Robert Demeter"/>
        <s v="Carlos Moreira"/>
        <s v="Alison Hoover"/>
        <s v="Jon Souder"/>
        <s v="Sundar Subramanian"/>
        <s v="David Sisko"/>
        <s v="John Morris"/>
        <s v="Phil Regnault"/>
        <s v="Christopher Dimuzio"/>
        <s v="Sam Venugopal"/>
        <s v="Robert Moline"/>
        <s v="David Nestor"/>
        <s v="William Kangas"/>
        <s v="Simon Strom"/>
        <s v="Alex Marsden"/>
        <s v="Sierra Hawthorne"/>
        <s v="Dietmar Ostermann"/>
        <s v="Murali Nallapaty"/>
        <s v="Alan Voels"/>
        <s v="Diane Youden"/>
        <s v="Naman Kuwadia"/>
        <s v="Jan Paul Zonnenberg"/>
        <s v="Jason Wagner"/>
        <s v="Alyson Simonetta-Larkin"/>
        <s v="Mayank Gupta"/>
        <s v="William Suvari"/>
        <s v="Matthew Barnoski"/>
        <s v="Ralph Roam"/>
        <s v="Sushil Ahuja"/>
        <s v="Christopher Joline"/>
        <s v="Jared Schreff"/>
        <s v="Doug Anderson"/>
        <s v="Rahul Kapoor"/>
        <s v="Mike Ross"/>
        <s v="Mark Beekman"/>
        <s v="Sahil Bhardwaj"/>
        <s v="Michael Whitman"/>
        <s v="Reid Morrison"/>
        <s v="Elizabeth Yates"/>
        <s v="Carlos Thimann"/>
        <s v="Rick Edmunds"/>
        <s v="Curt Bigelow"/>
        <s v="Ron Kinghorn"/>
        <s v="Ted Fuhr"/>
        <s v="Aubrey Hochstuhl"/>
        <s v="Thom Bales"/>
        <s v="Nitin Lalwani"/>
        <s v="Anthony Di Stefano"/>
        <s v="John Mulhall"/>
        <s v="Shungu Chigariro"/>
        <s v="Amit Sharma"/>
        <s v="Ann Johnston"/>
        <s v="Kareem Elwakil"/>
        <s v="James McNeil"/>
        <s v="Jon Glick"/>
        <s v="Todd Bargman"/>
        <s v="Sammy Lakshmanan"/>
        <s v="Ron Klein"/>
        <s v="Mike Longacre"/>
        <s v="Anthony Caletka"/>
        <s v="Shaguna Punj"/>
        <s v="Bill Schmitt"/>
        <s v="Akshay Singh"/>
        <s v="Penny Boswell"/>
        <s v="Jason Gaswirth"/>
        <s v="Verawaty Sudjono"/>
        <s v="Hans Breville"/>
        <s v="Jaime Garza"/>
        <s v="Justin Hall"/>
        <s v="Lisebeth Forbes"/>
        <s v="Keith Mauger"/>
        <s v="Sean Viergutz"/>
        <s v="Philip Sclafani"/>
        <s v="Dinkar Saran"/>
        <s v="Frank Mackris"/>
        <s v="Paige Hayes"/>
        <s v="Bruce Hutchison"/>
        <s v="Anup Kharode"/>
        <s v="Andrew Wooten"/>
        <s v="Julia Lamm"/>
        <s v="Don Christian"/>
        <s v="Sarah Daubenspeck"/>
        <s v="Antonia Cusumano"/>
        <s v="Brian Krall"/>
        <s v="Mary Beth Mikols"/>
        <s v="Donald Reed"/>
        <s v="John Giannotto"/>
        <s v="Phani Durbhakula"/>
        <s v="Laurie Ann Fleet"/>
        <s v="Helene Kubon Skulstad"/>
        <s v="Andy Greenberg"/>
        <s v="Sabah Cambrelen"/>
        <s v="Derek Hayes"/>
        <s v="Michael Couwenhoven"/>
        <s v="Sanchit Madan"/>
        <s v="Jan Seele"/>
        <s v="Ginger Pilgrim"/>
        <s v="Alyssa Anderson"/>
        <s v="Jennifer George"/>
        <s v="Cort Jacoby"/>
        <s v="William Gilet"/>
        <s v="Greg Chiasson"/>
        <s v="Scott Kittrell"/>
        <s v="Dan Stolarski"/>
        <s v="Marc Suidan"/>
        <s v="David Rosselli"/>
        <s v="Paul Veronneau"/>
        <s v="Scott Pollak"/>
        <s v="Margaret Stover"/>
        <s v="Debasis Sahu"/>
        <s v="Vishal Garg"/>
        <s v="Marc Waco"/>
        <s v="Suni Shamapande"/>
        <s v="Paul Tenuta"/>
        <s v="Brandon Gabel"/>
        <s v="Joseph Lamano"/>
        <s v="Kyle Long"/>
        <s v="Brad Denning"/>
        <s v="Fuad Abdelhadi"/>
        <s v="Satyen Popat"/>
        <s v="Francois Ramette"/>
        <s v="Jessica Heidman"/>
        <s v="Robert Macagnano"/>
        <s v="John Rolston"/>
        <s v="Ryan Uteg"/>
        <s v="Sreekumar Krishnamony"/>
        <s v="Steven Treppo"/>
        <s v="Alexandra Hallas Button"/>
        <s v="Jim Adams"/>
        <s v="Connie Yang"/>
        <s v="Mackenzie Heal"/>
        <s v="Rima Safari"/>
        <s v="John Karren"/>
        <s v="Jeffrey Gitlin"/>
        <s v="Ben Eisenberg"/>
        <s v="Pier Noventa"/>
        <s v="Damien McMahon"/>
        <s v="Scott Boruff"/>
        <s v="Wynn Bailey"/>
        <s v="Richard Schweiger"/>
        <s v="Namit Kapoor"/>
        <s v="Dave Eberhardt"/>
        <s v="Robbert De Vries"/>
        <s v="Pat Curtin"/>
        <s v="Aamena Khan"/>
        <s v="Matt Garnet"/>
        <s v="Isaac Buchen"/>
        <s v="George Korizis"/>
        <s v="Todd McElfresh"/>
        <s v="Jean Lee"/>
        <s v="Eric Goldsborough"/>
        <s v="Trisha Swift"/>
        <s v="Francis Ruffy"/>
        <s v="Mark Prentice"/>
        <s v="Tom Levin"/>
        <s v="Omar Chane"/>
        <s v="Scott Mahoney"/>
        <s v="Vinay Couto"/>
        <s v="Kevin Fossee"/>
        <s v="Brian Kaplan"/>
        <s v="Alex Blanter"/>
        <s v="Ricardo Ruiz-Huidobro"/>
        <s v="Ed Jasaitis"/>
        <s v="Michael Proppe"/>
        <s v="Phil Ng"/>
        <s v="Mike Goulet"/>
        <s v="Aditya Shah"/>
        <s v="Carrie Wisher"/>
        <s v="Courtney Showell"/>
        <s v="Michelle Gibson"/>
        <s v="Mark Jenson"/>
        <s v="Michael Giguere"/>
        <s v="Patrick Wimberly"/>
        <s v="Dean Millard"/>
        <s v="Arjun Katyal"/>
        <s v="Paul D'Alessandro"/>
        <s v="Musi Qureshi"/>
        <s v="Rajan Gandhi"/>
        <s v="Carlos Navarro"/>
        <s v="David Rader"/>
        <s v="Kalvin Davies"/>
        <s v="Rajesh Patnaik"/>
        <s v="Nick Navarro"/>
        <s v="Colin Carroll"/>
        <s v="K.B. Clausen"/>
        <s v="Joshua Schwartz"/>
        <s v="Henryk Papiz"/>
        <s v="Cydney Aiken"/>
        <s v="Sarabeth Rees"/>
        <s v="Shane Tormey"/>
        <s v="Rupinder Gill"/>
        <s v="Edward Landry"/>
        <s v="Michael Hursta"/>
        <s v="Glen Goldbach"/>
        <s v="Shannon O'Shea"/>
        <s v="Matthew Ritter"/>
        <s v="Rob Maul"/>
        <s v="Mark Hoffman"/>
        <s v="Brad Goehle"/>
        <s v="Jon Howe"/>
        <s v="Robert Bishop"/>
        <s v="Romit Dey"/>
        <s v="Chris Paley"/>
        <s v="Paul James Hollinger"/>
        <s v="Nick Bonny"/>
        <s v="Tony Ligeralde"/>
        <s v="Josh Horowitz"/>
        <s v="Kevin McLellan"/>
        <s v="Brian Henry"/>
        <s v="Nikhil Menon"/>
        <s v="Louis Bouquet"/>
        <s v="Terri McClements"/>
        <s v="Robert Purser"/>
        <s v="Brad Herndon"/>
        <s v="Sri Kumar"/>
        <s v="Jay Klein"/>
        <s v="Carla DeSantis"/>
        <s v="Apurva Chitnis"/>
        <s v="John Bennett"/>
        <s v="Brian Gibson"/>
        <s v="Angus Buchanan"/>
        <s v="Breck Marshall"/>
        <s v="Daniel Bowman"/>
        <s v="Matthew Rupas"/>
        <s v="Briggs Briner"/>
        <s v="Robert Vettoretti"/>
        <s v="Hans Van Delden"/>
        <s v="Ruchita Kewalramani"/>
        <s v="James Holloway"/>
        <s v="Vineet Mishra"/>
        <s v="Mike Lee"/>
        <s v="Katya Reuk"/>
        <s v="Steven Robertson"/>
        <s v="Jimmy Boyle"/>
        <s v="Lori Bistis"/>
        <s v="Cornell Staeger"/>
        <s v="Nathan Meyer"/>
        <s v="Natalie Delemar"/>
        <s v="Hugh Le"/>
        <s v="Namit Mehta"/>
        <s v="Douglas Dwyre"/>
        <s v="Henning Hagen"/>
        <s v="Jarret Heller"/>
        <s v="Jim Berres"/>
        <s v="Matthew Egol"/>
        <s v="Roger Wery"/>
        <s v="Peter Frank"/>
        <s v="Juneen Kirk"/>
        <s v="David Church"/>
        <s v="Kaushik Ramasubramaniam"/>
        <s v="Chris Bonus"/>
        <s v="Tabitha DeFrancisco"/>
        <s v="Mark Menzie"/>
        <s v="Geoff Dworkin"/>
        <s v="Bhushan Sethi"/>
        <s v="Fernando Arango"/>
        <s v="Arjun Patel"/>
        <s v="Meredith Strokes"/>
        <s v="Nick Habib"/>
        <s v="Bala Ramanan"/>
        <s v="Rafael Lander"/>
        <s v="Matthew Siegel"/>
        <s v="Bradford Donaldson"/>
        <s v="Brett Cayot"/>
        <s v="Roland Kastoun"/>
        <s v="Hemant Bhide"/>
        <s v="Peter Gilmore"/>
        <s v="Heidi Scheppmann"/>
        <s v="Rahul Wadhawan"/>
        <s v="John Hutton"/>
        <s v="Amy Hunckler"/>
        <s v="Nichole Maier"/>
        <s v="Cindy Fraterrigo"/>
        <s v="Albert Kent"/>
        <s v="Blair Troiano"/>
        <s v="Yoshi Nomura"/>
        <s v="Richard McCabe"/>
        <s v="Thomas Kavanaugh"/>
        <s v="David Krovitz"/>
        <s v="Colby Conner"/>
        <s v="Jose Reyes"/>
        <s v="Katherine Huh"/>
        <s v="Jonathan Kletzel"/>
        <s v="Daniel Schultz"/>
        <s v="Michael Petersen"/>
        <s v="Connie Perry"/>
        <s v="Shankar Subramaniam"/>
        <s v="Stefan Zorn"/>
        <s v="Scott Toppi"/>
        <s v="Nicole Pollack"/>
        <s v="Michael Mariani"/>
        <s v="Patrick Kirk"/>
        <s v="Philip Deitch"/>
        <s v="Vincent Fries"/>
        <s v="Debra Skorupka"/>
        <s v="Erich Butters"/>
        <s v="Robert Tate"/>
        <s v="Derek Gaasch"/>
        <s v="David Gunn"/>
        <s v="Tim Mueller"/>
        <s v="Bonnie Majumdar"/>
        <s v="Joe Lo"/>
        <s v="Brian Morris"/>
        <s v="Susan Drea"/>
        <s v="Sudharsan Iyengar"/>
        <s v="Matthew Jong"/>
        <s v="Harish Nalinakshan"/>
        <s v="Tony Filipe"/>
        <s v="Christopher Pullano"/>
        <s v="Anil Khurana"/>
        <s v="Kathryn Burg Plaza"/>
        <s v="Mark Fracas"/>
        <s v="Larry Melillo"/>
        <s v="Martin Touhey"/>
        <s v="Mark Poulson"/>
        <s v="Astik Ranade"/>
        <s v="Jeff Kunz"/>
        <s v="Gurpreet Singh"/>
        <s v="Kyle Calcagno"/>
        <s v="Ryan Robertson"/>
        <s v="Dave Hoffman"/>
        <s v="Ash Malik"/>
        <s v="Elissa Arkinstall"/>
        <s v="Jeff Hersh"/>
        <s v="Jenny Machida"/>
        <s v="Megan Brody"/>
        <s v="Tiffany Yates"/>
        <s v="Josette Beran"/>
        <s v="Jose Luis De Los Santos"/>
        <s v="Michael Van Demark"/>
        <s v="CJ Bangah"/>
        <s v="Shannon Smith"/>
        <s v="Christine Randazzo"/>
        <s v="Christopher Manning"/>
        <s v="Robert Knittle"/>
        <s v="Michael Horvath"/>
        <s v="Kyle Robinson"/>
        <s v="Gerard Duffy"/>
        <s v="Eric Michael"/>
        <s v="David Haimes"/>
        <s v="Jackie Biglin"/>
        <s v="Davide di Gennaro"/>
        <s v="Steve Foran"/>
        <s v="Samuel Bloustein"/>
        <s v="Luna Corbetta"/>
        <s v="Salil Thakar"/>
        <s v="Nilesh Somaiya"/>
        <s v="Jack Abraham"/>
        <s v="Jorge Senties"/>
        <s v="David Wright"/>
        <s v="Ron Haas"/>
        <s v="Mark Hermans"/>
        <s v="Stephanie Williams"/>
        <s v="Fred Brown"/>
        <s v="Andrew Sofield"/>
        <s v="Craig Gooch"/>
        <s v="Stacy Dunton"/>
        <s v="Marie Carr"/>
        <s v="Ayesha Datta"/>
        <s v="Cora Lee Mooney"/>
        <s v="Michael Oliveri"/>
        <s v="Jason Carter"/>
        <s v="Christopher Harmon"/>
        <s v="Gary Shub"/>
        <s v="Bradley Johnson"/>
        <s v="Srini Gabu"/>
        <s v="Jim Davis"/>
        <s v="Matthew Duffey"/>
        <s v="Tom Birtwhistle"/>
        <s v="Andrew Benett"/>
        <s v="Deepak Tilani"/>
        <s v="Patrick Shankland"/>
        <s v="Christopher Hannegan"/>
        <s v="Nina Owens"/>
        <s v="Dries Bredenkamp"/>
        <s v="Matthew Klein"/>
        <s v="Michael Callahan"/>
        <s v="Christina Morris"/>
        <s v="Bruno Lopes"/>
        <s v="Sarah Pullins"/>
        <s v="Barrett Shipman"/>
        <s v="Matthew O'Mara"/>
        <s v="Jaime Weber"/>
        <s v="Kim David Greenwood"/>
        <s v="Marla Graeber"/>
        <s v="Mark Griffin"/>
        <s v="Vikas Garg"/>
        <s v="Jared Curless"/>
        <s v="Mike McKeown"/>
        <s v="Linda Meloro"/>
        <s v="Noam Heller"/>
        <s v="Michael Isler"/>
        <s v="Michael Cohen"/>
        <s v="Maricelle Denny"/>
        <s v="Sean McDonald"/>
        <s v="Peter Apple"/>
        <s v="Angie Payne"/>
        <s v="Mark Rosenthal"/>
        <s v="Steve Norman"/>
        <s v="Jay Kulkarni"/>
        <s v="Zachary Dietrick"/>
        <s v="Stacia Wood"/>
        <s v="Varun Joshi"/>
        <s v="Ken Evola"/>
        <s v="Gregory Rotz"/>
        <s v="Davi Bryan"/>
        <s v="Grace Vogel"/>
        <s v="Chetan Ghatge"/>
        <s v="Derek Skoog"/>
        <s v="Scott Brodrick"/>
        <s v="Carmen Chan"/>
        <s v="Steve Schultz"/>
        <s v="Theresa Gee"/>
        <s v="Kareem Mohamednur"/>
        <s v="Steven Tess"/>
        <s v="Amanda Diaz"/>
        <s v="Julie Bogas"/>
        <s v="Kurt Ewen"/>
        <s v="Nadirah Ibrahim"/>
        <s v="Paul Bird"/>
        <s v="Dan Trent"/>
        <s v="Moustafa Ragab"/>
        <s v="Christopher Atkinson"/>
        <s v="Zach Zimmer"/>
        <s v="Ashwin Badrinarayan"/>
        <s v="Nikki Frazer"/>
        <s v="Keith Jimenez"/>
        <s v="Ryan Lucky"/>
        <s v="Brendan Klein"/>
        <s v="Ashish Jain"/>
        <s v="Carlos Zegarra"/>
        <s v="Shekhar Purohit"/>
        <s v="Sonepal Kohli"/>
        <s v="Claudia Montgomery"/>
        <s v="Peter Davidson"/>
        <s v="Thomas Hojnacki"/>
        <s v="Bryan Gross"/>
        <s v="Anderson Ramires"/>
        <s v="Mat Joiner"/>
        <s v="Vaughn Kauffman"/>
        <s v="Bruce Brodie"/>
        <s v="Kevin McEachern"/>
        <s v="Keith Morris"/>
        <s v="Jennifer Jefferson"/>
        <s v="Robyn Tierney"/>
        <s v="Edmund Kowalski"/>
        <s v="Ephraim Sudwerts"/>
        <s v="Patrick Maher"/>
        <s v="Pierre Monperrus"/>
        <s v="Eduardo Reyes"/>
        <s v="Sruthi Madhavan"/>
        <s v="Min Matson"/>
        <s v="Stephen Kemper"/>
        <s v="Rand Bailin"/>
        <s v="Paul Livak"/>
        <s v="Kris Munson"/>
        <s v="Ahmet Ozman"/>
        <s v="Chris Burke"/>
        <s v="Ali Rizvi"/>
        <s v="Joshua Cooper"/>
        <s v="Robyn Lahlein"/>
        <s v="Todd Cimino"/>
        <s v="Peter Schwartz"/>
        <s v="John Van Puffelen"/>
        <s v="Lisa Herrnson"/>
        <s v="Michael McIntosh II"/>
        <s v="Francisco Briseño"/>
        <s v="Shebani Patel"/>
        <s v="In Sung Yuh"/>
        <s v="Rachel Roschelle"/>
        <s v="Gustavo Bohorquez"/>
        <s v="Chet Sampat"/>
        <s v="Ronan Wisdom"/>
        <s v="Kolinjuwa Shriram"/>
        <s v="Melanie Henderson"/>
        <s v="Rick Chen"/>
        <s v="Ryan Cronin"/>
        <s v="Kurt Staelens"/>
        <s v="Matthew Baltrus"/>
        <s v="JB Seal"/>
        <s v="Suzanne Fisher Roske"/>
        <s v="Brian Marsh"/>
        <s v="Rachel Dauenbaugh"/>
        <s v="Cindy Drucker"/>
        <s v="Michael Fiore"/>
        <s v="Craig O'Donnell"/>
        <s v="Richard Rose"/>
        <s v="Lori Driscoll"/>
        <s v="Joye Wegryn"/>
        <s v="Jason Cherpak"/>
        <s v="Tom Savage"/>
        <s v="Anjali Fehon"/>
        <s v="Satannia Williams"/>
        <s v="Jim Russell"/>
        <s v="Roberto Hernandez"/>
        <s v="Sky Milch"/>
        <s v="Alan Pincus"/>
        <s v="Kevin Lewis"/>
        <s v="Andrew Knowlton"/>
        <s v="Sue Wright"/>
        <s v="Kathryn Charlton"/>
        <s v="Robert Fassett"/>
        <s v="Brandy Smith"/>
        <s v="Eric Shea"/>
        <s v="Brandon Yerre"/>
        <s v="Nathan Kolmodin"/>
        <s v="Tori Fancher"/>
        <s v="Igor Belokrinitsky"/>
        <s v="Lorie Wijntjes"/>
        <s v="Christian Bowers"/>
        <s v="Maria Alberico"/>
        <s v="Pranav Sunil Gokhale"/>
        <s v="Karan Sahni"/>
        <s v="Raul Garcia"/>
        <s v="Jason Magesis"/>
        <s v="Trisha Hernandez"/>
        <s v="William DeLuca"/>
        <s v="Marina Veber"/>
        <s v="Chris Hamilton"/>
        <s v="Gina Klein"/>
        <s v="Corey Cederquist"/>
        <s v="Session Mwamufiya"/>
        <s v="Ben Rhee"/>
        <s v="Scott McMillen"/>
        <s v="Andrew Haslehust-Smith"/>
        <s v="Vikram Latawa"/>
        <s v="Matthew Morrison"/>
        <s v="David Lebolt"/>
        <s v="David Durovy"/>
        <s v="Ronald Barlow"/>
        <s v="Angela Moore"/>
        <s v="Sanjib Banerjee"/>
        <s v="James Lin"/>
        <s v="Carrie Shea"/>
        <s v="Aaron Harding"/>
        <s v="Nik Shah"/>
        <s v="Joe Palladino"/>
        <s v="Chelsea Hamilton"/>
        <s v="Grant Good"/>
        <s v="Alex Spira-Gutner"/>
        <s v="Gretchen Tipton"/>
        <s v="John Colaruotolo"/>
        <s v="Kristin Harel"/>
        <s v="David Fontanez"/>
        <s v="Jonathan Turner"/>
        <s v="Adam Gerstein"/>
        <s v="Jeff Allen"/>
        <s v="Jess Lewis"/>
        <s v="Clay Hale"/>
        <s v="Andrea Fishman"/>
        <s v="Margaret Kunkel"/>
        <s v="Jeffrey Jolton"/>
        <s v="Michael Schiro"/>
        <s v="Jonas Niermann"/>
        <s v="Dan Renner"/>
        <s v="Sharmon Priaulx"/>
        <s v="Gaurav Shukla"/>
        <s v="Josh Peters"/>
        <s v="Mahadevan Thantry"/>
        <s v="Nevenka Mattenet"/>
        <s v="Amit Verma"/>
        <s v="Christina Scherma"/>
        <s v="James Buckley"/>
        <s v="Bernard Student"/>
        <s v="James Curtin"/>
        <s v="Scott Ramer"/>
        <s v="Lora Leigh Nunnelley"/>
        <s v="Andrew Skor"/>
        <s v="Chris King"/>
        <s v="Michael Giampa"/>
        <s v="Katie McGonigal"/>
        <s v="Kanth Sishtla"/>
        <s v="Pamela Johnston"/>
        <s v="Jason Murray"/>
        <s v="Greg Gothie"/>
        <s v="Davin MacKenzie"/>
        <s v="David Baral"/>
        <s v="Matthew Bruckerhoff"/>
        <s v="Vicki Wang"/>
        <s v="Paul Leinwand"/>
        <s v="Chris Smith"/>
        <s v="John Garvey"/>
        <s v="Jake Kimball"/>
        <s v="Conrad Balejko"/>
        <s v="Bharath Mamathambika"/>
        <s v="Jeanne Lambkin"/>
        <s v="Matamba Austin"/>
        <s v="Sarah Tunku Mu'Tamir"/>
        <s v="Cara Murphy"/>
        <s v="Verne Perigord"/>
        <s v="Debjit Banerjee"/>
        <s v="Gerardo Shibata"/>
        <s v="Jeffrey Yen"/>
        <s v="Alexander White"/>
        <s v="Kaiser Kaiserani"/>
        <s v="Richard Altham"/>
        <s v="Brian Romine"/>
        <s v="Alex Thomas"/>
        <s v="Ali Furman"/>
        <s v="Aviad Gamliel"/>
        <s v="Kayvan Shahabi"/>
        <s v="Tana Treearphorn"/>
        <s v="Elena Pretto"/>
        <s v="Mauricio Gallardo"/>
        <s v="Darren Shea"/>
        <s v="Robert Ruark"/>
        <s v="Marcus von Engel"/>
        <m/>
      </sharedItems>
    </cacheField>
    <cacheField name="Archetype" numFmtId="0">
      <sharedItems containsBlank="1">
        <s v="Delivery"/>
        <s v="LCP"/>
        <s v="Catalyst"/>
        <e v="#N/A"/>
        <m/>
      </sharedItems>
    </cacheField>
    <cacheField name="Opportunity Lead: Local LOS 1" numFmtId="0">
      <sharedItems containsBlank="1">
        <s v="Consulting Solutions"/>
        <m/>
      </sharedItems>
    </cacheField>
    <cacheField name="Opportunity Lead: Local LOS 2" numFmtId="0">
      <sharedItems containsBlank="1">
        <s v="Transformation"/>
        <m/>
      </sharedItems>
    </cacheField>
    <cacheField name="Opportunity Lead: Local LOS 3" numFmtId="0">
      <sharedItems containsBlank="1">
        <s v="Operations Transform"/>
        <s v="Delivering Deal Val"/>
        <s v="Ent Strategy &amp; Value"/>
        <s v="Clinical Transform"/>
        <s v="Finance Transform"/>
        <s v="Customer Transform"/>
        <s v="Services Transform"/>
        <s v="Workforce Transform"/>
        <s v="Mexico Transform"/>
        <s v="Transformation Natl"/>
        <m/>
      </sharedItems>
    </cacheField>
    <cacheField name="Opportunity Lead: Local LOS 4" numFmtId="0">
      <sharedItems containsBlank="1">
        <s v="Operations Transform"/>
        <s v="Delivering Deal Val"/>
        <s v="Ent Strategy &amp; Value"/>
        <s v="Clinical Transform"/>
        <s v="Finance Transform"/>
        <s v="Customer Transform"/>
        <s v="Services Transform"/>
        <s v="Workforce Transform"/>
        <s v="Mexico Transform"/>
        <s v="Transformation Natl"/>
        <m/>
      </sharedItems>
    </cacheField>
    <cacheField name="Opportunity Lead: Market Team" numFmtId="0">
      <sharedItems containsBlank="1">
        <s v="Operations Transformation [C-000450]"/>
        <s v="Delivering Deal Value [C-000420]"/>
        <s v="Enterprise Strategy &amp; Value [C-000430]"/>
        <s v="Clinical Transformation [C-000400]"/>
        <s v="Finance Transformation [C-000440]"/>
        <s v="Customer Transformation [C-000410]"/>
        <s v="Service Transformation [C-000460]"/>
        <s v="Workforce Transformation [C-000480]"/>
        <s v="Transformation National [C-000470]"/>
        <m/>
      </sharedItems>
    </cacheField>
    <cacheField name="Primary Campaign: Campaign Name" numFmtId="0">
      <sharedItems containsBlank="1">
        <s v="CS_Industry_Ops_EUM_Telecom"/>
        <m/>
        <s v="CS_EDT_CM_IPS"/>
        <s v="CS_EDT_Multi_Funct"/>
        <s v="CS_Industry_Payer"/>
        <s v="CS_Cloud_CM_IPS"/>
        <s v="CS_EDT_BCM_AWM"/>
        <s v="CS_Finance_CM"/>
        <s v="CS_Finance_Banking"/>
        <s v="CS_Industry_Ops_IP_Tech"/>
        <s v="CS_Finance_TMT"/>
        <s v="CS_Commercial_CRM_CM_IPS_HI"/>
        <s v="CS_Industry_Provider_Transformation"/>
        <s v="CS_EDT_TMT"/>
        <s v="CS_Finance_IPS_EUM_PU"/>
        <s v="CS_Industry_Capital_Markets"/>
        <s v="CS_EDT_Health_Services"/>
        <s v="CS_Finance_Insurance"/>
        <s v="CS_Deal_Corporate_M&amp;A_IPS"/>
        <s v="CS_Industry_Insurance"/>
        <s v="CS_Finance_IPS_IP"/>
        <s v="CS_Industry_Ops_CM"/>
        <s v="CS_Industry_Banking"/>
        <s v="CS_Finance_Payer_Pharma"/>
        <s v="CS_Rewards_and_Well-Being"/>
        <s v="CS_MidMarket"/>
        <s v="CS_Deal_Corporate_M&amp;A_PLS_Med"/>
        <s v="CS_Commercial_CRM_FS_TMT"/>
        <s v="CS_Industry_Clinical_R&amp;D"/>
        <s v="CS_HR_Talent_Change"/>
        <s v="CS_Marketing_Transformation"/>
        <s v="CS_HR_Transformation"/>
        <s v="CS_Deal_Corporate_M&amp;A_FS"/>
        <s v="CS_Deal_Corporate_M&amp;A_TMT"/>
        <s v="CS_EDT_PLS"/>
        <s v="AD.BS.EV.SAPPHIRE NOW-ASUG CONFERENCE_GZNB83CM5ZG_05FY19"/>
        <s v="CS_Industry_Ops_PLS"/>
        <s v="CS_Industry_AWM"/>
        <s v="CS_ESG"/>
        <s v="CS_Data_AI_Analytics"/>
        <s v="CS_Deal_Corporate_M&amp;A_Payer_Provider"/>
        <s v="CS_EDT_Insurance"/>
        <s v="ADV_IPS_Managed_Services"/>
        <s v="CS_Cloud_HI"/>
        <s v="Shared Services &amp; Outsourcing"/>
        <s v="CS_Deal_Corporate_M&amp;A_CM"/>
        <s v="Payer_Health_Value_Mgmt"/>
        <s v="Commercial Applications Managed Services"/>
        <s v="DNU: HIA_PLS_FFG_R&amp;D"/>
        <s v="AD_BO_WE_FFG_FINANCE TRANSFORMATION_04FY20_EPM WEBCAST"/>
        <s v="ADV_IPS_R&amp;R"/>
        <s v="ADV_IPS_Hedging"/>
        <s v="CS_TR_CJ_TRANSFORM_FINANCE_CFOC2_01FY22_PULSE SURVEY 2022 OUTLOOK"/>
        <s v="CS_DE_WE_TRANSACTION_DEAL_BD_100779_01FY22_DEALS 2022 OUTLOOK"/>
        <s v="DNU CS_Reg_Strategy_Investigations_Response"/>
        <s v="AD_BO_CJ_FFG_BUSINESS TRANSFORMATION_08FY22_ORACLE HOME PAGE"/>
        <s v="DNU: ADV_FS_FOT_ONEFS"/>
        <s v="AD_BO_CJ_FFG_FINANCE TRANSFORMATION_06FY20_ORACLE FIN STABILITY SELLING TO CFO"/>
        <s v="CS_Risk_Regulatory_Transformation_FS"/>
        <s v="UK Cons Sub Sector - HI&amp;LS PLS"/>
        <s v="ADV_FS_R&amp;R"/>
        <s v="CS_Deal_M&amp;A_PE"/>
        <s v="CS_AL_EV_TRANSFORM_INDUSTRY_BOD_HVNZ6V9N3LJ_02FY22_AD_BO_WM PHOENIX OPEN"/>
        <s v="CS_AL_EV_TRANSFORM_CLOUD_CIO_05FY22_AD_BS_SAP SAPPHIRE 2022"/>
        <s v="ADV_TMT_R&amp;R"/>
        <s v="Payer_Data_&amp;_Analytics"/>
        <s v="CS_Cloud_TMT"/>
        <s v="BXT Works: Products"/>
        <s v="CS_Data_Risk_Privacy"/>
        <s v="HIA FFG-/Digital"/>
        <s v="AD_CA_WOF_AA_MANAGED SERVICES_OTHER_09FY22_STRATEGIC PMO"/>
        <s v="AD_MI_EV_DIGITAL_TRANSCEND TECH_09FY22_DTA"/>
        <s v="DNU CS_Cyber_Operational_Resiliency"/>
        <s v="DNU: HIA_Payer_Interoperability"/>
        <s v="NP.MS.EV.FALL EXCHANGE_VHNHPHLMH6Q_10FY20"/>
        <s v="Connected Solutions"/>
        <s v="#InsightsFactory"/>
        <s v="ADV_FS_Hawk"/>
        <s v="Workforce Inclusion &amp; Diversity"/>
        <s v="IS_ESG Assurance"/>
        <s v="CS_AL_AA_TRANSFORM_OFFICE_CEO_02FY22_AD_SF_WEB FORM SALESFORCE ALLIANCE PAGE"/>
        <s v="DNU_CS_Enterprise_Risk_Transformation"/>
        <s v="CS_AL_CJ_TRANSFORM_OFFICE_CMO_02FY22_AD_MI_MICROSOFT DYNAMICS HIA NURTURE"/>
        <s v="Provider_Customer_DRM"/>
        <s v="GX_FY22_XLOS_BS_Payments"/>
        <s v="Workforce Transformation Monthly Newsletter: Master List"/>
        <s v="AD_DT_AA_DIGITAL_TRANSCEND TECH_10FY22_CUSTOMER LINK CMSWIRE CONTENT SYNDICATION"/>
        <s v="SC_TMT_AA_TRANSFORM_INDUSTRY_CEO_03FY22_SPORTS_OUTLOOK_FORM_FILLS"/>
        <s v="AD_CA_FFG_EV_FFG_BUSINESS TRANSFORMATION_QWNTHX4TC43_12FY21_FP&amp;A ROUNDTABLE"/>
        <s v="ADV_FS_FFG"/>
        <s v="FI FY22 Cybersecurity &amp; Privacy Targeting"/>
        <s v="UK BD Campaign to track Opps and activities"/>
        <s v="Long Duration"/>
        <s v="GX_FY22_XLOS &quot;Beyond Digital&quot; Transformation"/>
        <s v="HIA FFG-Back Office Admin"/>
        <s v="HI.HS.EV.2019 REVENUE CYCLE CONSORTIUM_04FY19"/>
        <s v="F500_FY22_ProEdge_ProductCampaign"/>
        <s v="Digital on Demand Launch - Outbound"/>
        <s v="CS_Cyber_Transformation_Defense_Resilience"/>
        <s v="AD_CA_WOF_CJ_WOF_NWNS_02FY21_PROEDGE DEMO REQUEST FORM"/>
        <s v="ProEdge Targets Digital Upskilling Webcast"/>
        <s v="AD_CA_WOF_CJ_WOF_NWNS_06FY21_SARATOGA LANDING PAGE"/>
        <s v="ADV_CM_Strategic PMO Sourcing"/>
        <s v="ADV_IPS_WFOF"/>
        <s v="AD_CA_WOF_CJ_WOF_NWNS_09FY22_SARATOGA SHRM ANNUAL EVENT"/>
        <s v="AD_CA_WOF_CJ_WOF_NWNS_09FY22_SARATOGA HR TECH EVENT"/>
        <s v="AD_CA_WOF_CJ_WOF_RECOVERY_07FY21_SARATOGA PRODUCT PAGE WEB FORM"/>
        <s v="AD_CA_WOF_CJ_WOF_NWNS_11FY22_SARATOGA BENCHMARKING RESULTS EBOOK"/>
        <s v="Saratoga_POD_Hospitals and Health Systems"/>
        <s v="Saratoga_POD_Manufacturing (Excluding Aerospace &amp; Chemical)"/>
        <s v="Saratoga_POD_Technology - Software"/>
        <s v="FW_PM_AA_TRANSFORM_REWARDS_CHRO_02FY22_SARATOGA REDUCING TURNOVER EBOOK"/>
        <s v="MK.SE.EV.PWC FUTURE ROADS AHEAD_JNNXJWFYV5W_10FY20"/>
        <s v="FW_PM_EV_TRANSFORM_TALENT_CHRO_04FY22_SARATOGA ASHHRA BOOTH LEADS"/>
        <s v="ADV_CM_FFG_EP"/>
      </sharedItems>
    </cacheField>
    <cacheField name="Opportunity Lead: Employee Number" numFmtId="0">
      <sharedItems containsString="0" containsBlank="1" containsNumber="1" containsInteger="1">
        <n v="1.00660652E8"/>
        <n v="1.00587944E8"/>
        <n v="1.00690767E8"/>
        <n v="1.01059432E8"/>
        <n v="1.0060843E8"/>
        <n v="1.00640331E8"/>
        <n v="1.00609569E8"/>
        <n v="1.00653539E8"/>
        <n v="1.00651722E8"/>
        <n v="1.00596941E8"/>
        <n v="1.00641038E8"/>
        <n v="1.01225952E8"/>
        <n v="1.00592496E8"/>
        <n v="1.00651441E8"/>
        <n v="1.00658522E8"/>
        <n v="1.00652489E8"/>
        <n v="1.00619165E8"/>
        <n v="1.01068117E8"/>
        <n v="1.00589741E8"/>
        <n v="1.00650575E8"/>
        <n v="1.00590896E8"/>
        <n v="1.01200292E8"/>
        <n v="1.00628186E8"/>
        <n v="1.00660017E8"/>
        <n v="1.00650619E8"/>
        <n v="1.00882501E8"/>
        <n v="1.00658519E8"/>
        <n v="1.00617853E8"/>
        <n v="1.00640433E8"/>
        <n v="1.00659114E8"/>
        <n v="1.00633579E8"/>
        <n v="1.00597826E8"/>
        <n v="1.00608828E8"/>
        <n v="1.00613095E8"/>
        <n v="1.00642806E8"/>
        <n v="1.00651094E8"/>
        <n v="1.00654705E8"/>
        <n v="1.00646485E8"/>
        <n v="1.00599669E8"/>
        <n v="1.00619817E8"/>
        <n v="1.00610483E8"/>
        <n v="1.00582847E8"/>
        <n v="1.00588753E8"/>
        <n v="1.01072617E8"/>
        <n v="1.00658132E8"/>
        <n v="1.0059112E8"/>
        <n v="1.00642129E8"/>
        <n v="1.0064407E8"/>
        <n v="1.00650375E8"/>
        <n v="1.00654085E8"/>
        <n v="1.00653756E8"/>
        <n v="1.00611486E8"/>
        <n v="1.00652846E8"/>
        <n v="1.01170594E8"/>
        <n v="1.00660049E8"/>
        <n v="1.00654864E8"/>
        <n v="1.00623914E8"/>
        <n v="1.00627768E8"/>
        <n v="1.0062347E8"/>
        <n v="1.00620711E8"/>
        <n v="1.01001596E8"/>
        <n v="1.00662144E8"/>
        <n v="1.00646702E8"/>
        <n v="1.00586314E8"/>
        <n v="1.00579505E8"/>
        <n v="1.00700761E8"/>
        <n v="1.005886E8"/>
        <n v="1.00625415E8"/>
        <n v="1.00660495E8"/>
        <n v="1.00869732E8"/>
        <n v="1.00609607E8"/>
        <n v="1.00646519E8"/>
        <n v="1.00646427E8"/>
        <n v="1.00591141E8"/>
        <n v="1.0089503E8"/>
        <n v="1.00653597E8"/>
        <n v="1.00904602E8"/>
        <n v="1.01062258E8"/>
        <n v="1.00616804E8"/>
        <n v="1.00609073E8"/>
        <n v="1.00629293E8"/>
        <n v="1.00904601E8"/>
        <n v="1.00622378E8"/>
        <n v="1.00587866E8"/>
        <n v="1.00642379E8"/>
        <n v="1.00899005E8"/>
        <n v="1.00616656E8"/>
        <n v="1.00629729E8"/>
        <n v="1.00686761E8"/>
        <n v="1.0061032E8"/>
        <n v="1.00610205E8"/>
        <n v="1.00619765E8"/>
        <n v="1.00589481E8"/>
        <n v="1.0058798E8"/>
        <n v="1.0061139E8"/>
        <n v="1.00661738E8"/>
        <n v="1.01077909E8"/>
        <n v="1.00581784E8"/>
        <n v="1.00647674E8"/>
        <n v="1.00621664E8"/>
        <n v="1.00584422E8"/>
        <n v="1.0115972E8"/>
        <n v="1.00655091E8"/>
        <n v="1.00586701E8"/>
        <n v="1.00941744E8"/>
        <n v="1.00653785E8"/>
        <n v="1.0112897E8"/>
        <n v="1.01033479E8"/>
        <n v="1.00649698E8"/>
        <n v="1.00592304E8"/>
        <n v="1.00592305E8"/>
        <n v="1.00653269E8"/>
        <n v="1.00653499E8"/>
        <n v="1.00595407E8"/>
        <n v="1.00623421E8"/>
        <n v="1.00708984E8"/>
        <n v="1.00608243E8"/>
        <n v="1.00657929E8"/>
        <n v="1.00611358E8"/>
        <n v="1.00607644E8"/>
        <n v="1.00651901E8"/>
        <n v="1.00623453E8"/>
        <n v="1.00609514E8"/>
        <n v="1.00619899E8"/>
        <n v="1.00879751E8"/>
        <n v="1.0090037E8"/>
        <n v="1.00633489E8"/>
        <n v="1.00650344E8"/>
        <n v="1.00594872E8"/>
        <n v="1.00601386E8"/>
        <n v="1.01131115E8"/>
        <n v="1.00634994E8"/>
        <n v="1.00609827E8"/>
        <n v="1.00649215E8"/>
        <n v="1.00603613E8"/>
        <n v="1.00651298E8"/>
        <n v="1.00647262E8"/>
        <n v="1.01131118E8"/>
        <n v="1.00654991E8"/>
        <n v="1.00633643E8"/>
        <n v="1.00586863E8"/>
        <n v="1.00595231E8"/>
        <n v="1.00625774E8"/>
        <n v="1.00968114E8"/>
        <n v="1.01127868E8"/>
        <n v="1.00943277E8"/>
        <n v="1.0059727E8"/>
        <n v="1.00608155E8"/>
        <n v="1.00586959E8"/>
        <n v="1.00621724E8"/>
        <n v="1.00609871E8"/>
        <n v="1.00626753E8"/>
        <n v="1.006096E8"/>
        <n v="1.00584043E8"/>
        <n v="1.006299E8"/>
        <n v="1.01059157E8"/>
        <n v="1.00653074E8"/>
        <n v="1.00660608E8"/>
        <n v="1.00613915E8"/>
        <n v="1.00631257E8"/>
        <n v="1.00594397E8"/>
        <n v="1.0061941E8"/>
        <n v="1.00585872E8"/>
        <n v="1.00589587E8"/>
        <n v="1.00612518E8"/>
        <n v="1.00869794E8"/>
        <n v="1.00584032E8"/>
        <n v="1.00587434E8"/>
        <n v="1.00610014E8"/>
        <n v="1.00609118E8"/>
        <n v="1.0059033E8"/>
        <n v="1.00652169E8"/>
        <n v="1.00643044E8"/>
        <n v="1.00599107E8"/>
        <n v="1.00997154E8"/>
        <n v="1.00632803E8"/>
        <n v="1.00649673E8"/>
        <n v="1.00619007E8"/>
        <n v="1.006324E8"/>
        <n v="1.00898415E8"/>
        <n v="1.00630016E8"/>
        <n v="1.00651554E8"/>
        <n v="1.00711752E8"/>
        <n v="1.00637597E8"/>
        <n v="1.00618842E8"/>
        <n v="1.00646908E8"/>
        <n v="1.00611316E8"/>
        <n v="1.01141441E8"/>
        <n v="1.00587799E8"/>
        <n v="1.00646452E8"/>
        <n v="1.00645852E8"/>
        <n v="1.0065462E8"/>
        <n v="1.0062009E8"/>
        <n v="1.00650657E8"/>
        <n v="1.00650786E8"/>
        <n v="1.00648421E8"/>
        <n v="1.00623248E8"/>
        <n v="1.00589728E8"/>
        <n v="1.00596555E8"/>
        <n v="1.00901211E8"/>
        <n v="1.00599944E8"/>
        <n v="1.00635215E8"/>
        <n v="1.00964362E8"/>
        <n v="1.00639495E8"/>
        <n v="1.00610242E8"/>
        <n v="1.00597983E8"/>
        <n v="1.00610489E8"/>
        <n v="1.00593918E8"/>
        <n v="1.00617113E8"/>
        <n v="1.00647536E8"/>
        <n v="1.00645232E8"/>
        <n v="1.0060553E8"/>
        <n v="1.01025735E8"/>
        <n v="1.0064195E8"/>
        <n v="1.00637664E8"/>
        <n v="1.01152213E8"/>
        <n v="1.00638639E8"/>
        <n v="1.00612834E8"/>
        <n v="1.00626539E8"/>
        <n v="1.00613841E8"/>
        <n v="1.00956516E8"/>
        <n v="1.01193937E8"/>
        <n v="1.00955805E8"/>
        <n v="1.01026035E8"/>
        <n v="1.0119869E8"/>
        <n v="1.00649264E8"/>
        <n v="1.0065343E8"/>
        <n v="1.00619692E8"/>
        <n v="1.00638494E8"/>
        <n v="1.00596618E8"/>
        <n v="1.00893232E8"/>
        <n v="1.00580065E8"/>
        <n v="1.00611284E8"/>
        <n v="1.00624533E8"/>
        <n v="1.01076271E8"/>
        <n v="1.0058019E8"/>
        <n v="1.01215106E8"/>
        <n v="1.0061233E8"/>
        <n v="1.00612055E8"/>
        <n v="1.00619607E8"/>
        <n v="1.00645538E8"/>
        <n v="1.00653977E8"/>
        <n v="1.00610903E8"/>
        <n v="1.00626898E8"/>
        <n v="1.00612395E8"/>
        <n v="1.00649726E8"/>
        <n v="1.00639477E8"/>
        <n v="1.00600975E8"/>
        <n v="1.00608366E8"/>
        <n v="1.00886112E8"/>
        <n v="1.00631322E8"/>
        <n v="1.00649936E8"/>
        <n v="1.0059365E8"/>
        <n v="1.00587894E8"/>
        <n v="1.00648457E8"/>
        <n v="1.00635485E8"/>
        <n v="1.00650783E8"/>
        <n v="1.00650678E8"/>
        <n v="1.00656722E8"/>
        <n v="1.01078216E8"/>
        <n v="1.00628181E8"/>
        <n v="1.00613761E8"/>
        <n v="1.00647488E8"/>
        <n v="1.00619128E8"/>
        <n v="1.0061108E8"/>
        <n v="1.00620162E8"/>
        <n v="1.00648136E8"/>
        <n v="1.00625755E8"/>
        <n v="1.00642238E8"/>
        <n v="1.00610419E8"/>
        <n v="1.00634919E8"/>
        <n v="1.00652454E8"/>
        <n v="1.00892076E8"/>
        <n v="1.00660092E8"/>
        <n v="1.00660029E8"/>
        <n v="1.01051394E8"/>
        <n v="1.00632514E8"/>
        <n v="1.00659458E8"/>
        <n v="1.00690774E8"/>
        <n v="1.00590772E8"/>
        <n v="1.00599268E8"/>
        <n v="1.00628059E8"/>
        <n v="1.01082364E8"/>
        <n v="1.00643454E8"/>
        <n v="1.00611351E8"/>
        <n v="1.00690563E8"/>
        <n v="1.00609544E8"/>
        <n v="1.00606975E8"/>
        <n v="1.00650713E8"/>
        <n v="1.0062606E8"/>
        <n v="1.00607244E8"/>
        <n v="1.00610367E8"/>
        <n v="1.00866856E8"/>
        <n v="1.00655465E8"/>
        <n v="1.006376E8"/>
        <n v="1.0059719E8"/>
        <n v="1.00586524E8"/>
        <n v="1.00637221E8"/>
        <n v="1.00641939E8"/>
        <n v="1.0059132E8"/>
        <n v="1.00609611E8"/>
        <n v="1.00660701E8"/>
        <n v="1.00602451E8"/>
        <n v="1.00654835E8"/>
        <n v="1.00610052E8"/>
        <n v="1.00649654E8"/>
        <n v="1.00608521E8"/>
        <n v="1.00647463E8"/>
        <n v="1.00621746E8"/>
        <n v="1.00650064E8"/>
        <n v="1.01074419E8"/>
        <n v="1.01238285E8"/>
        <n v="1.00589948E8"/>
        <n v="1.01054651E8"/>
        <n v="1.00616377E8"/>
        <n v="1.00650568E8"/>
        <n v="1.00647935E8"/>
        <n v="1.00627256E8"/>
        <n v="1.00638978E8"/>
        <n v="1.01074484E8"/>
        <n v="1.00626436E8"/>
        <n v="1.00604298E8"/>
        <n v="1.00649928E8"/>
        <n v="1.01093101E8"/>
        <n v="1.00584866E8"/>
        <n v="1.00586452E8"/>
        <n v="1.00620159E8"/>
        <n v="1.01170527E8"/>
        <n v="1.00651896E8"/>
        <n v="1.00651946E8"/>
        <n v="1.00622716E8"/>
        <n v="1.00592784E8"/>
        <n v="1.00633763E8"/>
        <n v="1.00625578E8"/>
        <n v="1.00609005E8"/>
        <n v="1.00586233E8"/>
        <n v="1.00628085E8"/>
        <n v="1.00636461E8"/>
        <n v="1.0105484E8"/>
        <n v="1.01213659E8"/>
        <n v="1.00904603E8"/>
        <n v="1.00653021E8"/>
        <n v="1.00655073E8"/>
        <n v="1.0066189E8"/>
        <n v="1.01141463E8"/>
        <n v="1.01143771E8"/>
        <n v="1.00618416E8"/>
        <n v="1.00588959E8"/>
        <n v="1.00643097E8"/>
        <n v="1.00702554E8"/>
        <n v="1.00628223E8"/>
        <n v="1.00611003E8"/>
        <n v="1.00662113E8"/>
        <n v="1.00610426E8"/>
        <n v="1.00652203E8"/>
        <n v="1.00586786E8"/>
        <n v="1.00658777E8"/>
        <n v="1.00651086E8"/>
        <n v="1.00652666E8"/>
        <n v="1.00659524E8"/>
        <n v="1.00574828E8"/>
        <n v="1.00929557E8"/>
        <n v="1.00650382E8"/>
        <n v="1.00658814E8"/>
        <n v="1.0058537E8"/>
        <n v="1.00598931E8"/>
        <n v="1.00611158E8"/>
        <n v="1.00589248E8"/>
        <n v="1.00953783E8"/>
        <n v="1.00649472E8"/>
        <n v="1.00651998E8"/>
        <n v="1.00637651E8"/>
        <n v="1.00652316E8"/>
        <n v="1.00650841E8"/>
        <n v="1.00638855E8"/>
        <n v="1.00654914E8"/>
        <n v="1.00608164E8"/>
        <n v="1.00589299E8"/>
        <n v="1.00649566E8"/>
        <n v="1.00611547E8"/>
        <n v="1.01200304E8"/>
        <n v="1.01088146E8"/>
        <n v="1.00627224E8"/>
        <n v="1.00592741E8"/>
        <n v="1.00623535E8"/>
        <n v="1.00605616E8"/>
        <n v="1.00650306E8"/>
        <n v="1.00646809E8"/>
        <n v="1.00622174E8"/>
        <n v="1.00638346E8"/>
        <n v="1.00592587E8"/>
        <n v="1.00581763E8"/>
        <n v="1.00655236E8"/>
        <n v="1.00694651E8"/>
        <n v="1.00584558E8"/>
        <n v="1.00661817E8"/>
        <n v="1.00945646E8"/>
        <n v="1.00910245E8"/>
        <n v="1.00888587E8"/>
        <n v="1.00869674E8"/>
        <n v="1.00657185E8"/>
        <n v="1.00914325E8"/>
        <n v="1.00609187E8"/>
        <n v="1.0065605E8"/>
        <n v="1.00651638E8"/>
        <n v="1.00628891E8"/>
        <n v="1.00625459E8"/>
        <n v="1.00579873E8"/>
        <n v="1.00650304E8"/>
        <n v="1.00660061E8"/>
        <n v="1.0062141E8"/>
        <n v="1.00616269E8"/>
        <n v="1.00585952E8"/>
        <n v="1.0066064E8"/>
        <n v="1.00648847E8"/>
        <n v="1.01169845E8"/>
        <n v="1.01059844E8"/>
        <n v="1.00586334E8"/>
        <n v="1.01088701E8"/>
        <n v="1.0059557E8"/>
        <n v="1.00935884E8"/>
        <n v="1.00646804E8"/>
        <n v="1.00620934E8"/>
        <n v="1.00592715E8"/>
        <n v="1.01017204E8"/>
        <n v="1.00585718E8"/>
        <n v="1.00637587E8"/>
        <n v="1.00620023E8"/>
        <n v="1.0064746E8"/>
        <n v="1.00986592E8"/>
        <n v="1.00585834E8"/>
        <n v="1.00600653E8"/>
        <n v="1.00609226E8"/>
        <n v="1.00875111E8"/>
        <n v="1.00619685E8"/>
        <n v="1.01164038E8"/>
        <n v="1.00648252E8"/>
        <n v="1.00587881E8"/>
        <n v="1.00603236E8"/>
        <n v="1.00634482E8"/>
        <n v="1.00463736E8"/>
        <n v="1.00618376E8"/>
        <n v="1.00615814E8"/>
        <n v="1.01117107E8"/>
        <n v="1.0060792E8"/>
        <n v="1.00656882E8"/>
        <n v="1.01211068E8"/>
        <n v="1.01198053E8"/>
        <n v="1.00610826E8"/>
        <n v="1.00639134E8"/>
        <n v="1.00641485E8"/>
        <n v="1.00620643E8"/>
        <n v="1.00568413E8"/>
        <n v="1.00609393E8"/>
        <n v="1.00659846E8"/>
        <n v="1.00896447E8"/>
        <n v="1.00611354E8"/>
        <n v="1.01093737E8"/>
        <n v="1.01090224E8"/>
        <n v="1.00625588E8"/>
        <n v="1.00657831E8"/>
        <n v="1.00644077E8"/>
        <n v="1.00625563E8"/>
        <n v="1.00605581E8"/>
        <n v="1.00910509E8"/>
        <n v="1.00569225E8"/>
        <n v="1.00649463E8"/>
        <n v="1.00642861E8"/>
        <n v="1.0064547E8"/>
        <n v="1.00640945E8"/>
        <n v="1.00593442E8"/>
        <n v="1.01235932E8"/>
        <n v="1.00615309E8"/>
        <n v="1.01138319E8"/>
        <n v="1.00650453E8"/>
        <n v="1.00933537E8"/>
        <n v="1.00580806E8"/>
        <n v="1.00652988E8"/>
        <n v="1.00652479E8"/>
        <n v="1.00591095E8"/>
        <n v="1.00586097E8"/>
        <n v="1.00612746E8"/>
        <n v="1.00597272E8"/>
        <n v="1.00624257E8"/>
        <n v="1.00641346E8"/>
        <n v="1.00648324E8"/>
        <n v="1.00634752E8"/>
        <n v="1.00589278E8"/>
        <n v="1.00609257E8"/>
        <n v="1.00588086E8"/>
        <n v="1.01230882E8"/>
        <n v="1.00629231E8"/>
        <n v="1.00627876E8"/>
        <n v="1.00694303E8"/>
        <n v="1.00660934E8"/>
        <n v="1.00624329E8"/>
        <n v="1.00632043E8"/>
        <n v="1.01144324E8"/>
        <n v="1.00624244E8"/>
        <n v="1.0049491E8"/>
        <n v="1.01204051E8"/>
        <n v="1.00646652E8"/>
        <n v="1.00650254E8"/>
        <n v="1.00923205E8"/>
        <n v="1.00911004E8"/>
        <n v="1.00585036E8"/>
        <n v="1.00634003E8"/>
        <n v="1.00644305E8"/>
        <n v="1.01210545E8"/>
        <n v="1.00591654E8"/>
        <n v="1.00643946E8"/>
        <n v="1.00591972E8"/>
        <n v="1.01161608E8"/>
        <n v="1.00607287E8"/>
        <n v="1.00592932E8"/>
        <n v="1.00593964E8"/>
        <n v="1.01152256E8"/>
        <n v="1.00878565E8"/>
        <n v="1.00597339E8"/>
        <n v="1.00692189E8"/>
        <n v="1.00599962E8"/>
        <n v="1.00639641E8"/>
        <n v="1.0061246E8"/>
        <n v="1.00609525E8"/>
        <n v="1.00616623E8"/>
        <n v="1.00599152E8"/>
        <n v="1.00686054E8"/>
        <n v="1.00594243E8"/>
        <n v="1.00922604E8"/>
        <n v="1.00602528E8"/>
        <n v="1.00629785E8"/>
        <n v="1.00611771E8"/>
        <n v="1.00613669E8"/>
        <n v="1.01186492E8"/>
        <n v="1.00595346E8"/>
        <n v="1.0065104E8"/>
        <n v="1.01147686E8"/>
        <n v="1.00624527E8"/>
        <n v="1.01090216E8"/>
        <n v="1.00614969E8"/>
        <n v="1.00647314E8"/>
        <n v="1.00659145E8"/>
        <n v="1.00963608E8"/>
        <n v="1.0059632E8"/>
        <n v="1.00644939E8"/>
        <n v="1.00642211E8"/>
        <n v="1.00635527E8"/>
        <n v="1.00587219E8"/>
        <n v="1.00611501E8"/>
        <n v="1.00611212E8"/>
        <n v="1.00639226E8"/>
        <n v="1.01077583E8"/>
        <n v="1.00642202E8"/>
        <n v="1.00607635E8"/>
        <n v="1.01102846E8"/>
        <n v="1.00650162E8"/>
        <n v="1.00869655E8"/>
        <n v="1.00653494E8"/>
        <n v="1.00611377E8"/>
        <n v="1.01237665E8"/>
        <n v="1.00650967E8"/>
        <n v="1.00613849E8"/>
        <n v="1.01154613E8"/>
        <n v="1.00983419E8"/>
        <n v="1.00882877E8"/>
        <n v="1.0060809E8"/>
        <n v="1.00625107E8"/>
        <n v="1.00658994E8"/>
        <n v="1.0065052E8"/>
        <n v="1.0064702E8"/>
        <n v="1.00608247E8"/>
        <n v="1.0058653E8"/>
        <n v="1.00589892E8"/>
        <n v="1.01080198E8"/>
        <n v="1.00975161E8"/>
        <n v="1.00707861E8"/>
        <n v="1.00609615E8"/>
        <n v="1.00589357E8"/>
        <n v="1.00608383E8"/>
        <n v="1.00620553E8"/>
        <n v="1.00591676E8"/>
        <n v="1.00654054E8"/>
        <n v="1.01078151E8"/>
        <n v="1.00611799E8"/>
        <n v="1.01238292E8"/>
        <n v="1.0065102E8"/>
        <n v="1.01148201E8"/>
        <n v="1.00631616E8"/>
        <n v="1.00878189E8"/>
        <n v="1.01127888E8"/>
        <n v="1.00614144E8"/>
        <n v="1.00882152E8"/>
        <n v="1.01083148E8"/>
        <n v="1.0065252E8"/>
        <n v="1.00927997E8"/>
        <n v="1.00639544E8"/>
        <n v="1.00589292E8"/>
        <n v="1.01216124E8"/>
        <n v="1.00612509E8"/>
        <n v="1.01000708E8"/>
        <n v="1.00613342E8"/>
        <n v="1.01146755E8"/>
        <n v="1.00659865E8"/>
        <n v="1.01161639E8"/>
        <n v="1.00653538E8"/>
        <n v="1.01235519E8"/>
        <n v="1.00637451E8"/>
        <n v="1.00611781E8"/>
        <n v="1.00866857E8"/>
        <n v="1.00590659E8"/>
        <n v="1.00694304E8"/>
        <n v="1.00603415E8"/>
        <n v="1.0059452E8"/>
        <n v="1.01195036E8"/>
        <n v="1.01148689E8"/>
        <n v="1.0061962E8"/>
        <n v="1.00609628E8"/>
        <n v="1.00595635E8"/>
        <n v="1.0060437E8"/>
        <n v="1.0059101E8"/>
        <n v="1.00702365E8"/>
        <n v="1.01218675E8"/>
        <n v="1.00630909E8"/>
        <n v="1.0058867E8"/>
        <n v="1.00623111E8"/>
        <n v="1.0061717E8"/>
        <n v="1.0061958E8"/>
        <n v="1.00633795E8"/>
        <n v="1.00608771E8"/>
        <n v="1.00592561E8"/>
        <n v="1.01211126E8"/>
        <n v="1.01120172E8"/>
        <n v="1.00623906E8"/>
        <n v="1.00892374E8"/>
        <n v="1.01215108E8"/>
        <n v="1.00612201E8"/>
        <n v="1.00483178E8"/>
        <n v="1.00588545E8"/>
        <n v="1.00649481E8"/>
        <n v="1.00655738E8"/>
        <n v="1.00614201E8"/>
        <n v="1.00644409E8"/>
        <n v="1.01083532E8"/>
        <n v="1.00656371E8"/>
        <n v="1.00614269E8"/>
        <n v="1.00646035E8"/>
        <n v="1.00624798E8"/>
        <n v="1.00629723E8"/>
        <n v="1.00596619E8"/>
        <n v="1.01154609E8"/>
        <n v="1.00604296E8"/>
        <n v="1.00617864E8"/>
        <n v="1.00639569E8"/>
        <n v="1.01230885E8"/>
        <n v="1.00608282E8"/>
        <n v="1.0059866E8"/>
        <n v="1.009043E8"/>
        <n v="1.01138147E8"/>
        <n v="1.00608136E8"/>
        <n v="1.0061569E8"/>
        <n v="1.00592873E8"/>
        <n v="1.00624615E8"/>
        <n v="1.0096162E8"/>
        <n v="1.00654066E8"/>
        <n v="1.01156917E8"/>
        <n v="1.00638965E8"/>
        <n v="1.00602248E8"/>
        <n v="1.00612715E8"/>
        <n v="1.01056026E8"/>
        <n v="1.01218805E8"/>
        <n v="1.00611721E8"/>
        <n v="1.00606323E8"/>
        <n v="1.00889596E8"/>
        <n v="1.00630003E8"/>
        <n v="1.00875147E8"/>
        <n v="1.00597572E8"/>
        <n v="1.01146063E8"/>
        <n v="1.01176139E8"/>
        <n v="1.00630147E8"/>
        <n v="1.00624248E8"/>
        <n v="1.00609381E8"/>
        <n v="1.00582836E8"/>
        <n v="1.00627554E8"/>
        <n v="1.00599745E8"/>
        <n v="1.00620371E8"/>
        <n v="1.00904278E8"/>
        <n v="1.00626837E8"/>
        <n v="1.00980598E8"/>
        <n v="1.00650183E8"/>
        <n v="1.0115687E8"/>
        <n v="1.00576376E8"/>
        <n v="1.00586521E8"/>
        <n v="1.0060697E8"/>
        <n v="1.00631642E8"/>
        <n v="1.00610875E8"/>
        <n v="1.00640093E8"/>
        <n v="1.006563E8"/>
        <n v="1.01094571E8"/>
        <n v="1.00642273E8"/>
        <n v="1.00660529E8"/>
        <n v="1.00628004E8"/>
        <n v="1.00634698E8"/>
        <n v="1.00588849E8"/>
        <n v="1.00657101E8"/>
        <n v="1.00652956E8"/>
        <n v="1.00691641E8"/>
        <n v="1.00652798E8"/>
        <n v="1.00582604E8"/>
        <n v="1.0065465E8"/>
        <n v="1.00616752E8"/>
        <n v="1.00650501E8"/>
        <n v="1.01248391E8"/>
        <n v="1.00659011E8"/>
        <n v="1.00623235E8"/>
        <n v="1.00619604E8"/>
        <n v="1.00649598E8"/>
        <n v="1.00596849E8"/>
        <n v="1.00660828E8"/>
        <n v="1.00644048E8"/>
        <n v="1.00649997E8"/>
        <n v="1.00628795E8"/>
        <n v="1.01056431E8"/>
        <n v="1.0059329E8"/>
        <n v="1.00646528E8"/>
        <n v="1.00691676E8"/>
        <n v="1.00628649E8"/>
        <n v="1.00661023E8"/>
        <n v="1.00894269E8"/>
        <n v="1.0064028E8"/>
        <n v="1.00634023E8"/>
        <n v="1.0116986E8"/>
        <n v="1.00609078E8"/>
        <n v="1.0062816E8"/>
        <n v="1.01054865E8"/>
        <n v="1.00632697E8"/>
        <n v="1.00599601E8"/>
        <n v="1.00660048E8"/>
        <n v="1.00612587E8"/>
        <m/>
      </sharedItems>
    </cacheField>
    <cacheField name="Connected Opportunity: Opportunity Name" numFmtId="0">
      <sharedItems containsBlank="1">
        <m/>
        <s v="GE Separation - Corporate - Deals-Related Spin Support"/>
        <s v="Intel Cost Transformation"/>
        <s v="Wholesale Credit Risk -  US PM support extension 1H '22 #Core #ChangeNavigator"/>
        <s v="WFT - ERP / EPM/ HCM Phase 2 - Implementation #BigBet"/>
        <s v="Project Amsterdam"/>
        <s v="GE Separation - Corporate - SMO"/>
        <s v="Memorial Sloan-Kettering Cancer Center *VBO* Out of Network &amp; Denial A/R Assistance"/>
        <s v="GB Tech Modernization (Sept '21 -Jan '22)"/>
        <s v="Enterprise Business Transformation - Phase 3"/>
        <s v="AIPM Copperleaf Implementation Release 1"/>
        <s v="Rivian Change Management Support"/>
        <s v="Phase I: Trading system selection and conceptual design"/>
        <s v="Clinician &amp; Patient Engage + Coord Capabilities - Diagnostic Phase"/>
        <s v="GE Separation - Healthcare - SMO - Phase 1"/>
        <s v="FIS - CPQ and Pricing Implementation - Global Design"/>
        <s v="KDP - Digital route to market - eB2B #RGM"/>
        <s v="GE Separation - Corporate - Treasury Ops - Phase I"/>
        <s v="Duracell - Performance Analyzer License"/>
        <s v="WAM/GIS Implementation #BigBet"/>
        <s v="Phase 2 Rev Cycle Application Implementation Support *Rev Cycle* *RC Tech*"/>
        <s v="Mayo Clinic *VBO* Ongoing Placement FY22"/>
        <s v="Duracell HRIS Vendor Selection"/>
        <s v="MSFT DLS FY22 MAVS Support Nimbus H2 Extension"/>
        <s v="Commercialization Capability Build"/>
        <s v="GE Separation- Corporate - IT SMO"/>
        <s v="Martek Phase 0"/>
        <s v="Competitive Pricing Strategy Tool- RFP Response &amp; Phase 1"/>
        <s v="CR 35 - EPOCH Field"/>
        <s v="Steward Health Care System *VBO*"/>
        <s v="PWC CDP &amp; Client Marketing | Ph 2.1"/>
        <s v="MSFT CELA - Project Denali Regulatory Financial Data Support FY22"/>
        <s v="NEOM Digital Health Advisory and Assistance Services (A&amp;AS)"/>
        <s v="GE Separation - Energy - HR Support Phase 1"/>
        <s v="K2 Program Support"/>
        <s v="HP CS SSC Simplify Support"/>
        <s v="Coupa S2P Implementation"/>
        <s v="GE Separation - Energy - SMO Main"/>
        <s v="Pricing Implementation - Phase 1"/>
        <s v="NGC DT- Program Excellence Assessment"/>
        <s v="Project Bull Run - Strategy #DCT"/>
        <s v="M&amp;A Integration Support - IMO"/>
        <s v="Amgen ADI Next Gen Development Strategy: Design Hub, DCT, CTR #DCT #ClinTrialDesign"/>
        <s v="FB R2R Controllership RFQ - FY22"/>
        <s v="MSFT DLS FY22-23 MAVS Support Nimbus Phase 2 and 3 Extension"/>
        <s v="CVS Novologix Implementation Planning"/>
        <s v="AbbVie Centralized Monitoring Assessment &amp; Strategy #DCT"/>
        <s v="Fund Finance Op Model Design"/>
        <s v="PII - Supply Chain Constraint Management ph 1"/>
        <s v="Colonial - Maximo Inventory &amp; Work Mgmt Ph 1"/>
        <s v="H&amp;P - Asset Management Ph 1"/>
        <s v="PSS: CSX Support #PayerCO&amp;ITrans"/>
        <s v="Panduit - Oracle ERP Transformation - Implementation"/>
        <s v="MSFT CELA Reporting FY22"/>
        <s v="Enterprise Shared Services - Op Model Design Phase 1"/>
        <s v="Verily 2022 HRIS Implementation #TMTMSO"/>
        <s v="AdventHealth *VBO* Cerner Legacy A/R FY22 (1 of 3)"/>
        <s v="Project Sapphire - Phase II (FT)"/>
        <s v="Project Denali (ABK) - IMO"/>
        <s v="Moderna Pricing &amp; Contracting Process Design"/>
        <s v="Asset Performance Management - Ph 1"/>
        <s v="Commodity Risk Management - Phase 3: US Rollout and Technology Selection"/>
        <s v="Finance Transformation IT support (3 Part Finance Governance/FOF)"/>
        <s v="Enterprise Level Stakeholder Management (3 Part Finance Governance/FOF)"/>
        <s v="*A&amp;AN* IU Health: Patient Access Transformation - Diagnostic and Assessment (Phase 1)"/>
        <s v="Hillenbrand HCM Implementation"/>
        <s v="Lucid Motors - S/4 Delivery"/>
        <s v="GE Separation - Aviation - SMO"/>
        <s v="Blue Triton Brands - TPM - Phase 1 - SAP TPM #RGM #SAP+M&amp;APE"/>
        <s v="Shell Chemicals - Customer Back Analysis with a sustainability lens"/>
        <s v="Veeva eQMS Program Assessment"/>
        <s v="Distribution Materials Demand Planning Assess and Design"/>
        <s v="Project Badger"/>
        <s v="GIS Implementation #bigbet"/>
        <s v="DVC - GPD turnaround on top of systems (cx + care model + digital)"/>
        <s v="HIG GB PAS Transformation: Mobilization (Apr-Jul 22)"/>
        <s v="R&amp;D organization strategy and alignment #RWDEvGen"/>
        <s v="Project Aurum TDD"/>
        <s v="#QMS eQMS Selection"/>
        <s v="L3Harris Digital Engineering - CY22 Program Support"/>
        <s v="L3Harris Digital Engineering - Ext. 2021"/>
        <s v="Duracell TPM - NA Design + Impl. #RGM"/>
        <s v="Asset Knowledge Management (MRC Risk Model, Supplemental Gas Models, Field Data, UPDM)-Phased"/>
        <s v="Phase 2: Trading system implementation"/>
        <s v="GE Separation - Corporate - GRC"/>
        <s v="Project College - CTO  VMP &amp; Trx"/>
        <s v="2021 KeyBank Dynamic Credit Surveillance Pilot #Comm50B+ #Credit"/>
        <s v="TCCC - FP&amp;A Transformation Phase 1B - Implementation (LRP/LTGM/People/Topline)"/>
        <s v="EHI S2P - Phase 3 Coupa Rollout #S&amp;P"/>
        <s v="Digital Quality Systems Architecture and Selection"/>
        <s v="Banks ETRADE IT Governance Integration"/>
        <s v="Hershey SAP TPM+DME Upgrade + S4 Integration - Change Order 2 #RGM"/>
        <s v="MSFT_CELA_Competition and Market Regulation Group Support - CO2"/>
        <s v="Memorial Sloan-Kettering Cancer Center *VBO* BC Denials A/R Assistance"/>
        <s v="Amica Customer Data Platform - Customer Link License"/>
        <s v="Transocean Inventory - Phase 2+"/>
        <s v="Comcast HR Op Model BXT 1"/>
        <s v="Aries -  2021 Finance Proj Ops"/>
        <s v="UBS Project Overdrive: Customer Link Segmentation Deepening"/>
        <s v="GPE Issuing TAM Assessment"/>
        <s v="DCS Operational Risk Assessment - SCO"/>
        <s v="Avient Finance Operating Model Assessment Phase 1"/>
        <s v="GPC Unifier Extension"/>
        <s v="FDX: B2B Loyalty - contracting; insourcing/outsourcing"/>
        <s v="Northside Hospital Inc. *VBO* Small Balance &amp; Aged A/R"/>
        <s v="FDX Loyalty Assessment &amp; IT Strategy - phase 1"/>
        <s v="AT&amp;T Biz Data Migration Execution and COE Standup - Phase 1"/>
        <s v="FB Content Governance 2022 Support"/>
        <s v="Cardinal Health Supplier Quality System RFP"/>
        <s v="Berra Org Top Team Effectiveness"/>
        <s v="S+N CPQ-Deal Desk Support - Invest *Pricing*"/>
        <s v="Enterprise Quality Assessment and Strategy #QMS"/>
        <s v="Harwick Project - Phase 2 Business Transformation 1/3"/>
        <s v="AAH-Atrium M&amp;A Strategy/Integration"/>
        <s v="Lifepoint IT Assessment"/>
        <s v="GE Separation - Energy - DT Standup Planning (Main)"/>
        <s v="BMS GMP Audit Assessment"/>
        <s v="embecta post spin HR PMO support"/>
        <s v="Anthem CX/HCD CoE Foundation #FF Phase 1"/>
        <s v="ICON Business Unit COE Desktop Evaluations"/>
        <s v="Oracle EPM Planning - Change Management Planning ph 1(Only)"/>
        <s v="Revenue Cycle *Rev Cycle* Operating Model Strategy"/>
        <s v="Comerica Customer Link_EvaluationLicense_#PRO"/>
        <s v="US Comm Ops Redesign - Cobalt Phase 3"/>
        <s v="CVS Novologix Commercial Migration"/>
        <s v="Distribution Network Optimization Strategy"/>
        <s v="ProEdge - #ESG #ProEdgexESG (Investment)"/>
        <s v="Resideo #ESG strategy and implementation plan - Phase 1"/>
        <s v="C2R - Last Mile Process Enhancement"/>
        <s v="AbbVie Intercompany Reconciliation"/>
        <s v="Pivot Bio Readiness"/>
        <s v="MSFT TrIP Risk Refresh"/>
        <s v="RWJ Hamiton Strategy"/>
        <s v="Pillpack Vendor contract digitization and database opportunity"/>
        <s v="Triumph EPM Transformation - Phase 1"/>
        <s v="MSFT Engineering Learning FY22 Instructional Design Consulting Support"/>
        <s v="MSFT TLI and GLD H2 Support"/>
        <s v="MassMutual Extension: Service Model, HR Ops and Comms"/>
        <s v="NEJE PY2020 Pharmacy Assessment (1 of 4)"/>
        <s v="RWJ Hamiton Strategy - Follow-Up"/>
        <s v="AdventHealth *VBO* Denials Mgmt Ongoing Low Balance Work FY22 Extension"/>
        <s v="Projects Shuffle, Lasso and Galaxy IT Deals Support"/>
        <s v="EE&amp;C 3P - Portfolio Management and Prioritization"/>
        <s v="Finance Vision and Workforce Strategy (phase 1)"/>
        <s v="PAS Transformation: Phase 1 - Capability Maturity &amp; Market Evaluation"/>
        <s v="E+H US HR Shared Services Retainer"/>
        <s v="Trading Controls Assessment"/>
        <s v="FIS Government Market Analysis #Alliance #SKO"/>
        <s v="Workday Sales Compensation Support"/>
        <s v="Workflow Build Out Support"/>
        <s v="Cintas - #ESG GHG emissions reduction roadmap"/>
        <s v="Counterparty Risk Management Platform Enhancement"/>
        <s v="NEJE PY2021 Pharmacy Assessment (2 of 4)"/>
        <s v="NEJE PY2020 Pharmacy Assessment (3 of 4)"/>
        <s v="Takeda Model N Data Analytics Strategy"/>
        <s v="Merck MilliporeSigma:  Dynamic Pricing Assessment and Pilot"/>
        <s v="Citi TTS Libor Transition Business Program - ext. H1'2022"/>
        <s v="Yondr Americas - Strategic Support"/>
        <s v="MSIM Content Assessment &amp; Strategy"/>
        <s v="Azure Payer Cloud-migration  #PayerAnalytics #Alliance:MSFT"/>
        <s v="GRS--Global Digital Roadmap #Digital"/>
        <s v="Veeva QMS Implementation #QMS"/>
        <s v="Shell - Chemicals - Louisiana Corridor ESG Risk Assessment"/>
        <s v="Back-office Digital Transformation"/>
        <s v="Roku HR optimization implementation"/>
        <s v="FEMSA - Consolidation  - OneStream Implementation"/>
        <s v="Google MATI Support"/>
        <s v="VCI Contract Management System Assessment"/>
        <s v="SVB PMO - Strategic and Regulatory Initiatives Support"/>
        <s v="Aetna ACA Strategy Review P1"/>
        <s v="Shellpoint Investor Accounting and Investor Reporting Technology Assessment"/>
        <s v="Brooks Future of Commerce Phase 1 - Voice of Customer (VoC)"/>
        <s v="AdventHealth *VBO* Legacy Epic Infusion Services"/>
        <s v="ERP (Oracle Cloud)-Global BluePrint"/>
        <s v="BD Global Pricing - Vendavo Project - Phase 1a Extension *Pricing*"/>
        <s v="Twilio - Super Enablement Services"/>
        <s v="Marsh - TMS Selection"/>
        <s v="Waymo Phase 1 Supplier Diversity Mission / Vision &amp; Exec Preso #ESG"/>
        <s v="HP CS SSC MDM Governance CO"/>
        <s v="Intel Marketplace Bridge"/>
        <s v="IT Org Transformation - workshop"/>
        <s v="ERP Selection and Roadmap - Quality Support"/>
        <s v="T. Marzetti SAP TPM Reporting Test Support CO 2"/>
        <s v="PY2020 Medical Claim Assessment"/>
        <s v="ProEdge: Digital Upskilling in Automation -- Free 30 Day Trial"/>
        <s v="PCMCS model review"/>
        <s v="162(m) Review (FYE 3/31/22)"/>
        <s v="Leave &amp; Absence Management Operational Assessment"/>
        <s v="CDD C&amp;I Solar PV"/>
        <s v="Medicare Discount Research - *Strategic Reimbursement*"/>
        <s v="G&amp;A Benchmarking (Tool Enabled)"/>
        <s v="ProEdge - Broader Enterprise Expansion"/>
        <s v="Coca-Cola ME&amp;E Phase 4 - M+ Transition OPS"/>
        <s v="Operation BEST - Business Readiness &amp; IT Delivery Structure Support"/>
      </sharedItems>
    </cacheField>
    <cacheField name="Opportunity Connection Type" numFmtId="0">
      <sharedItems containsBlank="1">
        <m/>
        <s v="Pull-Through"/>
        <s v="Phased; Parent"/>
        <s v="Phased"/>
        <s v="Change Order; Parent"/>
        <s v="Recurring"/>
        <s v="Recurring; Parent"/>
        <s v="Pull-Through; Parent"/>
        <s v="Change Order"/>
        <s v="Change Order; Pull-Through; Phased; Parent"/>
        <s v="Multiple Client Engagement"/>
      </sharedItems>
    </cacheField>
    <cacheField name="Industry Sector" numFmtId="0">
      <sharedItems containsBlank="1">
        <s v="Power and Utilities"/>
        <s v="Manufacturing"/>
        <s v="Banking and Capital Markets"/>
        <s v="Technology"/>
        <s v="Health Services"/>
        <s v="Energy"/>
        <s v="Business Services"/>
        <s v="Retail"/>
        <s v="Consumer"/>
        <s v="Media and Entertainment"/>
        <s v="Insurance"/>
        <s v="Engineering and Construction"/>
        <s v="Automotive"/>
        <s v="Forest, Paper and Packaging"/>
        <s v="Aerospace and Defence"/>
        <s v="Asset and Wealth Management"/>
        <s v="Pharma and Life Sciences"/>
        <m/>
        <s v="Telecommunications"/>
        <s v="Chemicals"/>
        <s v="Private Equity"/>
        <s v="Transportation and Logistics"/>
        <s v="Regional, State, Local and City Government"/>
        <s v="Hospitality and Leisure"/>
        <s v="G and PS - Other"/>
        <s v="Central, National, Federal Government"/>
        <s v="Metals and Mining"/>
      </sharedItems>
    </cacheField>
    <cacheField name="Opportunity Owner" numFmtId="0">
      <sharedItems containsBlank="1">
        <s v="Sarah Arnall"/>
        <s v="Ryan Hawk"/>
        <s v="Arjun Dhingra"/>
        <s v="John Xu"/>
        <s v="Scott Brown"/>
        <s v="George Mansour"/>
        <s v="Austin Morris"/>
        <s v="Pradeep Pandey"/>
        <s v="Mike Faerber"/>
        <s v="John Tvrdik"/>
        <s v="Carina Hira"/>
        <s v="Matthew Schwienteck"/>
        <s v="Kalil Samra"/>
        <s v="Dave Fioretti"/>
        <s v="Mohib Yousufani"/>
        <s v="Brian Brezina"/>
        <s v="Sanchit Tiwari"/>
        <s v="Gina Hoy"/>
        <s v="Patrick Forster"/>
        <s v="Gaya Kuharajan"/>
        <s v="Kimberly DiNapoli"/>
        <s v="Brandon McCain"/>
        <s v="Rory Weston"/>
        <s v="Scott Levine"/>
        <s v="Keith Considine"/>
        <s v="Robert Gruman"/>
        <s v="Charlotte Reardon"/>
        <s v="Maria Blanco"/>
        <s v="Chris DeMicco"/>
        <s v="Daryl Walcroft"/>
        <s v="David Nestor"/>
        <s v="Tony Bialorucki"/>
        <s v="Jake Bunger"/>
        <s v="Kelly Pedersen"/>
        <s v="Nicholas Durante"/>
        <s v="Suheb Siddiqui"/>
        <s v="Susmitha Kakumani"/>
        <s v="Michael Chapman"/>
        <s v="Dietmar Ostermann"/>
        <s v="Laura Shrum"/>
        <s v="Christopher Joyce"/>
        <s v="Chad Leopard"/>
        <s v="Aditi Bansal"/>
        <s v="Rachael Grossman"/>
        <s v="Peter Domanko"/>
        <s v="John Rich"/>
        <s v="Larry Patrick"/>
        <s v="Robert Walker"/>
        <s v="Michael McDonald"/>
        <s v="Lacey Swanepoel"/>
        <s v="Jim Quick"/>
        <s v="Ellen McInerney"/>
        <s v="John Livingstone"/>
        <s v="Sarah Classen"/>
        <s v="Brett Haynie"/>
        <s v="Justin Kaufman"/>
        <s v="Rob Elliott"/>
        <s v="Deepak Goyal"/>
        <s v="Robert Bucchino"/>
        <s v="Tamika Boateng"/>
        <s v="Brian Decker"/>
        <s v="Randy Brown"/>
        <s v="Kleber Niza"/>
        <s v="Paul Blase"/>
        <s v="Kyle Calcagno"/>
        <s v="Mike Shomaker"/>
        <s v="Rohan Iyer"/>
        <s v="Walker Barnum"/>
        <s v="Krishna Prativadibhayankaram"/>
        <s v="Frank Kobyluch"/>
        <s v="Michael Atamanuk"/>
        <s v="Emily Grehan"/>
        <s v="Ian Sturgess"/>
        <s v="Jason Robert"/>
        <s v="Nori Schurwan"/>
        <s v="Robbie Biggers"/>
        <s v="Louise Fuller"/>
        <s v="Blake Cooper"/>
        <s v="Saikat Sen"/>
        <s v="Daniel Czajkowski"/>
        <s v="Ian Shafer"/>
        <s v="Merry Wright"/>
        <s v="Michelle Klein"/>
        <s v="Adam Taplinger"/>
        <s v="Alex Kushnir"/>
        <s v="Amit Dhir"/>
        <s v="William VanBuskirk"/>
        <s v="Dhruv Shah"/>
        <s v="Gary Ponce"/>
        <s v="Brett Kaufman"/>
        <s v="Sourish Ray"/>
        <s v="Ravi Kalidindi"/>
        <s v="Reagan Strey"/>
        <s v="Matthew Wilhelm"/>
        <s v="Dean Nicolacakis"/>
        <s v="Kabid Choudhury"/>
        <s v="Ken Lesniak"/>
        <s v="Navneeth Krishnan Srinivasan"/>
        <s v="John Dougherty"/>
        <s v="Danielle Murphy"/>
        <s v="Tina Schrier"/>
        <s v="Arjun Saxena"/>
        <s v="Deb Seidner"/>
        <s v="Christopher Harner"/>
        <s v="Abigail Morris"/>
        <s v="Jay Kaduson"/>
        <s v="Stacey Empson"/>
        <s v="Daniel Hays"/>
        <s v="Joe Henderson"/>
        <s v="Michael Kelley"/>
        <s v="Brian Hurleigh"/>
        <s v="Nathan Kolmodin"/>
        <s v="Reza Jenab"/>
        <s v="Dave Powell"/>
        <s v="Titikshu Atoliya"/>
        <s v="Livia Dinu"/>
        <s v="Ethan Dameron"/>
        <s v="Mellony Jayroe"/>
        <s v="Prasanna Moghe"/>
        <s v="Chris Harjung"/>
        <s v="Shubhankar Goswami"/>
        <s v="John Rolston"/>
        <s v="Ian Kahn"/>
        <s v="Daniel Rash"/>
        <s v="Amber Papadopoulos"/>
        <s v="Amanda Chapman"/>
        <s v="John Andrewes"/>
        <s v="Eric Dowley"/>
        <s v="Hannah VanParys"/>
        <s v="Todd Shores"/>
        <s v="Marisela Lewis"/>
        <s v="Allison Peterson"/>
        <s v="Brian Kemmerer"/>
        <s v="Natalie Theodore"/>
        <s v="Lawrence Nesser"/>
        <s v="Sara Bartolucci"/>
        <s v="Matt Morrison"/>
        <s v="Derek Baker"/>
        <s v="David Sisko"/>
        <s v="Kelsey LeVangie"/>
        <s v="Matthew Comte"/>
        <s v="Jose Rocha"/>
        <s v="Kyle Siemers"/>
        <s v="Alex Legan"/>
        <s v="Travis Bell"/>
        <s v="Frank Lemmon"/>
        <s v="Stephen Pillsbury"/>
        <s v="Kelly Tsaur"/>
        <s v="Claudia Douglass"/>
        <s v="Gregory Laverriere"/>
        <s v="Jessica Mendel"/>
        <s v="Timothy Kuroda"/>
        <s v="Amy Neilson"/>
        <s v="Mike Scheller"/>
        <s v="Bryan Sung"/>
        <s v="Emily Wachholz"/>
        <s v="Steve Woodlock"/>
        <s v="Carlos Moreira"/>
        <s v="Mojdeh Singh"/>
        <s v="Elizabeth Hondros"/>
        <s v="Jon Souder"/>
        <s v="Lawrence Taylor"/>
        <s v="Sundar Subramanian"/>
        <s v="Richard Grisoli"/>
        <s v="Douglas Mitchell"/>
        <s v="Phil Regnault"/>
        <s v="Christopher Dimuzio"/>
        <s v="Priyanka Chaudhary"/>
        <s v="Katie Griffith"/>
        <s v="Praveen Krishna"/>
        <s v="Michelle Laine"/>
        <s v="Kiran Jagal"/>
        <s v="Pablo Marquez"/>
        <s v="Alex Marsden"/>
        <s v="Sierra Hawthorne"/>
        <s v="Murali Nallapaty"/>
        <s v="Suni Shamapande"/>
        <s v="Jill Parsons"/>
        <s v="Joel Feliciano"/>
        <s v="Erik Cortez"/>
        <s v="Erica Yung"/>
        <s v="Katie Andersen"/>
        <s v="Naman Kuwadia"/>
        <s v="Sharad Narayan"/>
        <s v="Jason Wagner"/>
        <s v="Aparna Kumar"/>
        <s v="Sarah Sprague"/>
        <s v="Mayank Gupta"/>
        <s v="Andrew Haslehust-Smith"/>
        <s v="Diane Youden"/>
        <s v="Ralph Roam"/>
        <s v="Megan Woods"/>
        <s v="Karlie Humphreys"/>
        <s v="Doug Anderson"/>
        <s v="Jared Schreff"/>
        <s v="Mike Ross"/>
        <s v="Ankur Udani"/>
        <s v="Tiago Leal"/>
        <s v="Lana Raymonde"/>
        <s v="Mukesh Singh"/>
        <s v="Ryan Richards"/>
        <s v="Laurie Ann Fleet"/>
        <s v="Rick Edmunds"/>
        <s v="Kaci Riverol"/>
        <s v="Steven Klatt-Lasso"/>
        <s v="Justin O'Connor"/>
        <s v="Marigrace Ambrosia"/>
        <s v="Alyson Simonetta-Larkin"/>
        <s v="Brian Updike"/>
        <s v="Ted Fuhr"/>
        <s v="Aubrey Hochstuhl"/>
        <s v="Kristin Craig"/>
        <s v="Denise Zwald"/>
        <s v="Marwan Zakaria"/>
        <s v="Anthony Di Stefano"/>
        <s v="Alex Tallarida"/>
        <s v="Emily Zhang"/>
        <s v="Michael Berland"/>
        <s v="Jan Paul Zonnenberg"/>
        <s v="Christopher Ayers"/>
        <s v="Robert Ruark"/>
        <s v="James McNeil"/>
        <s v="Maggie Adams"/>
        <s v="Alexander Wisniewski"/>
        <s v="Paul Bird"/>
        <s v="Todd Bargman"/>
        <s v="Amit Edla"/>
        <s v="Kaite Coyne"/>
        <s v="Sean Centilli"/>
        <s v="Lilly Ou"/>
        <s v="Ramankutty Anoop"/>
        <s v="Drew Kaneps"/>
        <s v="Faeez Yousuff"/>
        <s v="Kristin Sharp"/>
        <s v="Francis Ruffy"/>
        <s v="Sean Rooney"/>
        <s v="Karan Sahni"/>
        <s v="Mikel Nicks"/>
        <s v="Bill Schmitt"/>
        <s v="Andres Gomez"/>
        <s v="Penny Boswell"/>
        <s v="David Moss"/>
        <s v="David Ganiear"/>
        <s v="Jason Gaswirth"/>
        <s v="Verawaty Sudjono"/>
        <s v="Eden Passon"/>
        <s v="Hans Breville"/>
        <s v="Blake Wetzel"/>
        <s v="Noam Heller"/>
        <s v="Cara Arnold"/>
        <s v="Lisebeth Forbes"/>
        <s v="Nisheet Bhalla"/>
        <s v="Peter Johnson"/>
        <s v="Zach Zimmer"/>
        <s v="Dinkar Saran"/>
        <s v="Sammy Njogu"/>
        <s v="Frank Mackris"/>
        <s v="Sachin Khairnar"/>
        <s v="Yuriy Khomenko"/>
        <s v="Chris Bell"/>
        <s v="Brian Slizgi"/>
        <s v="Mike DeMarco"/>
        <s v="Liban Ahmed"/>
        <s v="Beth Lyons"/>
        <s v="Kelechi Nwoku"/>
        <s v="Lee Connolly"/>
        <s v="Tracy Tieu"/>
        <s v="Hollie Sinclair"/>
        <s v="Mikayla Call"/>
        <s v="Colleen Farragher"/>
        <s v="Brian Krall"/>
        <s v="Vito Capezio Jr"/>
        <s v="Mariska Howell"/>
        <s v="John Foody"/>
        <s v="Alberto Corvo"/>
        <s v="Sanam Shah"/>
        <s v="James Buckley"/>
        <s v="Sean Ruckel"/>
        <s v="Anshu Goel"/>
        <s v="Kristina Capiak"/>
        <s v="Sabah Cambrelen"/>
        <s v="Vishal Rawal"/>
        <s v="Meiqing Fan"/>
        <s v="Elizabeth Acquaah-Harrison"/>
        <s v="Caitlyn Quilty"/>
        <s v="Charlie Hohenshelt"/>
        <s v="Jan Seele"/>
        <s v="Mike Swanson"/>
        <s v="Joy Schroeder"/>
        <s v="Nicholas Oliver"/>
        <s v="Benjamin O'Malley"/>
        <s v="Danielle Bahri"/>
        <s v="Sherry Tan"/>
        <s v="Sruthi Madhavan"/>
        <s v="Karen Slotsky"/>
        <s v="Robert Moline"/>
        <s v="Cort Jacoby"/>
        <s v="William Gilet"/>
        <s v="Alexa Bauman"/>
        <s v="Kelley Nakos"/>
        <s v="Beth Olson"/>
        <s v="Alexandra Psaris"/>
        <s v="Nitin Lalwani"/>
        <s v="Dan Stolarski"/>
        <s v="Alexia Patry"/>
        <s v="David Rosselli"/>
        <s v="Mike Larson"/>
        <s v="Paul Veronneau"/>
        <s v="Brandon Meek"/>
        <s v="AShake Raines"/>
        <s v="Randy Davis"/>
        <s v="Alex Herzing"/>
        <s v="Marc Waco"/>
        <s v="Sudhakar Swaminathan"/>
        <s v="Sophie Wyman"/>
        <s v="Brad Denning"/>
        <s v="Richard Rose"/>
        <s v="RAHUL GUPTA"/>
        <s v="Satyen Popat"/>
        <s v="Ginger Pilgrim"/>
        <s v="Jaclyn Wavra"/>
        <s v="Greg Gothie"/>
        <s v="Kristin Ritter"/>
        <s v="Brad LeBlanc"/>
        <s v="Jessica Heidman"/>
        <s v="Tori Fancher"/>
        <s v="Robert Macagnano"/>
        <s v="Hank Woo"/>
        <s v="Dale Deatsch"/>
        <s v="David Kleinman"/>
        <s v="Kyle Byrum"/>
        <s v="Brigid O'Donnell"/>
        <s v="Anne Almeida"/>
        <s v="Rajbir Samra"/>
        <s v="Makenna Coxey"/>
        <s v="Connie Yang"/>
        <s v="Mackenzie Heal"/>
        <s v="John Karren"/>
        <s v="Chris Carter"/>
        <s v="Pier Noventa"/>
        <s v="Curt Bigelow"/>
        <s v="John Van Puffelen"/>
        <s v="Damien McMahon"/>
        <s v="Alyssa Talley"/>
        <s v="Alessandra Shaaya"/>
        <s v="Allie Procknal"/>
        <s v="Lauren O'Brien"/>
        <s v="Sahil Bhardwaj"/>
        <s v="Bharath Mamathambika"/>
        <s v="Shungu Chigariro"/>
        <s v="Tamela Berry"/>
        <s v="Donna Wrinkle"/>
        <s v="Richard Schweiger"/>
        <s v="Purwa Bansod"/>
        <s v="Alyssa Anderson"/>
        <s v="Phani Durbhakula"/>
        <s v="Haley Zhou"/>
        <s v="Andrew Caragher"/>
        <s v="Shuxin Zheng"/>
        <s v="Philip McLemore"/>
        <s v="Kim Barkus"/>
        <s v="Kaiser Kaiserani"/>
        <s v="Pat Curtin"/>
        <s v="Chris Strong"/>
        <s v="Christine Paton"/>
        <s v="Matt Garnet"/>
        <s v="Isaac Buchen"/>
        <s v="Robert Simmons"/>
        <s v="George Korizis"/>
        <s v="Darci Moore"/>
        <s v="Ankur Pahwa"/>
        <s v="Shane Strumwasser"/>
        <s v="Kim David Greenwood"/>
        <s v="Jon Glick"/>
        <s v="Rachel Mercado"/>
        <s v="Souvanik Ghosh"/>
        <s v="Tanvi Patel"/>
        <s v="Charlene Glidden"/>
        <s v="Sean Richter"/>
        <s v="Craig Benbow"/>
        <s v="Christine Blades"/>
        <s v="Tom Levin"/>
        <s v="James Bird"/>
        <s v="Riley Matranga"/>
        <s v="Nick Navarro"/>
        <s v="Rohit Harve"/>
        <s v="Kevin Basden"/>
        <s v="Lisa Kent"/>
        <s v="Maura Blaul"/>
        <s v="Kyle Burns"/>
        <s v="Jeff Seiff"/>
        <s v="David Jacobson"/>
        <s v="Katie Wonders"/>
        <s v="Punit Bhargava"/>
        <s v="Maria De Abreu"/>
        <s v="Eric Goldsborough"/>
        <s v="Haylie Altansukh"/>
        <s v="Jess Lewis"/>
        <s v="Michael Couwenhoven"/>
        <s v="Daniel Hemmert"/>
        <s v="Brandon Anthony"/>
        <s v="Larissa Lynn"/>
        <s v="Kevin Wrench"/>
        <s v="Trusha Bhatt"/>
        <s v="Mudit Gupta"/>
        <s v="Jack Kilgust"/>
        <s v="Robert Demeter"/>
        <s v="Earl Simpkins"/>
        <s v="Anna Doyle"/>
        <s v="Sarah Suber"/>
        <s v="Patrick Wimberly"/>
        <s v="Dean Millard"/>
        <s v="William Horan"/>
        <s v="Jill Noeh"/>
        <s v="Arjun Katyal"/>
        <s v="Caleb Rhoads"/>
        <s v="Patrick Offner"/>
        <s v="Musi Qureshi"/>
        <s v="Robbert De Vries"/>
        <s v="Rajan Gandhi"/>
        <s v="Jahnavi Kundu"/>
        <s v="Alec Massey"/>
        <s v="Joshua Hammel"/>
        <s v="Matthew Barnoski"/>
        <s v="Kara Krajenta"/>
        <s v="Carlos Navarro"/>
        <s v="David Rader"/>
        <s v="Kalvin Davies"/>
        <s v="Kevin McEachern"/>
        <s v="William Cotter"/>
        <s v="Leonardo De Biasi"/>
        <s v="Jackie Swanson"/>
        <s v="Todd Supplee"/>
        <s v="Benjamin Hagen"/>
        <s v="Hersh Gupta"/>
        <s v="K.B. Clausen"/>
        <s v="Shaguna Punj"/>
        <s v="Joshua Schwartz"/>
        <s v="Bryan Beaver"/>
        <s v="Alexander Snodgrass"/>
        <s v="Drew Harger"/>
        <s v="Henryk Papiz"/>
        <s v="Adam Proegler"/>
        <s v="Surabhi Gandotra"/>
        <s v="Bala Ramanan"/>
        <s v="Connor Blaul"/>
        <s v="Jason Lemons"/>
        <s v="Jon Howe"/>
        <s v="Mark Baker"/>
        <s v="Gretchen Lott"/>
        <s v="Amy Murphy"/>
        <s v="Ruth Romero Cavazos"/>
        <s v="Craig Brondyke"/>
        <s v="Edward Landry"/>
        <s v="Brittany Schmidt"/>
        <s v="John Fafian"/>
        <s v="Zachary Dietrick"/>
        <s v="Chad Killian"/>
        <s v="Nicholas Schmiedeknecht"/>
        <s v="Glen Goldbach"/>
        <s v="Kimberly Mirabella"/>
        <s v="Joel Jose"/>
        <s v="Li Gao"/>
        <s v="Glenn Carlson"/>
        <s v="Seth Dunbar"/>
        <s v="Rob Maul"/>
        <s v="John Hoffman"/>
        <s v="Sean Frebes"/>
        <s v="Riley Adler"/>
        <s v="Brad Goehle"/>
        <s v="Mark Van Dam"/>
        <s v="Charles Vaughn"/>
        <s v="Juan Rojas"/>
        <s v="Brian Bergen"/>
        <s v="Chi Zhang"/>
        <s v="Ricardo Ruiz-Huidobro"/>
        <s v="Sierra Muniz"/>
        <s v="Elena Pretto"/>
        <s v="Ryan Uteg"/>
        <s v="Bill Craddock"/>
        <s v="Adam Alabrash"/>
        <s v="Jacqueline Wood"/>
        <s v="Bryon Kallert"/>
        <s v="Hailey Padilla"/>
        <s v="Brett Hertzig"/>
        <s v="Anup Madampath"/>
        <s v="Rachel Roschelle"/>
        <s v="Tony Ligeralde"/>
        <s v="Erin Schneider"/>
        <s v="Jim Adams"/>
        <s v="Frank Sugrue"/>
        <s v="Brandon Gabel"/>
        <s v="Kevin McLellan"/>
        <s v="John Serice"/>
        <s v="Abhishek Shanker"/>
        <s v="Sushmita Singal"/>
        <s v="Anupam Rath"/>
        <s v="Joshua Wright"/>
        <s v="Kareem Elwakil"/>
        <s v="Abhinav Kala"/>
        <s v="Ron Weiss"/>
        <s v="Christie Baudin"/>
        <s v="David Duryea"/>
        <s v="Erica Ellis"/>
        <s v="Sri Kumar"/>
        <s v="Jenni Kotowych"/>
        <s v="Feroz Razzaqui"/>
        <s v="Mia CaraDonna"/>
        <s v="William Herren"/>
        <s v="Marika Gola"/>
        <s v="Jay Klein"/>
        <s v="Kathryn Hodges"/>
        <s v="Apurva Chitnis"/>
        <s v="Raymond Gambino"/>
        <s v="Brynn Sherman"/>
        <s v="Scott Wise"/>
        <s v="Matthew Rupas"/>
        <s v="Reina Hinds"/>
        <s v="Briggs Briner"/>
        <s v="Serge Deriane"/>
        <s v="Ruchita Kewalramani"/>
        <s v="Ron Klein"/>
        <s v="Chris Teaney"/>
        <s v="Pichon Duplan"/>
        <s v="Matthew Ritter"/>
        <s v="Scott Cuthbertson"/>
        <s v="Darshan Patel"/>
        <s v="Bob Singer"/>
        <s v="Mike Lee"/>
        <s v="Noris Matherson"/>
        <s v="Katya Reuk"/>
        <s v="Madhvi Prasad"/>
        <s v="Sean McIntee"/>
        <s v="Caroline Mooi"/>
        <s v="Heather Brewer"/>
        <s v="Steven Robertson"/>
        <s v="James Holloway"/>
        <s v="James Holbrook"/>
        <s v="Trisha Swift"/>
        <s v="Michael Hogan"/>
        <s v="Andrew DiCristofaro"/>
        <s v="Paige Hayes"/>
        <s v="Amit Sharma"/>
        <s v="Drew Miller"/>
        <s v="Krista Cook"/>
        <s v="Thom Bales"/>
        <s v="Rima Safari"/>
        <s v="Adrian Kellams"/>
        <s v="Aaron Harding"/>
        <s v="Matthew Jong"/>
        <s v="Michael Callahan"/>
        <s v="Michael Mentesana"/>
        <s v="Akhil Jain"/>
        <s v="Scott Pollak"/>
        <s v="Rick Jean"/>
        <s v="Matthew Blumenfeld"/>
        <s v="Brennan Matthews"/>
        <s v="Christine Winters"/>
        <s v="Douglas Dwyre"/>
        <s v="Henning Hagen"/>
        <s v="Keith Fengler"/>
        <s v="Amanda Spagnoli"/>
        <s v="Samantha Dennis"/>
        <s v="Jarret Heller"/>
        <s v="Katie Casselton"/>
        <s v="Jane Griffin"/>
        <s v="Chris Paley"/>
        <s v="Rohit Nayak"/>
        <s v="Jim Berres"/>
        <s v="Jose Baptista"/>
        <s v="Ayesha Umar"/>
        <s v="Mike Goulet"/>
        <s v="Cheryl Cornelius"/>
        <s v="Michele Nichols"/>
        <s v="Peter Frank"/>
        <s v="Margo Hutkins"/>
        <s v="Namit Mehta"/>
        <s v="Fraya Black"/>
        <s v="Verne Perigord"/>
        <s v="Tabitha DeFrancisco"/>
        <s v="Jaime Garza"/>
        <s v="Kate Neely"/>
        <s v="Cem Pusatcioglu"/>
        <s v="Geoff Dworkin"/>
        <s v="Alexandra Hom"/>
        <s v="Caroline Jureller"/>
        <s v="Josh Horowitz"/>
        <s v="Meredith Strokes"/>
        <s v="Nick Habib"/>
        <s v="Brendon Pezzack"/>
        <s v="David Shida"/>
        <s v="Christopher Atkinson"/>
        <s v="Rafael Lander"/>
        <s v="Felix Goldmann"/>
        <s v="Cara Murphy"/>
        <s v="Brian Gibson"/>
        <s v="Mathew Keirnes"/>
        <s v="Scott Sutton"/>
        <s v="Greg Chiasson"/>
        <s v="Michaela Greenan"/>
        <s v="Jessica Sager"/>
        <s v="Kim Repnow"/>
        <s v="Julia Lamm"/>
        <s v="Danerys Gutierrez"/>
        <s v="Brian Selvarajah"/>
        <s v="Nick Sen"/>
        <s v="Amy Burk"/>
        <s v="Charles Baird"/>
        <s v="Shane Michelsen"/>
        <s v="Lakshmi Baddam"/>
        <s v="Mike Castagnetta"/>
        <s v="Brian Watt"/>
        <s v="Min Kim"/>
        <s v="Mike Pegler"/>
        <s v="James Nelson"/>
        <s v="Zachary Horowitz"/>
        <s v="Ed Basanese"/>
        <s v="Amy Hunckler"/>
        <s v="Mithun Samani Mohan"/>
        <s v="Nichole Maier"/>
        <s v="Jeffrey Frankovic"/>
        <s v="Nicole Pollack"/>
        <s v="Kimberly Jepsen"/>
        <s v="Ian Byrd"/>
        <s v="Nikita Thawani"/>
        <s v="Caitlin Ryan"/>
        <s v="Patrick McMullan"/>
        <s v="Lenny Leung"/>
        <s v="Jennifer Blevins"/>
        <s v="Philip Wolf"/>
        <s v="Vivek Patnaik"/>
        <s v="Paul D'Alessandro"/>
        <s v="Michael Hursta"/>
        <s v="Steve Norman"/>
        <s v="David Krovitz"/>
        <s v="Sudhanshu Shekhar"/>
        <s v="Brian Houck"/>
        <s v="Michael McIntosh II"/>
        <s v="Matthew Killian"/>
        <s v="Chet Sampat"/>
        <s v="Katherine Huh"/>
        <s v="Hans Van Delden"/>
        <s v="Jurian Goei"/>
        <s v="Brandon Fisher"/>
        <s v="Joseph Needham"/>
        <s v="Max Glickman"/>
        <s v="Alex Jenkins"/>
        <s v="Lindsey Adams"/>
        <s v="Daniel Berger"/>
        <s v="Daniel Schultz"/>
        <s v="Lindsay Peele Sisk"/>
        <s v="Elisabeth Skiles"/>
        <s v="Jordan Riegelhaupt"/>
        <s v="Molly Deibert"/>
        <s v="Yoshi Nomura"/>
        <s v="Connie Perry"/>
        <s v="Rebecca Hintz"/>
        <s v="Amy Cochran"/>
        <s v="Rajnish Chauhan"/>
        <s v="Kyle Long"/>
        <s v="Kevin Fossee"/>
        <s v="Jeff Rieske"/>
        <s v="Scott Toppi"/>
        <s v="Becky Beltran"/>
        <s v="Jason Swist"/>
        <s v="Anish Menon"/>
        <s v="Bruce Hutchison"/>
        <s v="Jim Messner"/>
        <s v="TK (Touseef) Khowaja"/>
        <s v="Raymond Young"/>
        <s v="Gary Shub"/>
        <s v="Akhil Sharath"/>
        <s v="Miguel Palomares"/>
        <s v="Patrick Kirk"/>
        <s v="Ahmed Nazari"/>
        <s v="Session Mwamufiya"/>
        <s v="Ben Eisenberg"/>
        <s v="Shaun Woody"/>
        <s v="Sarah Cornish"/>
        <s v="Sam Venugopal"/>
        <s v="Bobby Daly"/>
        <s v="Mirna Elia"/>
        <s v="Philip Deitch"/>
        <s v="Joe Weise"/>
        <s v="Aushpreet Sidhu"/>
        <s v="Vincent Fries"/>
        <s v="David Shebay"/>
        <s v="Erich Butters"/>
        <s v="Rebecca Mackin"/>
        <s v="Jennifer Harms"/>
        <s v="Sammy Lakshmanan"/>
        <s v="Ben Lahue"/>
        <s v="Robert Tate"/>
        <s v="Dave Guinan"/>
        <s v="Gene Boyle"/>
        <s v="Alex Brolick"/>
        <s v="Samuel Van Cleve"/>
        <s v="Allister Charles"/>
        <s v="Alexander Stillman"/>
        <s v="Jeffrey Hamilton"/>
        <s v="Meghan Murray"/>
        <s v="Carrie Wisher"/>
        <s v="Tim Mueller"/>
        <s v="William Suvari"/>
        <s v="Peter Heintz"/>
        <s v="Sanjay Revagad"/>
        <s v="Lara Ali"/>
        <s v="Scott Kittrell"/>
        <s v="Julie Lee"/>
        <s v="Shilpa Kankaria"/>
        <s v="Molly Early"/>
        <s v="Christina Reip"/>
        <s v="Siddhartha Datta Choudhury"/>
        <s v="Mihir Deshpande"/>
        <s v="James Hollis Jr"/>
        <s v="Astha Dutta"/>
        <s v="Sarah Rauchenberger"/>
        <s v="Mark Beekman"/>
        <s v="Amit Adalti"/>
        <s v="Jordan Kunz"/>
        <s v="Teagan Barrett"/>
        <s v="Jessica Antonitis"/>
        <s v="Sri Murthy"/>
        <s v="Attir Khalid"/>
        <s v="Denise Ogden"/>
        <s v="Robert Mason"/>
        <s v="Michael Holland"/>
        <s v="Mukul Agrawal"/>
        <s v="Antonia Cusumano"/>
        <s v="Derek Sept"/>
        <s v="Tony Filipe"/>
        <s v="Jason Magesis"/>
        <s v="Stephen Krasnow"/>
        <s v="Joseph Walker"/>
        <s v="Rajesh Patnaik"/>
        <s v="Kareem Mohamednur"/>
        <s v="Hannah Syed"/>
        <s v="Matthew Siegel"/>
        <s v="Carlos Thimann"/>
        <s v="Mark Tracy"/>
        <s v="Shuting Shao"/>
        <s v="Mayur Karmarkar"/>
        <s v="Kathryn Burg Plaza"/>
        <s v="Larry Melillo"/>
        <s v="Miriam Herman"/>
        <s v="Gerik Whittington"/>
        <s v="Matthew Barth"/>
        <s v="Katie Burns"/>
        <s v="Dalton Sycks"/>
        <s v="May Weiser"/>
        <s v="Haley McCraven"/>
        <s v="Jenny Doerr"/>
        <s v="Caroline Brainerd"/>
        <s v="Jimmy Boyle"/>
        <s v="Garrett Miller"/>
        <s v="Kalyan Subramanian"/>
        <s v="Wen Lei Zheng"/>
        <s v="Bryan Gross"/>
        <s v="Sony Alexander"/>
        <s v="Mehria Askaryar"/>
        <s v="Helene Kubon Skulstad"/>
        <s v="Susan Frazier"/>
        <s v="Laura Trocchia"/>
        <s v="Phoebe Todd"/>
        <s v="Taylor McBrearty"/>
        <s v="Michael Isler"/>
        <s v="Brittany Furrh"/>
        <s v="Bruno Lopes"/>
        <s v="Chris Bonus"/>
        <s v="Ryan Robertson"/>
        <s v="Todd Jirovec"/>
        <s v="Scott Ramer"/>
        <s v="Ash Malik"/>
        <s v="Rajiv Dharan"/>
        <s v="Leslie Kwang"/>
        <s v="Daniel Keyes"/>
        <s v="Megan Brody"/>
        <s v="Benjamin Scott"/>
        <s v="Andrea Grogan"/>
        <s v="Sudhir Chowdhary"/>
        <s v="Ara Dombourian"/>
        <s v="Michelle Chen"/>
        <s v="Ore Phillips"/>
        <s v="Angela Vasquez"/>
        <s v="Thomas Evans"/>
        <s v="CJ Bangah"/>
        <s v="Louis Bouquet"/>
        <s v="Raghu Bhimaraju"/>
        <s v="Christine Randazzo"/>
        <s v="Alfredo Guerra"/>
        <s v="Christopher Manning"/>
        <s v="Bryce Dolan"/>
        <s v="Jose Luis De Los Santos"/>
        <s v="Akshay Singh"/>
        <s v="Shane Lockhart"/>
        <s v="Kyle Robinson"/>
        <s v="William Kangas"/>
        <s v="Samantha DeSimone"/>
        <s v="Joe Lo"/>
        <s v="David Haimes"/>
        <s v="Sreekumar Krishnamony"/>
        <s v="Elizabeth Yates"/>
        <s v="Robert Ayre"/>
        <s v="Steve Foran"/>
        <s v="Jennifer Baysarowich"/>
        <s v="Samuel Bloustein"/>
        <s v="David Church"/>
        <s v="James Welborn"/>
        <s v="Catherine Kosse"/>
        <s v="Shankar Subramaniam"/>
        <s v="Salil Thakar"/>
        <s v="Nilesh Somaiya"/>
        <s v="Holly Pohlmeyer"/>
        <s v="Eric Maskwa"/>
        <s v="Bradley Johnson"/>
        <s v="Walter Benton"/>
        <s v="Gurpreet Singh"/>
        <s v="Avery Caldwell"/>
        <s v="Mark Beaver"/>
        <s v="Chris Moore"/>
        <s v="Shaun Varga"/>
        <s v="John Bennett"/>
        <s v="Francois Ramette"/>
        <s v="Jared Bourgeois"/>
        <s v="Jorge Sanchez"/>
        <s v="Becky Brenza"/>
        <s v="Bill Pereira"/>
        <s v="Pierre Ferrandi"/>
        <s v="Heidi Scheppmann"/>
        <s v="Matt Beers"/>
        <s v="Stephanie Williams"/>
        <s v="Erika Ward"/>
        <s v="Martin Cantu Mena"/>
        <s v="Katryna Ramirez"/>
        <s v="Gabrielle Niland"/>
        <s v="Sean Austermehle"/>
        <s v="Bonnie Majumdar"/>
        <s v="Darren Shea"/>
        <s v="Edward Nguyen"/>
        <s v="Michael Kellagher"/>
        <s v="Tonia Wu"/>
        <s v="Shirley Wilson"/>
        <s v="Charlotte Biladeau"/>
        <s v="James Sullivan"/>
        <s v="Matthew Kasper"/>
        <s v="Patryk Siemion"/>
        <s v="Jeffrey Mealy"/>
        <s v="Federico Loguzzo"/>
        <s v="Bryan Hill"/>
        <s v="Erwin Cuison"/>
        <s v="Amanda Chaum"/>
        <s v="Reid Morrison"/>
        <s v="Jean-Marc Neimetz"/>
        <s v="Brian Neff"/>
        <s v="Tucker Kabat"/>
        <s v="Jaime Weber"/>
        <s v="Davide di Gennaro"/>
        <s v="Ayesha Datta"/>
        <s v="Kevin Sullivan"/>
        <s v="Yasheeka Garg"/>
        <s v="Chris Leavell"/>
        <s v="Michael Oliveri"/>
        <s v="Brad Herndon"/>
        <s v="Anup Kharode"/>
        <s v="Jake Wiley"/>
        <s v="Jason Carter"/>
        <s v="Ryan Finnamore"/>
        <s v="Ray Chung"/>
        <s v="Emily Smoot"/>
        <s v="Mindy Hsiang"/>
        <s v="Nick Bonny"/>
        <s v="Giancarlo Lazzaro"/>
        <s v="Eric Cohen"/>
        <s v="Vivek Shrivastava"/>
        <s v="Katie Tamarelli"/>
        <s v="David Wright"/>
        <s v="Gabrielle Kuey"/>
        <s v="Tiffany Yates"/>
        <s v="Venky Jayaraman"/>
        <s v="Sukanya Doshi"/>
        <s v="Nancy Shade"/>
        <s v="Rachel Forst"/>
        <s v="Bill Flatley"/>
        <s v="Andrew Martin"/>
        <s v="Timothy Davis"/>
        <s v="Seth Claus"/>
        <s v="Lichen Shen"/>
        <s v="Jim Davis"/>
        <s v="Rashima Vatnani"/>
        <s v="Pranav Parekh"/>
        <s v="Tom Birtwhistle"/>
        <s v="Marcus Welles"/>
        <s v="Brennan Fox"/>
        <s v="Aditya Jain"/>
        <s v="Jamie Gunsior"/>
        <s v="Derek Gaasch"/>
        <s v="David Woodward"/>
        <s v="Christopher Hannegan"/>
        <s v="Will Nolen"/>
        <s v="Douglas Cogan"/>
        <s v="Gaspare Aloi"/>
        <s v="Dries Bredenkamp"/>
        <s v="Amy Zhao"/>
        <s v="Yasi Akbari"/>
        <s v="Michael Whitman"/>
        <s v="Matthew Klein"/>
        <s v="Jennifer Jefferson"/>
        <s v="Kristin Harel"/>
        <s v="Robert Cui"/>
        <s v="Vishal Garg"/>
        <s v="Jason Henritze-Hoye"/>
        <s v="Shawn Logue"/>
        <s v="Esther Cardenas Jaldon"/>
        <s v="Aditya Shah"/>
        <s v="Christina Morris"/>
        <s v="Fergie Chen"/>
        <s v="Laura Rowan"/>
        <s v="Bob Johnson"/>
        <s v="Albert Chan"/>
        <s v="Kristin Puig"/>
        <s v="Cornell Staeger"/>
        <s v="Rebecca Evans"/>
        <s v="Christina Natale"/>
        <s v="Lori Bistis"/>
        <s v="Kayleigh Miller"/>
        <s v="Kevin Moran"/>
        <s v="Jeffrey Jaymont"/>
        <s v="Lowell Gibbs"/>
        <s v="Edward Lewis"/>
        <s v="Dina Diab"/>
        <s v="Michael Whittington"/>
        <s v="Kristen Elvert"/>
        <s v="Christina Rojas"/>
        <s v="Alex Glanz-Berger"/>
        <s v="Ruben Loza"/>
        <s v="Elise Feyereisen"/>
        <s v="Jayanth Godla"/>
        <s v="Pia Bhatia"/>
        <s v="Vikas Garg"/>
        <s v="Alex Thomas"/>
        <s v="Joshua Cooper"/>
        <s v="Mike McKeown"/>
        <s v="Linda Meloro"/>
        <s v="Jennifer Montalbano"/>
        <s v="Anna Arredondo"/>
        <s v="Scott Beegun"/>
        <s v="Valentin Lombaerde"/>
        <s v="Courtney Showell"/>
        <s v="Marla Graeber"/>
        <s v="Jeff Hersh"/>
        <s v="John Jones"/>
        <s v="Gana Palghat"/>
        <s v="Giri Rao"/>
        <s v="Anish Shah"/>
        <s v="Jose Espino"/>
        <s v="Cecilia Cardetti"/>
        <s v="Eric Dustman"/>
        <s v="Brett Bisaga"/>
        <s v="Peter Apple"/>
        <s v="Allison Heyboer"/>
        <s v="Paul Sherratt"/>
        <s v="Brian Kaplan"/>
        <s v="Jay Kulkarni"/>
        <s v="Matthew Hill"/>
        <s v="Wuji Fei"/>
        <s v="James Marshall"/>
        <s v="Aakash Chhablani"/>
        <s v="Katherine Briceno"/>
        <s v="Cameron Carlisle"/>
        <s v="Anna Daggs"/>
        <s v="Siddharth Doshi"/>
        <s v="Ken Evola"/>
        <s v="Gregory Rotz"/>
        <s v="Venus Modabber Sobhandost"/>
        <s v="Paige Pennington"/>
        <s v="Nicole Baron"/>
        <s v="Richard Judy"/>
        <s v="Sarah Fogel"/>
        <s v="Edward Hirsh"/>
        <s v="Brandy Rosel"/>
        <s v="Haley Horton"/>
        <s v="Bradford Donaldson"/>
        <s v="Jared Fowler"/>
        <s v="Holly McKenzie"/>
        <s v="Mary Hardy"/>
        <s v="Prayas Lohalekar"/>
        <s v="Ilia Gorodnichev"/>
        <s v="Luna Corbetta"/>
        <s v="Brian Marsh"/>
        <s v="Maryann Ramsey"/>
        <s v="Debra Skorupka"/>
        <s v="Samuel Nassi"/>
        <s v="Julian Levin"/>
        <s v="Jeffrey Miller"/>
        <s v="Nima Abar"/>
        <s v="Tiffany Jones"/>
        <s v="Steve Schultz"/>
        <s v="Kristy Hull"/>
        <s v="James O'Keefe"/>
        <s v="Mark Menzie"/>
        <s v="Madison Alley"/>
        <s v="Julia Jones"/>
        <s v="Nitesh Kumar"/>
        <s v="Martin Hill"/>
        <s v="Abbas Mooraj"/>
        <s v="Chetan Ghatge"/>
        <s v="Elissa Grover"/>
        <s v="Kiran Annaiah"/>
        <s v="Tiffany Gallagher"/>
        <s v="Seth Harris"/>
        <s v="Thomas Kristensen"/>
        <s v="Kristin Denton"/>
        <s v="Roger Wery"/>
        <s v="Stuart McFarland"/>
        <s v="Sarah Guruswamy"/>
        <s v="Kathryn Charlton"/>
        <s v="Jenna Drevins"/>
        <s v="Junaed Siddiqui"/>
        <s v="Dustin Hindman"/>
        <s v="Oscar Santa Maria"/>
        <s v="Peter Schwartz"/>
        <s v="Julie Bogas"/>
        <s v="Ashley Burgstahler"/>
        <s v="Vivek Narayanan"/>
        <s v="Mark Prentice"/>
        <s v="Harish Nalinakshan"/>
        <s v="Stacey Feldman"/>
        <s v="Deena Dalal"/>
        <s v="Marcel Kanngiesser"/>
        <s v="David Olivieri"/>
        <s v="Tennille Edwards"/>
        <s v="Molly Shepard"/>
        <s v="David Washo"/>
        <s v="Jennifer Johnson"/>
        <s v="Jonathan Liu"/>
        <s v="Nisha Asher"/>
        <s v="Amber Arvia"/>
        <s v="Joan Chan"/>
        <s v="Eric Abrial"/>
        <s v="Victoria Vossler"/>
        <s v="Catherine Hood"/>
        <s v="Jerry Dow"/>
        <s v="Grant Weaver"/>
        <s v="Rahul Kapoor"/>
        <s v="Steven Treppo"/>
        <s v="Mike Cardillo"/>
        <s v="Matthew Dunn"/>
        <s v="Whitney Nystrom"/>
        <s v="Carla DeSantis"/>
        <s v="Margaret Stover"/>
        <s v="Andres Leal"/>
        <s v="Rachel Fellows"/>
        <s v="David Lehnus"/>
        <s v="Jenny Kim"/>
        <s v="Anthony Caletka"/>
        <s v="Keith Jimenez"/>
        <s v="Ryan Lucky"/>
        <s v="Michael Zorensky"/>
        <s v="Brendan Klein"/>
        <s v="Megan Drucker"/>
        <s v="Angie Payne"/>
        <s v="James Lin"/>
        <s v="Ravi Patel"/>
        <s v="Todd Sousa"/>
        <s v="Kate Kennard"/>
        <s v="Michael Schiro"/>
        <s v="Eduardo Emilio Gomez"/>
        <s v="Muhammad Hassan"/>
        <s v="Mallory Summers"/>
        <s v="Julie Dickinson"/>
        <s v="Anthony Weatherspoon"/>
        <s v="Soumya Kaushik"/>
        <s v="Paul Carrannanto"/>
        <s v="Katherine Buckley"/>
        <s v="Michael Hurley"/>
        <s v="Nageswara Chilukuri"/>
        <s v="Chrystal Puvabanditsin"/>
        <s v="Arvind Niranjan"/>
        <s v="Mike Michael"/>
        <s v="Erika Ryback"/>
        <s v="Josh Wang"/>
        <s v="Edyta Reid"/>
        <s v="Michelle DeCaro"/>
        <s v="Corey Cederquist"/>
        <s v="Nisha Kumar"/>
        <s v="Sandhya Banskota"/>
        <s v="Brian Morris"/>
        <s v="Anderson Ramires"/>
        <s v="Michael LeVangie"/>
        <s v="Steve Bowman"/>
        <s v="Amanda Diaz"/>
        <s v="Fabian Caceres"/>
        <s v="Katie Cassidy"/>
        <s v="Mat Joiner"/>
        <s v="Mair Sanitato"/>
        <s v="Daniel Hoag"/>
        <s v="Joshua Lawrence"/>
        <s v="Fuad Abdelhadi"/>
        <s v="Taya Buranakitpaiboon"/>
        <s v="Keith Morris"/>
        <s v="Anuj Mody"/>
        <s v="John Capalbo"/>
        <s v="Vishaka Rajaram"/>
        <s v="Brett Anton"/>
        <s v="Terry Sparks"/>
        <s v="Bassem Salama"/>
        <s v="Colin Carroll"/>
        <s v="Douglas Truchan"/>
        <s v="Karthikeyan Chandran"/>
        <s v="Angela Moore"/>
        <s v="Jonathan Bacon"/>
        <s v="Caitlyn Gaffney"/>
        <s v="John Grendi"/>
        <s v="Kristin D'Ambrosio"/>
        <s v="Jeffrey Jolton"/>
        <s v="Rohini Barreto"/>
        <s v="Claudia Montgomery"/>
        <s v="Lara Carter"/>
        <s v="Dave Eberhardt"/>
        <s v="Michael Krell"/>
        <s v="Robyn Tierney"/>
        <s v="Alana Payne"/>
        <s v="Matt Seiler"/>
        <s v="Alexander Gregory"/>
        <s v="Michael Mead"/>
        <s v="Brendan Flores"/>
        <s v="Gwen Whitman"/>
        <s v="Andrew Speacht"/>
        <s v="Kara Blocklinger"/>
        <s v="Rian Oosthuizen"/>
        <s v="Nisha Bhatia"/>
        <s v="Alina Mackenthun"/>
        <s v="Erica Suh"/>
        <s v="Marc Suidan"/>
        <s v="Andrew Castillo"/>
        <s v="David Gunn"/>
        <s v="Tord Tungesvik"/>
        <s v="Sarabeth Rees"/>
        <s v="Charles Crutchfield"/>
        <s v="Andrew Furman"/>
        <s v="Stephen Kemper"/>
        <s v="Rand Bailin"/>
        <s v="Jackie McCadden"/>
        <s v="Aimee Topp"/>
        <s v="Kris Munson"/>
        <s v="Robert McIntosh"/>
        <s v="Michael Levitan"/>
        <s v="Jeffrey Smith"/>
        <s v="Margo Stokum"/>
        <s v="Emily Folsom"/>
        <s v="Ahmet Ozman"/>
        <s v="Michael Tann"/>
        <s v="Chris Burke"/>
        <s v="Steve Kenney"/>
        <s v="Ali Rizvi"/>
        <s v="Deven Oza"/>
        <s v="Kimberly Caldwell"/>
        <s v="Attilio Di Mattia"/>
        <s v="Hugh Le"/>
        <s v="Matthew Shuman"/>
        <s v="Peter Rauchfuss"/>
        <s v="Trevor Johnson"/>
        <s v="Henry Leipold"/>
        <s v="Mabroor Wassey"/>
        <s v="Eric Butts"/>
        <s v="Kevin Batista"/>
        <s v="Blake Shanahan"/>
        <s v="Robyn Lahlein"/>
        <s v="Forrest Peralta"/>
        <s v="Justin Parkerton"/>
        <s v="Todd Cimino"/>
        <s v="Nicole Lapka"/>
        <s v="Kellie Casey"/>
        <s v="Kari Worthington"/>
        <s v="Mark Hermans"/>
        <s v="James Costa"/>
        <s v="Marcelino Raygoza"/>
        <s v="Thomas Hojnacki"/>
        <s v="Dylan Pereira"/>
        <s v="Justin Cowan"/>
        <s v="JJ Marais"/>
        <s v="Benjamin Sellitto"/>
        <s v="Marcos Zatkulak"/>
        <s v="Alexander Kornreich"/>
        <s v="Priya Swaroop"/>
        <s v="Claudia Lorena Zarco"/>
        <s v="Stefanie Stone"/>
        <s v="Vicki Wang"/>
        <s v="Karen Lee"/>
        <s v="Brian Caisman"/>
        <s v="Cassandra Allison"/>
        <s v="Bill Yang"/>
        <s v="Bruce Keisler"/>
        <s v="Jeffrey Lockridge"/>
        <s v="In Sung Yuh"/>
        <s v="Samuel Lederer"/>
        <s v="Caitlin Winkworth"/>
        <s v="Caitlyn Penny"/>
        <s v="Matthew Langan"/>
        <s v="Sean Canahuate"/>
        <s v="Marisol Marin"/>
        <s v="Lisa McGuire"/>
        <s v="Calvin Kong"/>
        <s v="Joseph Jackowiak"/>
        <s v="Cailyn Spencer"/>
        <s v="Russell Hoffman"/>
        <s v="Priyal Patel"/>
        <s v="Ephraim Sudwerts"/>
        <s v="Mark Lewis"/>
        <s v="Dan Trent"/>
        <s v="Alison Lisnow"/>
        <s v="Angel Mendoza"/>
        <s v="Rachael Allen"/>
        <s v="Bridget Fleagle"/>
        <s v="Michael Ly"/>
        <s v="Heidi Kavanaugh"/>
        <s v="Alan Furmanov"/>
        <s v="Alex Spira-Gutner"/>
        <s v="Ankur Sharma"/>
        <s v="Aimee Wight"/>
        <s v="Vince Srejma"/>
        <s v="Florian Quarre"/>
        <s v="Erich Stroh"/>
        <s v="Eugene Zakharov"/>
        <s v="Brendan Burke"/>
        <s v="Jenna Pica"/>
        <s v="Marina Rothstein"/>
        <s v="Kathie Parsons"/>
        <s v="Melanie Henderson"/>
        <s v="Rick Chen"/>
        <s v="Win Fisher"/>
        <s v="Joshua Cahn"/>
        <s v="TJ Hill"/>
        <s v="Ravi Ramachandran"/>
        <s v="Ryan Cronin"/>
        <s v="Balaji Venkatachalam"/>
        <s v="Srini Gabu"/>
        <s v="Bhautik Shah"/>
        <s v="Rachel Dauenbaugh"/>
        <s v="Taylor Goodman"/>
        <s v="Vandita Razdan"/>
        <s v="Sarah Korykora"/>
        <s v="Christian Putnam"/>
        <s v="Jenny Machida"/>
        <s v="Robert Willison"/>
        <s v="Zakkary Smith"/>
        <s v="Patricio de la Mora"/>
        <s v="Britta Truskey"/>
        <s v="Jessie Gertz"/>
        <s v="Todd Milligan"/>
        <s v="Cade Lutz"/>
        <s v="Eunis Wu"/>
        <s v="Caroline Campbell"/>
        <s v="Leland Thomas"/>
        <s v="Robert Grady"/>
        <s v="Kerry Smyth"/>
        <s v="Edward Poropat III"/>
        <s v="Ian Bonnet"/>
        <s v="Richard Thomann"/>
        <s v="Rhett Lankford"/>
        <s v="Joye Wegryn"/>
        <s v="Clark Schmidt"/>
        <s v="Matthew Hubbard"/>
        <s v="Jim Gundy"/>
        <s v="Cory McClellan"/>
        <s v="Graham Hall"/>
        <s v="Kurosh Kafie"/>
        <s v="Scott Bailey"/>
        <s v="Robert Vettoretti"/>
        <s v="Kevin Phelan"/>
        <s v="Akhil Tayal"/>
        <s v="Jim Russell"/>
        <s v="Steve Schneider"/>
        <s v="Chloe Lamy"/>
        <s v="Megan Spindell"/>
        <s v="Alan Pincus"/>
        <s v="Richard Vose"/>
        <s v="Juneen Kirk"/>
        <s v="Brian Romine"/>
        <s v="Eric Michael"/>
        <s v="Stefan Zorn"/>
        <s v="Sona Tawney"/>
        <s v="Sue Wright"/>
        <s v="Elizabeth Carlson"/>
        <s v="Joseph Downer"/>
        <s v="Susan Drea"/>
        <s v="Jessica Benson"/>
        <s v="Dominic Cowler"/>
        <s v="Breck Marshall"/>
        <s v="Mark Griffin"/>
        <s v="Brandy Smith"/>
        <s v="Andrew Miller"/>
        <s v="Jonathan Roberts"/>
        <s v="Adam Goldberg"/>
        <s v="Usamah Rashid"/>
        <s v="Yosef Ziegler"/>
        <s v="Travis Zhan"/>
        <s v="Praveen Akella"/>
        <s v="Eric Shea"/>
        <s v="Soumyajyoti Datta"/>
        <s v="Carrie Morgan"/>
        <s v="Senthilkumar Jayachandran"/>
        <s v="Cord Phillips"/>
        <s v="Jackie Sharlow"/>
        <s v="Catherine Cothern"/>
        <s v="David Fontanez"/>
        <s v="Barbara Allen"/>
        <s v="Igor Belokrinitsky"/>
        <s v="Carolyn Steger"/>
        <s v="Sidharth Arora"/>
        <s v="Edmund Kowalski"/>
        <s v="Alena Taylor"/>
        <s v="Abijit Raghunath"/>
        <s v="Claire Litherland"/>
        <s v="Ryan Mullen"/>
        <s v="Pranav Sunil Gokhale"/>
        <s v="Raul Campero"/>
        <s v="Lorie Wijntjes"/>
        <s v="Michael Arbus"/>
        <s v="Meghan Self"/>
        <s v="Thomas Tarangioli"/>
        <s v="Trisha Hernandez"/>
        <s v="William DeLuca"/>
        <s v="Sajid Abbasi"/>
        <s v="Thomas Bogle"/>
        <s v="Kenneth Lindquist"/>
        <s v="Satpreet Grewal"/>
        <s v="Will Chen"/>
        <s v="Marina Veber"/>
        <s v="Alex Dimond"/>
        <s v="Melissa Gradie"/>
        <s v="Mike Lane"/>
        <s v="Rachel Cala-Slaton"/>
        <s v="Justine Zordan"/>
        <s v="Ryan Caruso"/>
        <s v="Craig Kallin"/>
        <s v="John Watts"/>
        <s v="Ben Rhee"/>
        <s v="Damanjit Singh"/>
        <s v="Victoria Miskel"/>
        <s v="Vikram Latawa"/>
        <s v="Joseph Turton"/>
        <s v="Susan Hough"/>
        <s v="Matthew Morrison"/>
        <s v="Carl Miller"/>
        <s v="Heather O'Neil"/>
        <s v="Nathan Swartz"/>
        <s v="Todd Rumsey"/>
        <s v="Tim Meade"/>
        <s v="Chuck Christensen"/>
        <s v="Vikram Negi"/>
        <s v="Sanjib Banerjee"/>
        <s v="Sean Bard"/>
        <s v="Allison LeClair"/>
        <s v="Ronald Barlow"/>
        <s v="Roberto Hernandez"/>
        <s v="David Knipe"/>
        <s v="Amy Beert"/>
        <s v="Bob Woods"/>
        <s v="Jennie Goldstein"/>
        <s v="Kaihei Takagi"/>
        <s v="Susan Ready"/>
        <s v="Maki Futami"/>
        <s v="Kristin Kelsch"/>
        <s v="Barbara Poenisch"/>
        <s v="Megan Haas"/>
        <s v="Nishi Vijay"/>
        <s v="Aaron Higley"/>
        <s v="Tina Cruz"/>
        <s v="Michael McKenna"/>
        <s v="Priyanka Gupta"/>
        <s v="Diana O'Connor"/>
        <s v="Emily Godward"/>
        <s v="Matthew Keller"/>
        <s v="Hector Rodriguez"/>
        <s v="David Lebolt"/>
        <s v="Yuliya Harris"/>
        <s v="David Liang"/>
        <s v="Taylor Beckmann"/>
        <s v="Jamie Traynor"/>
        <s v="Nicholas Lordi"/>
        <s v="Ed Hsu"/>
        <s v="Derek Rose"/>
        <s v="Dylan Galaty"/>
        <s v="Shuyi Chang"/>
        <s v="Gowri Sundaresan"/>
        <s v="Chris OBrien"/>
        <s v="Angela Fuentes"/>
        <s v="Matthew Bucher"/>
        <s v="Desiree Jensen"/>
        <s v="Manav Saranathan"/>
        <s v="Amanda Kennedy"/>
        <s v="Scott Mahoney"/>
        <s v="Ashish Garg"/>
        <s v="Steven Kavallaris"/>
        <s v="Siddarth Bhatia"/>
        <s v="Chelsea Hamilton"/>
        <s v="Jac Crocker"/>
        <s v="Chris Hamilton"/>
        <s v="Grant Good"/>
        <s v="Marianne DeWitt"/>
        <s v="Shai Zorea"/>
        <s v="Scott Falkner"/>
        <s v="Raghuveer Reddy Thummala"/>
        <s v="Kevin Lewis"/>
        <s v="Abigail Cape"/>
        <s v="Philip Bradley"/>
        <s v="Bridget Koessler"/>
        <s v="Wendy Vitale"/>
        <s v="Rohit Aggarwal"/>
        <s v="Daniel Jorgensen"/>
        <s v="Tim Lynch"/>
        <s v="Tony Berlingeri"/>
        <s v="Gianfranco Carrion"/>
        <s v="Justin Lau"/>
        <s v="Tom Yetman"/>
        <s v="Cindy Fraterrigo"/>
        <s v="Gretchen Tipton"/>
        <s v="Sharmon Priaulx"/>
        <s v="Frank Nowicki"/>
        <s v="Chetan Shetty"/>
        <s v="John Colaruotolo"/>
        <s v="Alexandra Hallas Button"/>
        <s v="Nellie Bloom"/>
        <s v="Peyton Alexander"/>
        <s v="Elizabeth Gauf"/>
        <s v="Steve Carlson"/>
        <s v="Kimberly Carlozzi"/>
        <s v="Nathan Mathews"/>
        <s v="Jonathan Turner"/>
        <s v="Matthew Wolff"/>
        <s v="Adam Gerstein"/>
        <s v="Jeff Allen"/>
        <s v="Matthew Young"/>
        <s v="Chandra Stephenson"/>
        <s v="Lauren Christian"/>
        <s v="Sonia Bhasin"/>
        <s v="Jade Dallon"/>
        <s v="Jorge Canto"/>
        <s v="Chuck Kreuter"/>
        <s v="Min Matson"/>
        <s v="Andrew Skor"/>
        <s v="Matthew Bruckerhoff"/>
        <s v="Abigail Paris"/>
        <s v="Siddhartha Bhattacharya"/>
        <s v="Indira Persad"/>
        <s v="Alexandra Blair Van den Berg"/>
        <s v="Zachary Massa"/>
        <s v="Sean Ballington"/>
        <s v="Kunjal Harshavat"/>
        <s v="Mickelle Shults"/>
        <s v="Jose Antonio Aguilar"/>
        <s v="George Kentros"/>
        <s v="Edmond Cheuk"/>
        <s v="Elisa Borman"/>
        <s v="Renzo Donizetti"/>
        <s v="Phuong Tran"/>
        <s v="Thomas Dallaire"/>
        <s v="Jacob Kindberg"/>
        <s v="Stefanie Goldberg"/>
        <s v="Warren Cheung See Kit"/>
        <s v="Eric Nelson"/>
        <s v="Glynn Davis"/>
        <s v="Elizabeth Wardwell"/>
        <s v="Robert Roman"/>
        <s v="Jonas Niermann"/>
        <s v="Jared Curless"/>
        <s v="Shep Price"/>
        <s v="Matthew Hylton"/>
        <s v="Danielle Casale"/>
        <s v="Giovanni Zammiello"/>
        <s v="Holly Kelley"/>
        <s v="Krishna Shah"/>
        <s v="Courtney Lennartz"/>
        <s v="Ankit Sharma"/>
        <s v="Nathan Scavello"/>
        <s v="Satannia Williams"/>
        <s v="Savanna Milton"/>
        <s v="Sara Slayton"/>
        <s v="Mike Stachowiak"/>
        <s v="April Puzauskas"/>
        <s v="Carlos Zegarra"/>
        <s v="Rikki Schwartz"/>
        <s v="Chad Longa"/>
        <s v="Michael Argadine"/>
        <s v="Maliah Gleaton"/>
        <s v="Daniel Moses"/>
        <s v="Sharon Samuel"/>
        <s v="Devon Van Buren"/>
        <s v="Emily Sinclair"/>
        <s v="Jessa Davis"/>
        <s v="Daniel Pack"/>
        <s v="Sara Miller"/>
        <s v="Tom Klein"/>
        <s v="Shedonne Lawrence"/>
        <s v="Matthew Hurlbut"/>
        <s v="Aditi Ahuja"/>
        <s v="Michelle Casey"/>
        <s v="Steve Korn"/>
        <s v="Alberto Vargas"/>
        <s v="Imran Ilyas"/>
        <s v="Esha Basole"/>
        <s v="Christen Kostaroff"/>
        <s v="Augusto Ornelas"/>
        <s v="Kristen Basa"/>
        <s v="Daren Mann"/>
        <s v="Dina Zhou"/>
        <s v="Mark Noga"/>
        <s v="Amit Patel"/>
        <s v="Steven Tess"/>
        <s v="Danielle LeStrange"/>
        <s v="Gustavo Bohorquez"/>
        <s v="Joshua Vollmer"/>
        <s v="Bryan Vodicka"/>
        <s v="Amy Joe"/>
        <s v="Kyle Schneider"/>
        <s v="Shannon O'Shea"/>
        <s v="Cydney Aiken"/>
        <s v="Bryce Tholen"/>
        <s v="Jen Savard"/>
        <s v="Brian George"/>
        <s v="Amy Meyer"/>
        <s v="James Horvath"/>
        <s v="Andi Elliott"/>
        <s v="Bhushan Sethi"/>
        <s v="Katie Edwards"/>
        <s v="Anoop Singh"/>
        <s v="Juan Fuentes Martin"/>
        <s v="Paul-Marc Schweitzer"/>
        <s v="Adam Fitzpatrick"/>
        <s v="Jason Murray"/>
        <s v="Mark Rosenthal"/>
        <s v="Tanay Rajore"/>
        <s v="Kevin Mork"/>
        <s v="Pam Weems"/>
        <s v="Gina Uhrich"/>
        <s v="Linda Craib"/>
        <s v="Christopher Joline"/>
        <s v="Paul Deneys"/>
        <s v="Heela Popal"/>
        <s v="Lauren Serpan"/>
        <s v="Lora Leigh Nunnelley"/>
        <s v="Sarah Poserina"/>
        <s v="Elizabeth Daniel"/>
        <s v="Humza Khan"/>
        <s v="Stuart Kass"/>
        <s v="Dave Grieshaber"/>
        <s v="Miguel Angel Avendaño"/>
        <s v="Lexie Li"/>
        <s v="Fernanda Valdes Solis"/>
        <s v="Chris King"/>
        <s v="Katie Samargya"/>
        <s v="Cristian Jaramillo"/>
        <s v="Michael Shapson"/>
        <s v="Jeffrey Yen"/>
        <s v="Cora Lee Mooney"/>
        <s v="Ajay Kohli"/>
        <s v="Tobiah Mintz"/>
        <s v="Stephen Little"/>
        <s v="Matt Nichols"/>
        <s v="Pierre Monperrus"/>
        <s v="Lisa Herrnson"/>
        <s v="Caroline Griffin"/>
        <s v="Kanth Sishtla"/>
        <s v="Samuel Kalvass Jr"/>
        <s v="Benjamin Vanderver"/>
        <s v="Jeffrey Petrous"/>
        <s v="Jonathan Hatton"/>
        <s v="Brent Stolle"/>
        <s v="Pamela Dowd"/>
        <s v="Eric Schulze"/>
        <s v="Abigail Singley"/>
        <s v="Natasha Ellis"/>
        <s v="Sarah Rodriguez"/>
        <s v="Sanchita Arora"/>
        <s v="Ahmed Elzehery"/>
        <s v="Hardik Choksi"/>
        <s v="Renee Phillips"/>
        <s v="Rakshit Mahadevaprasad"/>
        <s v="Luisa Bramao Ramos"/>
        <s v="Jay Harmon"/>
        <s v="Katie Green"/>
        <s v="Cindy Herendeen"/>
        <s v="Jose Maria Arteaga"/>
        <s v="Jorge Pedroza"/>
        <s v="Sandy Guralnick"/>
        <s v="Coleen Peters"/>
        <s v="James Grady"/>
        <s v="Paul Chew"/>
        <s v="Chen Wu"/>
        <s v="David Durovy"/>
        <s v="Prashant Menon"/>
        <s v="Lindsey Lewis"/>
        <s v="Jessica Warren"/>
        <s v="Andrew Amelio"/>
        <s v="David Whitfield"/>
        <s v="Melissa Card"/>
        <s v="Greg Papa"/>
        <s v="Teddy Fragopoulos"/>
        <s v="Andrew Gardner"/>
        <s v="James Woods"/>
        <s v="Mark Viego"/>
        <s v="Erica Zoellner"/>
        <s v="Trent Houdek"/>
        <s v="Shebani Patel"/>
        <s v="Gaurav Shenai"/>
        <s v="Paige Cero"/>
        <s v="Tiffany Chu"/>
        <s v="Mike Jones"/>
        <s v="Nicole Thomas"/>
        <s v="Diedre Lauver"/>
        <s v="Alex Jebson"/>
        <s v="Hector Covarrubias Haiek"/>
        <s v="Christopher Ruppel"/>
        <s v="Brian Sabedra"/>
        <s v="John Sadak"/>
        <s v="Doreli Chavez"/>
        <s v="Jack Phillips"/>
        <s v="Bret Kleppinger"/>
        <s v="Kyle Dilcher"/>
        <s v="Gabriela Irizarry"/>
        <s v="Minyang Zheng"/>
        <s v="Ivy Kessler"/>
        <s v="Rachael Oxton"/>
        <s v="Laura Vining"/>
        <s v="Talia Rozensher"/>
        <s v="Jade Miller"/>
        <s v="Allie Rosenberg"/>
        <s v="Tom Hawkins"/>
        <s v="Saaylee Potnis"/>
        <s v="Sean Johnson"/>
        <s v="Kent Storm"/>
        <s v="Candice McCrae"/>
        <s v="Cindy Drucker"/>
        <s v="Ann Johnston"/>
        <s v="Louesa Huf"/>
        <s v="Michael Millstein"/>
        <s v="Debjit Banerjee"/>
        <s v="Matthew Gale"/>
        <s v="David Ehr"/>
        <s v="Katie Ginder"/>
        <s v="Jeanne Fowler"/>
        <s v="Matthew Murawski"/>
        <s v="Jasmine Macies"/>
        <s v="George Lee"/>
        <s v="Melinda Nelson"/>
        <s v="Colleen Tierney"/>
        <s v="Mathieu Kouame"/>
        <s v="Gerardo Shibata"/>
        <s v="Nakul Uppal"/>
        <s v="Benjamin Joseph"/>
        <s v="Anthony Moneta"/>
        <s v="Arjun Mewara"/>
        <s v="Vidya Raman"/>
        <s v="Madeleine Buck"/>
        <s v="Aviad Gamliel"/>
        <s v="Austin Willett"/>
        <s v="Kam Alborz"/>
        <s v="Tana Treearphorn"/>
        <s v="Mary Benson"/>
        <s v="Jordan Braun"/>
        <s v="Amber Batiste"/>
        <s v="Susan Lynch"/>
        <s v="Josiah Miller"/>
        <s v="Jeffrey McAleer"/>
        <s v="Dhawal Kapadia"/>
        <s v="Namrta Khanna"/>
        <s v="Jack Schattner"/>
        <s v="Anya Skvortsova"/>
        <s v="Kellen McGriff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Opps $ and Count pivot" cacheId="0" dataCaption="" compact="0" compactData="0">
  <location ref="A1:B11" firstHeaderRow="0" firstDataRow="1" firstDataCol="0"/>
  <pivotFields>
    <pivotField name="Amount (converted)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ame="Bucket" axis="axisRow" compact="0" outline="0" multipleItemSelectionAllowed="1" showAll="0" sortType="ascending">
      <items>
        <item x="8"/>
        <item x="7"/>
        <item x="1"/>
        <item x="0"/>
        <item x="5"/>
        <item x="2"/>
        <item x="3"/>
        <item x="4"/>
        <item x="6"/>
        <item t="default"/>
      </items>
    </pivotField>
  </pivotFields>
  <rowFields>
    <field x="1"/>
  </rowFields>
  <dataFields>
    <dataField name="SUM of Amount (converted)" fld="0" baseField="0"/>
  </dataFields>
</pivotTableDefinition>
</file>

<file path=xl/pivotTables/pivotTable2.xml><?xml version="1.0" encoding="utf-8"?>
<pivotTableDefinition xmlns="http://schemas.openxmlformats.org/spreadsheetml/2006/main" name="Opps $ and Count pivot 2" cacheId="0" dataCaption="" compact="0" compactData="0">
  <location ref="D1:E11" firstHeaderRow="0" firstDataRow="1" firstDataCol="0"/>
  <pivotFields>
    <pivotField name="Amount (converted)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ame="Bucket" axis="axisRow" compact="0" outline="0" multipleItemSelectionAllowed="1" showAll="0" sortType="ascending">
      <items>
        <item x="8"/>
        <item x="7"/>
        <item x="1"/>
        <item x="0"/>
        <item x="5"/>
        <item x="2"/>
        <item x="3"/>
        <item x="4"/>
        <item x="6"/>
        <item t="default"/>
      </items>
    </pivotField>
  </pivotFields>
  <rowFields>
    <field x="1"/>
  </rowFields>
  <dataFields>
    <dataField name="COUNT of Amount (converted)" fld="0" subtotal="countNums" baseField="0"/>
  </dataFields>
</pivotTableDefinition>
</file>

<file path=xl/pivotTables/pivotTable3.xml><?xml version="1.0" encoding="utf-8"?>
<pivotTableDefinition xmlns="http://schemas.openxmlformats.org/spreadsheetml/2006/main" name="Archetype Pivot" cacheId="1" dataCaption="" compact="0" compactData="0">
  <location ref="A1:B7" firstHeaderRow="0" firstDataRow="1" firstDataCol="0"/>
  <pivotFields>
    <pivotField name="Opportunity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t="default"/>
      </items>
    </pivotField>
    <pivotField name="Ultimate Parent Accou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t="default"/>
      </items>
    </pivotField>
    <pivotField name="Opportun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mount (converted) Currency" compact="0" outline="0" multipleItemSelectionAllowed="1" showAll="0">
      <items>
        <item x="0"/>
        <item x="1"/>
        <item t="default"/>
      </items>
    </pivotField>
    <pivotField name="Amount (converted)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ame="Buck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reat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os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name="System Clos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onfidential" compact="0" outline="0" multipleItemSelectionAllowed="1" showAll="0">
      <items>
        <item x="0"/>
        <item x="1"/>
        <item t="default"/>
      </items>
    </pivotField>
    <pivotField name="Opportunity Lead: Full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Archetype" axis="axisRow" compact="0" outline="0" multipleItemSelectionAllowed="1" showAll="0" sortType="ascending">
      <items>
        <item x="4"/>
        <item x="2"/>
        <item x="0"/>
        <item x="1"/>
        <item x="3"/>
        <item t="default"/>
      </items>
    </pivotField>
    <pivotField name="Opportunity Lead: Local LOS 1" compact="0" outline="0" multipleItemSelectionAllowed="1" showAll="0">
      <items>
        <item x="0"/>
        <item x="1"/>
        <item t="default"/>
      </items>
    </pivotField>
    <pivotField name="Opportunity Lead: Local LOS 2" compact="0" outline="0" multipleItemSelectionAllowed="1" showAll="0">
      <items>
        <item x="0"/>
        <item x="1"/>
        <item t="default"/>
      </items>
    </pivotField>
    <pivotField name="Opportunity Lead: Local LOS 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pportunity Lead: Local LOS 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pportunity Lead: Market 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imary Campaign: 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Opportunity Lead: Employe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Connected Opportunity: Opportun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name="Opportunity Conne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ndustry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Opportunity Own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2"/>
  </rowFields>
  <dataFields>
    <dataField name="SUM of Amount (converted)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 t="s">
        <v>24</v>
      </c>
      <c r="Z1" s="3" t="s">
        <v>24</v>
      </c>
    </row>
    <row r="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2">
        <v>8.5E7</v>
      </c>
      <c r="G2" s="1" t="s">
        <v>30</v>
      </c>
      <c r="H2" s="4">
        <v>44359.0</v>
      </c>
      <c r="I2" s="4">
        <v>44989.0</v>
      </c>
      <c r="K2" s="1">
        <v>0.0</v>
      </c>
      <c r="L2" s="1" t="s">
        <v>31</v>
      </c>
      <c r="M2" s="1" t="str">
        <f>VLOOKUP(L2,'Copy of PMD Workday Constants -'!B1:W687,22,false)</f>
        <v>Delivery</v>
      </c>
      <c r="N2" s="1" t="s">
        <v>32</v>
      </c>
      <c r="O2" s="1" t="s">
        <v>33</v>
      </c>
      <c r="P2" s="1" t="s">
        <v>34</v>
      </c>
      <c r="Q2" s="1" t="s">
        <v>34</v>
      </c>
      <c r="R2" s="1" t="s">
        <v>35</v>
      </c>
      <c r="S2" s="1" t="s">
        <v>36</v>
      </c>
      <c r="T2" s="1">
        <v>1.00660652E8</v>
      </c>
      <c r="W2" s="1" t="s">
        <v>37</v>
      </c>
      <c r="X2" s="1" t="s">
        <v>38</v>
      </c>
    </row>
    <row r="3">
      <c r="A3" s="1" t="s">
        <v>39</v>
      </c>
      <c r="B3" s="1" t="s">
        <v>40</v>
      </c>
      <c r="C3" s="1" t="s">
        <v>41</v>
      </c>
      <c r="D3" s="1" t="s">
        <v>28</v>
      </c>
      <c r="E3" s="1" t="s">
        <v>29</v>
      </c>
      <c r="F3" s="2">
        <v>8.0650381E7</v>
      </c>
      <c r="G3" s="1" t="s">
        <v>30</v>
      </c>
      <c r="H3" s="1" t="s">
        <v>42</v>
      </c>
      <c r="I3" s="1" t="s">
        <v>43</v>
      </c>
      <c r="K3" s="1">
        <v>0.0</v>
      </c>
      <c r="L3" s="1" t="s">
        <v>44</v>
      </c>
      <c r="M3" s="1" t="str">
        <f>VLOOKUP(L3,'Copy of PMD Workday Constants -'!B2:W688,22,false)</f>
        <v>LCP</v>
      </c>
      <c r="N3" s="1" t="s">
        <v>32</v>
      </c>
      <c r="O3" s="1" t="s">
        <v>33</v>
      </c>
      <c r="P3" s="1" t="s">
        <v>34</v>
      </c>
      <c r="Q3" s="1" t="s">
        <v>34</v>
      </c>
      <c r="R3" s="1" t="s">
        <v>35</v>
      </c>
      <c r="T3" s="1">
        <v>1.00587944E8</v>
      </c>
      <c r="U3" s="1" t="s">
        <v>45</v>
      </c>
      <c r="V3" s="1" t="s">
        <v>46</v>
      </c>
      <c r="W3" s="1" t="s">
        <v>47</v>
      </c>
      <c r="X3" s="1" t="s">
        <v>44</v>
      </c>
    </row>
    <row r="4">
      <c r="A4" s="1" t="s">
        <v>48</v>
      </c>
      <c r="B4" s="1" t="s">
        <v>49</v>
      </c>
      <c r="C4" s="1" t="s">
        <v>50</v>
      </c>
      <c r="D4" s="1" t="s">
        <v>51</v>
      </c>
      <c r="E4" s="1" t="s">
        <v>29</v>
      </c>
      <c r="F4" s="2">
        <v>6.6889708E7</v>
      </c>
      <c r="G4" s="1" t="s">
        <v>30</v>
      </c>
      <c r="H4" s="1" t="s">
        <v>52</v>
      </c>
      <c r="I4" s="1" t="s">
        <v>43</v>
      </c>
      <c r="K4" s="1">
        <v>0.0</v>
      </c>
      <c r="L4" s="1" t="s">
        <v>53</v>
      </c>
      <c r="M4" s="1" t="str">
        <f>VLOOKUP(L4,'Copy of PMD Workday Constants -'!B3:W689,22,false)</f>
        <v>Delivery</v>
      </c>
      <c r="N4" s="1" t="s">
        <v>32</v>
      </c>
      <c r="O4" s="1" t="s">
        <v>33</v>
      </c>
      <c r="P4" s="1" t="s">
        <v>54</v>
      </c>
      <c r="Q4" s="1" t="s">
        <v>54</v>
      </c>
      <c r="R4" s="1" t="s">
        <v>55</v>
      </c>
      <c r="T4" s="1">
        <v>1.00690767E8</v>
      </c>
      <c r="W4" s="1" t="s">
        <v>56</v>
      </c>
      <c r="X4" s="1" t="s">
        <v>57</v>
      </c>
    </row>
    <row r="5">
      <c r="A5" s="1" t="s">
        <v>58</v>
      </c>
      <c r="B5" s="1" t="s">
        <v>59</v>
      </c>
      <c r="C5" s="1" t="s">
        <v>60</v>
      </c>
      <c r="D5" s="1" t="s">
        <v>28</v>
      </c>
      <c r="E5" s="1" t="s">
        <v>29</v>
      </c>
      <c r="F5" s="2">
        <v>5.0E7</v>
      </c>
      <c r="G5" s="1" t="s">
        <v>30</v>
      </c>
      <c r="H5" s="1" t="s">
        <v>61</v>
      </c>
      <c r="I5" s="1" t="s">
        <v>62</v>
      </c>
      <c r="K5" s="1">
        <v>0.0</v>
      </c>
      <c r="L5" s="1" t="s">
        <v>63</v>
      </c>
      <c r="M5" s="1" t="str">
        <f>VLOOKUP(L5,'Copy of PMD Workday Constants -'!B4:W690,22,false)</f>
        <v>Catalyst</v>
      </c>
      <c r="N5" s="1" t="s">
        <v>32</v>
      </c>
      <c r="O5" s="1" t="s">
        <v>33</v>
      </c>
      <c r="P5" s="1" t="s">
        <v>64</v>
      </c>
      <c r="Q5" s="1" t="s">
        <v>64</v>
      </c>
      <c r="R5" s="1" t="s">
        <v>65</v>
      </c>
      <c r="S5" s="1" t="s">
        <v>66</v>
      </c>
      <c r="T5" s="1">
        <v>1.01059432E8</v>
      </c>
      <c r="V5" s="1" t="s">
        <v>67</v>
      </c>
      <c r="W5" s="1" t="s">
        <v>47</v>
      </c>
      <c r="X5" s="1" t="s">
        <v>68</v>
      </c>
    </row>
    <row r="6">
      <c r="A6" s="1" t="s">
        <v>69</v>
      </c>
      <c r="B6" s="1" t="s">
        <v>70</v>
      </c>
      <c r="C6" s="1" t="s">
        <v>71</v>
      </c>
      <c r="D6" s="1" t="s">
        <v>28</v>
      </c>
      <c r="E6" s="1" t="s">
        <v>29</v>
      </c>
      <c r="F6" s="2">
        <v>5.0E7</v>
      </c>
      <c r="G6" s="1" t="s">
        <v>30</v>
      </c>
      <c r="H6" s="4">
        <v>43993.0</v>
      </c>
      <c r="I6" s="4">
        <v>45298.0</v>
      </c>
      <c r="K6" s="1">
        <v>0.0</v>
      </c>
      <c r="L6" s="1" t="s">
        <v>72</v>
      </c>
      <c r="M6" s="1" t="str">
        <f>VLOOKUP(L6,'Copy of PMD Workday Constants -'!B5:W691,22,false)</f>
        <v>LCP</v>
      </c>
      <c r="N6" s="1" t="s">
        <v>32</v>
      </c>
      <c r="O6" s="1" t="s">
        <v>33</v>
      </c>
      <c r="P6" s="1" t="s">
        <v>34</v>
      </c>
      <c r="Q6" s="1" t="s">
        <v>34</v>
      </c>
      <c r="R6" s="1" t="s">
        <v>35</v>
      </c>
      <c r="S6" s="1" t="s">
        <v>73</v>
      </c>
      <c r="T6" s="1">
        <v>1.0060843E8</v>
      </c>
      <c r="W6" s="1" t="s">
        <v>74</v>
      </c>
      <c r="X6" s="1" t="s">
        <v>75</v>
      </c>
    </row>
    <row r="7">
      <c r="A7" s="1" t="s">
        <v>76</v>
      </c>
      <c r="B7" s="1" t="s">
        <v>77</v>
      </c>
      <c r="C7" s="1" t="s">
        <v>78</v>
      </c>
      <c r="D7" s="1" t="s">
        <v>79</v>
      </c>
      <c r="E7" s="1" t="s">
        <v>29</v>
      </c>
      <c r="F7" s="2">
        <v>5.0E7</v>
      </c>
      <c r="G7" s="1" t="s">
        <v>30</v>
      </c>
      <c r="H7" s="4">
        <v>44899.0</v>
      </c>
      <c r="I7" s="1" t="s">
        <v>80</v>
      </c>
      <c r="K7" s="1">
        <v>0.0</v>
      </c>
      <c r="L7" s="1" t="s">
        <v>81</v>
      </c>
      <c r="M7" s="1" t="str">
        <f>VLOOKUP(L7,'Copy of PMD Workday Constants -'!B6:W692,22,false)</f>
        <v>LCP</v>
      </c>
      <c r="N7" s="1" t="s">
        <v>32</v>
      </c>
      <c r="O7" s="1" t="s">
        <v>33</v>
      </c>
      <c r="P7" s="1" t="s">
        <v>82</v>
      </c>
      <c r="Q7" s="1" t="s">
        <v>82</v>
      </c>
      <c r="R7" s="1" t="s">
        <v>83</v>
      </c>
      <c r="S7" s="1" t="s">
        <v>84</v>
      </c>
      <c r="T7" s="1">
        <v>1.00640331E8</v>
      </c>
      <c r="W7" s="1" t="s">
        <v>85</v>
      </c>
      <c r="X7" s="1" t="s">
        <v>81</v>
      </c>
    </row>
    <row r="8">
      <c r="A8" s="1" t="s">
        <v>86</v>
      </c>
      <c r="B8" s="1" t="s">
        <v>87</v>
      </c>
      <c r="C8" s="1" t="s">
        <v>88</v>
      </c>
      <c r="D8" s="1" t="s">
        <v>51</v>
      </c>
      <c r="E8" s="1" t="s">
        <v>29</v>
      </c>
      <c r="F8" s="2">
        <v>5.0E7</v>
      </c>
      <c r="G8" s="1" t="s">
        <v>30</v>
      </c>
      <c r="H8" s="4">
        <v>44389.0</v>
      </c>
      <c r="I8" s="1" t="s">
        <v>43</v>
      </c>
      <c r="K8" s="1">
        <v>0.0</v>
      </c>
      <c r="L8" s="1" t="s">
        <v>89</v>
      </c>
      <c r="M8" s="1" t="str">
        <f>VLOOKUP(L8,'Copy of PMD Workday Constants -'!B7:W693,22,false)</f>
        <v>Delivery</v>
      </c>
      <c r="N8" s="1" t="s">
        <v>32</v>
      </c>
      <c r="O8" s="1" t="s">
        <v>33</v>
      </c>
      <c r="P8" s="1" t="s">
        <v>34</v>
      </c>
      <c r="Q8" s="1" t="s">
        <v>34</v>
      </c>
      <c r="R8" s="1" t="s">
        <v>35</v>
      </c>
      <c r="S8" s="1" t="s">
        <v>90</v>
      </c>
      <c r="T8" s="1">
        <v>1.00609569E8</v>
      </c>
      <c r="W8" s="1" t="s">
        <v>91</v>
      </c>
      <c r="X8" s="1" t="s">
        <v>89</v>
      </c>
    </row>
    <row r="9">
      <c r="A9" s="1" t="s">
        <v>92</v>
      </c>
      <c r="B9" s="1" t="s">
        <v>93</v>
      </c>
      <c r="C9" s="1" t="s">
        <v>94</v>
      </c>
      <c r="D9" s="1" t="s">
        <v>79</v>
      </c>
      <c r="E9" s="1" t="s">
        <v>29</v>
      </c>
      <c r="F9" s="2">
        <v>4.26E7</v>
      </c>
      <c r="G9" s="1" t="s">
        <v>95</v>
      </c>
      <c r="H9" s="4">
        <v>44565.0</v>
      </c>
      <c r="I9" s="1" t="s">
        <v>96</v>
      </c>
      <c r="K9" s="1">
        <v>0.0</v>
      </c>
      <c r="L9" s="1" t="s">
        <v>97</v>
      </c>
      <c r="M9" s="1" t="str">
        <f>VLOOKUP(L9,'Copy of PMD Workday Constants -'!B8:W694,22,false)</f>
        <v>Delivery</v>
      </c>
      <c r="N9" s="1" t="s">
        <v>32</v>
      </c>
      <c r="O9" s="1" t="s">
        <v>33</v>
      </c>
      <c r="P9" s="1" t="s">
        <v>64</v>
      </c>
      <c r="Q9" s="1" t="s">
        <v>64</v>
      </c>
      <c r="R9" s="1" t="s">
        <v>65</v>
      </c>
      <c r="S9" s="1" t="s">
        <v>98</v>
      </c>
      <c r="T9" s="1">
        <v>1.00653539E8</v>
      </c>
      <c r="W9" s="1" t="s">
        <v>56</v>
      </c>
      <c r="X9" s="1" t="s">
        <v>99</v>
      </c>
    </row>
    <row r="10">
      <c r="A10" s="1" t="s">
        <v>100</v>
      </c>
      <c r="B10" s="1" t="s">
        <v>101</v>
      </c>
      <c r="C10" s="1" t="s">
        <v>102</v>
      </c>
      <c r="D10" s="1" t="s">
        <v>103</v>
      </c>
      <c r="E10" s="1" t="s">
        <v>29</v>
      </c>
      <c r="F10" s="2">
        <v>4.025E7</v>
      </c>
      <c r="G10" s="1" t="s">
        <v>95</v>
      </c>
      <c r="H10" s="4">
        <v>44321.0</v>
      </c>
      <c r="I10" s="1" t="s">
        <v>104</v>
      </c>
      <c r="K10" s="1">
        <v>0.0</v>
      </c>
      <c r="L10" s="1" t="s">
        <v>105</v>
      </c>
      <c r="M10" s="1" t="str">
        <f>VLOOKUP(L10,'Copy of PMD Workday Constants -'!B9:W695,22,false)</f>
        <v>LCP</v>
      </c>
      <c r="N10" s="1" t="s">
        <v>32</v>
      </c>
      <c r="O10" s="1" t="s">
        <v>33</v>
      </c>
      <c r="P10" s="1" t="s">
        <v>34</v>
      </c>
      <c r="Q10" s="1" t="s">
        <v>34</v>
      </c>
      <c r="R10" s="1" t="s">
        <v>35</v>
      </c>
      <c r="S10" s="1" t="s">
        <v>36</v>
      </c>
      <c r="T10" s="1">
        <v>1.00651722E8</v>
      </c>
      <c r="W10" s="1" t="s">
        <v>37</v>
      </c>
      <c r="X10" s="1" t="s">
        <v>106</v>
      </c>
    </row>
    <row r="11">
      <c r="A11" s="1" t="s">
        <v>107</v>
      </c>
      <c r="B11" s="1" t="s">
        <v>108</v>
      </c>
      <c r="C11" s="1" t="s">
        <v>109</v>
      </c>
      <c r="D11" s="1" t="s">
        <v>51</v>
      </c>
      <c r="E11" s="1" t="s">
        <v>29</v>
      </c>
      <c r="F11" s="2">
        <v>4.0E7</v>
      </c>
      <c r="G11" s="1" t="s">
        <v>95</v>
      </c>
      <c r="H11" s="1" t="s">
        <v>110</v>
      </c>
      <c r="I11" s="1" t="s">
        <v>43</v>
      </c>
      <c r="K11" s="1">
        <v>0.0</v>
      </c>
      <c r="L11" s="1" t="s">
        <v>111</v>
      </c>
      <c r="M11" s="1" t="str">
        <f>VLOOKUP(L11,'Copy of PMD Workday Constants -'!B10:W696,22,false)</f>
        <v>LCP</v>
      </c>
      <c r="N11" s="1" t="s">
        <v>32</v>
      </c>
      <c r="O11" s="1" t="s">
        <v>33</v>
      </c>
      <c r="P11" s="1" t="s">
        <v>112</v>
      </c>
      <c r="Q11" s="1" t="s">
        <v>112</v>
      </c>
      <c r="R11" s="1" t="s">
        <v>113</v>
      </c>
      <c r="S11" s="1" t="s">
        <v>114</v>
      </c>
      <c r="T11" s="1">
        <v>1.00596941E8</v>
      </c>
      <c r="W11" s="1" t="s">
        <v>115</v>
      </c>
      <c r="X11" s="1" t="s">
        <v>111</v>
      </c>
    </row>
    <row r="12">
      <c r="A12" s="1" t="s">
        <v>116</v>
      </c>
      <c r="B12" s="1" t="s">
        <v>117</v>
      </c>
      <c r="C12" s="1" t="s">
        <v>118</v>
      </c>
      <c r="D12" s="1" t="s">
        <v>79</v>
      </c>
      <c r="E12" s="1" t="s">
        <v>29</v>
      </c>
      <c r="F12" s="2">
        <v>3.7E7</v>
      </c>
      <c r="G12" s="1" t="s">
        <v>95</v>
      </c>
      <c r="H12" s="4">
        <v>44443.0</v>
      </c>
      <c r="I12" s="4">
        <v>44749.0</v>
      </c>
      <c r="K12" s="1">
        <v>0.0</v>
      </c>
      <c r="L12" s="1" t="s">
        <v>119</v>
      </c>
      <c r="M12" s="1" t="str">
        <f>VLOOKUP(L12,'Copy of PMD Workday Constants -'!B11:W697,22,false)</f>
        <v>Delivery</v>
      </c>
      <c r="N12" s="1" t="s">
        <v>32</v>
      </c>
      <c r="O12" s="1" t="s">
        <v>33</v>
      </c>
      <c r="P12" s="1" t="s">
        <v>112</v>
      </c>
      <c r="Q12" s="1" t="s">
        <v>112</v>
      </c>
      <c r="R12" s="1" t="s">
        <v>113</v>
      </c>
      <c r="S12" s="1" t="s">
        <v>120</v>
      </c>
      <c r="T12" s="1">
        <v>1.00641038E8</v>
      </c>
      <c r="V12" s="1" t="s">
        <v>67</v>
      </c>
      <c r="W12" s="1" t="s">
        <v>56</v>
      </c>
      <c r="X12" s="1" t="s">
        <v>121</v>
      </c>
    </row>
    <row r="13">
      <c r="A13" s="1" t="s">
        <v>122</v>
      </c>
      <c r="B13" s="1" t="s">
        <v>40</v>
      </c>
      <c r="C13" s="1" t="s">
        <v>123</v>
      </c>
      <c r="D13" s="1" t="s">
        <v>51</v>
      </c>
      <c r="E13" s="1" t="s">
        <v>29</v>
      </c>
      <c r="F13" s="2">
        <v>3.0E7</v>
      </c>
      <c r="G13" s="1" t="s">
        <v>95</v>
      </c>
      <c r="H13" s="1" t="s">
        <v>124</v>
      </c>
      <c r="I13" s="1" t="s">
        <v>125</v>
      </c>
      <c r="K13" s="1">
        <v>0.0</v>
      </c>
      <c r="L13" s="1" t="s">
        <v>44</v>
      </c>
      <c r="M13" s="1" t="str">
        <f>VLOOKUP(L13,'Copy of PMD Workday Constants -'!B12:W698,22,false)</f>
        <v>LCP</v>
      </c>
      <c r="N13" s="1" t="s">
        <v>32</v>
      </c>
      <c r="O13" s="1" t="s">
        <v>33</v>
      </c>
      <c r="P13" s="1" t="s">
        <v>34</v>
      </c>
      <c r="Q13" s="1" t="s">
        <v>34</v>
      </c>
      <c r="R13" s="1" t="s">
        <v>35</v>
      </c>
      <c r="S13" s="1" t="s">
        <v>126</v>
      </c>
      <c r="T13" s="1">
        <v>1.00587944E8</v>
      </c>
      <c r="W13" s="1" t="s">
        <v>47</v>
      </c>
      <c r="X13" s="1" t="s">
        <v>127</v>
      </c>
    </row>
    <row r="14">
      <c r="A14" s="1" t="s">
        <v>128</v>
      </c>
      <c r="B14" s="1" t="s">
        <v>129</v>
      </c>
      <c r="C14" s="1" t="s">
        <v>130</v>
      </c>
      <c r="D14" s="1" t="s">
        <v>51</v>
      </c>
      <c r="E14" s="1" t="s">
        <v>29</v>
      </c>
      <c r="F14" s="2">
        <v>3.0E7</v>
      </c>
      <c r="G14" s="1" t="s">
        <v>95</v>
      </c>
      <c r="H14" s="1" t="s">
        <v>131</v>
      </c>
      <c r="I14" s="1" t="s">
        <v>132</v>
      </c>
      <c r="K14" s="1">
        <v>0.0</v>
      </c>
      <c r="L14" s="1" t="s">
        <v>133</v>
      </c>
      <c r="M14" s="1" t="str">
        <f>VLOOKUP(L14,'Copy of PMD Workday Constants -'!B13:W699,22,false)</f>
        <v>Catalyst</v>
      </c>
      <c r="N14" s="1" t="s">
        <v>32</v>
      </c>
      <c r="O14" s="1" t="s">
        <v>33</v>
      </c>
      <c r="P14" s="1" t="s">
        <v>112</v>
      </c>
      <c r="Q14" s="1" t="s">
        <v>112</v>
      </c>
      <c r="R14" s="1" t="s">
        <v>113</v>
      </c>
      <c r="S14" s="1" t="s">
        <v>134</v>
      </c>
      <c r="T14" s="1">
        <v>1.01225952E8</v>
      </c>
      <c r="W14" s="1" t="s">
        <v>74</v>
      </c>
      <c r="X14" s="1" t="s">
        <v>135</v>
      </c>
    </row>
    <row r="15">
      <c r="A15" s="1" t="s">
        <v>136</v>
      </c>
      <c r="B15" s="1" t="s">
        <v>137</v>
      </c>
      <c r="C15" s="1" t="s">
        <v>138</v>
      </c>
      <c r="D15" s="1" t="s">
        <v>51</v>
      </c>
      <c r="E15" s="1" t="s">
        <v>29</v>
      </c>
      <c r="F15" s="2">
        <v>2.9E7</v>
      </c>
      <c r="G15" s="1" t="s">
        <v>95</v>
      </c>
      <c r="H15" s="4">
        <v>44266.0</v>
      </c>
      <c r="I15" s="4">
        <v>44601.0</v>
      </c>
      <c r="K15" s="1">
        <v>0.0</v>
      </c>
      <c r="L15" s="1" t="s">
        <v>139</v>
      </c>
      <c r="M15" s="1" t="str">
        <f>VLOOKUP(L15,'Copy of PMD Workday Constants -'!B14:W700,22,false)</f>
        <v>Delivery</v>
      </c>
      <c r="N15" s="1" t="s">
        <v>32</v>
      </c>
      <c r="O15" s="1" t="s">
        <v>33</v>
      </c>
      <c r="P15" s="1" t="s">
        <v>112</v>
      </c>
      <c r="Q15" s="1" t="s">
        <v>112</v>
      </c>
      <c r="R15" s="1" t="s">
        <v>113</v>
      </c>
      <c r="S15" s="1" t="s">
        <v>114</v>
      </c>
      <c r="T15" s="1">
        <v>1.00592496E8</v>
      </c>
      <c r="W15" s="1" t="s">
        <v>140</v>
      </c>
      <c r="X15" s="1" t="s">
        <v>141</v>
      </c>
    </row>
    <row r="16">
      <c r="A16" s="1" t="s">
        <v>142</v>
      </c>
      <c r="B16" s="1" t="s">
        <v>143</v>
      </c>
      <c r="C16" s="1" t="s">
        <v>144</v>
      </c>
      <c r="D16" s="1" t="s">
        <v>103</v>
      </c>
      <c r="E16" s="1" t="s">
        <v>29</v>
      </c>
      <c r="F16" s="2">
        <v>2.8E7</v>
      </c>
      <c r="G16" s="1" t="s">
        <v>95</v>
      </c>
      <c r="H16" s="1" t="s">
        <v>145</v>
      </c>
      <c r="I16" s="1" t="s">
        <v>104</v>
      </c>
      <c r="K16" s="1">
        <v>0.0</v>
      </c>
      <c r="L16" s="1" t="s">
        <v>146</v>
      </c>
      <c r="M16" s="1" t="str">
        <f>VLOOKUP(L16,'Copy of PMD Workday Constants -'!B15:W701,22,false)</f>
        <v>LCP</v>
      </c>
      <c r="N16" s="1" t="s">
        <v>32</v>
      </c>
      <c r="O16" s="1" t="s">
        <v>33</v>
      </c>
      <c r="P16" s="1" t="s">
        <v>64</v>
      </c>
      <c r="Q16" s="1" t="s">
        <v>64</v>
      </c>
      <c r="R16" s="1" t="s">
        <v>65</v>
      </c>
      <c r="S16" s="1" t="s">
        <v>98</v>
      </c>
      <c r="T16" s="1">
        <v>1.00651441E8</v>
      </c>
      <c r="W16" s="1" t="s">
        <v>147</v>
      </c>
      <c r="X16" s="1" t="s">
        <v>146</v>
      </c>
    </row>
    <row r="17">
      <c r="A17" s="1" t="s">
        <v>148</v>
      </c>
      <c r="B17" s="1" t="s">
        <v>149</v>
      </c>
      <c r="C17" s="1" t="s">
        <v>150</v>
      </c>
      <c r="D17" s="1" t="s">
        <v>51</v>
      </c>
      <c r="E17" s="1" t="s">
        <v>29</v>
      </c>
      <c r="F17" s="2">
        <v>2.7E7</v>
      </c>
      <c r="G17" s="1" t="s">
        <v>95</v>
      </c>
      <c r="H17" s="1" t="s">
        <v>151</v>
      </c>
      <c r="I17" s="1" t="s">
        <v>152</v>
      </c>
      <c r="K17" s="1">
        <v>0.0</v>
      </c>
      <c r="L17" s="1" t="s">
        <v>89</v>
      </c>
      <c r="M17" s="1" t="str">
        <f>VLOOKUP(L17,'Copy of PMD Workday Constants -'!B16:W702,22,false)</f>
        <v>Delivery</v>
      </c>
      <c r="N17" s="1" t="s">
        <v>32</v>
      </c>
      <c r="O17" s="1" t="s">
        <v>33</v>
      </c>
      <c r="P17" s="1" t="s">
        <v>34</v>
      </c>
      <c r="Q17" s="1" t="s">
        <v>34</v>
      </c>
      <c r="R17" s="1" t="s">
        <v>35</v>
      </c>
      <c r="S17" s="1" t="s">
        <v>153</v>
      </c>
      <c r="T17" s="1">
        <v>1.00609569E8</v>
      </c>
      <c r="W17" s="1" t="s">
        <v>91</v>
      </c>
      <c r="X17" s="1" t="s">
        <v>89</v>
      </c>
    </row>
    <row r="18">
      <c r="A18" s="1" t="s">
        <v>154</v>
      </c>
      <c r="B18" s="1" t="s">
        <v>155</v>
      </c>
      <c r="C18" s="1" t="s">
        <v>156</v>
      </c>
      <c r="D18" s="1" t="s">
        <v>51</v>
      </c>
      <c r="E18" s="1" t="s">
        <v>29</v>
      </c>
      <c r="F18" s="2">
        <v>2.505E7</v>
      </c>
      <c r="G18" s="1" t="s">
        <v>95</v>
      </c>
      <c r="H18" s="4">
        <v>43720.0</v>
      </c>
      <c r="I18" s="4">
        <v>44569.0</v>
      </c>
      <c r="K18" s="1">
        <v>0.0</v>
      </c>
      <c r="L18" s="1" t="s">
        <v>157</v>
      </c>
      <c r="M18" s="1" t="str">
        <f>VLOOKUP(L18,'Copy of PMD Workday Constants -'!B17:W703,22,false)</f>
        <v>LCP</v>
      </c>
      <c r="N18" s="1" t="s">
        <v>32</v>
      </c>
      <c r="O18" s="1" t="s">
        <v>33</v>
      </c>
      <c r="P18" s="1" t="s">
        <v>112</v>
      </c>
      <c r="Q18" s="1" t="s">
        <v>112</v>
      </c>
      <c r="R18" s="1" t="s">
        <v>113</v>
      </c>
      <c r="S18" s="1" t="s">
        <v>66</v>
      </c>
      <c r="T18" s="1">
        <v>1.00658522E8</v>
      </c>
      <c r="V18" s="1" t="s">
        <v>67</v>
      </c>
      <c r="W18" s="1" t="s">
        <v>91</v>
      </c>
      <c r="X18" s="1" t="s">
        <v>158</v>
      </c>
    </row>
    <row r="19">
      <c r="A19" s="1" t="s">
        <v>159</v>
      </c>
      <c r="B19" s="1" t="s">
        <v>160</v>
      </c>
      <c r="C19" s="1" t="s">
        <v>161</v>
      </c>
      <c r="D19" s="1" t="s">
        <v>103</v>
      </c>
      <c r="E19" s="1" t="s">
        <v>29</v>
      </c>
      <c r="F19" s="2">
        <v>2.5E7</v>
      </c>
      <c r="G19" s="1" t="s">
        <v>95</v>
      </c>
      <c r="H19" s="4">
        <v>44477.0</v>
      </c>
      <c r="I19" s="1" t="s">
        <v>104</v>
      </c>
      <c r="K19" s="1">
        <v>0.0</v>
      </c>
      <c r="L19" s="1" t="s">
        <v>162</v>
      </c>
      <c r="M19" s="1" t="str">
        <f>VLOOKUP(L19,'Copy of PMD Workday Constants -'!B18:W704,22,false)</f>
        <v>Delivery</v>
      </c>
      <c r="N19" s="1" t="s">
        <v>32</v>
      </c>
      <c r="O19" s="1" t="s">
        <v>33</v>
      </c>
      <c r="P19" s="1" t="s">
        <v>64</v>
      </c>
      <c r="Q19" s="1" t="s">
        <v>64</v>
      </c>
      <c r="R19" s="1" t="s">
        <v>65</v>
      </c>
      <c r="S19" s="1" t="s">
        <v>98</v>
      </c>
      <c r="T19" s="1">
        <v>1.00652489E8</v>
      </c>
      <c r="W19" s="1" t="s">
        <v>56</v>
      </c>
      <c r="X19" s="1" t="s">
        <v>162</v>
      </c>
    </row>
    <row r="20">
      <c r="A20" s="1" t="s">
        <v>163</v>
      </c>
      <c r="B20" s="1" t="s">
        <v>143</v>
      </c>
      <c r="C20" s="1" t="s">
        <v>164</v>
      </c>
      <c r="D20" s="1" t="s">
        <v>103</v>
      </c>
      <c r="E20" s="1" t="s">
        <v>29</v>
      </c>
      <c r="F20" s="2">
        <v>2.5E7</v>
      </c>
      <c r="G20" s="1" t="s">
        <v>95</v>
      </c>
      <c r="H20" s="1" t="s">
        <v>165</v>
      </c>
      <c r="I20" s="1" t="s">
        <v>166</v>
      </c>
      <c r="K20" s="1">
        <v>0.0</v>
      </c>
      <c r="L20" s="1" t="s">
        <v>146</v>
      </c>
      <c r="M20" s="1" t="str">
        <f>VLOOKUP(L20,'Copy of PMD Workday Constants -'!B19:W705,22,false)</f>
        <v>LCP</v>
      </c>
      <c r="N20" s="1" t="s">
        <v>32</v>
      </c>
      <c r="O20" s="1" t="s">
        <v>33</v>
      </c>
      <c r="P20" s="1" t="s">
        <v>64</v>
      </c>
      <c r="Q20" s="1" t="s">
        <v>64</v>
      </c>
      <c r="R20" s="1" t="s">
        <v>65</v>
      </c>
      <c r="S20" s="1" t="s">
        <v>98</v>
      </c>
      <c r="T20" s="1">
        <v>1.00651441E8</v>
      </c>
      <c r="W20" s="1" t="s">
        <v>147</v>
      </c>
      <c r="X20" s="1" t="s">
        <v>146</v>
      </c>
    </row>
    <row r="21">
      <c r="A21" s="1" t="s">
        <v>167</v>
      </c>
      <c r="B21" s="1" t="s">
        <v>168</v>
      </c>
      <c r="C21" s="1" t="s">
        <v>169</v>
      </c>
      <c r="D21" s="1" t="s">
        <v>28</v>
      </c>
      <c r="E21" s="1" t="s">
        <v>29</v>
      </c>
      <c r="F21" s="2">
        <v>2.5E7</v>
      </c>
      <c r="G21" s="1" t="s">
        <v>95</v>
      </c>
      <c r="H21" s="1" t="s">
        <v>170</v>
      </c>
      <c r="I21" s="1" t="s">
        <v>171</v>
      </c>
      <c r="K21" s="1">
        <v>0.0</v>
      </c>
      <c r="L21" s="1" t="s">
        <v>172</v>
      </c>
      <c r="M21" s="1" t="str">
        <f>VLOOKUP(L21,'Copy of PMD Workday Constants -'!B20:W706,22,false)</f>
        <v>Delivery</v>
      </c>
      <c r="N21" s="1" t="s">
        <v>32</v>
      </c>
      <c r="O21" s="1" t="s">
        <v>33</v>
      </c>
      <c r="P21" s="1" t="s">
        <v>173</v>
      </c>
      <c r="Q21" s="1" t="s">
        <v>173</v>
      </c>
      <c r="R21" s="1" t="s">
        <v>174</v>
      </c>
      <c r="S21" s="1" t="s">
        <v>153</v>
      </c>
      <c r="T21" s="1">
        <v>1.00619165E8</v>
      </c>
      <c r="W21" s="1" t="s">
        <v>37</v>
      </c>
      <c r="X21" s="1" t="s">
        <v>175</v>
      </c>
    </row>
    <row r="22">
      <c r="A22" s="1" t="s">
        <v>176</v>
      </c>
      <c r="B22" s="1" t="s">
        <v>177</v>
      </c>
      <c r="C22" s="1" t="s">
        <v>178</v>
      </c>
      <c r="D22" s="1" t="s">
        <v>103</v>
      </c>
      <c r="E22" s="1" t="s">
        <v>29</v>
      </c>
      <c r="F22" s="2">
        <v>2.3824102E7</v>
      </c>
      <c r="G22" s="1" t="s">
        <v>95</v>
      </c>
      <c r="H22" s="4">
        <v>44144.0</v>
      </c>
      <c r="I22" s="4">
        <v>44661.0</v>
      </c>
      <c r="K22" s="1">
        <v>0.0</v>
      </c>
      <c r="L22" s="1" t="s">
        <v>179</v>
      </c>
      <c r="M22" s="1" t="str">
        <f>VLOOKUP(L22,'Copy of PMD Workday Constants -'!B21:W707,22,false)</f>
        <v>Catalyst</v>
      </c>
      <c r="N22" s="1" t="s">
        <v>32</v>
      </c>
      <c r="O22" s="1" t="s">
        <v>33</v>
      </c>
      <c r="P22" s="1" t="s">
        <v>82</v>
      </c>
      <c r="Q22" s="1" t="s">
        <v>82</v>
      </c>
      <c r="R22" s="1" t="s">
        <v>83</v>
      </c>
      <c r="S22" s="1" t="s">
        <v>180</v>
      </c>
      <c r="T22" s="1">
        <v>1.01068117E8</v>
      </c>
      <c r="W22" s="1" t="s">
        <v>85</v>
      </c>
      <c r="X22" s="1" t="s">
        <v>181</v>
      </c>
    </row>
    <row r="23">
      <c r="A23" s="1" t="s">
        <v>182</v>
      </c>
      <c r="B23" s="1" t="s">
        <v>70</v>
      </c>
      <c r="C23" s="1" t="s">
        <v>183</v>
      </c>
      <c r="D23" s="1" t="s">
        <v>28</v>
      </c>
      <c r="E23" s="1" t="s">
        <v>29</v>
      </c>
      <c r="F23" s="2">
        <v>2.0E7</v>
      </c>
      <c r="G23" s="1" t="s">
        <v>95</v>
      </c>
      <c r="H23" s="4">
        <v>44840.0</v>
      </c>
      <c r="I23" s="4">
        <v>44780.0</v>
      </c>
      <c r="K23" s="1">
        <v>0.0</v>
      </c>
      <c r="L23" s="1" t="s">
        <v>184</v>
      </c>
      <c r="M23" s="1" t="str">
        <f>VLOOKUP(L23,'Copy of PMD Workday Constants -'!B22:W708,22,false)</f>
        <v>Delivery</v>
      </c>
      <c r="N23" s="1" t="s">
        <v>32</v>
      </c>
      <c r="O23" s="1" t="s">
        <v>33</v>
      </c>
      <c r="P23" s="1" t="s">
        <v>64</v>
      </c>
      <c r="Q23" s="1" t="s">
        <v>64</v>
      </c>
      <c r="R23" s="1" t="s">
        <v>65</v>
      </c>
      <c r="S23" s="1" t="s">
        <v>185</v>
      </c>
      <c r="T23" s="1">
        <v>1.00589741E8</v>
      </c>
      <c r="U23" s="1" t="s">
        <v>186</v>
      </c>
      <c r="V23" s="1" t="s">
        <v>187</v>
      </c>
      <c r="W23" s="1" t="s">
        <v>74</v>
      </c>
      <c r="X23" s="1" t="s">
        <v>188</v>
      </c>
    </row>
    <row r="24">
      <c r="A24" s="1" t="s">
        <v>189</v>
      </c>
      <c r="B24" s="1" t="s">
        <v>77</v>
      </c>
      <c r="C24" s="1" t="s">
        <v>190</v>
      </c>
      <c r="D24" s="1" t="s">
        <v>28</v>
      </c>
      <c r="E24" s="1" t="s">
        <v>29</v>
      </c>
      <c r="F24" s="2">
        <v>2.0E7</v>
      </c>
      <c r="G24" s="1" t="s">
        <v>95</v>
      </c>
      <c r="H24" s="4">
        <v>44899.0</v>
      </c>
      <c r="I24" s="1" t="s">
        <v>191</v>
      </c>
      <c r="K24" s="1">
        <v>0.0</v>
      </c>
      <c r="L24" s="1" t="s">
        <v>192</v>
      </c>
      <c r="M24" s="1" t="str">
        <f>VLOOKUP(L24,'Copy of PMD Workday Constants -'!B23:W709,22,false)</f>
        <v>Delivery</v>
      </c>
      <c r="N24" s="1" t="s">
        <v>32</v>
      </c>
      <c r="O24" s="1" t="s">
        <v>33</v>
      </c>
      <c r="P24" s="1" t="s">
        <v>82</v>
      </c>
      <c r="Q24" s="1" t="s">
        <v>82</v>
      </c>
      <c r="R24" s="1" t="s">
        <v>83</v>
      </c>
      <c r="S24" s="1" t="s">
        <v>84</v>
      </c>
      <c r="T24" s="1">
        <v>1.00650575E8</v>
      </c>
      <c r="W24" s="1" t="s">
        <v>85</v>
      </c>
      <c r="X24" s="1" t="s">
        <v>193</v>
      </c>
    </row>
    <row r="25">
      <c r="A25" s="1" t="s">
        <v>194</v>
      </c>
      <c r="B25" s="1" t="s">
        <v>195</v>
      </c>
      <c r="C25" s="1" t="s">
        <v>196</v>
      </c>
      <c r="D25" s="1" t="s">
        <v>28</v>
      </c>
      <c r="E25" s="1" t="s">
        <v>29</v>
      </c>
      <c r="F25" s="2">
        <v>2.0E7</v>
      </c>
      <c r="G25" s="1" t="s">
        <v>95</v>
      </c>
      <c r="H25" s="1" t="s">
        <v>197</v>
      </c>
      <c r="I25" s="1" t="s">
        <v>152</v>
      </c>
      <c r="K25" s="1">
        <v>0.0</v>
      </c>
      <c r="L25" s="1" t="s">
        <v>198</v>
      </c>
      <c r="M25" s="1" t="str">
        <f>VLOOKUP(L25,'Copy of PMD Workday Constants -'!B24:W710,22,false)</f>
        <v>Delivery</v>
      </c>
      <c r="N25" s="1" t="s">
        <v>32</v>
      </c>
      <c r="O25" s="1" t="s">
        <v>33</v>
      </c>
      <c r="P25" s="1" t="s">
        <v>82</v>
      </c>
      <c r="Q25" s="1" t="s">
        <v>82</v>
      </c>
      <c r="R25" s="1" t="s">
        <v>83</v>
      </c>
      <c r="S25" s="1" t="s">
        <v>180</v>
      </c>
      <c r="T25" s="1">
        <v>1.00590896E8</v>
      </c>
      <c r="W25" s="1" t="s">
        <v>85</v>
      </c>
      <c r="X25" s="1" t="s">
        <v>199</v>
      </c>
    </row>
    <row r="26">
      <c r="A26" s="1" t="s">
        <v>200</v>
      </c>
      <c r="B26" s="1" t="s">
        <v>87</v>
      </c>
      <c r="C26" s="1" t="s">
        <v>201</v>
      </c>
      <c r="D26" s="1" t="s">
        <v>28</v>
      </c>
      <c r="E26" s="1" t="s">
        <v>29</v>
      </c>
      <c r="F26" s="2">
        <v>2.0E7</v>
      </c>
      <c r="G26" s="1" t="s">
        <v>95</v>
      </c>
      <c r="H26" s="4">
        <v>44686.0</v>
      </c>
      <c r="I26" s="1" t="s">
        <v>202</v>
      </c>
      <c r="K26" s="1">
        <v>0.0</v>
      </c>
      <c r="L26" s="1" t="s">
        <v>203</v>
      </c>
      <c r="M26" s="1" t="str">
        <f>VLOOKUP(L26,'Copy of PMD Workday Constants -'!B25:W711,22,false)</f>
        <v>Catalyst</v>
      </c>
      <c r="N26" s="1" t="s">
        <v>32</v>
      </c>
      <c r="O26" s="1" t="s">
        <v>33</v>
      </c>
      <c r="P26" s="1" t="s">
        <v>112</v>
      </c>
      <c r="Q26" s="1" t="s">
        <v>112</v>
      </c>
      <c r="R26" s="1" t="s">
        <v>113</v>
      </c>
      <c r="S26" s="1" t="s">
        <v>204</v>
      </c>
      <c r="T26" s="1">
        <v>1.01200292E8</v>
      </c>
      <c r="W26" s="1" t="s">
        <v>91</v>
      </c>
      <c r="X26" s="1" t="s">
        <v>205</v>
      </c>
    </row>
    <row r="27">
      <c r="A27" s="1" t="s">
        <v>206</v>
      </c>
      <c r="B27" s="1" t="s">
        <v>93</v>
      </c>
      <c r="C27" s="1" t="s">
        <v>207</v>
      </c>
      <c r="D27" s="1" t="s">
        <v>79</v>
      </c>
      <c r="E27" s="1" t="s">
        <v>29</v>
      </c>
      <c r="F27" s="2">
        <v>2.0E7</v>
      </c>
      <c r="G27" s="1" t="s">
        <v>95</v>
      </c>
      <c r="H27" s="1" t="s">
        <v>208</v>
      </c>
      <c r="I27" s="1" t="s">
        <v>96</v>
      </c>
      <c r="K27" s="1">
        <v>0.0</v>
      </c>
      <c r="L27" s="1" t="s">
        <v>209</v>
      </c>
      <c r="M27" s="1" t="str">
        <f>VLOOKUP(L27,'Copy of PMD Workday Constants -'!B26:W712,22,false)</f>
        <v>Delivery</v>
      </c>
      <c r="N27" s="1" t="s">
        <v>32</v>
      </c>
      <c r="O27" s="1" t="s">
        <v>33</v>
      </c>
      <c r="P27" s="1" t="s">
        <v>210</v>
      </c>
      <c r="Q27" s="1" t="s">
        <v>210</v>
      </c>
      <c r="R27" s="1" t="s">
        <v>211</v>
      </c>
      <c r="S27" s="1" t="s">
        <v>212</v>
      </c>
      <c r="T27" s="1">
        <v>1.00628186E8</v>
      </c>
      <c r="U27" s="1" t="s">
        <v>213</v>
      </c>
      <c r="V27" s="1" t="s">
        <v>187</v>
      </c>
      <c r="W27" s="1" t="s">
        <v>56</v>
      </c>
      <c r="X27" s="1" t="s">
        <v>214</v>
      </c>
    </row>
    <row r="28">
      <c r="A28" s="1" t="s">
        <v>215</v>
      </c>
      <c r="B28" s="1" t="s">
        <v>155</v>
      </c>
      <c r="C28" s="1" t="s">
        <v>216</v>
      </c>
      <c r="D28" s="1" t="s">
        <v>28</v>
      </c>
      <c r="E28" s="1" t="s">
        <v>29</v>
      </c>
      <c r="F28" s="2">
        <v>2.0E7</v>
      </c>
      <c r="G28" s="1" t="s">
        <v>95</v>
      </c>
      <c r="H28" s="4">
        <v>44289.0</v>
      </c>
      <c r="I28" s="1" t="s">
        <v>217</v>
      </c>
      <c r="K28" s="1">
        <v>0.0</v>
      </c>
      <c r="L28" s="1" t="s">
        <v>157</v>
      </c>
      <c r="M28" s="1" t="str">
        <f>VLOOKUP(L28,'Copy of PMD Workday Constants -'!B27:W713,22,false)</f>
        <v>LCP</v>
      </c>
      <c r="N28" s="1" t="s">
        <v>32</v>
      </c>
      <c r="O28" s="1" t="s">
        <v>33</v>
      </c>
      <c r="P28" s="1" t="s">
        <v>112</v>
      </c>
      <c r="Q28" s="1" t="s">
        <v>112</v>
      </c>
      <c r="R28" s="1" t="s">
        <v>113</v>
      </c>
      <c r="S28" s="1" t="s">
        <v>66</v>
      </c>
      <c r="T28" s="1">
        <v>1.00658522E8</v>
      </c>
      <c r="U28" s="1" t="s">
        <v>156</v>
      </c>
      <c r="V28" s="1" t="s">
        <v>187</v>
      </c>
      <c r="W28" s="1" t="s">
        <v>91</v>
      </c>
      <c r="X28" s="1" t="s">
        <v>157</v>
      </c>
    </row>
    <row r="29">
      <c r="A29" s="1" t="s">
        <v>218</v>
      </c>
      <c r="B29" s="1" t="s">
        <v>219</v>
      </c>
      <c r="C29" s="1" t="s">
        <v>220</v>
      </c>
      <c r="D29" s="1" t="s">
        <v>28</v>
      </c>
      <c r="E29" s="1" t="s">
        <v>29</v>
      </c>
      <c r="F29" s="2">
        <v>2.0E7</v>
      </c>
      <c r="G29" s="1" t="s">
        <v>95</v>
      </c>
      <c r="H29" s="1" t="s">
        <v>208</v>
      </c>
      <c r="I29" s="1" t="s">
        <v>104</v>
      </c>
      <c r="K29" s="1">
        <v>0.0</v>
      </c>
      <c r="L29" s="1" t="s">
        <v>221</v>
      </c>
      <c r="M29" s="1" t="str">
        <f>VLOOKUP(L29,'Copy of PMD Workday Constants -'!B28:W714,22,false)</f>
        <v>LCP</v>
      </c>
      <c r="N29" s="1" t="s">
        <v>32</v>
      </c>
      <c r="O29" s="1" t="s">
        <v>33</v>
      </c>
      <c r="P29" s="1" t="s">
        <v>222</v>
      </c>
      <c r="Q29" s="1" t="s">
        <v>222</v>
      </c>
      <c r="R29" s="1" t="s">
        <v>223</v>
      </c>
      <c r="T29" s="1">
        <v>1.00660017E8</v>
      </c>
      <c r="W29" s="1" t="s">
        <v>91</v>
      </c>
      <c r="X29" s="1" t="s">
        <v>221</v>
      </c>
    </row>
    <row r="30">
      <c r="A30" s="1" t="s">
        <v>224</v>
      </c>
      <c r="B30" s="1" t="s">
        <v>225</v>
      </c>
      <c r="C30" s="1" t="s">
        <v>226</v>
      </c>
      <c r="D30" s="1" t="s">
        <v>28</v>
      </c>
      <c r="E30" s="1" t="s">
        <v>29</v>
      </c>
      <c r="F30" s="2">
        <v>2.0E7</v>
      </c>
      <c r="G30" s="1" t="s">
        <v>95</v>
      </c>
      <c r="H30" s="4">
        <v>44808.0</v>
      </c>
      <c r="I30" s="1" t="s">
        <v>227</v>
      </c>
      <c r="K30" s="1">
        <v>0.0</v>
      </c>
      <c r="L30" s="1" t="s">
        <v>228</v>
      </c>
      <c r="M30" s="1" t="str">
        <f>VLOOKUP(L30,'Copy of PMD Workday Constants -'!B29:W715,22,false)</f>
        <v>LCP</v>
      </c>
      <c r="N30" s="1" t="s">
        <v>32</v>
      </c>
      <c r="O30" s="1" t="s">
        <v>33</v>
      </c>
      <c r="P30" s="1" t="s">
        <v>64</v>
      </c>
      <c r="Q30" s="1" t="s">
        <v>64</v>
      </c>
      <c r="R30" s="1" t="s">
        <v>65</v>
      </c>
      <c r="S30" s="1" t="s">
        <v>229</v>
      </c>
      <c r="T30" s="1">
        <v>1.00650619E8</v>
      </c>
      <c r="W30" s="1" t="s">
        <v>85</v>
      </c>
      <c r="X30" s="1" t="s">
        <v>228</v>
      </c>
    </row>
    <row r="31">
      <c r="A31" s="1" t="s">
        <v>230</v>
      </c>
      <c r="B31" s="1" t="s">
        <v>93</v>
      </c>
      <c r="C31" s="1" t="s">
        <v>231</v>
      </c>
      <c r="D31" s="1" t="s">
        <v>28</v>
      </c>
      <c r="E31" s="1" t="s">
        <v>29</v>
      </c>
      <c r="F31" s="2">
        <v>2.0E7</v>
      </c>
      <c r="G31" s="1" t="s">
        <v>95</v>
      </c>
      <c r="H31" s="4">
        <v>44448.0</v>
      </c>
      <c r="I31" s="1" t="s">
        <v>152</v>
      </c>
      <c r="K31" s="1">
        <v>0.0</v>
      </c>
      <c r="L31" s="1" t="s">
        <v>232</v>
      </c>
      <c r="M31" s="1" t="str">
        <f>VLOOKUP(L31,'Copy of PMD Workday Constants -'!B30:W716,22,false)</f>
        <v>LCP</v>
      </c>
      <c r="N31" s="1" t="s">
        <v>32</v>
      </c>
      <c r="O31" s="1" t="s">
        <v>33</v>
      </c>
      <c r="P31" s="1" t="s">
        <v>64</v>
      </c>
      <c r="Q31" s="1" t="s">
        <v>64</v>
      </c>
      <c r="R31" s="1" t="s">
        <v>65</v>
      </c>
      <c r="S31" s="1" t="s">
        <v>98</v>
      </c>
      <c r="T31" s="1">
        <v>1.00882501E8</v>
      </c>
      <c r="W31" s="1" t="s">
        <v>56</v>
      </c>
      <c r="X31" s="1" t="s">
        <v>232</v>
      </c>
    </row>
    <row r="32">
      <c r="A32" s="1" t="s">
        <v>233</v>
      </c>
      <c r="B32" s="1" t="s">
        <v>234</v>
      </c>
      <c r="C32" s="1" t="s">
        <v>235</v>
      </c>
      <c r="D32" s="1" t="s">
        <v>28</v>
      </c>
      <c r="E32" s="1" t="s">
        <v>29</v>
      </c>
      <c r="F32" s="5">
        <v>1.93E7</v>
      </c>
      <c r="G32" s="1" t="s">
        <v>236</v>
      </c>
      <c r="H32" s="4">
        <v>44238.0</v>
      </c>
      <c r="I32" s="1" t="s">
        <v>237</v>
      </c>
      <c r="K32" s="1">
        <v>0.0</v>
      </c>
      <c r="L32" s="1" t="s">
        <v>238</v>
      </c>
      <c r="M32" s="1" t="str">
        <f>VLOOKUP(L32,'Copy of PMD Workday Constants -'!B1:Y687,22,false)</f>
        <v>Delivery</v>
      </c>
      <c r="N32" s="1" t="s">
        <v>32</v>
      </c>
      <c r="O32" s="1" t="s">
        <v>33</v>
      </c>
      <c r="P32" s="1" t="s">
        <v>112</v>
      </c>
      <c r="Q32" s="1" t="s">
        <v>112</v>
      </c>
      <c r="R32" s="1" t="s">
        <v>113</v>
      </c>
      <c r="S32" s="1" t="s">
        <v>114</v>
      </c>
      <c r="T32" s="1">
        <v>1.00658519E8</v>
      </c>
      <c r="W32" s="1" t="s">
        <v>140</v>
      </c>
      <c r="X32" s="1" t="s">
        <v>239</v>
      </c>
    </row>
    <row r="33">
      <c r="A33" s="1" t="s">
        <v>240</v>
      </c>
      <c r="B33" s="1" t="s">
        <v>241</v>
      </c>
      <c r="C33" s="1" t="s">
        <v>242</v>
      </c>
      <c r="D33" s="1" t="s">
        <v>28</v>
      </c>
      <c r="E33" s="1" t="s">
        <v>29</v>
      </c>
      <c r="F33" s="1">
        <v>1.85E7</v>
      </c>
      <c r="G33" s="1" t="s">
        <v>236</v>
      </c>
      <c r="H33" s="1" t="s">
        <v>243</v>
      </c>
      <c r="I33" s="1" t="s">
        <v>191</v>
      </c>
      <c r="K33" s="1">
        <v>0.0</v>
      </c>
      <c r="L33" s="1" t="s">
        <v>244</v>
      </c>
      <c r="M33" s="1" t="str">
        <f>VLOOKUP(L33,'Copy of PMD Workday Constants -'!B32:W718,22,false)</f>
        <v>Delivery</v>
      </c>
      <c r="N33" s="1" t="s">
        <v>32</v>
      </c>
      <c r="O33" s="1" t="s">
        <v>33</v>
      </c>
      <c r="P33" s="1" t="s">
        <v>34</v>
      </c>
      <c r="Q33" s="1" t="s">
        <v>34</v>
      </c>
      <c r="R33" s="1" t="s">
        <v>35</v>
      </c>
      <c r="S33" s="1" t="s">
        <v>36</v>
      </c>
      <c r="T33" s="1">
        <v>1.00617853E8</v>
      </c>
      <c r="W33" s="1" t="s">
        <v>37</v>
      </c>
      <c r="X33" s="1" t="s">
        <v>244</v>
      </c>
    </row>
    <row r="34">
      <c r="A34" s="1" t="s">
        <v>245</v>
      </c>
      <c r="B34" s="1" t="s">
        <v>246</v>
      </c>
      <c r="C34" s="1" t="s">
        <v>247</v>
      </c>
      <c r="D34" s="1" t="s">
        <v>103</v>
      </c>
      <c r="E34" s="1" t="s">
        <v>29</v>
      </c>
      <c r="F34" s="1">
        <v>1.65E7</v>
      </c>
      <c r="G34" s="1" t="s">
        <v>236</v>
      </c>
      <c r="H34" s="4">
        <v>44810.0</v>
      </c>
      <c r="I34" s="1" t="s">
        <v>248</v>
      </c>
      <c r="K34" s="1">
        <v>0.0</v>
      </c>
      <c r="L34" s="1" t="s">
        <v>249</v>
      </c>
      <c r="M34" s="1" t="str">
        <f>VLOOKUP(L34,'Copy of PMD Workday Constants -'!B33:W719,22,false)</f>
        <v>Delivery</v>
      </c>
      <c r="N34" s="1" t="s">
        <v>32</v>
      </c>
      <c r="O34" s="1" t="s">
        <v>33</v>
      </c>
      <c r="P34" s="1" t="s">
        <v>112</v>
      </c>
      <c r="Q34" s="1" t="s">
        <v>112</v>
      </c>
      <c r="R34" s="1" t="s">
        <v>113</v>
      </c>
      <c r="S34" s="1" t="s">
        <v>134</v>
      </c>
      <c r="T34" s="1">
        <v>1.00640433E8</v>
      </c>
      <c r="W34" s="1" t="s">
        <v>250</v>
      </c>
      <c r="X34" s="1" t="s">
        <v>251</v>
      </c>
    </row>
    <row r="35">
      <c r="A35" s="1" t="s">
        <v>252</v>
      </c>
      <c r="B35" s="1" t="s">
        <v>253</v>
      </c>
      <c r="C35" s="1" t="s">
        <v>254</v>
      </c>
      <c r="D35" s="1" t="s">
        <v>79</v>
      </c>
      <c r="E35" s="1" t="s">
        <v>29</v>
      </c>
      <c r="F35" s="1">
        <v>1.5091712E7</v>
      </c>
      <c r="G35" s="1" t="s">
        <v>236</v>
      </c>
      <c r="H35" s="4">
        <v>44296.0</v>
      </c>
      <c r="I35" s="1" t="s">
        <v>191</v>
      </c>
      <c r="K35" s="1">
        <v>0.0</v>
      </c>
      <c r="L35" s="1" t="s">
        <v>255</v>
      </c>
      <c r="M35" s="1" t="str">
        <f>VLOOKUP(L35,'Copy of PMD Workday Constants -'!B34:W720,22,false)</f>
        <v>Delivery</v>
      </c>
      <c r="N35" s="1" t="s">
        <v>32</v>
      </c>
      <c r="O35" s="1" t="s">
        <v>33</v>
      </c>
      <c r="P35" s="1" t="s">
        <v>112</v>
      </c>
      <c r="Q35" s="1" t="s">
        <v>112</v>
      </c>
      <c r="R35" s="1" t="s">
        <v>113</v>
      </c>
      <c r="S35" s="1" t="s">
        <v>256</v>
      </c>
      <c r="T35" s="1">
        <v>1.00659114E8</v>
      </c>
      <c r="V35" s="1" t="s">
        <v>257</v>
      </c>
      <c r="W35" s="1" t="s">
        <v>258</v>
      </c>
      <c r="X35" s="1" t="s">
        <v>259</v>
      </c>
    </row>
    <row r="36">
      <c r="A36" s="1" t="s">
        <v>260</v>
      </c>
      <c r="B36" s="1" t="s">
        <v>261</v>
      </c>
      <c r="C36" s="1" t="s">
        <v>262</v>
      </c>
      <c r="D36" s="1" t="s">
        <v>28</v>
      </c>
      <c r="E36" s="1" t="s">
        <v>29</v>
      </c>
      <c r="F36" s="1">
        <v>1.5E7</v>
      </c>
      <c r="G36" s="1" t="s">
        <v>236</v>
      </c>
      <c r="H36" s="1" t="s">
        <v>263</v>
      </c>
      <c r="I36" s="1" t="s">
        <v>264</v>
      </c>
      <c r="K36" s="1">
        <v>0.0</v>
      </c>
      <c r="L36" s="1" t="s">
        <v>265</v>
      </c>
      <c r="M36" s="1" t="str">
        <f>VLOOKUP(L36,'Copy of PMD Workday Constants -'!B35:W721,22,false)</f>
        <v>Delivery</v>
      </c>
      <c r="N36" s="1" t="s">
        <v>32</v>
      </c>
      <c r="O36" s="1" t="s">
        <v>33</v>
      </c>
      <c r="P36" s="1" t="s">
        <v>112</v>
      </c>
      <c r="Q36" s="1" t="s">
        <v>112</v>
      </c>
      <c r="R36" s="1" t="s">
        <v>113</v>
      </c>
      <c r="S36" s="1" t="s">
        <v>204</v>
      </c>
      <c r="T36" s="1">
        <v>1.00633579E8</v>
      </c>
      <c r="W36" s="1" t="s">
        <v>37</v>
      </c>
      <c r="X36" s="1" t="s">
        <v>266</v>
      </c>
    </row>
    <row r="37">
      <c r="A37" s="1" t="s">
        <v>267</v>
      </c>
      <c r="B37" s="1" t="s">
        <v>268</v>
      </c>
      <c r="C37" s="1" t="s">
        <v>269</v>
      </c>
      <c r="D37" s="1" t="s">
        <v>103</v>
      </c>
      <c r="E37" s="1" t="s">
        <v>29</v>
      </c>
      <c r="F37" s="1">
        <v>1.5E7</v>
      </c>
      <c r="G37" s="1" t="s">
        <v>236</v>
      </c>
      <c r="H37" s="4">
        <v>44324.0</v>
      </c>
      <c r="I37" s="4">
        <v>44780.0</v>
      </c>
      <c r="K37" s="1">
        <v>0.0</v>
      </c>
      <c r="L37" s="1" t="s">
        <v>270</v>
      </c>
      <c r="M37" s="1" t="str">
        <f>VLOOKUP(L37,'Copy of PMD Workday Constants -'!B36:W722,22,false)</f>
        <v>LCP</v>
      </c>
      <c r="N37" s="1" t="s">
        <v>32</v>
      </c>
      <c r="O37" s="1" t="s">
        <v>33</v>
      </c>
      <c r="P37" s="1" t="s">
        <v>34</v>
      </c>
      <c r="Q37" s="1" t="s">
        <v>34</v>
      </c>
      <c r="R37" s="1" t="s">
        <v>35</v>
      </c>
      <c r="S37" s="1" t="s">
        <v>114</v>
      </c>
      <c r="T37" s="1">
        <v>1.00597826E8</v>
      </c>
      <c r="W37" s="1" t="s">
        <v>140</v>
      </c>
      <c r="X37" s="1" t="s">
        <v>270</v>
      </c>
    </row>
    <row r="38">
      <c r="A38" s="1" t="s">
        <v>271</v>
      </c>
      <c r="B38" s="1" t="s">
        <v>40</v>
      </c>
      <c r="C38" s="1" t="s">
        <v>272</v>
      </c>
      <c r="D38" s="1" t="s">
        <v>51</v>
      </c>
      <c r="E38" s="1" t="s">
        <v>29</v>
      </c>
      <c r="F38" s="1">
        <v>1.5E7</v>
      </c>
      <c r="G38" s="1" t="s">
        <v>236</v>
      </c>
      <c r="H38" s="1" t="s">
        <v>273</v>
      </c>
      <c r="I38" s="1" t="s">
        <v>274</v>
      </c>
      <c r="K38" s="1">
        <v>0.0</v>
      </c>
      <c r="L38" s="1" t="s">
        <v>275</v>
      </c>
      <c r="M38" s="1" t="str">
        <f>VLOOKUP(L38,'Copy of PMD Workday Constants -'!B37:W723,22,false)</f>
        <v>Delivery</v>
      </c>
      <c r="N38" s="1" t="s">
        <v>32</v>
      </c>
      <c r="O38" s="1" t="s">
        <v>33</v>
      </c>
      <c r="P38" s="1" t="s">
        <v>34</v>
      </c>
      <c r="Q38" s="1" t="s">
        <v>34</v>
      </c>
      <c r="R38" s="1" t="s">
        <v>35</v>
      </c>
      <c r="S38" s="1" t="s">
        <v>66</v>
      </c>
      <c r="T38" s="1">
        <v>1.00608828E8</v>
      </c>
      <c r="W38" s="1" t="s">
        <v>47</v>
      </c>
      <c r="X38" s="1" t="s">
        <v>127</v>
      </c>
    </row>
    <row r="39">
      <c r="A39" s="1" t="s">
        <v>276</v>
      </c>
      <c r="B39" s="1" t="s">
        <v>268</v>
      </c>
      <c r="C39" s="1" t="s">
        <v>277</v>
      </c>
      <c r="D39" s="1" t="s">
        <v>28</v>
      </c>
      <c r="E39" s="1" t="s">
        <v>29</v>
      </c>
      <c r="F39" s="1">
        <v>1.5E7</v>
      </c>
      <c r="G39" s="1" t="s">
        <v>236</v>
      </c>
      <c r="H39" s="1" t="s">
        <v>278</v>
      </c>
      <c r="I39" s="1" t="s">
        <v>217</v>
      </c>
      <c r="K39" s="1">
        <v>0.0</v>
      </c>
      <c r="L39" s="1" t="s">
        <v>270</v>
      </c>
      <c r="M39" s="1" t="str">
        <f>VLOOKUP(L39,'Copy of PMD Workday Constants -'!B38:W724,22,false)</f>
        <v>LCP</v>
      </c>
      <c r="N39" s="1" t="s">
        <v>32</v>
      </c>
      <c r="O39" s="1" t="s">
        <v>33</v>
      </c>
      <c r="P39" s="1" t="s">
        <v>34</v>
      </c>
      <c r="Q39" s="1" t="s">
        <v>34</v>
      </c>
      <c r="R39" s="1" t="s">
        <v>35</v>
      </c>
      <c r="S39" s="1" t="s">
        <v>114</v>
      </c>
      <c r="T39" s="1">
        <v>1.00597826E8</v>
      </c>
      <c r="W39" s="1" t="s">
        <v>140</v>
      </c>
      <c r="X39" s="1" t="s">
        <v>279</v>
      </c>
    </row>
    <row r="40">
      <c r="A40" s="1" t="s">
        <v>280</v>
      </c>
      <c r="B40" s="1" t="s">
        <v>281</v>
      </c>
      <c r="C40" s="1" t="s">
        <v>282</v>
      </c>
      <c r="D40" s="1" t="s">
        <v>103</v>
      </c>
      <c r="E40" s="1" t="s">
        <v>29</v>
      </c>
      <c r="F40" s="1">
        <v>1.5E7</v>
      </c>
      <c r="G40" s="1" t="s">
        <v>236</v>
      </c>
      <c r="H40" s="1" t="s">
        <v>283</v>
      </c>
      <c r="I40" s="4">
        <v>44569.0</v>
      </c>
      <c r="K40" s="1">
        <v>0.0</v>
      </c>
      <c r="L40" s="1" t="s">
        <v>284</v>
      </c>
      <c r="M40" s="1" t="str">
        <f>VLOOKUP(L40,'Copy of PMD Workday Constants -'!B39:W725,22,false)</f>
        <v>Delivery</v>
      </c>
      <c r="N40" s="1" t="s">
        <v>32</v>
      </c>
      <c r="O40" s="1" t="s">
        <v>33</v>
      </c>
      <c r="P40" s="1" t="s">
        <v>54</v>
      </c>
      <c r="Q40" s="1" t="s">
        <v>54</v>
      </c>
      <c r="R40" s="1" t="s">
        <v>55</v>
      </c>
      <c r="S40" s="1" t="s">
        <v>285</v>
      </c>
      <c r="T40" s="1">
        <v>1.00613095E8</v>
      </c>
      <c r="U40" s="1" t="s">
        <v>286</v>
      </c>
      <c r="V40" s="1" t="s">
        <v>46</v>
      </c>
      <c r="W40" s="1" t="s">
        <v>287</v>
      </c>
      <c r="X40" s="1" t="s">
        <v>284</v>
      </c>
    </row>
    <row r="41">
      <c r="A41" s="1" t="s">
        <v>288</v>
      </c>
      <c r="B41" s="1" t="s">
        <v>289</v>
      </c>
      <c r="C41" s="1" t="s">
        <v>290</v>
      </c>
      <c r="D41" s="1" t="s">
        <v>103</v>
      </c>
      <c r="E41" s="1" t="s">
        <v>29</v>
      </c>
      <c r="F41" s="1">
        <v>1.5E7</v>
      </c>
      <c r="G41" s="1" t="s">
        <v>236</v>
      </c>
      <c r="H41" s="1" t="s">
        <v>291</v>
      </c>
      <c r="I41" s="1" t="s">
        <v>80</v>
      </c>
      <c r="K41" s="1">
        <v>0.0</v>
      </c>
      <c r="L41" s="1" t="s">
        <v>146</v>
      </c>
      <c r="M41" s="1" t="str">
        <f>VLOOKUP(L41,'Copy of PMD Workday Constants -'!B40:W726,22,false)</f>
        <v>LCP</v>
      </c>
      <c r="N41" s="1" t="s">
        <v>32</v>
      </c>
      <c r="O41" s="1" t="s">
        <v>33</v>
      </c>
      <c r="P41" s="1" t="s">
        <v>64</v>
      </c>
      <c r="Q41" s="1" t="s">
        <v>64</v>
      </c>
      <c r="R41" s="1" t="s">
        <v>65</v>
      </c>
      <c r="S41" s="1" t="s">
        <v>98</v>
      </c>
      <c r="T41" s="1">
        <v>1.00651441E8</v>
      </c>
      <c r="W41" s="1" t="s">
        <v>74</v>
      </c>
      <c r="X41" s="1" t="s">
        <v>146</v>
      </c>
    </row>
    <row r="42">
      <c r="A42" s="1" t="s">
        <v>292</v>
      </c>
      <c r="B42" s="1" t="s">
        <v>293</v>
      </c>
      <c r="C42" s="1" t="s">
        <v>294</v>
      </c>
      <c r="D42" s="1" t="s">
        <v>28</v>
      </c>
      <c r="E42" s="1" t="s">
        <v>29</v>
      </c>
      <c r="F42" s="1">
        <v>1.4E7</v>
      </c>
      <c r="G42" s="1" t="s">
        <v>236</v>
      </c>
      <c r="H42" s="4">
        <v>44656.0</v>
      </c>
      <c r="I42" s="1" t="s">
        <v>295</v>
      </c>
      <c r="K42" s="1">
        <v>0.0</v>
      </c>
      <c r="L42" s="1" t="s">
        <v>296</v>
      </c>
      <c r="M42" s="1" t="str">
        <f>VLOOKUP(L42,'Copy of PMD Workday Constants -'!B41:W727,22,false)</f>
        <v>Delivery</v>
      </c>
      <c r="N42" s="1" t="s">
        <v>32</v>
      </c>
      <c r="O42" s="1" t="s">
        <v>33</v>
      </c>
      <c r="P42" s="1" t="s">
        <v>173</v>
      </c>
      <c r="Q42" s="1" t="s">
        <v>173</v>
      </c>
      <c r="R42" s="1" t="s">
        <v>174</v>
      </c>
      <c r="S42" s="1" t="s">
        <v>297</v>
      </c>
      <c r="T42" s="1">
        <v>1.00642806E8</v>
      </c>
      <c r="W42" s="1" t="s">
        <v>258</v>
      </c>
      <c r="X42" s="1" t="s">
        <v>296</v>
      </c>
    </row>
    <row r="43">
      <c r="A43" s="1" t="s">
        <v>298</v>
      </c>
      <c r="B43" s="1" t="s">
        <v>299</v>
      </c>
      <c r="C43" s="1" t="s">
        <v>300</v>
      </c>
      <c r="D43" s="1" t="s">
        <v>51</v>
      </c>
      <c r="E43" s="1" t="s">
        <v>29</v>
      </c>
      <c r="F43" s="1">
        <v>1.3E7</v>
      </c>
      <c r="G43" s="1" t="s">
        <v>236</v>
      </c>
      <c r="H43" s="1" t="s">
        <v>301</v>
      </c>
      <c r="I43" s="1" t="s">
        <v>302</v>
      </c>
      <c r="K43" s="1">
        <v>0.0</v>
      </c>
      <c r="L43" s="1" t="s">
        <v>265</v>
      </c>
      <c r="M43" s="1" t="str">
        <f>VLOOKUP(L43,'Copy of PMD Workday Constants -'!B42:W728,22,false)</f>
        <v>Delivery</v>
      </c>
      <c r="N43" s="1" t="s">
        <v>32</v>
      </c>
      <c r="O43" s="1" t="s">
        <v>33</v>
      </c>
      <c r="P43" s="1" t="s">
        <v>112</v>
      </c>
      <c r="Q43" s="1" t="s">
        <v>112</v>
      </c>
      <c r="R43" s="1" t="s">
        <v>113</v>
      </c>
      <c r="S43" s="1" t="s">
        <v>36</v>
      </c>
      <c r="T43" s="1">
        <v>1.00633579E8</v>
      </c>
      <c r="W43" s="1" t="s">
        <v>37</v>
      </c>
      <c r="X43" s="1" t="s">
        <v>105</v>
      </c>
    </row>
    <row r="44">
      <c r="A44" s="1" t="s">
        <v>303</v>
      </c>
      <c r="B44" s="1" t="s">
        <v>304</v>
      </c>
      <c r="C44" s="1" t="s">
        <v>305</v>
      </c>
      <c r="D44" s="1" t="s">
        <v>28</v>
      </c>
      <c r="E44" s="1" t="s">
        <v>29</v>
      </c>
      <c r="F44" s="1">
        <v>1.25E7</v>
      </c>
      <c r="G44" s="1" t="s">
        <v>236</v>
      </c>
      <c r="H44" s="1" t="s">
        <v>306</v>
      </c>
      <c r="I44" s="4">
        <v>45383.0</v>
      </c>
      <c r="K44" s="1">
        <v>0.0</v>
      </c>
      <c r="L44" s="1" t="s">
        <v>44</v>
      </c>
      <c r="M44" s="1" t="str">
        <f>VLOOKUP(L44,'Copy of PMD Workday Constants -'!B43:W729,22,false)</f>
        <v>LCP</v>
      </c>
      <c r="N44" s="1" t="s">
        <v>32</v>
      </c>
      <c r="O44" s="1" t="s">
        <v>33</v>
      </c>
      <c r="P44" s="1" t="s">
        <v>34</v>
      </c>
      <c r="Q44" s="1" t="s">
        <v>34</v>
      </c>
      <c r="R44" s="1" t="s">
        <v>35</v>
      </c>
      <c r="S44" s="1" t="s">
        <v>307</v>
      </c>
      <c r="T44" s="1">
        <v>1.00587944E8</v>
      </c>
      <c r="W44" s="1" t="s">
        <v>308</v>
      </c>
      <c r="X44" s="1" t="s">
        <v>309</v>
      </c>
    </row>
    <row r="45">
      <c r="A45" s="1" t="s">
        <v>310</v>
      </c>
      <c r="B45" s="1" t="s">
        <v>311</v>
      </c>
      <c r="C45" s="1" t="s">
        <v>312</v>
      </c>
      <c r="D45" s="1" t="s">
        <v>103</v>
      </c>
      <c r="E45" s="1" t="s">
        <v>29</v>
      </c>
      <c r="F45" s="1">
        <v>1.215648E7</v>
      </c>
      <c r="G45" s="1" t="s">
        <v>236</v>
      </c>
      <c r="H45" s="1" t="s">
        <v>52</v>
      </c>
      <c r="I45" s="1" t="s">
        <v>313</v>
      </c>
      <c r="K45" s="1">
        <v>0.0</v>
      </c>
      <c r="L45" s="1" t="s">
        <v>314</v>
      </c>
      <c r="M45" s="1" t="str">
        <f>VLOOKUP(L45,'Copy of PMD Workday Constants -'!B44:W730,22,false)</f>
        <v>Delivery</v>
      </c>
      <c r="N45" s="1" t="s">
        <v>32</v>
      </c>
      <c r="O45" s="1" t="s">
        <v>33</v>
      </c>
      <c r="P45" s="1" t="s">
        <v>64</v>
      </c>
      <c r="Q45" s="1" t="s">
        <v>64</v>
      </c>
      <c r="R45" s="1" t="s">
        <v>65</v>
      </c>
      <c r="S45" s="1" t="s">
        <v>66</v>
      </c>
      <c r="T45" s="1">
        <v>1.00651094E8</v>
      </c>
      <c r="W45" s="1" t="s">
        <v>140</v>
      </c>
      <c r="X45" s="1" t="s">
        <v>315</v>
      </c>
    </row>
    <row r="46">
      <c r="A46" s="1" t="s">
        <v>316</v>
      </c>
      <c r="B46" s="1" t="s">
        <v>317</v>
      </c>
      <c r="C46" s="1" t="s">
        <v>318</v>
      </c>
      <c r="D46" s="1" t="s">
        <v>28</v>
      </c>
      <c r="E46" s="1" t="s">
        <v>29</v>
      </c>
      <c r="F46" s="1">
        <v>1.2E7</v>
      </c>
      <c r="G46" s="1" t="s">
        <v>236</v>
      </c>
      <c r="H46" s="1" t="s">
        <v>170</v>
      </c>
      <c r="I46" s="1" t="s">
        <v>264</v>
      </c>
      <c r="K46" s="1">
        <v>0.0</v>
      </c>
      <c r="L46" s="1" t="s">
        <v>319</v>
      </c>
      <c r="M46" s="1" t="str">
        <f>VLOOKUP(L46,'Copy of PMD Workday Constants -'!B45:W731,22,false)</f>
        <v>Delivery</v>
      </c>
      <c r="N46" s="1" t="s">
        <v>32</v>
      </c>
      <c r="O46" s="1" t="s">
        <v>33</v>
      </c>
      <c r="P46" s="1" t="s">
        <v>82</v>
      </c>
      <c r="Q46" s="1" t="s">
        <v>82</v>
      </c>
      <c r="R46" s="1" t="s">
        <v>83</v>
      </c>
      <c r="S46" s="1" t="s">
        <v>84</v>
      </c>
      <c r="T46" s="1">
        <v>1.00654705E8</v>
      </c>
      <c r="W46" s="1" t="s">
        <v>85</v>
      </c>
      <c r="X46" s="1" t="s">
        <v>319</v>
      </c>
    </row>
    <row r="47">
      <c r="A47" s="1" t="s">
        <v>320</v>
      </c>
      <c r="B47" s="1" t="s">
        <v>321</v>
      </c>
      <c r="C47" s="1" t="s">
        <v>196</v>
      </c>
      <c r="D47" s="1" t="s">
        <v>103</v>
      </c>
      <c r="E47" s="1" t="s">
        <v>29</v>
      </c>
      <c r="F47" s="1">
        <v>1.2E7</v>
      </c>
      <c r="G47" s="1" t="s">
        <v>236</v>
      </c>
      <c r="H47" s="1" t="s">
        <v>322</v>
      </c>
      <c r="I47" s="1" t="s">
        <v>152</v>
      </c>
      <c r="K47" s="1">
        <v>0.0</v>
      </c>
      <c r="L47" s="1" t="s">
        <v>198</v>
      </c>
      <c r="M47" s="1" t="str">
        <f>VLOOKUP(L47,'Copy of PMD Workday Constants -'!B46:W732,22,false)</f>
        <v>Delivery</v>
      </c>
      <c r="N47" s="1" t="s">
        <v>32</v>
      </c>
      <c r="O47" s="1" t="s">
        <v>33</v>
      </c>
      <c r="P47" s="1" t="s">
        <v>82</v>
      </c>
      <c r="Q47" s="1" t="s">
        <v>82</v>
      </c>
      <c r="R47" s="1" t="s">
        <v>83</v>
      </c>
      <c r="S47" s="1" t="s">
        <v>180</v>
      </c>
      <c r="T47" s="1">
        <v>1.00590896E8</v>
      </c>
      <c r="W47" s="1" t="s">
        <v>85</v>
      </c>
      <c r="X47" s="1" t="s">
        <v>198</v>
      </c>
    </row>
    <row r="48">
      <c r="A48" s="1" t="s">
        <v>323</v>
      </c>
      <c r="B48" s="1" t="s">
        <v>324</v>
      </c>
      <c r="C48" s="1" t="s">
        <v>325</v>
      </c>
      <c r="D48" s="1" t="s">
        <v>103</v>
      </c>
      <c r="E48" s="1" t="s">
        <v>29</v>
      </c>
      <c r="F48" s="5">
        <v>1.2E7</v>
      </c>
      <c r="G48" s="1" t="s">
        <v>236</v>
      </c>
      <c r="H48" s="1" t="s">
        <v>263</v>
      </c>
      <c r="I48" s="1" t="s">
        <v>326</v>
      </c>
      <c r="K48" s="1">
        <v>0.0</v>
      </c>
      <c r="L48" s="1" t="s">
        <v>327</v>
      </c>
      <c r="M48" s="1" t="str">
        <f>VLOOKUP(L48,'Copy of PMD Workday Constants -'!B17:Y703,22,false)</f>
        <v>#N/A</v>
      </c>
      <c r="N48" s="1" t="s">
        <v>32</v>
      </c>
      <c r="O48" s="1" t="s">
        <v>33</v>
      </c>
      <c r="P48" s="1" t="s">
        <v>112</v>
      </c>
      <c r="Q48" s="1" t="s">
        <v>112</v>
      </c>
      <c r="R48" s="1" t="s">
        <v>113</v>
      </c>
      <c r="S48" s="1" t="s">
        <v>120</v>
      </c>
      <c r="T48" s="1">
        <v>1.00646485E8</v>
      </c>
      <c r="W48" s="1" t="s">
        <v>56</v>
      </c>
      <c r="X48" s="1" t="s">
        <v>327</v>
      </c>
    </row>
    <row r="49">
      <c r="A49" s="1" t="s">
        <v>328</v>
      </c>
      <c r="B49" s="1" t="s">
        <v>40</v>
      </c>
      <c r="C49" s="1" t="s">
        <v>329</v>
      </c>
      <c r="D49" s="1" t="s">
        <v>103</v>
      </c>
      <c r="E49" s="1" t="s">
        <v>29</v>
      </c>
      <c r="F49" s="1">
        <v>1.2E7</v>
      </c>
      <c r="G49" s="1" t="s">
        <v>236</v>
      </c>
      <c r="H49" s="1" t="s">
        <v>330</v>
      </c>
      <c r="I49" s="1" t="s">
        <v>80</v>
      </c>
      <c r="K49" s="1">
        <v>0.0</v>
      </c>
      <c r="L49" s="1" t="s">
        <v>331</v>
      </c>
      <c r="M49" s="1" t="str">
        <f>VLOOKUP(L49,'Copy of PMD Workday Constants -'!B48:W734,22,false)</f>
        <v>LCP</v>
      </c>
      <c r="N49" s="1" t="s">
        <v>32</v>
      </c>
      <c r="O49" s="1" t="s">
        <v>33</v>
      </c>
      <c r="P49" s="1" t="s">
        <v>54</v>
      </c>
      <c r="Q49" s="1" t="s">
        <v>54</v>
      </c>
      <c r="R49" s="1" t="s">
        <v>55</v>
      </c>
      <c r="S49" s="1" t="s">
        <v>285</v>
      </c>
      <c r="T49" s="1">
        <v>1.00599669E8</v>
      </c>
      <c r="U49" s="1" t="s">
        <v>332</v>
      </c>
      <c r="V49" s="1" t="s">
        <v>46</v>
      </c>
      <c r="W49" s="1" t="s">
        <v>47</v>
      </c>
      <c r="X49" s="1" t="s">
        <v>333</v>
      </c>
    </row>
    <row r="50">
      <c r="A50" s="1" t="s">
        <v>334</v>
      </c>
      <c r="B50" s="1" t="s">
        <v>335</v>
      </c>
      <c r="C50" s="1" t="s">
        <v>336</v>
      </c>
      <c r="D50" s="1" t="s">
        <v>51</v>
      </c>
      <c r="E50" s="1" t="s">
        <v>29</v>
      </c>
      <c r="F50" s="1">
        <v>1.2E7</v>
      </c>
      <c r="G50" s="1" t="s">
        <v>236</v>
      </c>
      <c r="H50" s="4">
        <v>44324.0</v>
      </c>
      <c r="I50" s="1" t="s">
        <v>104</v>
      </c>
      <c r="J50" s="1" t="s">
        <v>337</v>
      </c>
      <c r="K50" s="1">
        <v>0.0</v>
      </c>
      <c r="L50" s="1" t="s">
        <v>338</v>
      </c>
      <c r="M50" s="1" t="str">
        <f>VLOOKUP(L50,'Copy of PMD Workday Constants -'!B49:W735,22,false)</f>
        <v>Delivery</v>
      </c>
      <c r="N50" s="1" t="s">
        <v>32</v>
      </c>
      <c r="O50" s="1" t="s">
        <v>33</v>
      </c>
      <c r="P50" s="1" t="s">
        <v>34</v>
      </c>
      <c r="Q50" s="1" t="s">
        <v>34</v>
      </c>
      <c r="R50" s="1" t="s">
        <v>35</v>
      </c>
      <c r="S50" s="1" t="s">
        <v>126</v>
      </c>
      <c r="T50" s="1">
        <v>1.00619817E8</v>
      </c>
      <c r="W50" s="1" t="s">
        <v>339</v>
      </c>
      <c r="X50" s="1" t="s">
        <v>338</v>
      </c>
    </row>
    <row r="51">
      <c r="A51" s="1" t="s">
        <v>340</v>
      </c>
      <c r="B51" s="1" t="s">
        <v>341</v>
      </c>
      <c r="C51" s="1" t="s">
        <v>342</v>
      </c>
      <c r="D51" s="1" t="s">
        <v>79</v>
      </c>
      <c r="E51" s="1" t="s">
        <v>29</v>
      </c>
      <c r="F51" s="1">
        <v>1.14E7</v>
      </c>
      <c r="G51" s="1" t="s">
        <v>236</v>
      </c>
      <c r="H51" s="1" t="s">
        <v>343</v>
      </c>
      <c r="I51" s="4">
        <v>44568.0</v>
      </c>
      <c r="K51" s="1">
        <v>0.0</v>
      </c>
      <c r="L51" s="1" t="s">
        <v>344</v>
      </c>
      <c r="M51" s="1" t="str">
        <f>VLOOKUP(L51,'Copy of PMD Workday Constants -'!B50:W736,22,false)</f>
        <v>Delivery</v>
      </c>
      <c r="N51" s="1" t="s">
        <v>32</v>
      </c>
      <c r="O51" s="1" t="s">
        <v>33</v>
      </c>
      <c r="P51" s="1" t="s">
        <v>82</v>
      </c>
      <c r="Q51" s="1" t="s">
        <v>82</v>
      </c>
      <c r="R51" s="1" t="s">
        <v>83</v>
      </c>
      <c r="S51" s="1" t="s">
        <v>180</v>
      </c>
      <c r="T51" s="1">
        <v>1.00610483E8</v>
      </c>
      <c r="U51" s="1" t="s">
        <v>345</v>
      </c>
      <c r="V51" s="1" t="s">
        <v>346</v>
      </c>
      <c r="W51" s="1" t="s">
        <v>85</v>
      </c>
      <c r="X51" s="1" t="s">
        <v>344</v>
      </c>
    </row>
    <row r="52">
      <c r="A52" s="1" t="s">
        <v>347</v>
      </c>
      <c r="B52" s="1" t="s">
        <v>348</v>
      </c>
      <c r="C52" s="1" t="s">
        <v>349</v>
      </c>
      <c r="D52" s="1" t="s">
        <v>79</v>
      </c>
      <c r="E52" s="1" t="s">
        <v>29</v>
      </c>
      <c r="F52" s="1">
        <v>1.1E7</v>
      </c>
      <c r="G52" s="1" t="s">
        <v>236</v>
      </c>
      <c r="H52" s="4">
        <v>44326.0</v>
      </c>
      <c r="I52" s="4">
        <v>44568.0</v>
      </c>
      <c r="K52" s="1">
        <v>0.0</v>
      </c>
      <c r="L52" s="1" t="s">
        <v>350</v>
      </c>
      <c r="M52" s="1" t="str">
        <f>VLOOKUP(L52,'Copy of PMD Workday Constants -'!B51:W737,22,false)</f>
        <v>LCP</v>
      </c>
      <c r="N52" s="1" t="s">
        <v>32</v>
      </c>
      <c r="O52" s="1" t="s">
        <v>33</v>
      </c>
      <c r="P52" s="1" t="s">
        <v>82</v>
      </c>
      <c r="Q52" s="1" t="s">
        <v>82</v>
      </c>
      <c r="R52" s="1" t="s">
        <v>83</v>
      </c>
      <c r="S52" s="1" t="s">
        <v>180</v>
      </c>
      <c r="T52" s="1">
        <v>1.00582847E8</v>
      </c>
      <c r="V52" s="1" t="s">
        <v>351</v>
      </c>
      <c r="W52" s="1" t="s">
        <v>85</v>
      </c>
      <c r="X52" s="1" t="s">
        <v>350</v>
      </c>
    </row>
    <row r="53">
      <c r="A53" s="1" t="s">
        <v>352</v>
      </c>
      <c r="B53" s="1" t="s">
        <v>353</v>
      </c>
      <c r="C53" s="1" t="s">
        <v>354</v>
      </c>
      <c r="D53" s="1" t="s">
        <v>28</v>
      </c>
      <c r="E53" s="1" t="s">
        <v>29</v>
      </c>
      <c r="F53" s="1">
        <v>1.07E7</v>
      </c>
      <c r="G53" s="1" t="s">
        <v>236</v>
      </c>
      <c r="H53" s="4">
        <v>44237.0</v>
      </c>
      <c r="I53" s="4">
        <v>44571.0</v>
      </c>
      <c r="K53" s="1">
        <v>0.0</v>
      </c>
      <c r="L53" s="1" t="s">
        <v>355</v>
      </c>
      <c r="M53" s="1" t="str">
        <f>VLOOKUP(L53,'Copy of PMD Workday Constants -'!B52:W738,22,false)</f>
        <v>Delivery</v>
      </c>
      <c r="N53" s="1" t="s">
        <v>32</v>
      </c>
      <c r="O53" s="1" t="s">
        <v>33</v>
      </c>
      <c r="P53" s="1" t="s">
        <v>210</v>
      </c>
      <c r="Q53" s="1" t="s">
        <v>210</v>
      </c>
      <c r="R53" s="1" t="s">
        <v>211</v>
      </c>
      <c r="S53" s="1" t="s">
        <v>297</v>
      </c>
      <c r="T53" s="1">
        <v>1.00588753E8</v>
      </c>
      <c r="W53" s="1" t="s">
        <v>258</v>
      </c>
      <c r="X53" s="1" t="s">
        <v>355</v>
      </c>
    </row>
    <row r="54">
      <c r="A54" s="1" t="s">
        <v>356</v>
      </c>
      <c r="B54" s="1" t="s">
        <v>357</v>
      </c>
      <c r="C54" s="1" t="s">
        <v>358</v>
      </c>
      <c r="D54" s="1" t="s">
        <v>28</v>
      </c>
      <c r="E54" s="1" t="s">
        <v>29</v>
      </c>
      <c r="F54" s="1">
        <v>1.005E7</v>
      </c>
      <c r="G54" s="1" t="s">
        <v>236</v>
      </c>
      <c r="H54" s="4">
        <v>44713.0</v>
      </c>
      <c r="I54" s="1" t="s">
        <v>191</v>
      </c>
      <c r="K54" s="1">
        <v>0.0</v>
      </c>
      <c r="L54" s="1" t="s">
        <v>255</v>
      </c>
      <c r="M54" s="1" t="str">
        <f>VLOOKUP(L54,'Copy of PMD Workday Constants -'!B53:W739,22,false)</f>
        <v>Delivery</v>
      </c>
      <c r="N54" s="1" t="s">
        <v>32</v>
      </c>
      <c r="O54" s="1" t="s">
        <v>33</v>
      </c>
      <c r="P54" s="1" t="s">
        <v>112</v>
      </c>
      <c r="Q54" s="1" t="s">
        <v>112</v>
      </c>
      <c r="R54" s="1" t="s">
        <v>113</v>
      </c>
      <c r="S54" s="1" t="s">
        <v>256</v>
      </c>
      <c r="T54" s="1">
        <v>1.00659114E8</v>
      </c>
      <c r="W54" s="1" t="s">
        <v>258</v>
      </c>
      <c r="X54" s="1" t="s">
        <v>359</v>
      </c>
    </row>
    <row r="55">
      <c r="A55" s="1" t="s">
        <v>360</v>
      </c>
      <c r="B55" s="1" t="s">
        <v>361</v>
      </c>
      <c r="C55" s="1" t="s">
        <v>362</v>
      </c>
      <c r="D55" s="1" t="s">
        <v>28</v>
      </c>
      <c r="E55" s="1" t="s">
        <v>29</v>
      </c>
      <c r="F55" s="5">
        <v>1.0E7</v>
      </c>
      <c r="G55" s="1" t="s">
        <v>236</v>
      </c>
      <c r="H55" s="1" t="s">
        <v>363</v>
      </c>
      <c r="I55" s="1" t="s">
        <v>364</v>
      </c>
      <c r="K55" s="1">
        <v>0.0</v>
      </c>
      <c r="L55" s="1" t="s">
        <v>365</v>
      </c>
      <c r="M55" s="1" t="str">
        <f>VLOOKUP(L55,'Copy of PMD Workday Constants -'!B24:Y710,22,false)</f>
        <v>#N/A</v>
      </c>
      <c r="N55" s="1" t="s">
        <v>32</v>
      </c>
      <c r="O55" s="1" t="s">
        <v>33</v>
      </c>
      <c r="P55" s="1" t="s">
        <v>210</v>
      </c>
      <c r="Q55" s="1" t="s">
        <v>210</v>
      </c>
      <c r="R55" s="1" t="s">
        <v>211</v>
      </c>
      <c r="S55" s="1" t="s">
        <v>297</v>
      </c>
      <c r="T55" s="1">
        <v>1.01072617E8</v>
      </c>
      <c r="W55" s="1" t="s">
        <v>258</v>
      </c>
      <c r="X55" s="1" t="s">
        <v>366</v>
      </c>
    </row>
    <row r="56">
      <c r="A56" s="1" t="s">
        <v>367</v>
      </c>
      <c r="B56" s="1" t="s">
        <v>368</v>
      </c>
      <c r="C56" s="1" t="s">
        <v>369</v>
      </c>
      <c r="D56" s="1" t="s">
        <v>51</v>
      </c>
      <c r="E56" s="1" t="s">
        <v>29</v>
      </c>
      <c r="F56" s="1">
        <v>1.0E7</v>
      </c>
      <c r="G56" s="1" t="s">
        <v>236</v>
      </c>
      <c r="H56" s="1" t="s">
        <v>363</v>
      </c>
      <c r="I56" s="1" t="s">
        <v>104</v>
      </c>
      <c r="K56" s="1">
        <v>0.0</v>
      </c>
      <c r="L56" s="1" t="s">
        <v>370</v>
      </c>
      <c r="M56" s="1" t="str">
        <f>VLOOKUP(L56,'Copy of PMD Workday Constants -'!B55:W741,22,false)</f>
        <v>LCP</v>
      </c>
      <c r="N56" s="1" t="s">
        <v>32</v>
      </c>
      <c r="O56" s="1" t="s">
        <v>33</v>
      </c>
      <c r="P56" s="1" t="s">
        <v>210</v>
      </c>
      <c r="Q56" s="1" t="s">
        <v>210</v>
      </c>
      <c r="R56" s="1" t="s">
        <v>211</v>
      </c>
      <c r="S56" s="1" t="s">
        <v>297</v>
      </c>
      <c r="T56" s="1">
        <v>1.00658132E8</v>
      </c>
      <c r="U56" s="1" t="s">
        <v>371</v>
      </c>
      <c r="V56" s="1" t="s">
        <v>46</v>
      </c>
      <c r="W56" s="1" t="s">
        <v>258</v>
      </c>
      <c r="X56" s="1" t="s">
        <v>370</v>
      </c>
    </row>
    <row r="57">
      <c r="A57" s="1" t="s">
        <v>372</v>
      </c>
      <c r="B57" s="1" t="s">
        <v>373</v>
      </c>
      <c r="C57" s="1" t="s">
        <v>374</v>
      </c>
      <c r="D57" s="1" t="s">
        <v>103</v>
      </c>
      <c r="E57" s="1" t="s">
        <v>29</v>
      </c>
      <c r="F57" s="1">
        <v>1.0E7</v>
      </c>
      <c r="G57" s="1" t="s">
        <v>236</v>
      </c>
      <c r="H57" s="1" t="s">
        <v>375</v>
      </c>
      <c r="I57" s="1" t="s">
        <v>152</v>
      </c>
      <c r="K57" s="1">
        <v>0.0</v>
      </c>
      <c r="L57" s="1" t="s">
        <v>370</v>
      </c>
      <c r="M57" s="1" t="str">
        <f>VLOOKUP(L57,'Copy of PMD Workday Constants -'!B56:W742,22,false)</f>
        <v>LCP</v>
      </c>
      <c r="N57" s="1" t="s">
        <v>32</v>
      </c>
      <c r="O57" s="1" t="s">
        <v>33</v>
      </c>
      <c r="P57" s="1" t="s">
        <v>210</v>
      </c>
      <c r="Q57" s="1" t="s">
        <v>210</v>
      </c>
      <c r="R57" s="1" t="s">
        <v>211</v>
      </c>
      <c r="S57" s="1" t="s">
        <v>297</v>
      </c>
      <c r="T57" s="1">
        <v>1.00658132E8</v>
      </c>
      <c r="W57" s="1" t="s">
        <v>258</v>
      </c>
      <c r="X57" s="1" t="s">
        <v>370</v>
      </c>
    </row>
    <row r="58">
      <c r="A58" s="1" t="s">
        <v>376</v>
      </c>
      <c r="B58" s="1" t="s">
        <v>377</v>
      </c>
      <c r="C58" s="1" t="s">
        <v>378</v>
      </c>
      <c r="D58" s="1" t="s">
        <v>28</v>
      </c>
      <c r="E58" s="1" t="s">
        <v>29</v>
      </c>
      <c r="F58" s="1">
        <v>1.0E7</v>
      </c>
      <c r="G58" s="1" t="s">
        <v>236</v>
      </c>
      <c r="H58" s="4">
        <v>43956.0</v>
      </c>
      <c r="I58" s="1" t="s">
        <v>43</v>
      </c>
      <c r="K58" s="1">
        <v>0.0</v>
      </c>
      <c r="L58" s="1" t="s">
        <v>111</v>
      </c>
      <c r="M58" s="1" t="str">
        <f>VLOOKUP(L58,'Copy of PMD Workday Constants -'!B57:W743,22,false)</f>
        <v>LCP</v>
      </c>
      <c r="N58" s="1" t="s">
        <v>32</v>
      </c>
      <c r="O58" s="1" t="s">
        <v>33</v>
      </c>
      <c r="P58" s="1" t="s">
        <v>112</v>
      </c>
      <c r="Q58" s="1" t="s">
        <v>112</v>
      </c>
      <c r="R58" s="1" t="s">
        <v>113</v>
      </c>
      <c r="S58" s="1" t="s">
        <v>307</v>
      </c>
      <c r="T58" s="1">
        <v>1.00596941E8</v>
      </c>
      <c r="W58" s="1" t="s">
        <v>47</v>
      </c>
      <c r="X58" s="1" t="s">
        <v>111</v>
      </c>
    </row>
    <row r="59">
      <c r="A59" s="1" t="s">
        <v>379</v>
      </c>
      <c r="B59" s="1" t="s">
        <v>380</v>
      </c>
      <c r="C59" s="1" t="s">
        <v>381</v>
      </c>
      <c r="D59" s="1" t="s">
        <v>28</v>
      </c>
      <c r="E59" s="1" t="s">
        <v>29</v>
      </c>
      <c r="F59" s="1">
        <v>1.0E7</v>
      </c>
      <c r="G59" s="1" t="s">
        <v>236</v>
      </c>
      <c r="H59" s="4">
        <v>44623.0</v>
      </c>
      <c r="I59" s="1" t="s">
        <v>191</v>
      </c>
      <c r="K59" s="1">
        <v>0.0</v>
      </c>
      <c r="L59" s="1" t="s">
        <v>382</v>
      </c>
      <c r="M59" s="1" t="str">
        <f>VLOOKUP(L59,'Copy of PMD Workday Constants -'!B58:W744,22,false)</f>
        <v>Delivery</v>
      </c>
      <c r="N59" s="1" t="s">
        <v>32</v>
      </c>
      <c r="O59" s="1" t="s">
        <v>33</v>
      </c>
      <c r="P59" s="1" t="s">
        <v>34</v>
      </c>
      <c r="Q59" s="1" t="s">
        <v>34</v>
      </c>
      <c r="R59" s="1" t="s">
        <v>35</v>
      </c>
      <c r="S59" s="1" t="s">
        <v>383</v>
      </c>
      <c r="T59" s="1">
        <v>1.0059112E8</v>
      </c>
      <c r="W59" s="1" t="s">
        <v>140</v>
      </c>
      <c r="X59" s="1" t="s">
        <v>384</v>
      </c>
    </row>
    <row r="60">
      <c r="A60" s="1" t="s">
        <v>385</v>
      </c>
      <c r="B60" s="1" t="s">
        <v>137</v>
      </c>
      <c r="C60" s="1" t="s">
        <v>386</v>
      </c>
      <c r="D60" s="1" t="s">
        <v>103</v>
      </c>
      <c r="E60" s="1" t="s">
        <v>29</v>
      </c>
      <c r="F60" s="1">
        <v>1.0E7</v>
      </c>
      <c r="G60" s="1" t="s">
        <v>236</v>
      </c>
      <c r="H60" s="4">
        <v>44623.0</v>
      </c>
      <c r="I60" s="1" t="s">
        <v>302</v>
      </c>
      <c r="K60" s="1">
        <v>0.0</v>
      </c>
      <c r="L60" s="1" t="s">
        <v>387</v>
      </c>
      <c r="M60" s="1" t="str">
        <f>VLOOKUP(L60,'Copy of PMD Workday Constants -'!B59:W745,22,false)</f>
        <v>Delivery</v>
      </c>
      <c r="N60" s="1" t="s">
        <v>32</v>
      </c>
      <c r="O60" s="1" t="s">
        <v>33</v>
      </c>
      <c r="P60" s="1" t="s">
        <v>34</v>
      </c>
      <c r="Q60" s="1" t="s">
        <v>34</v>
      </c>
      <c r="R60" s="1" t="s">
        <v>35</v>
      </c>
      <c r="S60" s="1" t="s">
        <v>383</v>
      </c>
      <c r="T60" s="1">
        <v>1.00642129E8</v>
      </c>
      <c r="W60" s="1" t="s">
        <v>140</v>
      </c>
      <c r="X60" s="1" t="s">
        <v>384</v>
      </c>
    </row>
    <row r="61">
      <c r="A61" s="1" t="s">
        <v>388</v>
      </c>
      <c r="B61" s="1" t="s">
        <v>389</v>
      </c>
      <c r="C61" s="1" t="s">
        <v>390</v>
      </c>
      <c r="D61" s="1" t="s">
        <v>28</v>
      </c>
      <c r="E61" s="1" t="s">
        <v>29</v>
      </c>
      <c r="F61" s="1">
        <v>1.0E7</v>
      </c>
      <c r="G61" s="1" t="s">
        <v>236</v>
      </c>
      <c r="H61" s="4">
        <v>44717.0</v>
      </c>
      <c r="I61" s="1" t="s">
        <v>191</v>
      </c>
      <c r="K61" s="1">
        <v>0.0</v>
      </c>
      <c r="L61" s="1" t="s">
        <v>275</v>
      </c>
      <c r="M61" s="1" t="str">
        <f>VLOOKUP(L61,'Copy of PMD Workday Constants -'!B60:W746,22,false)</f>
        <v>Delivery</v>
      </c>
      <c r="N61" s="1" t="s">
        <v>32</v>
      </c>
      <c r="O61" s="1" t="s">
        <v>33</v>
      </c>
      <c r="P61" s="1" t="s">
        <v>34</v>
      </c>
      <c r="Q61" s="1" t="s">
        <v>34</v>
      </c>
      <c r="R61" s="1" t="s">
        <v>35</v>
      </c>
      <c r="S61" s="1" t="s">
        <v>126</v>
      </c>
      <c r="T61" s="1">
        <v>1.00608828E8</v>
      </c>
      <c r="W61" s="1" t="s">
        <v>391</v>
      </c>
      <c r="X61" s="1" t="s">
        <v>392</v>
      </c>
    </row>
    <row r="62">
      <c r="A62" s="1" t="s">
        <v>393</v>
      </c>
      <c r="B62" s="1" t="s">
        <v>59</v>
      </c>
      <c r="C62" s="1" t="s">
        <v>394</v>
      </c>
      <c r="D62" s="1" t="s">
        <v>51</v>
      </c>
      <c r="E62" s="1" t="s">
        <v>29</v>
      </c>
      <c r="F62" s="1">
        <v>1.0E7</v>
      </c>
      <c r="G62" s="1" t="s">
        <v>236</v>
      </c>
      <c r="H62" s="4">
        <v>44595.0</v>
      </c>
      <c r="I62" s="1" t="s">
        <v>96</v>
      </c>
      <c r="K62" s="1">
        <v>0.0</v>
      </c>
      <c r="L62" s="1" t="s">
        <v>63</v>
      </c>
      <c r="M62" s="1" t="str">
        <f>VLOOKUP(L62,'Copy of PMD Workday Constants -'!B61:W747,22,false)</f>
        <v>Catalyst</v>
      </c>
      <c r="N62" s="1" t="s">
        <v>32</v>
      </c>
      <c r="O62" s="1" t="s">
        <v>33</v>
      </c>
      <c r="P62" s="1" t="s">
        <v>64</v>
      </c>
      <c r="Q62" s="1" t="s">
        <v>64</v>
      </c>
      <c r="R62" s="1" t="s">
        <v>65</v>
      </c>
      <c r="S62" s="1" t="s">
        <v>66</v>
      </c>
      <c r="T62" s="1">
        <v>1.01059432E8</v>
      </c>
      <c r="U62" s="1" t="s">
        <v>60</v>
      </c>
      <c r="V62" s="1" t="s">
        <v>187</v>
      </c>
      <c r="W62" s="1" t="s">
        <v>47</v>
      </c>
      <c r="X62" s="1" t="s">
        <v>68</v>
      </c>
    </row>
    <row r="63">
      <c r="A63" s="1" t="s">
        <v>395</v>
      </c>
      <c r="B63" s="1" t="s">
        <v>77</v>
      </c>
      <c r="C63" s="1" t="s">
        <v>396</v>
      </c>
      <c r="D63" s="1" t="s">
        <v>28</v>
      </c>
      <c r="E63" s="1" t="s">
        <v>29</v>
      </c>
      <c r="F63" s="1">
        <v>1.0E7</v>
      </c>
      <c r="G63" s="1" t="s">
        <v>236</v>
      </c>
      <c r="H63" s="4">
        <v>44899.0</v>
      </c>
      <c r="I63" s="1" t="s">
        <v>364</v>
      </c>
      <c r="K63" s="1">
        <v>0.0</v>
      </c>
      <c r="L63" s="1" t="s">
        <v>192</v>
      </c>
      <c r="M63" s="1" t="str">
        <f>VLOOKUP(L63,'Copy of PMD Workday Constants -'!B62:W748,22,false)</f>
        <v>Delivery</v>
      </c>
      <c r="N63" s="1" t="s">
        <v>32</v>
      </c>
      <c r="O63" s="1" t="s">
        <v>33</v>
      </c>
      <c r="P63" s="1" t="s">
        <v>82</v>
      </c>
      <c r="Q63" s="1" t="s">
        <v>82</v>
      </c>
      <c r="R63" s="1" t="s">
        <v>83</v>
      </c>
      <c r="S63" s="1" t="s">
        <v>84</v>
      </c>
      <c r="T63" s="1">
        <v>1.00650575E8</v>
      </c>
      <c r="W63" s="1" t="s">
        <v>85</v>
      </c>
      <c r="X63" s="1" t="s">
        <v>193</v>
      </c>
    </row>
    <row r="64">
      <c r="A64" s="1" t="s">
        <v>397</v>
      </c>
      <c r="B64" s="1" t="s">
        <v>87</v>
      </c>
      <c r="C64" s="1" t="s">
        <v>398</v>
      </c>
      <c r="D64" s="1" t="s">
        <v>28</v>
      </c>
      <c r="E64" s="1" t="s">
        <v>29</v>
      </c>
      <c r="F64" s="5">
        <v>1.0E7</v>
      </c>
      <c r="G64" s="1" t="s">
        <v>236</v>
      </c>
      <c r="H64" s="1" t="s">
        <v>399</v>
      </c>
      <c r="I64" s="1" t="s">
        <v>400</v>
      </c>
      <c r="K64" s="1">
        <v>0.0</v>
      </c>
      <c r="L64" s="1" t="s">
        <v>89</v>
      </c>
      <c r="M64" s="1" t="str">
        <f>VLOOKUP(L64,'Copy of PMD Workday Constants -'!B33:Y719,22,false)</f>
        <v>Delivery</v>
      </c>
      <c r="N64" s="1" t="s">
        <v>32</v>
      </c>
      <c r="O64" s="1" t="s">
        <v>33</v>
      </c>
      <c r="P64" s="1" t="s">
        <v>34</v>
      </c>
      <c r="Q64" s="1" t="s">
        <v>34</v>
      </c>
      <c r="R64" s="1" t="s">
        <v>35</v>
      </c>
      <c r="S64" s="1" t="s">
        <v>153</v>
      </c>
      <c r="T64" s="1">
        <v>1.00609569E8</v>
      </c>
      <c r="W64" s="1" t="s">
        <v>91</v>
      </c>
      <c r="X64" s="1" t="s">
        <v>401</v>
      </c>
    </row>
    <row r="65">
      <c r="A65" s="1" t="s">
        <v>402</v>
      </c>
      <c r="B65" s="1" t="s">
        <v>403</v>
      </c>
      <c r="C65" s="1" t="s">
        <v>404</v>
      </c>
      <c r="D65" s="1" t="s">
        <v>28</v>
      </c>
      <c r="E65" s="1" t="s">
        <v>29</v>
      </c>
      <c r="F65" s="1">
        <v>1.0E7</v>
      </c>
      <c r="G65" s="1" t="s">
        <v>236</v>
      </c>
      <c r="H65" s="1" t="s">
        <v>405</v>
      </c>
      <c r="I65" s="1" t="s">
        <v>406</v>
      </c>
      <c r="K65" s="1">
        <v>0.0</v>
      </c>
      <c r="L65" s="1" t="s">
        <v>407</v>
      </c>
      <c r="M65" s="1" t="str">
        <f>VLOOKUP(L65,'Copy of PMD Workday Constants -'!B64:W750,22,false)</f>
        <v>Delivery</v>
      </c>
      <c r="N65" s="1" t="s">
        <v>32</v>
      </c>
      <c r="O65" s="1" t="s">
        <v>33</v>
      </c>
      <c r="P65" s="1" t="s">
        <v>34</v>
      </c>
      <c r="Q65" s="1" t="s">
        <v>34</v>
      </c>
      <c r="R65" s="1" t="s">
        <v>35</v>
      </c>
      <c r="S65" s="1" t="s">
        <v>36</v>
      </c>
      <c r="T65" s="1">
        <v>1.0064407E8</v>
      </c>
      <c r="U65" s="1" t="s">
        <v>408</v>
      </c>
      <c r="V65" s="1" t="s">
        <v>187</v>
      </c>
      <c r="W65" s="1" t="s">
        <v>37</v>
      </c>
      <c r="X65" s="1" t="s">
        <v>409</v>
      </c>
    </row>
    <row r="66">
      <c r="A66" s="1" t="s">
        <v>410</v>
      </c>
      <c r="B66" s="1" t="s">
        <v>411</v>
      </c>
      <c r="C66" s="1" t="s">
        <v>412</v>
      </c>
      <c r="D66" s="1" t="s">
        <v>51</v>
      </c>
      <c r="E66" s="1" t="s">
        <v>29</v>
      </c>
      <c r="F66" s="1">
        <v>1.0E7</v>
      </c>
      <c r="G66" s="1" t="s">
        <v>236</v>
      </c>
      <c r="H66" s="1" t="s">
        <v>413</v>
      </c>
      <c r="I66" s="1" t="s">
        <v>414</v>
      </c>
      <c r="K66" s="1">
        <v>0.0</v>
      </c>
      <c r="L66" s="1" t="s">
        <v>415</v>
      </c>
      <c r="M66" s="1" t="str">
        <f>VLOOKUP(L66,'Copy of PMD Workday Constants -'!B65:W751,22,false)</f>
        <v>LCP</v>
      </c>
      <c r="N66" s="1" t="s">
        <v>32</v>
      </c>
      <c r="O66" s="1" t="s">
        <v>33</v>
      </c>
      <c r="P66" s="1" t="s">
        <v>210</v>
      </c>
      <c r="Q66" s="1" t="s">
        <v>210</v>
      </c>
      <c r="R66" s="1" t="s">
        <v>211</v>
      </c>
      <c r="S66" s="1" t="s">
        <v>416</v>
      </c>
      <c r="T66" s="1">
        <v>1.00650375E8</v>
      </c>
      <c r="W66" s="1" t="s">
        <v>56</v>
      </c>
      <c r="X66" s="1" t="s">
        <v>415</v>
      </c>
    </row>
    <row r="67">
      <c r="A67" s="1" t="s">
        <v>417</v>
      </c>
      <c r="B67" s="1" t="s">
        <v>418</v>
      </c>
      <c r="C67" s="1" t="s">
        <v>419</v>
      </c>
      <c r="D67" s="1" t="s">
        <v>51</v>
      </c>
      <c r="E67" s="1" t="s">
        <v>29</v>
      </c>
      <c r="F67" s="1">
        <v>1.0E7</v>
      </c>
      <c r="G67" s="1" t="s">
        <v>236</v>
      </c>
      <c r="H67" s="1" t="s">
        <v>420</v>
      </c>
      <c r="I67" s="1" t="s">
        <v>421</v>
      </c>
      <c r="K67" s="1">
        <v>0.0</v>
      </c>
      <c r="L67" s="1" t="s">
        <v>255</v>
      </c>
      <c r="M67" s="1" t="str">
        <f>VLOOKUP(L67,'Copy of PMD Workday Constants -'!B66:W752,22,false)</f>
        <v>Delivery</v>
      </c>
      <c r="N67" s="1" t="s">
        <v>32</v>
      </c>
      <c r="O67" s="1" t="s">
        <v>33</v>
      </c>
      <c r="P67" s="1" t="s">
        <v>112</v>
      </c>
      <c r="Q67" s="1" t="s">
        <v>112</v>
      </c>
      <c r="R67" s="1" t="s">
        <v>113</v>
      </c>
      <c r="S67" s="1" t="s">
        <v>73</v>
      </c>
      <c r="T67" s="1">
        <v>1.00659114E8</v>
      </c>
      <c r="V67" s="1" t="s">
        <v>422</v>
      </c>
      <c r="W67" s="1" t="s">
        <v>258</v>
      </c>
      <c r="X67" s="1" t="s">
        <v>423</v>
      </c>
    </row>
    <row r="68">
      <c r="A68" s="1" t="s">
        <v>424</v>
      </c>
      <c r="B68" s="1" t="s">
        <v>425</v>
      </c>
      <c r="C68" s="1" t="s">
        <v>426</v>
      </c>
      <c r="D68" s="1" t="s">
        <v>28</v>
      </c>
      <c r="E68" s="1" t="s">
        <v>29</v>
      </c>
      <c r="F68" s="1">
        <v>1.0E7</v>
      </c>
      <c r="G68" s="1" t="s">
        <v>236</v>
      </c>
      <c r="H68" s="1" t="s">
        <v>427</v>
      </c>
      <c r="I68" s="1" t="s">
        <v>414</v>
      </c>
      <c r="K68" s="1">
        <v>0.0</v>
      </c>
      <c r="L68" s="1" t="s">
        <v>428</v>
      </c>
      <c r="M68" s="1" t="str">
        <f>VLOOKUP(L68,'Copy of PMD Workday Constants -'!B67:W753,22,false)</f>
        <v>Delivery</v>
      </c>
      <c r="N68" s="1" t="s">
        <v>32</v>
      </c>
      <c r="O68" s="1" t="s">
        <v>33</v>
      </c>
      <c r="P68" s="1" t="s">
        <v>173</v>
      </c>
      <c r="Q68" s="1" t="s">
        <v>173</v>
      </c>
      <c r="R68" s="1" t="s">
        <v>174</v>
      </c>
      <c r="S68" s="1" t="s">
        <v>153</v>
      </c>
      <c r="T68" s="1">
        <v>1.00654085E8</v>
      </c>
      <c r="W68" s="1" t="s">
        <v>74</v>
      </c>
      <c r="X68" s="1" t="s">
        <v>428</v>
      </c>
    </row>
    <row r="69">
      <c r="A69" s="1" t="s">
        <v>429</v>
      </c>
      <c r="B69" s="1" t="s">
        <v>430</v>
      </c>
      <c r="C69" s="1" t="s">
        <v>196</v>
      </c>
      <c r="D69" s="1" t="s">
        <v>28</v>
      </c>
      <c r="E69" s="1" t="s">
        <v>29</v>
      </c>
      <c r="F69" s="1">
        <v>1.0E7</v>
      </c>
      <c r="G69" s="1" t="s">
        <v>236</v>
      </c>
      <c r="H69" s="1" t="s">
        <v>197</v>
      </c>
      <c r="I69" s="1" t="s">
        <v>264</v>
      </c>
      <c r="K69" s="1">
        <v>0.0</v>
      </c>
      <c r="L69" s="1" t="s">
        <v>198</v>
      </c>
      <c r="M69" s="1" t="str">
        <f>VLOOKUP(L69,'Copy of PMD Workday Constants -'!B68:W754,22,false)</f>
        <v>Delivery</v>
      </c>
      <c r="N69" s="1" t="s">
        <v>32</v>
      </c>
      <c r="O69" s="1" t="s">
        <v>33</v>
      </c>
      <c r="P69" s="1" t="s">
        <v>82</v>
      </c>
      <c r="Q69" s="1" t="s">
        <v>82</v>
      </c>
      <c r="R69" s="1" t="s">
        <v>83</v>
      </c>
      <c r="S69" s="1" t="s">
        <v>180</v>
      </c>
      <c r="T69" s="1">
        <v>1.00590896E8</v>
      </c>
      <c r="W69" s="1" t="s">
        <v>85</v>
      </c>
      <c r="X69" s="1" t="s">
        <v>199</v>
      </c>
    </row>
    <row r="70">
      <c r="A70" s="1" t="s">
        <v>431</v>
      </c>
      <c r="B70" s="1" t="s">
        <v>432</v>
      </c>
      <c r="C70" s="1" t="s">
        <v>433</v>
      </c>
      <c r="D70" s="1" t="s">
        <v>51</v>
      </c>
      <c r="E70" s="1" t="s">
        <v>29</v>
      </c>
      <c r="F70" s="1">
        <v>1.0E7</v>
      </c>
      <c r="G70" s="1" t="s">
        <v>236</v>
      </c>
      <c r="H70" s="1" t="s">
        <v>434</v>
      </c>
      <c r="I70" s="4">
        <v>44933.0</v>
      </c>
      <c r="K70" s="1">
        <v>0.0</v>
      </c>
      <c r="L70" s="1" t="s">
        <v>435</v>
      </c>
      <c r="M70" s="1" t="str">
        <f>VLOOKUP(L70,'Copy of PMD Workday Constants -'!B69:W755,22,false)</f>
        <v>Delivery</v>
      </c>
      <c r="N70" s="1" t="s">
        <v>32</v>
      </c>
      <c r="O70" s="1" t="s">
        <v>33</v>
      </c>
      <c r="P70" s="1" t="s">
        <v>64</v>
      </c>
      <c r="Q70" s="1" t="s">
        <v>64</v>
      </c>
      <c r="R70" s="1" t="s">
        <v>65</v>
      </c>
      <c r="S70" s="1" t="s">
        <v>98</v>
      </c>
      <c r="T70" s="1">
        <v>1.00653756E8</v>
      </c>
      <c r="W70" s="1" t="s">
        <v>436</v>
      </c>
      <c r="X70" s="1" t="s">
        <v>437</v>
      </c>
    </row>
    <row r="71">
      <c r="A71" s="1" t="s">
        <v>438</v>
      </c>
      <c r="B71" s="1" t="s">
        <v>432</v>
      </c>
      <c r="C71" s="1" t="s">
        <v>439</v>
      </c>
      <c r="D71" s="1" t="s">
        <v>51</v>
      </c>
      <c r="E71" s="1" t="s">
        <v>29</v>
      </c>
      <c r="F71" s="1">
        <v>1.0E7</v>
      </c>
      <c r="G71" s="1" t="s">
        <v>236</v>
      </c>
      <c r="H71" s="1" t="s">
        <v>434</v>
      </c>
      <c r="I71" s="4">
        <v>44933.0</v>
      </c>
      <c r="K71" s="1">
        <v>0.0</v>
      </c>
      <c r="L71" s="1" t="s">
        <v>435</v>
      </c>
      <c r="M71" s="1" t="str">
        <f>VLOOKUP(L71,'Copy of PMD Workday Constants -'!B70:W756,22,false)</f>
        <v>Delivery</v>
      </c>
      <c r="N71" s="1" t="s">
        <v>32</v>
      </c>
      <c r="O71" s="1" t="s">
        <v>33</v>
      </c>
      <c r="P71" s="1" t="s">
        <v>64</v>
      </c>
      <c r="Q71" s="1" t="s">
        <v>64</v>
      </c>
      <c r="R71" s="1" t="s">
        <v>65</v>
      </c>
      <c r="S71" s="1" t="s">
        <v>98</v>
      </c>
      <c r="T71" s="1">
        <v>1.00653756E8</v>
      </c>
      <c r="W71" s="1" t="s">
        <v>436</v>
      </c>
      <c r="X71" s="1" t="s">
        <v>437</v>
      </c>
    </row>
    <row r="72">
      <c r="A72" s="1" t="s">
        <v>440</v>
      </c>
      <c r="B72" s="1" t="s">
        <v>432</v>
      </c>
      <c r="C72" s="1" t="s">
        <v>441</v>
      </c>
      <c r="D72" s="1" t="s">
        <v>103</v>
      </c>
      <c r="E72" s="1" t="s">
        <v>29</v>
      </c>
      <c r="F72" s="1">
        <v>1.0E7</v>
      </c>
      <c r="G72" s="1" t="s">
        <v>236</v>
      </c>
      <c r="H72" s="4">
        <v>44296.0</v>
      </c>
      <c r="I72" s="1" t="s">
        <v>442</v>
      </c>
      <c r="K72" s="1">
        <v>0.0</v>
      </c>
      <c r="L72" s="1" t="s">
        <v>435</v>
      </c>
      <c r="M72" s="1" t="str">
        <f>VLOOKUP(L72,'Copy of PMD Workday Constants -'!B71:W757,22,false)</f>
        <v>Delivery</v>
      </c>
      <c r="N72" s="1" t="s">
        <v>32</v>
      </c>
      <c r="O72" s="1" t="s">
        <v>33</v>
      </c>
      <c r="P72" s="1" t="s">
        <v>64</v>
      </c>
      <c r="Q72" s="1" t="s">
        <v>64</v>
      </c>
      <c r="R72" s="1" t="s">
        <v>65</v>
      </c>
      <c r="S72" s="1" t="s">
        <v>98</v>
      </c>
      <c r="T72" s="1">
        <v>1.00653756E8</v>
      </c>
      <c r="W72" s="1" t="s">
        <v>436</v>
      </c>
      <c r="X72" s="1" t="s">
        <v>443</v>
      </c>
    </row>
    <row r="73">
      <c r="A73" s="1" t="s">
        <v>444</v>
      </c>
      <c r="B73" s="1" t="s">
        <v>445</v>
      </c>
      <c r="C73" s="1" t="s">
        <v>446</v>
      </c>
      <c r="D73" s="1" t="s">
        <v>51</v>
      </c>
      <c r="E73" s="1" t="s">
        <v>29</v>
      </c>
      <c r="F73" s="1">
        <v>1.0E7</v>
      </c>
      <c r="G73" s="1" t="s">
        <v>236</v>
      </c>
      <c r="H73" s="4">
        <v>44565.0</v>
      </c>
      <c r="I73" s="1" t="s">
        <v>152</v>
      </c>
      <c r="K73" s="1">
        <v>0.0</v>
      </c>
      <c r="L73" s="1" t="s">
        <v>275</v>
      </c>
      <c r="M73" s="1" t="str">
        <f>VLOOKUP(L73,'Copy of PMD Workday Constants -'!B72:W758,22,false)</f>
        <v>Delivery</v>
      </c>
      <c r="N73" s="1" t="s">
        <v>32</v>
      </c>
      <c r="O73" s="1" t="s">
        <v>33</v>
      </c>
      <c r="P73" s="1" t="s">
        <v>34</v>
      </c>
      <c r="Q73" s="1" t="s">
        <v>34</v>
      </c>
      <c r="R73" s="1" t="s">
        <v>35</v>
      </c>
      <c r="S73" s="1" t="s">
        <v>126</v>
      </c>
      <c r="T73" s="1">
        <v>1.00608828E8</v>
      </c>
      <c r="U73" s="1" t="s">
        <v>447</v>
      </c>
      <c r="V73" s="1" t="s">
        <v>46</v>
      </c>
      <c r="W73" s="1" t="s">
        <v>308</v>
      </c>
      <c r="X73" s="1" t="s">
        <v>448</v>
      </c>
    </row>
    <row r="74">
      <c r="A74" s="1" t="s">
        <v>449</v>
      </c>
      <c r="B74" s="1" t="s">
        <v>450</v>
      </c>
      <c r="C74" s="1" t="s">
        <v>451</v>
      </c>
      <c r="D74" s="1" t="s">
        <v>51</v>
      </c>
      <c r="E74" s="1" t="s">
        <v>29</v>
      </c>
      <c r="F74" s="1">
        <v>1.0E7</v>
      </c>
      <c r="G74" s="1" t="s">
        <v>236</v>
      </c>
      <c r="H74" s="1" t="s">
        <v>452</v>
      </c>
      <c r="I74" s="1" t="s">
        <v>453</v>
      </c>
      <c r="K74" s="1">
        <v>0.0</v>
      </c>
      <c r="L74" s="1" t="s">
        <v>454</v>
      </c>
      <c r="M74" s="1" t="str">
        <f>VLOOKUP(L74,'Copy of PMD Workday Constants -'!B73:W759,22,false)</f>
        <v>LCP</v>
      </c>
      <c r="N74" s="1" t="s">
        <v>32</v>
      </c>
      <c r="O74" s="1" t="s">
        <v>33</v>
      </c>
      <c r="P74" s="1" t="s">
        <v>112</v>
      </c>
      <c r="Q74" s="1" t="s">
        <v>112</v>
      </c>
      <c r="R74" s="1" t="s">
        <v>113</v>
      </c>
      <c r="S74" s="1" t="s">
        <v>455</v>
      </c>
      <c r="T74" s="1">
        <v>1.00611486E8</v>
      </c>
      <c r="W74" s="1" t="s">
        <v>456</v>
      </c>
      <c r="X74" s="1" t="s">
        <v>454</v>
      </c>
    </row>
    <row r="75">
      <c r="A75" s="1" t="s">
        <v>457</v>
      </c>
      <c r="B75" s="1" t="s">
        <v>458</v>
      </c>
      <c r="C75" s="1" t="s">
        <v>459</v>
      </c>
      <c r="D75" s="1" t="s">
        <v>28</v>
      </c>
      <c r="E75" s="1" t="s">
        <v>29</v>
      </c>
      <c r="F75" s="1">
        <v>1.0E7</v>
      </c>
      <c r="G75" s="1" t="s">
        <v>236</v>
      </c>
      <c r="H75" s="1" t="s">
        <v>460</v>
      </c>
      <c r="I75" s="1" t="s">
        <v>302</v>
      </c>
      <c r="K75" s="1">
        <v>0.0</v>
      </c>
      <c r="L75" s="1" t="s">
        <v>461</v>
      </c>
      <c r="M75" s="1" t="str">
        <f>VLOOKUP(L75,'Copy of PMD Workday Constants -'!B74:W760,22,false)</f>
        <v>Delivery</v>
      </c>
      <c r="N75" s="1" t="s">
        <v>32</v>
      </c>
      <c r="O75" s="1" t="s">
        <v>33</v>
      </c>
      <c r="P75" s="1" t="s">
        <v>210</v>
      </c>
      <c r="Q75" s="1" t="s">
        <v>210</v>
      </c>
      <c r="R75" s="1" t="s">
        <v>211</v>
      </c>
      <c r="S75" s="1" t="s">
        <v>416</v>
      </c>
      <c r="T75" s="1">
        <v>1.00652846E8</v>
      </c>
      <c r="W75" s="1" t="s">
        <v>56</v>
      </c>
      <c r="X75" s="1" t="s">
        <v>462</v>
      </c>
    </row>
    <row r="76">
      <c r="A76" s="1" t="s">
        <v>463</v>
      </c>
      <c r="B76" s="1" t="s">
        <v>464</v>
      </c>
      <c r="C76" s="1" t="s">
        <v>465</v>
      </c>
      <c r="D76" s="1" t="s">
        <v>103</v>
      </c>
      <c r="E76" s="1" t="s">
        <v>29</v>
      </c>
      <c r="F76" s="1">
        <v>1.0E7</v>
      </c>
      <c r="G76" s="1" t="s">
        <v>236</v>
      </c>
      <c r="H76" s="1" t="s">
        <v>466</v>
      </c>
      <c r="I76" s="4">
        <v>44571.0</v>
      </c>
      <c r="K76" s="1">
        <v>0.0</v>
      </c>
      <c r="L76" s="1" t="s">
        <v>467</v>
      </c>
      <c r="M76" s="1" t="str">
        <f>VLOOKUP(L76,'Copy of PMD Workday Constants -'!B75:W761,22,false)</f>
        <v>Catalyst</v>
      </c>
      <c r="N76" s="1" t="s">
        <v>32</v>
      </c>
      <c r="O76" s="1" t="s">
        <v>33</v>
      </c>
      <c r="P76" s="1" t="s">
        <v>64</v>
      </c>
      <c r="Q76" s="1" t="s">
        <v>64</v>
      </c>
      <c r="R76" s="1" t="s">
        <v>65</v>
      </c>
      <c r="S76" s="1" t="s">
        <v>98</v>
      </c>
      <c r="T76" s="1">
        <v>1.01170594E8</v>
      </c>
      <c r="W76" s="1" t="s">
        <v>56</v>
      </c>
      <c r="X76" s="1" t="s">
        <v>467</v>
      </c>
    </row>
    <row r="77">
      <c r="A77" s="1" t="s">
        <v>468</v>
      </c>
      <c r="B77" s="1" t="s">
        <v>234</v>
      </c>
      <c r="C77" s="1" t="s">
        <v>469</v>
      </c>
      <c r="D77" s="1" t="s">
        <v>51</v>
      </c>
      <c r="E77" s="1" t="s">
        <v>29</v>
      </c>
      <c r="F77" s="5">
        <v>1.0E7</v>
      </c>
      <c r="G77" s="1" t="s">
        <v>236</v>
      </c>
      <c r="H77" s="4">
        <v>44511.0</v>
      </c>
      <c r="I77" s="1" t="s">
        <v>302</v>
      </c>
      <c r="K77" s="1">
        <v>0.0</v>
      </c>
      <c r="L77" s="1" t="s">
        <v>238</v>
      </c>
      <c r="M77" s="1" t="str">
        <f>VLOOKUP(L77,'Copy of PMD Workday Constants -'!B46:Y732,22,false)</f>
        <v>#N/A</v>
      </c>
      <c r="N77" s="1" t="s">
        <v>32</v>
      </c>
      <c r="O77" s="1" t="s">
        <v>33</v>
      </c>
      <c r="P77" s="1" t="s">
        <v>112</v>
      </c>
      <c r="Q77" s="1" t="s">
        <v>112</v>
      </c>
      <c r="R77" s="1" t="s">
        <v>113</v>
      </c>
      <c r="S77" s="1" t="s">
        <v>114</v>
      </c>
      <c r="T77" s="1">
        <v>1.00658519E8</v>
      </c>
      <c r="W77" s="1" t="s">
        <v>140</v>
      </c>
      <c r="X77" s="1" t="s">
        <v>239</v>
      </c>
    </row>
    <row r="78">
      <c r="A78" s="1" t="s">
        <v>470</v>
      </c>
      <c r="B78" s="1" t="s">
        <v>471</v>
      </c>
      <c r="C78" s="1" t="s">
        <v>472</v>
      </c>
      <c r="D78" s="1" t="s">
        <v>103</v>
      </c>
      <c r="E78" s="1" t="s">
        <v>29</v>
      </c>
      <c r="F78" s="1">
        <v>9900000.0</v>
      </c>
      <c r="G78" s="1" t="s">
        <v>473</v>
      </c>
      <c r="H78" s="1" t="s">
        <v>434</v>
      </c>
      <c r="I78" s="1" t="s">
        <v>80</v>
      </c>
      <c r="K78" s="1">
        <v>0.0</v>
      </c>
      <c r="L78" s="1" t="s">
        <v>474</v>
      </c>
      <c r="M78" s="1" t="str">
        <f>VLOOKUP(L78,'Copy of PMD Workday Constants -'!B77:W763,22,false)</f>
        <v>LCP</v>
      </c>
      <c r="N78" s="1" t="s">
        <v>32</v>
      </c>
      <c r="O78" s="1" t="s">
        <v>33</v>
      </c>
      <c r="P78" s="1" t="s">
        <v>64</v>
      </c>
      <c r="Q78" s="1" t="s">
        <v>64</v>
      </c>
      <c r="R78" s="1" t="s">
        <v>65</v>
      </c>
      <c r="S78" s="1" t="s">
        <v>98</v>
      </c>
      <c r="T78" s="1">
        <v>1.00660049E8</v>
      </c>
      <c r="W78" s="1" t="s">
        <v>436</v>
      </c>
      <c r="X78" s="1" t="s">
        <v>475</v>
      </c>
    </row>
    <row r="79">
      <c r="A79" s="1" t="s">
        <v>476</v>
      </c>
      <c r="B79" s="1" t="s">
        <v>477</v>
      </c>
      <c r="C79" s="1" t="s">
        <v>478</v>
      </c>
      <c r="D79" s="1" t="s">
        <v>51</v>
      </c>
      <c r="E79" s="1" t="s">
        <v>29</v>
      </c>
      <c r="F79" s="5">
        <v>9400000.0</v>
      </c>
      <c r="G79" s="1" t="s">
        <v>479</v>
      </c>
      <c r="H79" s="1" t="s">
        <v>480</v>
      </c>
      <c r="I79" s="1" t="s">
        <v>217</v>
      </c>
      <c r="K79" s="1">
        <v>0.0</v>
      </c>
      <c r="L79" s="1" t="s">
        <v>481</v>
      </c>
      <c r="M79" s="1" t="str">
        <f>VLOOKUP(L79,'Copy of PMD Workday Constants -'!B48:Y734,22,false)</f>
        <v>#N/A</v>
      </c>
      <c r="N79" s="1" t="s">
        <v>32</v>
      </c>
      <c r="O79" s="1" t="s">
        <v>33</v>
      </c>
      <c r="P79" s="1" t="s">
        <v>222</v>
      </c>
      <c r="Q79" s="1" t="s">
        <v>222</v>
      </c>
      <c r="R79" s="1" t="s">
        <v>223</v>
      </c>
      <c r="S79" s="1" t="s">
        <v>482</v>
      </c>
      <c r="T79" s="1">
        <v>1.00654864E8</v>
      </c>
      <c r="W79" s="1" t="s">
        <v>391</v>
      </c>
      <c r="X79" s="1" t="s">
        <v>483</v>
      </c>
    </row>
    <row r="80">
      <c r="A80" s="1" t="s">
        <v>484</v>
      </c>
      <c r="B80" s="1" t="s">
        <v>485</v>
      </c>
      <c r="C80" s="1" t="s">
        <v>486</v>
      </c>
      <c r="D80" s="1" t="s">
        <v>28</v>
      </c>
      <c r="E80" s="1" t="s">
        <v>29</v>
      </c>
      <c r="F80" s="1">
        <v>9400000.0</v>
      </c>
      <c r="G80" s="1" t="s">
        <v>479</v>
      </c>
      <c r="H80" s="4">
        <v>44567.0</v>
      </c>
      <c r="I80" s="1" t="s">
        <v>248</v>
      </c>
      <c r="K80" s="1">
        <v>0.0</v>
      </c>
      <c r="L80" s="1" t="s">
        <v>284</v>
      </c>
      <c r="M80" s="1" t="str">
        <f>VLOOKUP(L80,'Copy of PMD Workday Constants -'!B79:W765,22,false)</f>
        <v>Delivery</v>
      </c>
      <c r="N80" s="1" t="s">
        <v>32</v>
      </c>
      <c r="O80" s="1" t="s">
        <v>33</v>
      </c>
      <c r="P80" s="1" t="s">
        <v>54</v>
      </c>
      <c r="Q80" s="1" t="s">
        <v>54</v>
      </c>
      <c r="R80" s="1" t="s">
        <v>55</v>
      </c>
      <c r="T80" s="1">
        <v>1.00613095E8</v>
      </c>
      <c r="X80" s="1" t="s">
        <v>487</v>
      </c>
    </row>
    <row r="81">
      <c r="A81" s="1" t="s">
        <v>488</v>
      </c>
      <c r="B81" s="1" t="s">
        <v>489</v>
      </c>
      <c r="C81" s="1" t="s">
        <v>490</v>
      </c>
      <c r="D81" s="1" t="s">
        <v>51</v>
      </c>
      <c r="E81" s="1" t="s">
        <v>29</v>
      </c>
      <c r="F81" s="1">
        <v>9300000.0</v>
      </c>
      <c r="G81" s="1" t="s">
        <v>479</v>
      </c>
      <c r="H81" s="4">
        <v>44686.0</v>
      </c>
      <c r="I81" s="1" t="s">
        <v>302</v>
      </c>
      <c r="K81" s="1">
        <v>0.0</v>
      </c>
      <c r="L81" s="1" t="s">
        <v>491</v>
      </c>
      <c r="M81" s="1" t="str">
        <f>VLOOKUP(L81,'Copy of PMD Workday Constants -'!B80:W766,22,false)</f>
        <v>Delivery</v>
      </c>
      <c r="N81" s="1" t="s">
        <v>32</v>
      </c>
      <c r="O81" s="1" t="s">
        <v>33</v>
      </c>
      <c r="P81" s="1" t="s">
        <v>112</v>
      </c>
      <c r="Q81" s="1" t="s">
        <v>112</v>
      </c>
      <c r="R81" s="1" t="s">
        <v>113</v>
      </c>
      <c r="S81" s="1" t="s">
        <v>492</v>
      </c>
      <c r="T81" s="1">
        <v>1.00623914E8</v>
      </c>
      <c r="W81" s="1" t="s">
        <v>493</v>
      </c>
      <c r="X81" s="1" t="s">
        <v>494</v>
      </c>
    </row>
    <row r="82">
      <c r="A82" s="1" t="s">
        <v>495</v>
      </c>
      <c r="B82" s="1" t="s">
        <v>496</v>
      </c>
      <c r="C82" s="1" t="s">
        <v>497</v>
      </c>
      <c r="D82" s="1" t="s">
        <v>103</v>
      </c>
      <c r="E82" s="1" t="s">
        <v>29</v>
      </c>
      <c r="F82" s="5">
        <v>9250000.0</v>
      </c>
      <c r="G82" s="1" t="s">
        <v>479</v>
      </c>
      <c r="H82" s="1" t="s">
        <v>498</v>
      </c>
      <c r="I82" s="1" t="s">
        <v>132</v>
      </c>
      <c r="K82" s="1">
        <v>0.0</v>
      </c>
      <c r="L82" s="1" t="s">
        <v>499</v>
      </c>
      <c r="M82" s="1" t="str">
        <f>VLOOKUP(L82,'Copy of PMD Workday Constants -'!B51:Y737,22,false)</f>
        <v>#N/A</v>
      </c>
      <c r="N82" s="1" t="s">
        <v>32</v>
      </c>
      <c r="O82" s="1" t="s">
        <v>33</v>
      </c>
      <c r="P82" s="1" t="s">
        <v>34</v>
      </c>
      <c r="Q82" s="1" t="s">
        <v>34</v>
      </c>
      <c r="R82" s="1" t="s">
        <v>35</v>
      </c>
      <c r="T82" s="1">
        <v>1.00627768E8</v>
      </c>
      <c r="U82" s="1" t="s">
        <v>500</v>
      </c>
      <c r="V82" s="1" t="s">
        <v>187</v>
      </c>
      <c r="W82" s="1" t="s">
        <v>91</v>
      </c>
      <c r="X82" s="1" t="s">
        <v>501</v>
      </c>
    </row>
    <row r="83">
      <c r="A83" s="1" t="s">
        <v>502</v>
      </c>
      <c r="B83" s="1" t="s">
        <v>503</v>
      </c>
      <c r="C83" s="1" t="s">
        <v>504</v>
      </c>
      <c r="D83" s="1" t="s">
        <v>103</v>
      </c>
      <c r="E83" s="1" t="s">
        <v>29</v>
      </c>
      <c r="F83" s="1">
        <v>9200000.0</v>
      </c>
      <c r="G83" s="1" t="s">
        <v>479</v>
      </c>
      <c r="H83" s="4">
        <v>44075.0</v>
      </c>
      <c r="I83" s="4">
        <v>44626.0</v>
      </c>
      <c r="K83" s="1">
        <v>0.0</v>
      </c>
      <c r="L83" s="1" t="s">
        <v>505</v>
      </c>
      <c r="M83" s="1" t="str">
        <f>VLOOKUP(L83,'Copy of PMD Workday Constants -'!B82:W768,22,false)</f>
        <v>LCP</v>
      </c>
      <c r="N83" s="1" t="s">
        <v>32</v>
      </c>
      <c r="O83" s="1" t="s">
        <v>33</v>
      </c>
      <c r="P83" s="1" t="s">
        <v>112</v>
      </c>
      <c r="Q83" s="1" t="s">
        <v>112</v>
      </c>
      <c r="R83" s="1" t="s">
        <v>113</v>
      </c>
      <c r="S83" s="1" t="s">
        <v>307</v>
      </c>
      <c r="T83" s="1">
        <v>1.0062347E8</v>
      </c>
      <c r="W83" s="1" t="s">
        <v>391</v>
      </c>
      <c r="X83" s="1" t="s">
        <v>505</v>
      </c>
    </row>
    <row r="84">
      <c r="A84" s="1" t="s">
        <v>506</v>
      </c>
      <c r="B84" s="1" t="s">
        <v>507</v>
      </c>
      <c r="C84" s="1" t="s">
        <v>508</v>
      </c>
      <c r="D84" s="1" t="s">
        <v>28</v>
      </c>
      <c r="E84" s="1" t="s">
        <v>29</v>
      </c>
      <c r="F84" s="5">
        <v>9050000.0</v>
      </c>
      <c r="G84" s="1" t="s">
        <v>479</v>
      </c>
      <c r="H84" s="1" t="s">
        <v>509</v>
      </c>
      <c r="I84" s="1" t="s">
        <v>510</v>
      </c>
      <c r="K84" s="1">
        <v>0.0</v>
      </c>
      <c r="L84" s="1" t="s">
        <v>511</v>
      </c>
      <c r="M84" s="1" t="str">
        <f>VLOOKUP(L84,'Copy of PMD Workday Constants -'!B53:Y739,22,false)</f>
        <v>Delivery</v>
      </c>
      <c r="N84" s="1" t="s">
        <v>32</v>
      </c>
      <c r="O84" s="1" t="s">
        <v>33</v>
      </c>
      <c r="P84" s="1" t="s">
        <v>54</v>
      </c>
      <c r="Q84" s="1" t="s">
        <v>54</v>
      </c>
      <c r="R84" s="1" t="s">
        <v>55</v>
      </c>
      <c r="S84" s="1" t="s">
        <v>512</v>
      </c>
      <c r="T84" s="1">
        <v>1.00620711E8</v>
      </c>
      <c r="W84" s="1" t="s">
        <v>456</v>
      </c>
      <c r="X84" s="1" t="s">
        <v>513</v>
      </c>
    </row>
    <row r="85">
      <c r="A85" s="1" t="s">
        <v>514</v>
      </c>
      <c r="B85" s="1" t="s">
        <v>515</v>
      </c>
      <c r="C85" s="1" t="s">
        <v>516</v>
      </c>
      <c r="D85" s="1" t="s">
        <v>28</v>
      </c>
      <c r="E85" s="1" t="s">
        <v>29</v>
      </c>
      <c r="F85" s="1">
        <v>9000000.0</v>
      </c>
      <c r="G85" s="1" t="s">
        <v>479</v>
      </c>
      <c r="H85" s="1" t="s">
        <v>301</v>
      </c>
      <c r="I85" s="1" t="s">
        <v>43</v>
      </c>
      <c r="K85" s="1">
        <v>0.0</v>
      </c>
      <c r="L85" s="1" t="s">
        <v>517</v>
      </c>
      <c r="M85" s="1" t="str">
        <f>VLOOKUP(L85,'Copy of PMD Workday Constants -'!B84:W770,22,false)</f>
        <v>LCP</v>
      </c>
      <c r="N85" s="1" t="s">
        <v>32</v>
      </c>
      <c r="O85" s="1" t="s">
        <v>33</v>
      </c>
      <c r="P85" s="1" t="s">
        <v>64</v>
      </c>
      <c r="Q85" s="1" t="s">
        <v>64</v>
      </c>
      <c r="R85" s="1" t="s">
        <v>65</v>
      </c>
      <c r="S85" s="1" t="s">
        <v>229</v>
      </c>
      <c r="T85" s="1">
        <v>1.01001596E8</v>
      </c>
      <c r="U85" s="1" t="s">
        <v>518</v>
      </c>
      <c r="V85" s="1" t="s">
        <v>187</v>
      </c>
      <c r="W85" s="1" t="s">
        <v>85</v>
      </c>
      <c r="X85" s="1" t="s">
        <v>519</v>
      </c>
    </row>
    <row r="86">
      <c r="A86" s="1" t="s">
        <v>520</v>
      </c>
      <c r="B86" s="1" t="s">
        <v>521</v>
      </c>
      <c r="C86" s="1" t="s">
        <v>522</v>
      </c>
      <c r="D86" s="1" t="s">
        <v>51</v>
      </c>
      <c r="E86" s="1" t="s">
        <v>29</v>
      </c>
      <c r="F86" s="1">
        <v>9000000.0</v>
      </c>
      <c r="G86" s="1" t="s">
        <v>479</v>
      </c>
      <c r="H86" s="1" t="s">
        <v>330</v>
      </c>
      <c r="I86" s="1" t="s">
        <v>523</v>
      </c>
      <c r="K86" s="1">
        <v>0.0</v>
      </c>
      <c r="L86" s="1" t="s">
        <v>319</v>
      </c>
      <c r="M86" s="1" t="str">
        <f>VLOOKUP(L86,'Copy of PMD Workday Constants -'!B85:W771,22,false)</f>
        <v>Delivery</v>
      </c>
      <c r="N86" s="1" t="s">
        <v>32</v>
      </c>
      <c r="O86" s="1" t="s">
        <v>33</v>
      </c>
      <c r="P86" s="1" t="s">
        <v>82</v>
      </c>
      <c r="Q86" s="1" t="s">
        <v>82</v>
      </c>
      <c r="R86" s="1" t="s">
        <v>83</v>
      </c>
      <c r="S86" s="1" t="s">
        <v>84</v>
      </c>
      <c r="T86" s="1">
        <v>1.00654705E8</v>
      </c>
      <c r="W86" s="1" t="s">
        <v>85</v>
      </c>
      <c r="X86" s="1" t="s">
        <v>319</v>
      </c>
    </row>
    <row r="87">
      <c r="A87" s="1" t="s">
        <v>524</v>
      </c>
      <c r="B87" s="1" t="s">
        <v>40</v>
      </c>
      <c r="C87" s="1" t="s">
        <v>525</v>
      </c>
      <c r="D87" s="1" t="s">
        <v>28</v>
      </c>
      <c r="E87" s="1" t="s">
        <v>29</v>
      </c>
      <c r="F87" s="1">
        <v>9000000.0</v>
      </c>
      <c r="G87" s="1" t="s">
        <v>479</v>
      </c>
      <c r="H87" s="1" t="s">
        <v>526</v>
      </c>
      <c r="I87" s="1" t="s">
        <v>80</v>
      </c>
      <c r="K87" s="1">
        <v>0.0</v>
      </c>
      <c r="L87" s="1" t="s">
        <v>527</v>
      </c>
      <c r="M87" s="1" t="str">
        <f>VLOOKUP(L87,'Copy of PMD Workday Constants -'!B86:W772,22,false)</f>
        <v>Delivery</v>
      </c>
      <c r="N87" s="1" t="s">
        <v>32</v>
      </c>
      <c r="O87" s="1" t="s">
        <v>33</v>
      </c>
      <c r="P87" s="1" t="s">
        <v>54</v>
      </c>
      <c r="Q87" s="1" t="s">
        <v>54</v>
      </c>
      <c r="R87" s="1" t="s">
        <v>55</v>
      </c>
      <c r="S87" s="1" t="s">
        <v>285</v>
      </c>
      <c r="T87" s="1">
        <v>1.00662144E8</v>
      </c>
      <c r="U87" s="1" t="s">
        <v>528</v>
      </c>
      <c r="V87" s="1" t="s">
        <v>187</v>
      </c>
      <c r="W87" s="1" t="s">
        <v>47</v>
      </c>
      <c r="X87" s="1" t="s">
        <v>333</v>
      </c>
    </row>
    <row r="88">
      <c r="A88" s="1" t="s">
        <v>529</v>
      </c>
      <c r="B88" s="1" t="s">
        <v>530</v>
      </c>
      <c r="C88" s="1" t="s">
        <v>531</v>
      </c>
      <c r="D88" s="1" t="s">
        <v>28</v>
      </c>
      <c r="E88" s="1" t="s">
        <v>29</v>
      </c>
      <c r="F88" s="1">
        <v>8500000.0</v>
      </c>
      <c r="G88" s="1" t="s">
        <v>479</v>
      </c>
      <c r="H88" s="4">
        <v>44055.0</v>
      </c>
      <c r="I88" s="4">
        <v>44932.0</v>
      </c>
      <c r="K88" s="1">
        <v>0.0</v>
      </c>
      <c r="L88" s="1" t="s">
        <v>532</v>
      </c>
      <c r="M88" s="1" t="str">
        <f>VLOOKUP(L88,'Copy of PMD Workday Constants -'!B87:W773,22,false)</f>
        <v>LCP</v>
      </c>
      <c r="N88" s="1" t="s">
        <v>32</v>
      </c>
      <c r="O88" s="1" t="s">
        <v>33</v>
      </c>
      <c r="P88" s="1" t="s">
        <v>112</v>
      </c>
      <c r="Q88" s="1" t="s">
        <v>112</v>
      </c>
      <c r="R88" s="1" t="s">
        <v>113</v>
      </c>
      <c r="S88" s="1" t="s">
        <v>307</v>
      </c>
      <c r="T88" s="1">
        <v>1.00646702E8</v>
      </c>
      <c r="W88" s="1" t="s">
        <v>533</v>
      </c>
      <c r="X88" s="1" t="s">
        <v>534</v>
      </c>
    </row>
    <row r="89">
      <c r="A89" s="1" t="s">
        <v>535</v>
      </c>
      <c r="B89" s="1" t="s">
        <v>289</v>
      </c>
      <c r="C89" s="1" t="s">
        <v>536</v>
      </c>
      <c r="D89" s="1" t="s">
        <v>103</v>
      </c>
      <c r="E89" s="1" t="s">
        <v>29</v>
      </c>
      <c r="F89" s="1">
        <v>8100000.0</v>
      </c>
      <c r="G89" s="1" t="s">
        <v>479</v>
      </c>
      <c r="H89" s="1" t="s">
        <v>537</v>
      </c>
      <c r="I89" s="1" t="s">
        <v>538</v>
      </c>
      <c r="K89" s="1">
        <v>0.0</v>
      </c>
      <c r="L89" s="1" t="s">
        <v>539</v>
      </c>
      <c r="M89" s="1" t="str">
        <f>VLOOKUP(L89,'Copy of PMD Workday Constants -'!B88:W774,22,false)</f>
        <v>Delivery</v>
      </c>
      <c r="N89" s="1" t="s">
        <v>32</v>
      </c>
      <c r="O89" s="1" t="s">
        <v>33</v>
      </c>
      <c r="P89" s="1" t="s">
        <v>173</v>
      </c>
      <c r="Q89" s="1" t="s">
        <v>173</v>
      </c>
      <c r="R89" s="1" t="s">
        <v>174</v>
      </c>
      <c r="S89" s="1" t="s">
        <v>540</v>
      </c>
      <c r="T89" s="1">
        <v>1.00586314E8</v>
      </c>
      <c r="U89" s="1" t="s">
        <v>541</v>
      </c>
      <c r="V89" s="1" t="s">
        <v>187</v>
      </c>
      <c r="W89" s="1" t="s">
        <v>74</v>
      </c>
      <c r="X89" s="1" t="s">
        <v>542</v>
      </c>
    </row>
    <row r="90">
      <c r="A90" s="1" t="s">
        <v>543</v>
      </c>
      <c r="B90" s="1" t="s">
        <v>311</v>
      </c>
      <c r="C90" s="1" t="s">
        <v>544</v>
      </c>
      <c r="D90" s="1" t="s">
        <v>79</v>
      </c>
      <c r="E90" s="1" t="s">
        <v>29</v>
      </c>
      <c r="F90" s="1">
        <v>8000000.0</v>
      </c>
      <c r="G90" s="1" t="s">
        <v>479</v>
      </c>
      <c r="H90" s="1" t="s">
        <v>545</v>
      </c>
      <c r="I90" s="4">
        <v>44568.0</v>
      </c>
      <c r="K90" s="1">
        <v>0.0</v>
      </c>
      <c r="L90" s="1" t="s">
        <v>546</v>
      </c>
      <c r="M90" s="1" t="str">
        <f>VLOOKUP(L90,'Copy of PMD Workday Constants -'!B89:W775,22,false)</f>
        <v>Delivery</v>
      </c>
      <c r="N90" s="1" t="s">
        <v>32</v>
      </c>
      <c r="O90" s="1" t="s">
        <v>33</v>
      </c>
      <c r="P90" s="1" t="s">
        <v>64</v>
      </c>
      <c r="Q90" s="1" t="s">
        <v>64</v>
      </c>
      <c r="R90" s="1" t="s">
        <v>65</v>
      </c>
      <c r="S90" s="1" t="s">
        <v>84</v>
      </c>
      <c r="T90" s="1">
        <v>1.00579505E8</v>
      </c>
      <c r="W90" s="1" t="s">
        <v>140</v>
      </c>
      <c r="X90" s="1" t="s">
        <v>547</v>
      </c>
    </row>
    <row r="91">
      <c r="A91" s="1" t="s">
        <v>548</v>
      </c>
      <c r="B91" s="1" t="s">
        <v>549</v>
      </c>
      <c r="C91" s="1" t="s">
        <v>550</v>
      </c>
      <c r="D91" s="1" t="s">
        <v>51</v>
      </c>
      <c r="E91" s="1" t="s">
        <v>29</v>
      </c>
      <c r="F91" s="1">
        <v>8000000.0</v>
      </c>
      <c r="G91" s="1" t="s">
        <v>479</v>
      </c>
      <c r="H91" s="1" t="s">
        <v>551</v>
      </c>
      <c r="I91" s="4">
        <v>44932.0</v>
      </c>
      <c r="K91" s="1">
        <v>0.0</v>
      </c>
      <c r="L91" s="1" t="s">
        <v>338</v>
      </c>
      <c r="M91" s="1" t="str">
        <f>VLOOKUP(L91,'Copy of PMD Workday Constants -'!B90:W776,22,false)</f>
        <v>Delivery</v>
      </c>
      <c r="N91" s="1" t="s">
        <v>32</v>
      </c>
      <c r="O91" s="1" t="s">
        <v>33</v>
      </c>
      <c r="P91" s="1" t="s">
        <v>34</v>
      </c>
      <c r="Q91" s="1" t="s">
        <v>34</v>
      </c>
      <c r="R91" s="1" t="s">
        <v>35</v>
      </c>
      <c r="S91" s="1" t="s">
        <v>36</v>
      </c>
      <c r="T91" s="1">
        <v>1.00619817E8</v>
      </c>
      <c r="W91" s="1" t="s">
        <v>91</v>
      </c>
      <c r="X91" s="1" t="s">
        <v>552</v>
      </c>
    </row>
    <row r="92">
      <c r="A92" s="1" t="s">
        <v>553</v>
      </c>
      <c r="B92" s="1" t="s">
        <v>554</v>
      </c>
      <c r="C92" s="1" t="s">
        <v>555</v>
      </c>
      <c r="D92" s="1" t="s">
        <v>28</v>
      </c>
      <c r="E92" s="1" t="s">
        <v>29</v>
      </c>
      <c r="F92" s="5">
        <v>8000000.0</v>
      </c>
      <c r="G92" s="1" t="s">
        <v>479</v>
      </c>
      <c r="H92" s="1" t="s">
        <v>556</v>
      </c>
      <c r="I92" s="1" t="s">
        <v>406</v>
      </c>
      <c r="K92" s="1">
        <v>0.0</v>
      </c>
      <c r="L92" s="1" t="s">
        <v>557</v>
      </c>
      <c r="M92" s="1" t="str">
        <f>VLOOKUP(L92,'Copy of PMD Workday Constants -'!B61:Y747,22,false)</f>
        <v>#N/A</v>
      </c>
      <c r="N92" s="1" t="s">
        <v>32</v>
      </c>
      <c r="O92" s="1" t="s">
        <v>33</v>
      </c>
      <c r="P92" s="1" t="s">
        <v>173</v>
      </c>
      <c r="Q92" s="1" t="s">
        <v>173</v>
      </c>
      <c r="R92" s="1" t="s">
        <v>174</v>
      </c>
      <c r="S92" s="1" t="s">
        <v>153</v>
      </c>
      <c r="T92" s="1">
        <v>1.00700761E8</v>
      </c>
      <c r="U92" s="1" t="s">
        <v>558</v>
      </c>
      <c r="V92" s="1" t="s">
        <v>187</v>
      </c>
      <c r="W92" s="1" t="s">
        <v>147</v>
      </c>
      <c r="X92" s="1" t="s">
        <v>559</v>
      </c>
    </row>
    <row r="93">
      <c r="A93" s="1" t="s">
        <v>560</v>
      </c>
      <c r="B93" s="1" t="s">
        <v>561</v>
      </c>
      <c r="C93" s="1" t="s">
        <v>562</v>
      </c>
      <c r="D93" s="1" t="s">
        <v>28</v>
      </c>
      <c r="E93" s="1" t="s">
        <v>29</v>
      </c>
      <c r="F93" s="5">
        <v>8000000.0</v>
      </c>
      <c r="G93" s="1" t="s">
        <v>479</v>
      </c>
      <c r="H93" s="1" t="s">
        <v>563</v>
      </c>
      <c r="I93" s="4">
        <v>44929.0</v>
      </c>
      <c r="K93" s="1">
        <v>0.0</v>
      </c>
      <c r="L93" s="1" t="s">
        <v>564</v>
      </c>
      <c r="M93" s="1" t="str">
        <f>VLOOKUP(L93,'Copy of PMD Workday Constants -'!B62:Y748,22,false)</f>
        <v>LCP</v>
      </c>
      <c r="N93" s="1" t="s">
        <v>32</v>
      </c>
      <c r="O93" s="1" t="s">
        <v>33</v>
      </c>
      <c r="P93" s="1" t="s">
        <v>112</v>
      </c>
      <c r="Q93" s="1" t="s">
        <v>112</v>
      </c>
      <c r="R93" s="1" t="s">
        <v>113</v>
      </c>
      <c r="S93" s="1" t="s">
        <v>204</v>
      </c>
      <c r="T93" s="1">
        <v>1.005886E8</v>
      </c>
      <c r="W93" s="1" t="s">
        <v>37</v>
      </c>
      <c r="X93" s="1" t="s">
        <v>564</v>
      </c>
    </row>
    <row r="94">
      <c r="A94" s="1" t="s">
        <v>565</v>
      </c>
      <c r="B94" s="1" t="s">
        <v>26</v>
      </c>
      <c r="C94" s="1" t="s">
        <v>566</v>
      </c>
      <c r="D94" s="1" t="s">
        <v>28</v>
      </c>
      <c r="E94" s="1" t="s">
        <v>29</v>
      </c>
      <c r="F94" s="1">
        <v>8000000.0</v>
      </c>
      <c r="G94" s="1" t="s">
        <v>479</v>
      </c>
      <c r="H94" s="4">
        <v>44359.0</v>
      </c>
      <c r="I94" s="4">
        <v>45078.0</v>
      </c>
      <c r="K94" s="1">
        <v>0.0</v>
      </c>
      <c r="L94" s="1" t="s">
        <v>407</v>
      </c>
      <c r="M94" s="1" t="str">
        <f>VLOOKUP(L94,'Copy of PMD Workday Constants -'!B93:W779,22,false)</f>
        <v>Delivery</v>
      </c>
      <c r="N94" s="1" t="s">
        <v>32</v>
      </c>
      <c r="O94" s="1" t="s">
        <v>33</v>
      </c>
      <c r="P94" s="1" t="s">
        <v>34</v>
      </c>
      <c r="Q94" s="1" t="s">
        <v>34</v>
      </c>
      <c r="R94" s="1" t="s">
        <v>35</v>
      </c>
      <c r="S94" s="1" t="s">
        <v>36</v>
      </c>
      <c r="T94" s="1">
        <v>1.0064407E8</v>
      </c>
      <c r="W94" s="1" t="s">
        <v>37</v>
      </c>
      <c r="X94" s="1" t="s">
        <v>38</v>
      </c>
    </row>
    <row r="95">
      <c r="A95" s="1" t="s">
        <v>567</v>
      </c>
      <c r="B95" s="1" t="s">
        <v>160</v>
      </c>
      <c r="C95" s="1" t="s">
        <v>568</v>
      </c>
      <c r="D95" s="1" t="s">
        <v>28</v>
      </c>
      <c r="E95" s="1" t="s">
        <v>29</v>
      </c>
      <c r="F95" s="1">
        <v>8000000.0</v>
      </c>
      <c r="G95" s="1" t="s">
        <v>479</v>
      </c>
      <c r="H95" s="1" t="s">
        <v>569</v>
      </c>
      <c r="I95" s="4">
        <v>44906.0</v>
      </c>
      <c r="K95" s="1">
        <v>0.0</v>
      </c>
      <c r="L95" s="1" t="s">
        <v>570</v>
      </c>
      <c r="M95" s="1" t="str">
        <f>VLOOKUP(L95,'Copy of PMD Workday Constants -'!B94:W780,22,false)</f>
        <v>Delivery</v>
      </c>
      <c r="N95" s="1" t="s">
        <v>32</v>
      </c>
      <c r="O95" s="1" t="s">
        <v>33</v>
      </c>
      <c r="P95" s="1" t="s">
        <v>112</v>
      </c>
      <c r="Q95" s="1" t="s">
        <v>112</v>
      </c>
      <c r="R95" s="1" t="s">
        <v>113</v>
      </c>
      <c r="S95" s="1" t="s">
        <v>120</v>
      </c>
      <c r="T95" s="1">
        <v>1.00625415E8</v>
      </c>
      <c r="W95" s="1" t="s">
        <v>56</v>
      </c>
      <c r="X95" s="1" t="s">
        <v>571</v>
      </c>
    </row>
    <row r="96">
      <c r="A96" s="1" t="s">
        <v>572</v>
      </c>
      <c r="B96" s="1" t="s">
        <v>573</v>
      </c>
      <c r="C96" s="1" t="s">
        <v>574</v>
      </c>
      <c r="D96" s="1" t="s">
        <v>51</v>
      </c>
      <c r="E96" s="1" t="s">
        <v>29</v>
      </c>
      <c r="F96" s="1">
        <v>8000000.0</v>
      </c>
      <c r="G96" s="1" t="s">
        <v>479</v>
      </c>
      <c r="H96" s="4">
        <v>44685.0</v>
      </c>
      <c r="I96" s="1" t="s">
        <v>575</v>
      </c>
      <c r="K96" s="1">
        <v>0.0</v>
      </c>
      <c r="L96" s="1" t="s">
        <v>576</v>
      </c>
      <c r="M96" s="1" t="str">
        <f>VLOOKUP(L96,'Copy of PMD Workday Constants -'!B95:W781,22,false)</f>
        <v>LCP</v>
      </c>
      <c r="N96" s="1" t="s">
        <v>32</v>
      </c>
      <c r="O96" s="1" t="s">
        <v>33</v>
      </c>
      <c r="P96" s="1" t="s">
        <v>210</v>
      </c>
      <c r="Q96" s="1" t="s">
        <v>210</v>
      </c>
      <c r="R96" s="1" t="s">
        <v>211</v>
      </c>
      <c r="S96" s="1" t="s">
        <v>297</v>
      </c>
      <c r="T96" s="1">
        <v>1.00660495E8</v>
      </c>
      <c r="W96" s="1" t="s">
        <v>577</v>
      </c>
      <c r="X96" s="1" t="s">
        <v>578</v>
      </c>
    </row>
    <row r="97">
      <c r="A97" s="1" t="s">
        <v>579</v>
      </c>
      <c r="B97" s="1" t="s">
        <v>580</v>
      </c>
      <c r="C97" s="1" t="s">
        <v>581</v>
      </c>
      <c r="D97" s="1" t="s">
        <v>28</v>
      </c>
      <c r="E97" s="1" t="s">
        <v>29</v>
      </c>
      <c r="F97" s="1">
        <v>8000000.0</v>
      </c>
      <c r="G97" s="1" t="s">
        <v>479</v>
      </c>
      <c r="H97" s="1" t="s">
        <v>413</v>
      </c>
      <c r="I97" s="4">
        <v>45019.0</v>
      </c>
      <c r="K97" s="1">
        <v>0.0</v>
      </c>
      <c r="L97" s="1" t="s">
        <v>582</v>
      </c>
      <c r="M97" s="1" t="str">
        <f>VLOOKUP(L97,'Copy of PMD Workday Constants -'!B96:W782,22,false)</f>
        <v>Delivery</v>
      </c>
      <c r="N97" s="1" t="s">
        <v>32</v>
      </c>
      <c r="O97" s="1" t="s">
        <v>33</v>
      </c>
      <c r="P97" s="1" t="s">
        <v>82</v>
      </c>
      <c r="Q97" s="1" t="s">
        <v>82</v>
      </c>
      <c r="R97" s="1" t="s">
        <v>83</v>
      </c>
      <c r="S97" s="1" t="s">
        <v>583</v>
      </c>
      <c r="T97" s="1">
        <v>1.00869732E8</v>
      </c>
      <c r="W97" s="1" t="s">
        <v>456</v>
      </c>
      <c r="X97" s="1" t="s">
        <v>582</v>
      </c>
    </row>
    <row r="98">
      <c r="A98" s="1" t="s">
        <v>584</v>
      </c>
      <c r="B98" s="1" t="s">
        <v>585</v>
      </c>
      <c r="C98" s="1" t="s">
        <v>586</v>
      </c>
      <c r="D98" s="1" t="s">
        <v>51</v>
      </c>
      <c r="E98" s="1" t="s">
        <v>29</v>
      </c>
      <c r="F98" s="1">
        <v>8000000.0</v>
      </c>
      <c r="G98" s="1" t="s">
        <v>479</v>
      </c>
      <c r="H98" s="1" t="s">
        <v>587</v>
      </c>
      <c r="I98" s="1" t="s">
        <v>217</v>
      </c>
      <c r="K98" s="1">
        <v>0.0</v>
      </c>
      <c r="L98" s="1" t="s">
        <v>588</v>
      </c>
      <c r="M98" s="1" t="str">
        <f>VLOOKUP(L98,'Copy of PMD Workday Constants -'!B97:W783,22,false)</f>
        <v>LCP</v>
      </c>
      <c r="N98" s="1" t="s">
        <v>32</v>
      </c>
      <c r="O98" s="1" t="s">
        <v>33</v>
      </c>
      <c r="P98" s="1" t="s">
        <v>34</v>
      </c>
      <c r="Q98" s="1" t="s">
        <v>34</v>
      </c>
      <c r="R98" s="1" t="s">
        <v>35</v>
      </c>
      <c r="S98" s="1" t="s">
        <v>153</v>
      </c>
      <c r="T98" s="1">
        <v>1.00609607E8</v>
      </c>
      <c r="W98" s="1" t="s">
        <v>91</v>
      </c>
      <c r="X98" s="1" t="s">
        <v>589</v>
      </c>
    </row>
    <row r="99">
      <c r="A99" s="1" t="s">
        <v>590</v>
      </c>
      <c r="B99" s="1" t="s">
        <v>77</v>
      </c>
      <c r="C99" s="1" t="s">
        <v>591</v>
      </c>
      <c r="D99" s="1" t="s">
        <v>28</v>
      </c>
      <c r="E99" s="1" t="s">
        <v>29</v>
      </c>
      <c r="F99" s="1">
        <v>8000000.0</v>
      </c>
      <c r="G99" s="1" t="s">
        <v>479</v>
      </c>
      <c r="H99" s="1" t="s">
        <v>592</v>
      </c>
      <c r="I99" s="1" t="s">
        <v>593</v>
      </c>
      <c r="K99" s="1">
        <v>0.0</v>
      </c>
      <c r="L99" s="1" t="s">
        <v>319</v>
      </c>
      <c r="M99" s="1" t="str">
        <f>VLOOKUP(L99,'Copy of PMD Workday Constants -'!B98:W784,22,false)</f>
        <v>Delivery</v>
      </c>
      <c r="N99" s="1" t="s">
        <v>32</v>
      </c>
      <c r="O99" s="1" t="s">
        <v>33</v>
      </c>
      <c r="P99" s="1" t="s">
        <v>82</v>
      </c>
      <c r="Q99" s="1" t="s">
        <v>82</v>
      </c>
      <c r="R99" s="1" t="s">
        <v>83</v>
      </c>
      <c r="S99" s="1" t="s">
        <v>84</v>
      </c>
      <c r="T99" s="1">
        <v>1.00654705E8</v>
      </c>
      <c r="W99" s="1" t="s">
        <v>85</v>
      </c>
      <c r="X99" s="1" t="s">
        <v>319</v>
      </c>
    </row>
    <row r="100">
      <c r="A100" s="1" t="s">
        <v>594</v>
      </c>
      <c r="B100" s="1" t="s">
        <v>521</v>
      </c>
      <c r="C100" s="1" t="s">
        <v>595</v>
      </c>
      <c r="D100" s="1" t="s">
        <v>28</v>
      </c>
      <c r="E100" s="1" t="s">
        <v>29</v>
      </c>
      <c r="F100" s="1">
        <v>8000000.0</v>
      </c>
      <c r="G100" s="1" t="s">
        <v>479</v>
      </c>
      <c r="H100" s="1" t="s">
        <v>330</v>
      </c>
      <c r="I100" s="1" t="s">
        <v>596</v>
      </c>
      <c r="K100" s="1">
        <v>0.0</v>
      </c>
      <c r="L100" s="1" t="s">
        <v>319</v>
      </c>
      <c r="M100" s="1" t="str">
        <f>VLOOKUP(L100,'Copy of PMD Workday Constants -'!B99:W785,22,false)</f>
        <v>Delivery</v>
      </c>
      <c r="N100" s="1" t="s">
        <v>32</v>
      </c>
      <c r="O100" s="1" t="s">
        <v>33</v>
      </c>
      <c r="P100" s="1" t="s">
        <v>82</v>
      </c>
      <c r="Q100" s="1" t="s">
        <v>82</v>
      </c>
      <c r="R100" s="1" t="s">
        <v>83</v>
      </c>
      <c r="S100" s="1" t="s">
        <v>84</v>
      </c>
      <c r="T100" s="1">
        <v>1.00654705E8</v>
      </c>
      <c r="W100" s="1" t="s">
        <v>85</v>
      </c>
      <c r="X100" s="1" t="s">
        <v>319</v>
      </c>
    </row>
    <row r="101">
      <c r="A101" s="1" t="s">
        <v>597</v>
      </c>
      <c r="B101" s="1" t="s">
        <v>598</v>
      </c>
      <c r="C101" s="1" t="s">
        <v>599</v>
      </c>
      <c r="D101" s="1" t="s">
        <v>28</v>
      </c>
      <c r="E101" s="1" t="s">
        <v>29</v>
      </c>
      <c r="F101" s="5">
        <v>8000000.0</v>
      </c>
      <c r="G101" s="1" t="s">
        <v>479</v>
      </c>
      <c r="H101" s="4">
        <v>44389.0</v>
      </c>
      <c r="I101" s="4">
        <v>44930.0</v>
      </c>
      <c r="K101" s="1">
        <v>0.0</v>
      </c>
      <c r="L101" s="1" t="s">
        <v>600</v>
      </c>
      <c r="M101" s="1" t="str">
        <f>VLOOKUP(L101,'Copy of PMD Workday Constants -'!B70:Y756,22,false)</f>
        <v>#N/A</v>
      </c>
      <c r="N101" s="1" t="s">
        <v>32</v>
      </c>
      <c r="O101" s="1" t="s">
        <v>33</v>
      </c>
      <c r="P101" s="1" t="s">
        <v>222</v>
      </c>
      <c r="Q101" s="1" t="s">
        <v>222</v>
      </c>
      <c r="R101" s="1" t="s">
        <v>223</v>
      </c>
      <c r="S101" s="1" t="s">
        <v>601</v>
      </c>
      <c r="T101" s="1">
        <v>1.00646519E8</v>
      </c>
      <c r="W101" s="1" t="s">
        <v>37</v>
      </c>
      <c r="X101" s="1" t="s">
        <v>602</v>
      </c>
    </row>
    <row r="102">
      <c r="A102" s="1" t="s">
        <v>603</v>
      </c>
      <c r="B102" s="1" t="s">
        <v>598</v>
      </c>
      <c r="C102" s="1" t="s">
        <v>604</v>
      </c>
      <c r="D102" s="1" t="s">
        <v>28</v>
      </c>
      <c r="E102" s="1" t="s">
        <v>29</v>
      </c>
      <c r="F102" s="1">
        <v>8000000.0</v>
      </c>
      <c r="G102" s="1" t="s">
        <v>479</v>
      </c>
      <c r="H102" s="4">
        <v>44389.0</v>
      </c>
      <c r="I102" s="4">
        <v>44930.0</v>
      </c>
      <c r="K102" s="1">
        <v>0.0</v>
      </c>
      <c r="L102" s="1" t="s">
        <v>105</v>
      </c>
      <c r="M102" s="1" t="str">
        <f>VLOOKUP(L102,'Copy of PMD Workday Constants -'!B101:W787,22,false)</f>
        <v>LCP</v>
      </c>
      <c r="N102" s="1" t="s">
        <v>32</v>
      </c>
      <c r="O102" s="1" t="s">
        <v>33</v>
      </c>
      <c r="P102" s="1" t="s">
        <v>34</v>
      </c>
      <c r="Q102" s="1" t="s">
        <v>34</v>
      </c>
      <c r="R102" s="1" t="s">
        <v>35</v>
      </c>
      <c r="S102" s="1" t="s">
        <v>36</v>
      </c>
      <c r="T102" s="1">
        <v>1.00651722E8</v>
      </c>
      <c r="W102" s="1" t="s">
        <v>37</v>
      </c>
      <c r="X102" s="1" t="s">
        <v>602</v>
      </c>
    </row>
    <row r="103">
      <c r="A103" s="1" t="s">
        <v>605</v>
      </c>
      <c r="B103" s="1" t="s">
        <v>40</v>
      </c>
      <c r="C103" s="1" t="s">
        <v>606</v>
      </c>
      <c r="D103" s="1" t="s">
        <v>28</v>
      </c>
      <c r="E103" s="1" t="s">
        <v>29</v>
      </c>
      <c r="F103" s="5">
        <v>8000000.0</v>
      </c>
      <c r="G103" s="1" t="s">
        <v>479</v>
      </c>
      <c r="H103" s="1" t="s">
        <v>592</v>
      </c>
      <c r="I103" s="4">
        <v>44780.0</v>
      </c>
      <c r="K103" s="1">
        <v>0.0</v>
      </c>
      <c r="L103" s="1" t="s">
        <v>607</v>
      </c>
      <c r="M103" s="1" t="str">
        <f>VLOOKUP(L103,'Copy of PMD Workday Constants -'!B72:Y758,22,false)</f>
        <v>#N/A</v>
      </c>
      <c r="N103" s="1" t="s">
        <v>32</v>
      </c>
      <c r="O103" s="1" t="s">
        <v>33</v>
      </c>
      <c r="P103" s="1" t="s">
        <v>112</v>
      </c>
      <c r="Q103" s="1" t="s">
        <v>112</v>
      </c>
      <c r="R103" s="1" t="s">
        <v>113</v>
      </c>
      <c r="S103" s="1" t="s">
        <v>307</v>
      </c>
      <c r="T103" s="1">
        <v>1.00646427E8</v>
      </c>
      <c r="U103" s="1" t="s">
        <v>608</v>
      </c>
      <c r="V103" s="1" t="s">
        <v>46</v>
      </c>
      <c r="W103" s="1" t="s">
        <v>47</v>
      </c>
      <c r="X103" s="1" t="s">
        <v>607</v>
      </c>
    </row>
    <row r="104">
      <c r="A104" s="1" t="s">
        <v>609</v>
      </c>
      <c r="B104" s="1" t="s">
        <v>610</v>
      </c>
      <c r="C104" s="1" t="s">
        <v>611</v>
      </c>
      <c r="D104" s="1" t="s">
        <v>79</v>
      </c>
      <c r="E104" s="1" t="s">
        <v>29</v>
      </c>
      <c r="F104" s="5">
        <v>8000000.0</v>
      </c>
      <c r="G104" s="1" t="s">
        <v>479</v>
      </c>
      <c r="H104" s="4">
        <v>44807.0</v>
      </c>
      <c r="I104" s="1" t="s">
        <v>132</v>
      </c>
      <c r="K104" s="1">
        <v>0.0</v>
      </c>
      <c r="L104" s="1" t="s">
        <v>557</v>
      </c>
      <c r="M104" s="1" t="str">
        <f>VLOOKUP(L104,'Copy of PMD Workday Constants -'!B73:Y759,22,false)</f>
        <v>#N/A</v>
      </c>
      <c r="N104" s="1" t="s">
        <v>32</v>
      </c>
      <c r="O104" s="1" t="s">
        <v>33</v>
      </c>
      <c r="P104" s="1" t="s">
        <v>173</v>
      </c>
      <c r="Q104" s="1" t="s">
        <v>173</v>
      </c>
      <c r="R104" s="1" t="s">
        <v>174</v>
      </c>
      <c r="S104" s="1" t="s">
        <v>612</v>
      </c>
      <c r="T104" s="1">
        <v>1.00700761E8</v>
      </c>
      <c r="U104" s="1" t="s">
        <v>613</v>
      </c>
      <c r="V104" s="1" t="s">
        <v>46</v>
      </c>
      <c r="W104" s="1" t="s">
        <v>47</v>
      </c>
      <c r="X104" s="1" t="s">
        <v>557</v>
      </c>
    </row>
    <row r="105">
      <c r="A105" s="1" t="s">
        <v>614</v>
      </c>
      <c r="B105" s="1" t="s">
        <v>615</v>
      </c>
      <c r="C105" s="1" t="s">
        <v>616</v>
      </c>
      <c r="D105" s="1" t="s">
        <v>103</v>
      </c>
      <c r="E105" s="1" t="s">
        <v>29</v>
      </c>
      <c r="F105" s="5">
        <v>8000000.0</v>
      </c>
      <c r="G105" s="1" t="s">
        <v>479</v>
      </c>
      <c r="H105" s="4">
        <v>43932.0</v>
      </c>
      <c r="I105" s="1" t="s">
        <v>617</v>
      </c>
      <c r="K105" s="1">
        <v>0.0</v>
      </c>
      <c r="L105" s="1" t="s">
        <v>618</v>
      </c>
      <c r="M105" s="1" t="str">
        <f>VLOOKUP(L105,'Copy of PMD Workday Constants -'!B74:Y760,22,false)</f>
        <v>#N/A</v>
      </c>
      <c r="N105" s="1" t="s">
        <v>32</v>
      </c>
      <c r="O105" s="1" t="s">
        <v>33</v>
      </c>
      <c r="P105" s="1" t="s">
        <v>173</v>
      </c>
      <c r="Q105" s="1" t="s">
        <v>173</v>
      </c>
      <c r="R105" s="1" t="s">
        <v>174</v>
      </c>
      <c r="S105" s="1" t="s">
        <v>540</v>
      </c>
      <c r="T105" s="1">
        <v>1.00591141E8</v>
      </c>
      <c r="W105" s="1" t="s">
        <v>74</v>
      </c>
      <c r="X105" s="1" t="s">
        <v>618</v>
      </c>
    </row>
    <row r="106">
      <c r="A106" s="1" t="s">
        <v>619</v>
      </c>
      <c r="B106" s="1" t="s">
        <v>620</v>
      </c>
      <c r="C106" s="1" t="s">
        <v>621</v>
      </c>
      <c r="D106" s="1" t="s">
        <v>28</v>
      </c>
      <c r="E106" s="1" t="s">
        <v>29</v>
      </c>
      <c r="F106" s="1">
        <v>8000000.0</v>
      </c>
      <c r="G106" s="1" t="s">
        <v>479</v>
      </c>
      <c r="H106" s="4">
        <v>44623.0</v>
      </c>
      <c r="I106" s="1" t="s">
        <v>191</v>
      </c>
      <c r="K106" s="1">
        <v>0.0</v>
      </c>
      <c r="L106" s="1" t="s">
        <v>382</v>
      </c>
      <c r="M106" s="1" t="str">
        <f>VLOOKUP(L106,'Copy of PMD Workday Constants -'!B105:W791,22,false)</f>
        <v>Delivery</v>
      </c>
      <c r="N106" s="1" t="s">
        <v>32</v>
      </c>
      <c r="O106" s="1" t="s">
        <v>33</v>
      </c>
      <c r="P106" s="1" t="s">
        <v>34</v>
      </c>
      <c r="Q106" s="1" t="s">
        <v>34</v>
      </c>
      <c r="R106" s="1" t="s">
        <v>35</v>
      </c>
      <c r="S106" s="1" t="s">
        <v>383</v>
      </c>
      <c r="T106" s="1">
        <v>1.0059112E8</v>
      </c>
      <c r="W106" s="1" t="s">
        <v>140</v>
      </c>
      <c r="X106" s="1" t="s">
        <v>384</v>
      </c>
    </row>
    <row r="107">
      <c r="A107" s="1" t="s">
        <v>622</v>
      </c>
      <c r="B107" s="1" t="s">
        <v>623</v>
      </c>
      <c r="C107" s="1" t="s">
        <v>624</v>
      </c>
      <c r="D107" s="1" t="s">
        <v>51</v>
      </c>
      <c r="E107" s="1" t="s">
        <v>29</v>
      </c>
      <c r="F107" s="1">
        <v>7500000.0</v>
      </c>
      <c r="G107" s="1" t="s">
        <v>479</v>
      </c>
      <c r="H107" s="1" t="s">
        <v>197</v>
      </c>
      <c r="I107" s="1" t="s">
        <v>625</v>
      </c>
      <c r="K107" s="1">
        <v>0.0</v>
      </c>
      <c r="L107" s="1" t="s">
        <v>198</v>
      </c>
      <c r="M107" s="1" t="str">
        <f>VLOOKUP(L107,'Copy of PMD Workday Constants -'!B106:W792,22,false)</f>
        <v>Delivery</v>
      </c>
      <c r="N107" s="1" t="s">
        <v>32</v>
      </c>
      <c r="O107" s="1" t="s">
        <v>33</v>
      </c>
      <c r="P107" s="1" t="s">
        <v>82</v>
      </c>
      <c r="Q107" s="1" t="s">
        <v>82</v>
      </c>
      <c r="R107" s="1" t="s">
        <v>83</v>
      </c>
      <c r="S107" s="1" t="s">
        <v>180</v>
      </c>
      <c r="T107" s="1">
        <v>1.00590896E8</v>
      </c>
      <c r="W107" s="1" t="s">
        <v>85</v>
      </c>
      <c r="X107" s="1" t="s">
        <v>199</v>
      </c>
    </row>
    <row r="108">
      <c r="A108" s="1" t="s">
        <v>626</v>
      </c>
      <c r="B108" s="1" t="s">
        <v>627</v>
      </c>
      <c r="C108" s="1" t="s">
        <v>628</v>
      </c>
      <c r="D108" s="1" t="s">
        <v>51</v>
      </c>
      <c r="E108" s="1" t="s">
        <v>29</v>
      </c>
      <c r="F108" s="1">
        <v>7500000.0</v>
      </c>
      <c r="G108" s="1" t="s">
        <v>479</v>
      </c>
      <c r="H108" s="1" t="s">
        <v>569</v>
      </c>
      <c r="I108" s="4">
        <v>44626.0</v>
      </c>
      <c r="K108" s="1">
        <v>0.0</v>
      </c>
      <c r="L108" s="1" t="s">
        <v>275</v>
      </c>
      <c r="M108" s="1" t="str">
        <f>VLOOKUP(L108,'Copy of PMD Workday Constants -'!B107:W793,22,false)</f>
        <v>Delivery</v>
      </c>
      <c r="N108" s="1" t="s">
        <v>32</v>
      </c>
      <c r="O108" s="1" t="s">
        <v>33</v>
      </c>
      <c r="P108" s="1" t="s">
        <v>34</v>
      </c>
      <c r="Q108" s="1" t="s">
        <v>34</v>
      </c>
      <c r="R108" s="1" t="s">
        <v>35</v>
      </c>
      <c r="S108" s="1" t="s">
        <v>126</v>
      </c>
      <c r="T108" s="1">
        <v>1.00608828E8</v>
      </c>
      <c r="W108" s="1" t="s">
        <v>47</v>
      </c>
      <c r="X108" s="1" t="s">
        <v>629</v>
      </c>
    </row>
    <row r="109">
      <c r="A109" s="1" t="s">
        <v>630</v>
      </c>
      <c r="B109" s="1" t="s">
        <v>631</v>
      </c>
      <c r="C109" s="1" t="s">
        <v>632</v>
      </c>
      <c r="D109" s="1" t="s">
        <v>51</v>
      </c>
      <c r="E109" s="1" t="s">
        <v>29</v>
      </c>
      <c r="F109" s="1">
        <v>7500000.0</v>
      </c>
      <c r="G109" s="1" t="s">
        <v>479</v>
      </c>
      <c r="H109" s="4">
        <v>44441.0</v>
      </c>
      <c r="I109" s="1" t="s">
        <v>633</v>
      </c>
      <c r="K109" s="1">
        <v>0.0</v>
      </c>
      <c r="L109" s="1" t="s">
        <v>407</v>
      </c>
      <c r="M109" s="1" t="str">
        <f>VLOOKUP(L109,'Copy of PMD Workday Constants -'!B108:W794,22,false)</f>
        <v>Delivery</v>
      </c>
      <c r="N109" s="1" t="s">
        <v>32</v>
      </c>
      <c r="O109" s="1" t="s">
        <v>33</v>
      </c>
      <c r="P109" s="1" t="s">
        <v>34</v>
      </c>
      <c r="Q109" s="1" t="s">
        <v>34</v>
      </c>
      <c r="R109" s="1" t="s">
        <v>35</v>
      </c>
      <c r="S109" s="1" t="s">
        <v>36</v>
      </c>
      <c r="T109" s="1">
        <v>1.0064407E8</v>
      </c>
      <c r="U109" s="1" t="s">
        <v>634</v>
      </c>
      <c r="V109" s="1" t="s">
        <v>187</v>
      </c>
      <c r="W109" s="1" t="s">
        <v>37</v>
      </c>
      <c r="X109" s="1" t="s">
        <v>635</v>
      </c>
    </row>
    <row r="110">
      <c r="A110" s="1" t="s">
        <v>636</v>
      </c>
      <c r="B110" s="1" t="s">
        <v>637</v>
      </c>
      <c r="C110" s="1" t="s">
        <v>638</v>
      </c>
      <c r="D110" s="1" t="s">
        <v>51</v>
      </c>
      <c r="E110" s="1" t="s">
        <v>29</v>
      </c>
      <c r="F110" s="5">
        <v>7300000.0</v>
      </c>
      <c r="G110" s="1" t="s">
        <v>479</v>
      </c>
      <c r="H110" s="4">
        <v>44409.0</v>
      </c>
      <c r="I110" s="1" t="s">
        <v>406</v>
      </c>
      <c r="K110" s="1">
        <v>0.0</v>
      </c>
      <c r="L110" s="1" t="s">
        <v>639</v>
      </c>
      <c r="M110" s="1" t="str">
        <f>VLOOKUP(L110,'Copy of PMD Workday Constants -'!B79:Y765,22,false)</f>
        <v>#N/A</v>
      </c>
      <c r="N110" s="1" t="s">
        <v>32</v>
      </c>
      <c r="O110" s="1" t="s">
        <v>33</v>
      </c>
      <c r="P110" s="1" t="s">
        <v>222</v>
      </c>
      <c r="Q110" s="1" t="s">
        <v>222</v>
      </c>
      <c r="R110" s="1" t="s">
        <v>223</v>
      </c>
      <c r="S110" s="1" t="s">
        <v>601</v>
      </c>
      <c r="T110" s="1">
        <v>1.0089503E8</v>
      </c>
      <c r="W110" s="1" t="s">
        <v>56</v>
      </c>
      <c r="X110" s="1" t="s">
        <v>640</v>
      </c>
    </row>
    <row r="111">
      <c r="A111" s="1" t="s">
        <v>641</v>
      </c>
      <c r="B111" s="1" t="s">
        <v>642</v>
      </c>
      <c r="C111" s="1" t="s">
        <v>643</v>
      </c>
      <c r="D111" s="1" t="s">
        <v>103</v>
      </c>
      <c r="E111" s="1" t="s">
        <v>29</v>
      </c>
      <c r="F111" s="5">
        <v>7000000.0</v>
      </c>
      <c r="G111" s="1" t="s">
        <v>479</v>
      </c>
      <c r="H111" s="1" t="s">
        <v>644</v>
      </c>
      <c r="I111" s="4">
        <v>44569.0</v>
      </c>
      <c r="K111" s="1">
        <v>0.0</v>
      </c>
      <c r="L111" s="1" t="s">
        <v>645</v>
      </c>
      <c r="M111" s="1" t="str">
        <f>VLOOKUP(L111,'Copy of PMD Workday Constants -'!B80:Y766,22,false)</f>
        <v>#N/A</v>
      </c>
      <c r="N111" s="1" t="s">
        <v>32</v>
      </c>
      <c r="O111" s="1" t="s">
        <v>33</v>
      </c>
      <c r="P111" s="1" t="s">
        <v>64</v>
      </c>
      <c r="Q111" s="1" t="s">
        <v>64</v>
      </c>
      <c r="R111" s="1" t="s">
        <v>65</v>
      </c>
      <c r="S111" s="1" t="s">
        <v>646</v>
      </c>
      <c r="T111" s="1">
        <v>1.00653597E8</v>
      </c>
      <c r="W111" s="1" t="s">
        <v>56</v>
      </c>
      <c r="X111" s="1" t="s">
        <v>647</v>
      </c>
    </row>
    <row r="112">
      <c r="A112" s="1" t="s">
        <v>648</v>
      </c>
      <c r="B112" s="1" t="s">
        <v>168</v>
      </c>
      <c r="C112" s="1" t="s">
        <v>649</v>
      </c>
      <c r="D112" s="1" t="s">
        <v>79</v>
      </c>
      <c r="E112" s="1" t="s">
        <v>29</v>
      </c>
      <c r="F112" s="5">
        <v>7000000.0</v>
      </c>
      <c r="G112" s="1" t="s">
        <v>479</v>
      </c>
      <c r="H112" s="4">
        <v>44387.0</v>
      </c>
      <c r="I112" s="1" t="s">
        <v>650</v>
      </c>
      <c r="K112" s="1">
        <v>0.0</v>
      </c>
      <c r="L112" s="1" t="s">
        <v>564</v>
      </c>
      <c r="M112" s="1" t="str">
        <f>VLOOKUP(L112,'Copy of PMD Workday Constants -'!B81:Y767,22,false)</f>
        <v>#N/A</v>
      </c>
      <c r="N112" s="1" t="s">
        <v>32</v>
      </c>
      <c r="O112" s="1" t="s">
        <v>33</v>
      </c>
      <c r="P112" s="1" t="s">
        <v>112</v>
      </c>
      <c r="Q112" s="1" t="s">
        <v>112</v>
      </c>
      <c r="R112" s="1" t="s">
        <v>113</v>
      </c>
      <c r="S112" s="1" t="s">
        <v>204</v>
      </c>
      <c r="T112" s="1">
        <v>1.005886E8</v>
      </c>
      <c r="W112" s="1" t="s">
        <v>37</v>
      </c>
      <c r="X112" s="1" t="s">
        <v>564</v>
      </c>
    </row>
    <row r="113">
      <c r="A113" s="1" t="s">
        <v>651</v>
      </c>
      <c r="B113" s="1" t="s">
        <v>49</v>
      </c>
      <c r="C113" s="1" t="s">
        <v>652</v>
      </c>
      <c r="D113" s="1" t="s">
        <v>51</v>
      </c>
      <c r="E113" s="1" t="s">
        <v>29</v>
      </c>
      <c r="F113" s="1">
        <v>7000000.0</v>
      </c>
      <c r="G113" s="1" t="s">
        <v>479</v>
      </c>
      <c r="H113" s="1" t="s">
        <v>301</v>
      </c>
      <c r="I113" s="1" t="s">
        <v>104</v>
      </c>
      <c r="K113" s="1">
        <v>0.0</v>
      </c>
      <c r="L113" s="1" t="s">
        <v>653</v>
      </c>
      <c r="M113" s="1" t="str">
        <f>VLOOKUP(L113,'Copy of PMD Workday Constants -'!B112:W798,22,false)</f>
        <v>Delivery</v>
      </c>
      <c r="N113" s="1" t="s">
        <v>32</v>
      </c>
      <c r="O113" s="1" t="s">
        <v>33</v>
      </c>
      <c r="P113" s="1" t="s">
        <v>54</v>
      </c>
      <c r="Q113" s="1" t="s">
        <v>54</v>
      </c>
      <c r="R113" s="1" t="s">
        <v>55</v>
      </c>
      <c r="S113" s="1" t="s">
        <v>654</v>
      </c>
      <c r="T113" s="1">
        <v>1.00904602E8</v>
      </c>
      <c r="W113" s="1" t="s">
        <v>56</v>
      </c>
      <c r="X113" s="1" t="s">
        <v>655</v>
      </c>
    </row>
    <row r="114">
      <c r="A114" s="1" t="s">
        <v>656</v>
      </c>
      <c r="B114" s="1" t="s">
        <v>657</v>
      </c>
      <c r="C114" s="1" t="s">
        <v>196</v>
      </c>
      <c r="D114" s="1" t="s">
        <v>28</v>
      </c>
      <c r="E114" s="1" t="s">
        <v>29</v>
      </c>
      <c r="F114" s="5">
        <v>7000000.0</v>
      </c>
      <c r="G114" s="1" t="s">
        <v>479</v>
      </c>
      <c r="H114" s="1" t="s">
        <v>197</v>
      </c>
      <c r="I114" s="1" t="s">
        <v>104</v>
      </c>
      <c r="K114" s="1">
        <v>0.0</v>
      </c>
      <c r="L114" s="1" t="s">
        <v>198</v>
      </c>
      <c r="M114" s="1" t="str">
        <f>VLOOKUP(L114,'Copy of PMD Workday Constants -'!B83:Y769,22,false)</f>
        <v>Delivery</v>
      </c>
      <c r="N114" s="1" t="s">
        <v>32</v>
      </c>
      <c r="O114" s="1" t="s">
        <v>33</v>
      </c>
      <c r="P114" s="1" t="s">
        <v>82</v>
      </c>
      <c r="Q114" s="1" t="s">
        <v>82</v>
      </c>
      <c r="R114" s="1" t="s">
        <v>83</v>
      </c>
      <c r="S114" s="1" t="s">
        <v>180</v>
      </c>
      <c r="T114" s="1">
        <v>1.00590896E8</v>
      </c>
      <c r="W114" s="1" t="s">
        <v>85</v>
      </c>
      <c r="X114" s="1" t="s">
        <v>199</v>
      </c>
    </row>
    <row r="115">
      <c r="A115" s="1" t="s">
        <v>658</v>
      </c>
      <c r="B115" s="1" t="s">
        <v>659</v>
      </c>
      <c r="C115" s="1" t="s">
        <v>660</v>
      </c>
      <c r="D115" s="1" t="s">
        <v>51</v>
      </c>
      <c r="E115" s="1" t="s">
        <v>29</v>
      </c>
      <c r="F115" s="1">
        <v>7000000.0</v>
      </c>
      <c r="G115" s="1" t="s">
        <v>479</v>
      </c>
      <c r="H115" s="4">
        <v>44810.0</v>
      </c>
      <c r="I115" s="1" t="s">
        <v>661</v>
      </c>
      <c r="K115" s="1">
        <v>0.0</v>
      </c>
      <c r="L115" s="1" t="s">
        <v>662</v>
      </c>
      <c r="M115" s="1" t="str">
        <f>VLOOKUP(L115,'Copy of PMD Workday Constants -'!B114:W800,22,false)</f>
        <v>Catalyst</v>
      </c>
      <c r="N115" s="1" t="s">
        <v>32</v>
      </c>
      <c r="O115" s="1" t="s">
        <v>33</v>
      </c>
      <c r="P115" s="1" t="s">
        <v>54</v>
      </c>
      <c r="Q115" s="1" t="s">
        <v>54</v>
      </c>
      <c r="R115" s="1" t="s">
        <v>55</v>
      </c>
      <c r="S115" s="1" t="s">
        <v>540</v>
      </c>
      <c r="T115" s="1">
        <v>1.01062258E8</v>
      </c>
      <c r="W115" s="1" t="s">
        <v>74</v>
      </c>
      <c r="X115" s="1" t="s">
        <v>663</v>
      </c>
    </row>
    <row r="116">
      <c r="A116" s="1" t="s">
        <v>664</v>
      </c>
      <c r="B116" s="1" t="s">
        <v>665</v>
      </c>
      <c r="C116" s="1" t="s">
        <v>666</v>
      </c>
      <c r="D116" s="1" t="s">
        <v>28</v>
      </c>
      <c r="E116" s="1" t="s">
        <v>29</v>
      </c>
      <c r="F116" s="1">
        <v>7000000.0</v>
      </c>
      <c r="G116" s="1" t="s">
        <v>479</v>
      </c>
      <c r="H116" s="4">
        <v>44809.0</v>
      </c>
      <c r="I116" s="1" t="s">
        <v>633</v>
      </c>
      <c r="K116" s="1">
        <v>0.0</v>
      </c>
      <c r="L116" s="1" t="s">
        <v>667</v>
      </c>
      <c r="M116" s="1" t="str">
        <f>VLOOKUP(L116,'Copy of PMD Workday Constants -'!B115:W801,22,false)</f>
        <v>Delivery</v>
      </c>
      <c r="N116" s="1" t="s">
        <v>32</v>
      </c>
      <c r="O116" s="1" t="s">
        <v>33</v>
      </c>
      <c r="P116" s="1" t="s">
        <v>112</v>
      </c>
      <c r="Q116" s="1" t="s">
        <v>112</v>
      </c>
      <c r="R116" s="1" t="s">
        <v>113</v>
      </c>
      <c r="S116" s="1" t="s">
        <v>307</v>
      </c>
      <c r="T116" s="1">
        <v>1.00616804E8</v>
      </c>
      <c r="W116" s="1" t="s">
        <v>115</v>
      </c>
      <c r="X116" s="1" t="s">
        <v>667</v>
      </c>
    </row>
    <row r="117">
      <c r="A117" s="1" t="s">
        <v>668</v>
      </c>
      <c r="B117" s="1" t="s">
        <v>669</v>
      </c>
      <c r="C117" s="1" t="s">
        <v>670</v>
      </c>
      <c r="D117" s="1" t="s">
        <v>51</v>
      </c>
      <c r="E117" s="1" t="s">
        <v>29</v>
      </c>
      <c r="F117" s="1">
        <v>6900000.0</v>
      </c>
      <c r="G117" s="1" t="s">
        <v>479</v>
      </c>
      <c r="H117" s="1" t="s">
        <v>671</v>
      </c>
      <c r="I117" s="4">
        <v>44659.0</v>
      </c>
      <c r="K117" s="1">
        <v>0.0</v>
      </c>
      <c r="L117" s="1" t="s">
        <v>105</v>
      </c>
      <c r="M117" s="1" t="str">
        <f>VLOOKUP(L117,'Copy of PMD Workday Constants -'!B116:W802,22,false)</f>
        <v>LCP</v>
      </c>
      <c r="N117" s="1" t="s">
        <v>32</v>
      </c>
      <c r="O117" s="1" t="s">
        <v>33</v>
      </c>
      <c r="P117" s="1" t="s">
        <v>34</v>
      </c>
      <c r="Q117" s="1" t="s">
        <v>34</v>
      </c>
      <c r="R117" s="1" t="s">
        <v>35</v>
      </c>
      <c r="S117" s="1" t="s">
        <v>36</v>
      </c>
      <c r="T117" s="1">
        <v>1.00651722E8</v>
      </c>
      <c r="W117" s="1" t="s">
        <v>37</v>
      </c>
      <c r="X117" s="1" t="s">
        <v>105</v>
      </c>
    </row>
    <row r="118">
      <c r="A118" s="1" t="s">
        <v>672</v>
      </c>
      <c r="B118" s="1" t="s">
        <v>673</v>
      </c>
      <c r="C118" s="1" t="s">
        <v>674</v>
      </c>
      <c r="D118" s="1" t="s">
        <v>103</v>
      </c>
      <c r="E118" s="1" t="s">
        <v>29</v>
      </c>
      <c r="F118" s="1">
        <v>6700000.0</v>
      </c>
      <c r="G118" s="1" t="s">
        <v>479</v>
      </c>
      <c r="H118" s="1" t="s">
        <v>322</v>
      </c>
      <c r="I118" s="1" t="s">
        <v>80</v>
      </c>
      <c r="K118" s="1">
        <v>0.0</v>
      </c>
      <c r="L118" s="1" t="s">
        <v>491</v>
      </c>
      <c r="M118" s="1" t="str">
        <f>VLOOKUP(L118,'Copy of PMD Workday Constants -'!B117:W803,22,false)</f>
        <v>Delivery</v>
      </c>
      <c r="N118" s="1" t="s">
        <v>32</v>
      </c>
      <c r="O118" s="1" t="s">
        <v>33</v>
      </c>
      <c r="P118" s="1" t="s">
        <v>112</v>
      </c>
      <c r="Q118" s="1" t="s">
        <v>112</v>
      </c>
      <c r="R118" s="1" t="s">
        <v>113</v>
      </c>
      <c r="S118" s="1" t="s">
        <v>492</v>
      </c>
      <c r="T118" s="1">
        <v>1.00623914E8</v>
      </c>
      <c r="W118" s="1" t="s">
        <v>47</v>
      </c>
      <c r="X118" s="1" t="s">
        <v>675</v>
      </c>
    </row>
    <row r="119">
      <c r="A119" s="1" t="s">
        <v>676</v>
      </c>
      <c r="B119" s="1" t="s">
        <v>637</v>
      </c>
      <c r="C119" s="1" t="s">
        <v>677</v>
      </c>
      <c r="D119" s="1" t="s">
        <v>51</v>
      </c>
      <c r="E119" s="1" t="s">
        <v>29</v>
      </c>
      <c r="F119" s="1">
        <v>6653879.0</v>
      </c>
      <c r="G119" s="1" t="s">
        <v>479</v>
      </c>
      <c r="H119" s="4">
        <v>44810.0</v>
      </c>
      <c r="I119" s="4">
        <v>44840.0</v>
      </c>
      <c r="K119" s="1">
        <v>0.0</v>
      </c>
      <c r="L119" s="1" t="s">
        <v>678</v>
      </c>
      <c r="M119" s="1" t="str">
        <f>VLOOKUP(L119,'Copy of PMD Workday Constants -'!B118:W804,22,false)</f>
        <v>Delivery</v>
      </c>
      <c r="N119" s="1" t="s">
        <v>32</v>
      </c>
      <c r="O119" s="1" t="s">
        <v>33</v>
      </c>
      <c r="P119" s="1" t="s">
        <v>210</v>
      </c>
      <c r="Q119" s="1" t="s">
        <v>210</v>
      </c>
      <c r="R119" s="1" t="s">
        <v>211</v>
      </c>
      <c r="S119" s="1" t="s">
        <v>416</v>
      </c>
      <c r="T119" s="1">
        <v>1.00609073E8</v>
      </c>
      <c r="W119" s="1" t="s">
        <v>56</v>
      </c>
      <c r="X119" s="1" t="s">
        <v>678</v>
      </c>
    </row>
    <row r="120">
      <c r="A120" s="1" t="s">
        <v>679</v>
      </c>
      <c r="B120" s="1" t="s">
        <v>673</v>
      </c>
      <c r="C120" s="1" t="s">
        <v>680</v>
      </c>
      <c r="D120" s="1" t="s">
        <v>51</v>
      </c>
      <c r="E120" s="1" t="s">
        <v>29</v>
      </c>
      <c r="F120" s="1">
        <v>6500000.0</v>
      </c>
      <c r="G120" s="1" t="s">
        <v>479</v>
      </c>
      <c r="H120" s="1" t="s">
        <v>681</v>
      </c>
      <c r="I120" s="1" t="s">
        <v>104</v>
      </c>
      <c r="K120" s="1">
        <v>0.0</v>
      </c>
      <c r="L120" s="1" t="s">
        <v>682</v>
      </c>
      <c r="M120" s="1" t="str">
        <f>VLOOKUP(L120,'Copy of PMD Workday Constants -'!B119:W805,22,false)</f>
        <v>Delivery</v>
      </c>
      <c r="N120" s="1" t="s">
        <v>32</v>
      </c>
      <c r="O120" s="1" t="s">
        <v>33</v>
      </c>
      <c r="P120" s="1" t="s">
        <v>112</v>
      </c>
      <c r="Q120" s="1" t="s">
        <v>112</v>
      </c>
      <c r="R120" s="1" t="s">
        <v>113</v>
      </c>
      <c r="S120" s="1" t="s">
        <v>307</v>
      </c>
      <c r="T120" s="1">
        <v>1.00629293E8</v>
      </c>
      <c r="W120" s="1" t="s">
        <v>47</v>
      </c>
      <c r="X120" s="1" t="s">
        <v>682</v>
      </c>
    </row>
    <row r="121">
      <c r="A121" s="1" t="s">
        <v>683</v>
      </c>
      <c r="B121" s="1" t="s">
        <v>684</v>
      </c>
      <c r="C121" s="1" t="s">
        <v>685</v>
      </c>
      <c r="D121" s="1" t="s">
        <v>28</v>
      </c>
      <c r="E121" s="1" t="s">
        <v>29</v>
      </c>
      <c r="F121" s="1">
        <v>6250000.0</v>
      </c>
      <c r="G121" s="1" t="s">
        <v>479</v>
      </c>
      <c r="H121" s="1" t="s">
        <v>686</v>
      </c>
      <c r="I121" s="4">
        <v>44662.0</v>
      </c>
      <c r="K121" s="1">
        <v>0.0</v>
      </c>
      <c r="L121" s="1" t="s">
        <v>505</v>
      </c>
      <c r="M121" s="1" t="str">
        <f>VLOOKUP(L121,'Copy of PMD Workday Constants -'!B120:W806,22,false)</f>
        <v>LCP</v>
      </c>
      <c r="N121" s="1" t="s">
        <v>32</v>
      </c>
      <c r="O121" s="1" t="s">
        <v>33</v>
      </c>
      <c r="P121" s="1" t="s">
        <v>112</v>
      </c>
      <c r="Q121" s="1" t="s">
        <v>112</v>
      </c>
      <c r="R121" s="1" t="s">
        <v>113</v>
      </c>
      <c r="S121" s="1" t="s">
        <v>307</v>
      </c>
      <c r="T121" s="1">
        <v>1.0062347E8</v>
      </c>
      <c r="W121" s="1" t="s">
        <v>391</v>
      </c>
      <c r="X121" s="1" t="s">
        <v>505</v>
      </c>
    </row>
    <row r="122">
      <c r="A122" s="1" t="s">
        <v>687</v>
      </c>
      <c r="B122" s="1" t="s">
        <v>87</v>
      </c>
      <c r="C122" s="1" t="s">
        <v>688</v>
      </c>
      <c r="D122" s="1" t="s">
        <v>28</v>
      </c>
      <c r="E122" s="1" t="s">
        <v>29</v>
      </c>
      <c r="F122" s="5">
        <v>6200000.0</v>
      </c>
      <c r="G122" s="1" t="s">
        <v>479</v>
      </c>
      <c r="H122" s="1" t="s">
        <v>420</v>
      </c>
      <c r="I122" s="4">
        <v>44752.0</v>
      </c>
      <c r="K122" s="1">
        <v>0.0</v>
      </c>
      <c r="L122" s="1" t="s">
        <v>89</v>
      </c>
      <c r="M122" s="1" t="str">
        <f>VLOOKUP(L122,'Copy of PMD Workday Constants -'!B91:Y777,22,false)</f>
        <v>#N/A</v>
      </c>
      <c r="N122" s="1" t="s">
        <v>32</v>
      </c>
      <c r="O122" s="1" t="s">
        <v>33</v>
      </c>
      <c r="P122" s="1" t="s">
        <v>34</v>
      </c>
      <c r="Q122" s="1" t="s">
        <v>34</v>
      </c>
      <c r="R122" s="1" t="s">
        <v>35</v>
      </c>
      <c r="S122" s="1" t="s">
        <v>153</v>
      </c>
      <c r="T122" s="1">
        <v>1.00609569E8</v>
      </c>
      <c r="W122" s="1" t="s">
        <v>91</v>
      </c>
      <c r="X122" s="1" t="s">
        <v>689</v>
      </c>
    </row>
    <row r="123">
      <c r="A123" s="1" t="s">
        <v>690</v>
      </c>
      <c r="B123" s="1" t="s">
        <v>40</v>
      </c>
      <c r="C123" s="1" t="s">
        <v>691</v>
      </c>
      <c r="D123" s="1" t="s">
        <v>103</v>
      </c>
      <c r="E123" s="1" t="s">
        <v>29</v>
      </c>
      <c r="F123" s="1">
        <v>6200000.0</v>
      </c>
      <c r="G123" s="1" t="s">
        <v>479</v>
      </c>
      <c r="H123" s="4">
        <v>44899.0</v>
      </c>
      <c r="I123" s="1" t="s">
        <v>692</v>
      </c>
      <c r="K123" s="1">
        <v>0.0</v>
      </c>
      <c r="L123" s="1" t="s">
        <v>693</v>
      </c>
      <c r="M123" s="1" t="str">
        <f>VLOOKUP(L123,'Copy of PMD Workday Constants -'!B122:W808,22,false)</f>
        <v>Delivery</v>
      </c>
      <c r="N123" s="1" t="s">
        <v>32</v>
      </c>
      <c r="O123" s="1" t="s">
        <v>33</v>
      </c>
      <c r="P123" s="1" t="s">
        <v>54</v>
      </c>
      <c r="Q123" s="1" t="s">
        <v>54</v>
      </c>
      <c r="R123" s="1" t="s">
        <v>55</v>
      </c>
      <c r="S123" s="1" t="s">
        <v>285</v>
      </c>
      <c r="T123" s="1">
        <v>1.00904601E8</v>
      </c>
      <c r="U123" s="1" t="s">
        <v>332</v>
      </c>
      <c r="V123" s="1" t="s">
        <v>46</v>
      </c>
      <c r="W123" s="1" t="s">
        <v>47</v>
      </c>
      <c r="X123" s="1" t="s">
        <v>694</v>
      </c>
    </row>
    <row r="124">
      <c r="A124" s="1" t="s">
        <v>695</v>
      </c>
      <c r="B124" s="1" t="s">
        <v>696</v>
      </c>
      <c r="C124" s="1" t="s">
        <v>697</v>
      </c>
      <c r="D124" s="1" t="s">
        <v>103</v>
      </c>
      <c r="E124" s="1" t="s">
        <v>29</v>
      </c>
      <c r="F124" s="1">
        <v>6100000.0</v>
      </c>
      <c r="G124" s="1" t="s">
        <v>479</v>
      </c>
      <c r="H124" s="1" t="s">
        <v>698</v>
      </c>
      <c r="I124" s="1" t="s">
        <v>699</v>
      </c>
      <c r="K124" s="1">
        <v>0.0</v>
      </c>
      <c r="L124" s="1" t="s">
        <v>700</v>
      </c>
      <c r="M124" s="1" t="str">
        <f>VLOOKUP(L124,'Copy of PMD Workday Constants -'!B123:W809,22,false)</f>
        <v>Delivery</v>
      </c>
      <c r="N124" s="1" t="s">
        <v>32</v>
      </c>
      <c r="O124" s="1" t="s">
        <v>33</v>
      </c>
      <c r="P124" s="1" t="s">
        <v>54</v>
      </c>
      <c r="Q124" s="1" t="s">
        <v>54</v>
      </c>
      <c r="R124" s="1" t="s">
        <v>55</v>
      </c>
      <c r="S124" s="1" t="s">
        <v>701</v>
      </c>
      <c r="T124" s="1">
        <v>1.00622378E8</v>
      </c>
      <c r="W124" s="1" t="s">
        <v>115</v>
      </c>
      <c r="X124" s="1" t="s">
        <v>702</v>
      </c>
    </row>
    <row r="125">
      <c r="A125" s="1" t="s">
        <v>703</v>
      </c>
      <c r="B125" s="1" t="s">
        <v>704</v>
      </c>
      <c r="C125" s="1" t="s">
        <v>705</v>
      </c>
      <c r="D125" s="1" t="s">
        <v>28</v>
      </c>
      <c r="E125" s="1" t="s">
        <v>29</v>
      </c>
      <c r="F125" s="1">
        <v>6000000.0</v>
      </c>
      <c r="G125" s="1" t="s">
        <v>479</v>
      </c>
      <c r="H125" s="1" t="s">
        <v>706</v>
      </c>
      <c r="I125" s="1" t="s">
        <v>596</v>
      </c>
      <c r="K125" s="1">
        <v>0.0</v>
      </c>
      <c r="L125" s="1" t="s">
        <v>344</v>
      </c>
      <c r="M125" s="1" t="str">
        <f>VLOOKUP(L125,'Copy of PMD Workday Constants -'!B124:W810,22,false)</f>
        <v>Delivery</v>
      </c>
      <c r="N125" s="1" t="s">
        <v>32</v>
      </c>
      <c r="O125" s="1" t="s">
        <v>33</v>
      </c>
      <c r="P125" s="1" t="s">
        <v>82</v>
      </c>
      <c r="Q125" s="1" t="s">
        <v>82</v>
      </c>
      <c r="R125" s="1" t="s">
        <v>83</v>
      </c>
      <c r="S125" s="1" t="s">
        <v>180</v>
      </c>
      <c r="T125" s="1">
        <v>1.00610483E8</v>
      </c>
      <c r="U125" s="1" t="s">
        <v>707</v>
      </c>
      <c r="V125" s="1" t="s">
        <v>187</v>
      </c>
      <c r="W125" s="1" t="s">
        <v>85</v>
      </c>
      <c r="X125" s="1" t="s">
        <v>344</v>
      </c>
    </row>
    <row r="126">
      <c r="A126" s="1" t="s">
        <v>708</v>
      </c>
      <c r="B126" s="1" t="s">
        <v>709</v>
      </c>
      <c r="C126" s="1" t="s">
        <v>710</v>
      </c>
      <c r="D126" s="1" t="s">
        <v>28</v>
      </c>
      <c r="E126" s="1" t="s">
        <v>29</v>
      </c>
      <c r="F126" s="1">
        <v>6000000.0</v>
      </c>
      <c r="G126" s="1" t="s">
        <v>479</v>
      </c>
      <c r="H126" s="4">
        <v>44623.0</v>
      </c>
      <c r="I126" s="1" t="s">
        <v>191</v>
      </c>
      <c r="K126" s="1">
        <v>0.0</v>
      </c>
      <c r="L126" s="1" t="s">
        <v>382</v>
      </c>
      <c r="M126" s="1" t="str">
        <f>VLOOKUP(L126,'Copy of PMD Workday Constants -'!B125:W811,22,false)</f>
        <v>Delivery</v>
      </c>
      <c r="N126" s="1" t="s">
        <v>32</v>
      </c>
      <c r="O126" s="1" t="s">
        <v>33</v>
      </c>
      <c r="P126" s="1" t="s">
        <v>34</v>
      </c>
      <c r="Q126" s="1" t="s">
        <v>34</v>
      </c>
      <c r="R126" s="1" t="s">
        <v>35</v>
      </c>
      <c r="S126" s="1" t="s">
        <v>383</v>
      </c>
      <c r="T126" s="1">
        <v>1.0059112E8</v>
      </c>
      <c r="W126" s="1" t="s">
        <v>140</v>
      </c>
      <c r="X126" s="1" t="s">
        <v>384</v>
      </c>
    </row>
    <row r="127">
      <c r="A127" s="1" t="s">
        <v>711</v>
      </c>
      <c r="B127" s="1" t="s">
        <v>458</v>
      </c>
      <c r="C127" s="1" t="s">
        <v>712</v>
      </c>
      <c r="D127" s="1" t="s">
        <v>51</v>
      </c>
      <c r="E127" s="1" t="s">
        <v>29</v>
      </c>
      <c r="F127" s="1">
        <v>6000000.0</v>
      </c>
      <c r="G127" s="1" t="s">
        <v>479</v>
      </c>
      <c r="H127" s="1" t="s">
        <v>52</v>
      </c>
      <c r="I127" s="1" t="s">
        <v>96</v>
      </c>
      <c r="K127" s="1">
        <v>0.0</v>
      </c>
      <c r="L127" s="1" t="s">
        <v>713</v>
      </c>
      <c r="M127" s="1" t="str">
        <f>VLOOKUP(L127,'Copy of PMD Workday Constants -'!B126:W812,22,false)</f>
        <v>LCP</v>
      </c>
      <c r="N127" s="1" t="s">
        <v>32</v>
      </c>
      <c r="O127" s="1" t="s">
        <v>33</v>
      </c>
      <c r="P127" s="1" t="s">
        <v>54</v>
      </c>
      <c r="Q127" s="1" t="s">
        <v>54</v>
      </c>
      <c r="R127" s="1" t="s">
        <v>55</v>
      </c>
      <c r="S127" s="1" t="s">
        <v>654</v>
      </c>
      <c r="T127" s="1">
        <v>1.00587866E8</v>
      </c>
      <c r="W127" s="1" t="s">
        <v>56</v>
      </c>
      <c r="X127" s="1" t="s">
        <v>714</v>
      </c>
    </row>
    <row r="128">
      <c r="A128" s="1" t="s">
        <v>715</v>
      </c>
      <c r="B128" s="1" t="s">
        <v>40</v>
      </c>
      <c r="C128" s="1" t="s">
        <v>716</v>
      </c>
      <c r="D128" s="1" t="s">
        <v>103</v>
      </c>
      <c r="E128" s="1" t="s">
        <v>29</v>
      </c>
      <c r="F128" s="1">
        <v>6000000.0</v>
      </c>
      <c r="G128" s="1" t="s">
        <v>479</v>
      </c>
      <c r="H128" s="4">
        <v>44836.0</v>
      </c>
      <c r="I128" s="4">
        <v>44780.0</v>
      </c>
      <c r="K128" s="1">
        <v>0.0</v>
      </c>
      <c r="L128" s="1" t="s">
        <v>717</v>
      </c>
      <c r="M128" s="1" t="str">
        <f>VLOOKUP(L128,'Copy of PMD Workday Constants -'!B127:W813,22,false)</f>
        <v>Delivery</v>
      </c>
      <c r="N128" s="1" t="s">
        <v>32</v>
      </c>
      <c r="O128" s="1" t="s">
        <v>33</v>
      </c>
      <c r="P128" s="1" t="s">
        <v>34</v>
      </c>
      <c r="Q128" s="1" t="s">
        <v>34</v>
      </c>
      <c r="R128" s="1" t="s">
        <v>35</v>
      </c>
      <c r="S128" s="1" t="s">
        <v>383</v>
      </c>
      <c r="T128" s="1">
        <v>1.00642379E8</v>
      </c>
      <c r="W128" s="1" t="s">
        <v>47</v>
      </c>
      <c r="X128" s="1" t="s">
        <v>718</v>
      </c>
    </row>
    <row r="129">
      <c r="A129" s="1" t="s">
        <v>719</v>
      </c>
      <c r="B129" s="1" t="s">
        <v>720</v>
      </c>
      <c r="C129" s="1" t="s">
        <v>721</v>
      </c>
      <c r="D129" s="1" t="s">
        <v>51</v>
      </c>
      <c r="E129" s="1" t="s">
        <v>29</v>
      </c>
      <c r="F129" s="5">
        <v>6000000.0</v>
      </c>
      <c r="G129" s="1" t="s">
        <v>479</v>
      </c>
      <c r="H129" s="4">
        <v>44686.0</v>
      </c>
      <c r="I129" s="1" t="s">
        <v>80</v>
      </c>
      <c r="K129" s="1">
        <v>0.0</v>
      </c>
      <c r="L129" s="1" t="s">
        <v>645</v>
      </c>
      <c r="M129" s="1" t="str">
        <f>VLOOKUP(L129,'Copy of PMD Workday Constants -'!B98:Y784,22,false)</f>
        <v>#N/A</v>
      </c>
      <c r="N129" s="1" t="s">
        <v>32</v>
      </c>
      <c r="O129" s="1" t="s">
        <v>33</v>
      </c>
      <c r="P129" s="1" t="s">
        <v>64</v>
      </c>
      <c r="Q129" s="1" t="s">
        <v>64</v>
      </c>
      <c r="R129" s="1" t="s">
        <v>65</v>
      </c>
      <c r="S129" s="1" t="s">
        <v>98</v>
      </c>
      <c r="T129" s="1">
        <v>1.00653597E8</v>
      </c>
      <c r="W129" s="1" t="s">
        <v>74</v>
      </c>
      <c r="X129" s="1" t="s">
        <v>645</v>
      </c>
    </row>
    <row r="130">
      <c r="A130" s="1" t="s">
        <v>722</v>
      </c>
      <c r="B130" s="1" t="s">
        <v>723</v>
      </c>
      <c r="C130" s="1" t="s">
        <v>196</v>
      </c>
      <c r="D130" s="1" t="s">
        <v>28</v>
      </c>
      <c r="E130" s="1" t="s">
        <v>29</v>
      </c>
      <c r="F130" s="5">
        <v>6000000.0</v>
      </c>
      <c r="G130" s="1" t="s">
        <v>479</v>
      </c>
      <c r="H130" s="1" t="s">
        <v>197</v>
      </c>
      <c r="I130" s="1" t="s">
        <v>104</v>
      </c>
      <c r="K130" s="1">
        <v>0.0</v>
      </c>
      <c r="L130" s="1" t="s">
        <v>198</v>
      </c>
      <c r="M130" s="1" t="str">
        <f>VLOOKUP(L130,'Copy of PMD Workday Constants -'!B99:Y785,22,false)</f>
        <v>Delivery</v>
      </c>
      <c r="N130" s="1" t="s">
        <v>32</v>
      </c>
      <c r="O130" s="1" t="s">
        <v>33</v>
      </c>
      <c r="P130" s="1" t="s">
        <v>82</v>
      </c>
      <c r="Q130" s="1" t="s">
        <v>82</v>
      </c>
      <c r="R130" s="1" t="s">
        <v>83</v>
      </c>
      <c r="S130" s="1" t="s">
        <v>180</v>
      </c>
      <c r="T130" s="1">
        <v>1.00590896E8</v>
      </c>
      <c r="W130" s="1" t="s">
        <v>85</v>
      </c>
      <c r="X130" s="1" t="s">
        <v>199</v>
      </c>
    </row>
    <row r="131">
      <c r="A131" s="1" t="s">
        <v>724</v>
      </c>
      <c r="B131" s="1" t="s">
        <v>725</v>
      </c>
      <c r="C131" s="1" t="s">
        <v>726</v>
      </c>
      <c r="D131" s="1" t="s">
        <v>103</v>
      </c>
      <c r="E131" s="1" t="s">
        <v>29</v>
      </c>
      <c r="F131" s="5">
        <v>6000000.0</v>
      </c>
      <c r="G131" s="1" t="s">
        <v>479</v>
      </c>
      <c r="H131" s="1" t="s">
        <v>727</v>
      </c>
      <c r="I131" s="4">
        <v>44603.0</v>
      </c>
      <c r="K131" s="1">
        <v>0.0</v>
      </c>
      <c r="L131" s="1" t="s">
        <v>728</v>
      </c>
      <c r="M131" s="1" t="str">
        <f>VLOOKUP(L131,'Copy of PMD Workday Constants -'!B100:Y786,22,false)</f>
        <v>#N/A</v>
      </c>
      <c r="N131" s="1" t="s">
        <v>32</v>
      </c>
      <c r="O131" s="1" t="s">
        <v>33</v>
      </c>
      <c r="P131" s="1" t="s">
        <v>210</v>
      </c>
      <c r="Q131" s="1" t="s">
        <v>210</v>
      </c>
      <c r="R131" s="1" t="s">
        <v>211</v>
      </c>
      <c r="S131" s="1" t="s">
        <v>212</v>
      </c>
      <c r="T131" s="1">
        <v>1.00899005E8</v>
      </c>
      <c r="W131" s="1" t="s">
        <v>56</v>
      </c>
      <c r="X131" s="1" t="s">
        <v>729</v>
      </c>
    </row>
    <row r="132">
      <c r="A132" s="1" t="s">
        <v>730</v>
      </c>
      <c r="B132" s="1" t="s">
        <v>489</v>
      </c>
      <c r="C132" s="1" t="s">
        <v>731</v>
      </c>
      <c r="D132" s="1" t="s">
        <v>28</v>
      </c>
      <c r="E132" s="1" t="s">
        <v>29</v>
      </c>
      <c r="F132" s="1">
        <v>6000000.0</v>
      </c>
      <c r="G132" s="1" t="s">
        <v>479</v>
      </c>
      <c r="H132" s="4">
        <v>44806.0</v>
      </c>
      <c r="I132" s="1" t="s">
        <v>732</v>
      </c>
      <c r="K132" s="1">
        <v>0.0</v>
      </c>
      <c r="L132" s="1" t="s">
        <v>733</v>
      </c>
      <c r="M132" s="1" t="str">
        <f>VLOOKUP(L132,'Copy of PMD Workday Constants -'!B131:W817,22,false)</f>
        <v>Delivery</v>
      </c>
      <c r="N132" s="1" t="s">
        <v>32</v>
      </c>
      <c r="O132" s="1" t="s">
        <v>33</v>
      </c>
      <c r="P132" s="1" t="s">
        <v>210</v>
      </c>
      <c r="Q132" s="1" t="s">
        <v>210</v>
      </c>
      <c r="R132" s="1" t="s">
        <v>211</v>
      </c>
      <c r="S132" s="1" t="s">
        <v>185</v>
      </c>
      <c r="T132" s="1">
        <v>1.00616656E8</v>
      </c>
      <c r="W132" s="1" t="s">
        <v>493</v>
      </c>
      <c r="X132" s="1" t="s">
        <v>734</v>
      </c>
    </row>
    <row r="133">
      <c r="A133" s="1" t="s">
        <v>735</v>
      </c>
      <c r="B133" s="1" t="s">
        <v>521</v>
      </c>
      <c r="C133" s="1" t="s">
        <v>736</v>
      </c>
      <c r="D133" s="1" t="s">
        <v>51</v>
      </c>
      <c r="E133" s="1" t="s">
        <v>29</v>
      </c>
      <c r="F133" s="1">
        <v>6000000.0</v>
      </c>
      <c r="G133" s="1" t="s">
        <v>479</v>
      </c>
      <c r="H133" s="4">
        <v>44810.0</v>
      </c>
      <c r="I133" s="1" t="s">
        <v>326</v>
      </c>
      <c r="K133" s="1">
        <v>0.0</v>
      </c>
      <c r="L133" s="1" t="s">
        <v>737</v>
      </c>
      <c r="M133" s="1" t="str">
        <f>VLOOKUP(L133,'Copy of PMD Workday Constants -'!B132:W818,22,false)</f>
        <v>Delivery</v>
      </c>
      <c r="N133" s="1" t="s">
        <v>32</v>
      </c>
      <c r="O133" s="1" t="s">
        <v>33</v>
      </c>
      <c r="P133" s="1" t="s">
        <v>112</v>
      </c>
      <c r="Q133" s="1" t="s">
        <v>112</v>
      </c>
      <c r="R133" s="1" t="s">
        <v>113</v>
      </c>
      <c r="S133" s="1" t="s">
        <v>455</v>
      </c>
      <c r="T133" s="1">
        <v>1.00629729E8</v>
      </c>
      <c r="W133" s="1" t="s">
        <v>85</v>
      </c>
      <c r="X133" s="1" t="s">
        <v>738</v>
      </c>
    </row>
    <row r="134">
      <c r="A134" s="1" t="s">
        <v>739</v>
      </c>
      <c r="B134" s="1" t="s">
        <v>740</v>
      </c>
      <c r="C134" s="1" t="s">
        <v>196</v>
      </c>
      <c r="D134" s="1" t="s">
        <v>28</v>
      </c>
      <c r="E134" s="1" t="s">
        <v>29</v>
      </c>
      <c r="F134" s="5">
        <v>6000000.0</v>
      </c>
      <c r="G134" s="1" t="s">
        <v>479</v>
      </c>
      <c r="H134" s="1" t="s">
        <v>197</v>
      </c>
      <c r="I134" s="1" t="s">
        <v>104</v>
      </c>
      <c r="K134" s="1">
        <v>0.0</v>
      </c>
      <c r="L134" s="1" t="s">
        <v>198</v>
      </c>
      <c r="M134" s="1" t="str">
        <f>VLOOKUP(L134,'Copy of PMD Workday Constants -'!B103:Y789,22,false)</f>
        <v>Delivery</v>
      </c>
      <c r="N134" s="1" t="s">
        <v>32</v>
      </c>
      <c r="O134" s="1" t="s">
        <v>33</v>
      </c>
      <c r="P134" s="1" t="s">
        <v>82</v>
      </c>
      <c r="Q134" s="1" t="s">
        <v>82</v>
      </c>
      <c r="R134" s="1" t="s">
        <v>83</v>
      </c>
      <c r="S134" s="1" t="s">
        <v>180</v>
      </c>
      <c r="T134" s="1">
        <v>1.00590896E8</v>
      </c>
      <c r="W134" s="1" t="s">
        <v>85</v>
      </c>
      <c r="X134" s="1" t="s">
        <v>199</v>
      </c>
    </row>
    <row r="135">
      <c r="A135" s="1" t="s">
        <v>741</v>
      </c>
      <c r="B135" s="1" t="s">
        <v>40</v>
      </c>
      <c r="C135" s="1" t="s">
        <v>742</v>
      </c>
      <c r="D135" s="1" t="s">
        <v>28</v>
      </c>
      <c r="E135" s="1" t="s">
        <v>29</v>
      </c>
      <c r="F135" s="1">
        <v>6000000.0</v>
      </c>
      <c r="G135" s="1" t="s">
        <v>479</v>
      </c>
      <c r="H135" s="4">
        <v>44567.0</v>
      </c>
      <c r="I135" s="1" t="s">
        <v>104</v>
      </c>
      <c r="K135" s="1">
        <v>0.0</v>
      </c>
      <c r="L135" s="1" t="s">
        <v>338</v>
      </c>
      <c r="M135" s="1" t="str">
        <f>VLOOKUP(L135,'Copy of PMD Workday Constants -'!B134:W820,22,false)</f>
        <v>Delivery</v>
      </c>
      <c r="N135" s="1" t="s">
        <v>32</v>
      </c>
      <c r="O135" s="1" t="s">
        <v>33</v>
      </c>
      <c r="P135" s="1" t="s">
        <v>34</v>
      </c>
      <c r="Q135" s="1" t="s">
        <v>34</v>
      </c>
      <c r="R135" s="1" t="s">
        <v>35</v>
      </c>
      <c r="S135" s="1" t="s">
        <v>126</v>
      </c>
      <c r="T135" s="1">
        <v>1.00619817E8</v>
      </c>
      <c r="W135" s="1" t="s">
        <v>47</v>
      </c>
      <c r="X135" s="1" t="s">
        <v>338</v>
      </c>
    </row>
    <row r="136">
      <c r="A136" s="1" t="s">
        <v>743</v>
      </c>
      <c r="B136" s="1" t="s">
        <v>744</v>
      </c>
      <c r="C136" s="1" t="s">
        <v>745</v>
      </c>
      <c r="D136" s="1" t="s">
        <v>28</v>
      </c>
      <c r="E136" s="1" t="s">
        <v>29</v>
      </c>
      <c r="F136" s="5">
        <v>6000000.0</v>
      </c>
      <c r="G136" s="1" t="s">
        <v>479</v>
      </c>
      <c r="H136" s="4">
        <v>44173.0</v>
      </c>
      <c r="I136" s="1" t="s">
        <v>510</v>
      </c>
      <c r="K136" s="1">
        <v>0.0</v>
      </c>
      <c r="L136" s="1" t="s">
        <v>255</v>
      </c>
      <c r="M136" s="1" t="str">
        <f>VLOOKUP(L136,'Copy of PMD Workday Constants -'!B105:Y791,22,false)</f>
        <v>#N/A</v>
      </c>
      <c r="N136" s="1" t="s">
        <v>32</v>
      </c>
      <c r="O136" s="1" t="s">
        <v>33</v>
      </c>
      <c r="P136" s="1" t="s">
        <v>112</v>
      </c>
      <c r="Q136" s="1" t="s">
        <v>112</v>
      </c>
      <c r="R136" s="1" t="s">
        <v>113</v>
      </c>
      <c r="S136" s="1" t="s">
        <v>256</v>
      </c>
      <c r="T136" s="1">
        <v>1.00659114E8</v>
      </c>
      <c r="W136" s="1" t="s">
        <v>258</v>
      </c>
      <c r="X136" s="1" t="s">
        <v>576</v>
      </c>
    </row>
    <row r="137">
      <c r="A137" s="1" t="s">
        <v>746</v>
      </c>
      <c r="B137" s="1" t="s">
        <v>747</v>
      </c>
      <c r="C137" s="1" t="s">
        <v>748</v>
      </c>
      <c r="D137" s="1" t="s">
        <v>28</v>
      </c>
      <c r="E137" s="1" t="s">
        <v>29</v>
      </c>
      <c r="F137" s="5">
        <v>6000000.0</v>
      </c>
      <c r="G137" s="1" t="s">
        <v>479</v>
      </c>
      <c r="H137" s="4">
        <v>44176.0</v>
      </c>
      <c r="I137" s="1" t="s">
        <v>104</v>
      </c>
      <c r="K137" s="1">
        <v>0.0</v>
      </c>
      <c r="L137" s="1" t="s">
        <v>749</v>
      </c>
      <c r="M137" s="1" t="str">
        <f>VLOOKUP(L137,'Copy of PMD Workday Constants -'!B106:Y792,22,false)</f>
        <v>#N/A</v>
      </c>
      <c r="N137" s="1" t="s">
        <v>32</v>
      </c>
      <c r="O137" s="1" t="s">
        <v>33</v>
      </c>
      <c r="P137" s="1" t="s">
        <v>34</v>
      </c>
      <c r="Q137" s="1" t="s">
        <v>34</v>
      </c>
      <c r="R137" s="1" t="s">
        <v>35</v>
      </c>
      <c r="T137" s="1">
        <v>1.00686761E8</v>
      </c>
      <c r="W137" s="1" t="s">
        <v>37</v>
      </c>
      <c r="X137" s="1" t="s">
        <v>689</v>
      </c>
    </row>
    <row r="138">
      <c r="A138" s="1" t="s">
        <v>750</v>
      </c>
      <c r="B138" s="1" t="s">
        <v>751</v>
      </c>
      <c r="C138" s="1" t="s">
        <v>752</v>
      </c>
      <c r="D138" s="1" t="s">
        <v>79</v>
      </c>
      <c r="E138" s="1" t="s">
        <v>29</v>
      </c>
      <c r="F138" s="1">
        <v>6000000.0</v>
      </c>
      <c r="G138" s="1" t="s">
        <v>479</v>
      </c>
      <c r="H138" s="4">
        <v>44450.0</v>
      </c>
      <c r="I138" s="4">
        <v>44568.0</v>
      </c>
      <c r="K138" s="1">
        <v>0.0</v>
      </c>
      <c r="L138" s="1" t="s">
        <v>753</v>
      </c>
      <c r="M138" s="1" t="str">
        <f>VLOOKUP(L138,'Copy of PMD Workday Constants -'!B137:W823,22,false)</f>
        <v>LCP</v>
      </c>
      <c r="N138" s="1" t="s">
        <v>32</v>
      </c>
      <c r="O138" s="1" t="s">
        <v>33</v>
      </c>
      <c r="P138" s="1" t="s">
        <v>82</v>
      </c>
      <c r="Q138" s="1" t="s">
        <v>82</v>
      </c>
      <c r="R138" s="1" t="s">
        <v>83</v>
      </c>
      <c r="S138" s="1" t="s">
        <v>180</v>
      </c>
      <c r="T138" s="1">
        <v>1.0061032E8</v>
      </c>
      <c r="U138" s="1" t="s">
        <v>754</v>
      </c>
      <c r="V138" s="1" t="s">
        <v>346</v>
      </c>
      <c r="W138" s="1" t="s">
        <v>85</v>
      </c>
      <c r="X138" s="1" t="s">
        <v>753</v>
      </c>
    </row>
    <row r="139">
      <c r="A139" s="1" t="s">
        <v>755</v>
      </c>
      <c r="B139" s="1" t="s">
        <v>756</v>
      </c>
      <c r="C139" s="1" t="s">
        <v>757</v>
      </c>
      <c r="D139" s="1" t="s">
        <v>28</v>
      </c>
      <c r="E139" s="1" t="s">
        <v>29</v>
      </c>
      <c r="F139" s="1">
        <v>6000000.0</v>
      </c>
      <c r="G139" s="1" t="s">
        <v>479</v>
      </c>
      <c r="H139" s="4">
        <v>44686.0</v>
      </c>
      <c r="I139" s="1" t="s">
        <v>758</v>
      </c>
      <c r="K139" s="1">
        <v>0.0</v>
      </c>
      <c r="L139" s="1" t="s">
        <v>759</v>
      </c>
      <c r="M139" s="1" t="str">
        <f>VLOOKUP(L139,'Copy of PMD Workday Constants -'!B138:W824,22,false)</f>
        <v>LCP</v>
      </c>
      <c r="N139" s="1" t="s">
        <v>32</v>
      </c>
      <c r="O139" s="1" t="s">
        <v>33</v>
      </c>
      <c r="P139" s="1" t="s">
        <v>64</v>
      </c>
      <c r="Q139" s="1" t="s">
        <v>64</v>
      </c>
      <c r="R139" s="1" t="s">
        <v>65</v>
      </c>
      <c r="S139" s="1" t="s">
        <v>185</v>
      </c>
      <c r="T139" s="1">
        <v>1.00610205E8</v>
      </c>
      <c r="W139" s="1" t="s">
        <v>74</v>
      </c>
      <c r="X139" s="1" t="s">
        <v>759</v>
      </c>
    </row>
    <row r="140">
      <c r="A140" s="1" t="s">
        <v>760</v>
      </c>
      <c r="B140" s="1" t="s">
        <v>610</v>
      </c>
      <c r="C140" s="1" t="s">
        <v>761</v>
      </c>
      <c r="D140" s="1" t="s">
        <v>51</v>
      </c>
      <c r="E140" s="1" t="s">
        <v>29</v>
      </c>
      <c r="F140" s="5">
        <v>6000000.0</v>
      </c>
      <c r="G140" s="1" t="s">
        <v>479</v>
      </c>
      <c r="H140" s="4">
        <v>44623.0</v>
      </c>
      <c r="I140" s="1" t="s">
        <v>302</v>
      </c>
      <c r="K140" s="1">
        <v>0.0</v>
      </c>
      <c r="L140" s="1" t="s">
        <v>762</v>
      </c>
      <c r="M140" s="1" t="str">
        <f>VLOOKUP(L140,'Copy of PMD Workday Constants -'!B109:Y795,22,false)</f>
        <v>#N/A</v>
      </c>
      <c r="N140" s="1" t="s">
        <v>32</v>
      </c>
      <c r="O140" s="1" t="s">
        <v>33</v>
      </c>
      <c r="P140" s="1" t="s">
        <v>222</v>
      </c>
      <c r="Q140" s="1" t="s">
        <v>222</v>
      </c>
      <c r="R140" s="1" t="s">
        <v>223</v>
      </c>
      <c r="S140" s="1" t="s">
        <v>646</v>
      </c>
      <c r="T140" s="1">
        <v>1.00619765E8</v>
      </c>
      <c r="U140" s="1" t="s">
        <v>763</v>
      </c>
      <c r="V140" s="1" t="s">
        <v>187</v>
      </c>
      <c r="W140" s="1" t="s">
        <v>47</v>
      </c>
      <c r="X140" s="1" t="s">
        <v>762</v>
      </c>
    </row>
    <row r="141">
      <c r="A141" s="1" t="s">
        <v>764</v>
      </c>
      <c r="B141" s="1" t="s">
        <v>765</v>
      </c>
      <c r="C141" s="1" t="s">
        <v>766</v>
      </c>
      <c r="D141" s="1" t="s">
        <v>103</v>
      </c>
      <c r="E141" s="1" t="s">
        <v>29</v>
      </c>
      <c r="F141" s="5">
        <v>5862860.0</v>
      </c>
      <c r="G141" s="1" t="s">
        <v>479</v>
      </c>
      <c r="H141" s="1" t="s">
        <v>110</v>
      </c>
      <c r="I141" s="4">
        <v>44568.0</v>
      </c>
      <c r="K141" s="1">
        <v>0.0</v>
      </c>
      <c r="L141" s="1" t="s">
        <v>767</v>
      </c>
      <c r="M141" s="1" t="str">
        <f>VLOOKUP(L141,'Copy of PMD Workday Constants -'!B110:Y796,22,false)</f>
        <v>#N/A</v>
      </c>
      <c r="N141" s="1" t="s">
        <v>32</v>
      </c>
      <c r="O141" s="1" t="s">
        <v>33</v>
      </c>
      <c r="P141" s="1" t="s">
        <v>82</v>
      </c>
      <c r="Q141" s="1" t="s">
        <v>82</v>
      </c>
      <c r="R141" s="1" t="s">
        <v>83</v>
      </c>
      <c r="S141" s="1" t="s">
        <v>583</v>
      </c>
      <c r="T141" s="1">
        <v>1.00589481E8</v>
      </c>
      <c r="W141" s="1" t="s">
        <v>456</v>
      </c>
      <c r="X141" s="1" t="s">
        <v>768</v>
      </c>
    </row>
    <row r="142">
      <c r="A142" s="1" t="s">
        <v>769</v>
      </c>
      <c r="B142" s="1" t="s">
        <v>637</v>
      </c>
      <c r="C142" s="1" t="s">
        <v>770</v>
      </c>
      <c r="D142" s="1" t="s">
        <v>51</v>
      </c>
      <c r="E142" s="1" t="s">
        <v>29</v>
      </c>
      <c r="F142" s="1">
        <v>5852385.0</v>
      </c>
      <c r="G142" s="1" t="s">
        <v>479</v>
      </c>
      <c r="H142" s="4">
        <v>44625.0</v>
      </c>
      <c r="I142" s="4">
        <v>44840.0</v>
      </c>
      <c r="K142" s="1">
        <v>0.0</v>
      </c>
      <c r="L142" s="1" t="s">
        <v>678</v>
      </c>
      <c r="M142" s="1" t="str">
        <f>VLOOKUP(L142,'Copy of PMD Workday Constants -'!B141:W827,22,false)</f>
        <v>Delivery</v>
      </c>
      <c r="N142" s="1" t="s">
        <v>32</v>
      </c>
      <c r="O142" s="1" t="s">
        <v>33</v>
      </c>
      <c r="P142" s="1" t="s">
        <v>210</v>
      </c>
      <c r="Q142" s="1" t="s">
        <v>210</v>
      </c>
      <c r="R142" s="1" t="s">
        <v>211</v>
      </c>
      <c r="S142" s="1" t="s">
        <v>416</v>
      </c>
      <c r="T142" s="1">
        <v>1.00609073E8</v>
      </c>
      <c r="W142" s="1" t="s">
        <v>56</v>
      </c>
      <c r="X142" s="1" t="s">
        <v>678</v>
      </c>
    </row>
    <row r="143">
      <c r="A143" s="1" t="s">
        <v>771</v>
      </c>
      <c r="B143" s="1" t="s">
        <v>772</v>
      </c>
      <c r="C143" s="1" t="s">
        <v>773</v>
      </c>
      <c r="D143" s="1" t="s">
        <v>103</v>
      </c>
      <c r="E143" s="1" t="s">
        <v>29</v>
      </c>
      <c r="F143" s="5">
        <v>5833000.0</v>
      </c>
      <c r="G143" s="1" t="s">
        <v>479</v>
      </c>
      <c r="H143" s="4">
        <v>44207.0</v>
      </c>
      <c r="I143" s="1" t="s">
        <v>104</v>
      </c>
      <c r="K143" s="1">
        <v>0.0</v>
      </c>
      <c r="L143" s="1" t="s">
        <v>774</v>
      </c>
      <c r="M143" s="1" t="str">
        <f>VLOOKUP(L143,'Copy of PMD Workday Constants -'!B112:Y798,22,false)</f>
        <v>#N/A</v>
      </c>
      <c r="N143" s="1" t="s">
        <v>32</v>
      </c>
      <c r="O143" s="1" t="s">
        <v>33</v>
      </c>
      <c r="P143" s="1" t="s">
        <v>222</v>
      </c>
      <c r="Q143" s="1" t="s">
        <v>222</v>
      </c>
      <c r="R143" s="1" t="s">
        <v>223</v>
      </c>
      <c r="S143" s="1" t="s">
        <v>482</v>
      </c>
      <c r="T143" s="1">
        <v>1.0058798E8</v>
      </c>
      <c r="W143" s="1" t="s">
        <v>37</v>
      </c>
      <c r="X143" s="1" t="s">
        <v>774</v>
      </c>
    </row>
    <row r="144">
      <c r="A144" s="1" t="s">
        <v>775</v>
      </c>
      <c r="B144" s="1" t="s">
        <v>776</v>
      </c>
      <c r="C144" s="1" t="s">
        <v>777</v>
      </c>
      <c r="D144" s="1" t="s">
        <v>103</v>
      </c>
      <c r="E144" s="1" t="s">
        <v>29</v>
      </c>
      <c r="F144" s="1">
        <v>5785000.0</v>
      </c>
      <c r="G144" s="1" t="s">
        <v>479</v>
      </c>
      <c r="H144" s="1" t="s">
        <v>778</v>
      </c>
      <c r="I144" s="4">
        <v>44872.0</v>
      </c>
      <c r="K144" s="1">
        <v>0.0</v>
      </c>
      <c r="L144" s="1" t="s">
        <v>779</v>
      </c>
      <c r="M144" s="1" t="str">
        <f>VLOOKUP(L144,'Copy of PMD Workday Constants -'!B143:W829,22,false)</f>
        <v>LCP</v>
      </c>
      <c r="N144" s="1" t="s">
        <v>32</v>
      </c>
      <c r="O144" s="1" t="s">
        <v>33</v>
      </c>
      <c r="P144" s="1" t="s">
        <v>222</v>
      </c>
      <c r="Q144" s="1" t="s">
        <v>222</v>
      </c>
      <c r="R144" s="1" t="s">
        <v>223</v>
      </c>
      <c r="S144" s="1" t="s">
        <v>701</v>
      </c>
      <c r="T144" s="1">
        <v>1.0061139E8</v>
      </c>
      <c r="U144" s="1" t="s">
        <v>780</v>
      </c>
      <c r="V144" s="1" t="s">
        <v>781</v>
      </c>
      <c r="W144" s="1" t="s">
        <v>74</v>
      </c>
      <c r="X144" s="1" t="s">
        <v>782</v>
      </c>
    </row>
    <row r="145">
      <c r="A145" s="1" t="s">
        <v>783</v>
      </c>
      <c r="B145" s="1" t="s">
        <v>403</v>
      </c>
      <c r="C145" s="1" t="s">
        <v>784</v>
      </c>
      <c r="D145" s="1" t="s">
        <v>103</v>
      </c>
      <c r="E145" s="1" t="s">
        <v>29</v>
      </c>
      <c r="F145" s="1">
        <v>5640000.0</v>
      </c>
      <c r="G145" s="1" t="s">
        <v>479</v>
      </c>
      <c r="H145" s="1" t="s">
        <v>785</v>
      </c>
      <c r="I145" s="4">
        <v>44872.0</v>
      </c>
      <c r="K145" s="1">
        <v>0.0</v>
      </c>
      <c r="L145" s="1" t="s">
        <v>407</v>
      </c>
      <c r="M145" s="1" t="str">
        <f>VLOOKUP(L145,'Copy of PMD Workday Constants -'!B144:W830,22,false)</f>
        <v>Delivery</v>
      </c>
      <c r="N145" s="1" t="s">
        <v>32</v>
      </c>
      <c r="O145" s="1" t="s">
        <v>33</v>
      </c>
      <c r="P145" s="1" t="s">
        <v>34</v>
      </c>
      <c r="Q145" s="1" t="s">
        <v>34</v>
      </c>
      <c r="R145" s="1" t="s">
        <v>35</v>
      </c>
      <c r="S145" s="1" t="s">
        <v>36</v>
      </c>
      <c r="T145" s="1">
        <v>1.0064407E8</v>
      </c>
      <c r="W145" s="1" t="s">
        <v>37</v>
      </c>
      <c r="X145" s="1" t="s">
        <v>407</v>
      </c>
    </row>
    <row r="146">
      <c r="A146" s="1" t="s">
        <v>786</v>
      </c>
      <c r="B146" s="1" t="s">
        <v>787</v>
      </c>
      <c r="C146" s="1" t="s">
        <v>788</v>
      </c>
      <c r="D146" s="1" t="s">
        <v>28</v>
      </c>
      <c r="E146" s="1" t="s">
        <v>29</v>
      </c>
      <c r="F146" s="1">
        <v>5500000.0</v>
      </c>
      <c r="G146" s="1" t="s">
        <v>479</v>
      </c>
      <c r="H146" s="1" t="s">
        <v>789</v>
      </c>
      <c r="I146" s="1" t="s">
        <v>302</v>
      </c>
      <c r="K146" s="1">
        <v>0.0</v>
      </c>
      <c r="L146" s="1" t="s">
        <v>790</v>
      </c>
      <c r="M146" s="1" t="str">
        <f>VLOOKUP(L146,'Copy of PMD Workday Constants -'!B145:W831,22,false)</f>
        <v>LCP</v>
      </c>
      <c r="N146" s="1" t="s">
        <v>32</v>
      </c>
      <c r="O146" s="1" t="s">
        <v>33</v>
      </c>
      <c r="P146" s="1" t="s">
        <v>64</v>
      </c>
      <c r="Q146" s="1" t="s">
        <v>64</v>
      </c>
      <c r="R146" s="1" t="s">
        <v>65</v>
      </c>
      <c r="S146" s="1" t="s">
        <v>791</v>
      </c>
      <c r="T146" s="1">
        <v>1.00661738E8</v>
      </c>
      <c r="U146" s="1" t="s">
        <v>792</v>
      </c>
      <c r="V146" s="1" t="s">
        <v>187</v>
      </c>
      <c r="W146" s="1" t="s">
        <v>456</v>
      </c>
      <c r="X146" s="1" t="s">
        <v>790</v>
      </c>
    </row>
    <row r="147">
      <c r="A147" s="1" t="s">
        <v>793</v>
      </c>
      <c r="B147" s="1" t="s">
        <v>40</v>
      </c>
      <c r="C147" s="1" t="s">
        <v>794</v>
      </c>
      <c r="D147" s="1" t="s">
        <v>28</v>
      </c>
      <c r="E147" s="1" t="s">
        <v>29</v>
      </c>
      <c r="F147" s="1">
        <v>5500000.0</v>
      </c>
      <c r="G147" s="1" t="s">
        <v>479</v>
      </c>
      <c r="H147" s="1" t="s">
        <v>795</v>
      </c>
      <c r="I147" s="4">
        <v>44568.0</v>
      </c>
      <c r="K147" s="1">
        <v>0.0</v>
      </c>
      <c r="L147" s="1" t="s">
        <v>796</v>
      </c>
      <c r="M147" s="1" t="str">
        <f>VLOOKUP(L147,'Copy of PMD Workday Constants -'!B146:W832,22,false)</f>
        <v>Catalyst</v>
      </c>
      <c r="N147" s="1" t="s">
        <v>32</v>
      </c>
      <c r="O147" s="1" t="s">
        <v>33</v>
      </c>
      <c r="P147" s="1" t="s">
        <v>54</v>
      </c>
      <c r="Q147" s="1" t="s">
        <v>54</v>
      </c>
      <c r="R147" s="1" t="s">
        <v>55</v>
      </c>
      <c r="S147" s="1" t="s">
        <v>285</v>
      </c>
      <c r="T147" s="1">
        <v>1.01077909E8</v>
      </c>
      <c r="U147" s="1" t="s">
        <v>797</v>
      </c>
      <c r="V147" s="1" t="s">
        <v>46</v>
      </c>
      <c r="W147" s="1" t="s">
        <v>47</v>
      </c>
      <c r="X147" s="1" t="s">
        <v>798</v>
      </c>
    </row>
    <row r="148">
      <c r="A148" s="1" t="s">
        <v>799</v>
      </c>
      <c r="B148" s="1" t="s">
        <v>800</v>
      </c>
      <c r="C148" s="1" t="s">
        <v>801</v>
      </c>
      <c r="D148" s="1" t="s">
        <v>79</v>
      </c>
      <c r="E148" s="1" t="s">
        <v>29</v>
      </c>
      <c r="F148" s="1">
        <v>5350000.0</v>
      </c>
      <c r="G148" s="1" t="s">
        <v>479</v>
      </c>
      <c r="H148" s="4">
        <v>44747.0</v>
      </c>
      <c r="I148" s="1" t="s">
        <v>96</v>
      </c>
      <c r="J148" s="6">
        <v>44900.25763888889</v>
      </c>
      <c r="K148" s="1">
        <v>0.0</v>
      </c>
      <c r="L148" s="1" t="s">
        <v>435</v>
      </c>
      <c r="M148" s="1" t="str">
        <f>VLOOKUP(L148,'Copy of PMD Workday Constants -'!B147:W833,22,false)</f>
        <v>Delivery</v>
      </c>
      <c r="N148" s="1" t="s">
        <v>32</v>
      </c>
      <c r="O148" s="1" t="s">
        <v>33</v>
      </c>
      <c r="P148" s="1" t="s">
        <v>64</v>
      </c>
      <c r="Q148" s="1" t="s">
        <v>64</v>
      </c>
      <c r="R148" s="1" t="s">
        <v>65</v>
      </c>
      <c r="S148" s="1" t="s">
        <v>98</v>
      </c>
      <c r="T148" s="1">
        <v>1.00653756E8</v>
      </c>
      <c r="W148" s="1" t="s">
        <v>56</v>
      </c>
      <c r="X148" s="1" t="s">
        <v>802</v>
      </c>
    </row>
    <row r="149">
      <c r="A149" s="1" t="s">
        <v>803</v>
      </c>
      <c r="B149" s="1" t="s">
        <v>804</v>
      </c>
      <c r="C149" s="1" t="s">
        <v>805</v>
      </c>
      <c r="D149" s="1" t="s">
        <v>51</v>
      </c>
      <c r="E149" s="1" t="s">
        <v>29</v>
      </c>
      <c r="F149" s="1">
        <v>5250000.0</v>
      </c>
      <c r="G149" s="1" t="s">
        <v>479</v>
      </c>
      <c r="H149" s="4">
        <v>44775.0</v>
      </c>
      <c r="I149" s="1" t="s">
        <v>43</v>
      </c>
      <c r="K149" s="1">
        <v>0.0</v>
      </c>
      <c r="L149" s="1" t="s">
        <v>806</v>
      </c>
      <c r="M149" s="1" t="str">
        <f>VLOOKUP(L149,'Copy of PMD Workday Constants -'!B148:W834,22,false)</f>
        <v>Delivery</v>
      </c>
      <c r="N149" s="1" t="s">
        <v>32</v>
      </c>
      <c r="O149" s="1" t="s">
        <v>33</v>
      </c>
      <c r="P149" s="1" t="s">
        <v>173</v>
      </c>
      <c r="Q149" s="1" t="s">
        <v>173</v>
      </c>
      <c r="R149" s="1" t="s">
        <v>174</v>
      </c>
      <c r="S149" s="1" t="s">
        <v>612</v>
      </c>
      <c r="T149" s="1">
        <v>1.00581784E8</v>
      </c>
      <c r="W149" s="1" t="s">
        <v>147</v>
      </c>
      <c r="X149" s="1" t="s">
        <v>806</v>
      </c>
    </row>
    <row r="150">
      <c r="A150" s="1" t="s">
        <v>807</v>
      </c>
      <c r="B150" s="1" t="s">
        <v>808</v>
      </c>
      <c r="C150" s="1" t="s">
        <v>809</v>
      </c>
      <c r="D150" s="1" t="s">
        <v>103</v>
      </c>
      <c r="E150" s="1" t="s">
        <v>29</v>
      </c>
      <c r="F150" s="1">
        <v>5200000.0</v>
      </c>
      <c r="G150" s="1" t="s">
        <v>479</v>
      </c>
      <c r="H150" s="4">
        <v>44292.0</v>
      </c>
      <c r="I150" s="1" t="s">
        <v>810</v>
      </c>
      <c r="K150" s="1">
        <v>0.0</v>
      </c>
      <c r="L150" s="1" t="s">
        <v>505</v>
      </c>
      <c r="M150" s="1" t="str">
        <f>VLOOKUP(L150,'Copy of PMD Workday Constants -'!B149:W835,22,false)</f>
        <v>LCP</v>
      </c>
      <c r="N150" s="1" t="s">
        <v>32</v>
      </c>
      <c r="O150" s="1" t="s">
        <v>33</v>
      </c>
      <c r="P150" s="1" t="s">
        <v>112</v>
      </c>
      <c r="Q150" s="1" t="s">
        <v>112</v>
      </c>
      <c r="R150" s="1" t="s">
        <v>113</v>
      </c>
      <c r="S150" s="1" t="s">
        <v>307</v>
      </c>
      <c r="T150" s="1">
        <v>1.0062347E8</v>
      </c>
      <c r="W150" s="1" t="s">
        <v>308</v>
      </c>
      <c r="X150" s="1" t="s">
        <v>505</v>
      </c>
    </row>
    <row r="151">
      <c r="A151" s="1" t="s">
        <v>811</v>
      </c>
      <c r="B151" s="1" t="s">
        <v>812</v>
      </c>
      <c r="C151" s="1" t="s">
        <v>813</v>
      </c>
      <c r="D151" s="1" t="s">
        <v>51</v>
      </c>
      <c r="E151" s="1" t="s">
        <v>29</v>
      </c>
      <c r="F151" s="1">
        <v>5100000.0</v>
      </c>
      <c r="G151" s="1" t="s">
        <v>479</v>
      </c>
      <c r="H151" s="1" t="s">
        <v>785</v>
      </c>
      <c r="I151" s="4">
        <v>44573.0</v>
      </c>
      <c r="K151" s="1">
        <v>0.0</v>
      </c>
      <c r="L151" s="1" t="s">
        <v>407</v>
      </c>
      <c r="M151" s="1" t="str">
        <f>VLOOKUP(L151,'Copy of PMD Workday Constants -'!B150:W836,22,false)</f>
        <v>Delivery</v>
      </c>
      <c r="N151" s="1" t="s">
        <v>32</v>
      </c>
      <c r="O151" s="1" t="s">
        <v>33</v>
      </c>
      <c r="P151" s="1" t="s">
        <v>34</v>
      </c>
      <c r="Q151" s="1" t="s">
        <v>34</v>
      </c>
      <c r="R151" s="1" t="s">
        <v>35</v>
      </c>
      <c r="S151" s="1" t="s">
        <v>36</v>
      </c>
      <c r="T151" s="1">
        <v>1.0064407E8</v>
      </c>
      <c r="W151" s="1" t="s">
        <v>37</v>
      </c>
      <c r="X151" s="1" t="s">
        <v>409</v>
      </c>
    </row>
    <row r="152">
      <c r="A152" s="1" t="s">
        <v>814</v>
      </c>
      <c r="B152" s="1" t="s">
        <v>772</v>
      </c>
      <c r="C152" s="1" t="s">
        <v>815</v>
      </c>
      <c r="D152" s="1" t="s">
        <v>103</v>
      </c>
      <c r="E152" s="1" t="s">
        <v>29</v>
      </c>
      <c r="F152" s="5">
        <v>5085000.0</v>
      </c>
      <c r="G152" s="1" t="s">
        <v>479</v>
      </c>
      <c r="H152" s="1" t="s">
        <v>816</v>
      </c>
      <c r="I152" s="4">
        <v>44568.0</v>
      </c>
      <c r="K152" s="1">
        <v>0.0</v>
      </c>
      <c r="L152" s="1" t="s">
        <v>774</v>
      </c>
      <c r="M152" s="1" t="str">
        <f>VLOOKUP(L152,'Copy of PMD Workday Constants -'!B121:Y807,22,false)</f>
        <v>#N/A</v>
      </c>
      <c r="N152" s="1" t="s">
        <v>32</v>
      </c>
      <c r="O152" s="1" t="s">
        <v>33</v>
      </c>
      <c r="P152" s="1" t="s">
        <v>222</v>
      </c>
      <c r="Q152" s="1" t="s">
        <v>222</v>
      </c>
      <c r="R152" s="1" t="s">
        <v>223</v>
      </c>
      <c r="T152" s="1">
        <v>1.0058798E8</v>
      </c>
      <c r="W152" s="1" t="s">
        <v>37</v>
      </c>
      <c r="X152" s="1" t="s">
        <v>817</v>
      </c>
    </row>
    <row r="153">
      <c r="A153" s="1" t="s">
        <v>818</v>
      </c>
      <c r="B153" s="1" t="s">
        <v>819</v>
      </c>
      <c r="C153" s="1" t="s">
        <v>820</v>
      </c>
      <c r="D153" s="1" t="s">
        <v>51</v>
      </c>
      <c r="E153" s="1" t="s">
        <v>29</v>
      </c>
      <c r="F153" s="5">
        <v>5070000.0</v>
      </c>
      <c r="G153" s="1" t="s">
        <v>479</v>
      </c>
      <c r="H153" s="4">
        <v>44839.0</v>
      </c>
      <c r="I153" s="4">
        <v>44567.0</v>
      </c>
      <c r="K153" s="1">
        <v>0.0</v>
      </c>
      <c r="L153" s="1" t="s">
        <v>821</v>
      </c>
      <c r="M153" s="1" t="str">
        <f>VLOOKUP(L153,'Copy of PMD Workday Constants -'!B122:Y808,22,false)</f>
        <v>#N/A</v>
      </c>
      <c r="N153" s="1" t="s">
        <v>32</v>
      </c>
      <c r="O153" s="1" t="s">
        <v>33</v>
      </c>
      <c r="P153" s="1" t="s">
        <v>210</v>
      </c>
      <c r="Q153" s="1" t="s">
        <v>210</v>
      </c>
      <c r="R153" s="1" t="s">
        <v>211</v>
      </c>
      <c r="T153" s="1">
        <v>1.00647674E8</v>
      </c>
      <c r="W153" s="1" t="s">
        <v>258</v>
      </c>
      <c r="X153" s="1" t="s">
        <v>822</v>
      </c>
    </row>
    <row r="154">
      <c r="A154" s="1" t="s">
        <v>823</v>
      </c>
      <c r="B154" s="1" t="s">
        <v>40</v>
      </c>
      <c r="C154" s="1" t="s">
        <v>824</v>
      </c>
      <c r="D154" s="1" t="s">
        <v>51</v>
      </c>
      <c r="E154" s="1" t="s">
        <v>29</v>
      </c>
      <c r="F154" s="1">
        <v>5050000.0</v>
      </c>
      <c r="G154" s="1" t="s">
        <v>479</v>
      </c>
      <c r="H154" s="1" t="s">
        <v>283</v>
      </c>
      <c r="I154" s="4">
        <v>44780.0</v>
      </c>
      <c r="K154" s="1">
        <v>0.0</v>
      </c>
      <c r="L154" s="1" t="s">
        <v>825</v>
      </c>
      <c r="M154" s="1" t="str">
        <f>VLOOKUP(L154,'Copy of PMD Workday Constants -'!B153:W839,22,false)</f>
        <v>LCP</v>
      </c>
      <c r="N154" s="1" t="s">
        <v>32</v>
      </c>
      <c r="O154" s="1" t="s">
        <v>33</v>
      </c>
      <c r="P154" s="1" t="s">
        <v>112</v>
      </c>
      <c r="Q154" s="1" t="s">
        <v>112</v>
      </c>
      <c r="R154" s="1" t="s">
        <v>113</v>
      </c>
      <c r="S154" s="1" t="s">
        <v>307</v>
      </c>
      <c r="T154" s="1">
        <v>1.00621664E8</v>
      </c>
      <c r="U154" s="1" t="s">
        <v>332</v>
      </c>
      <c r="V154" s="1" t="s">
        <v>46</v>
      </c>
      <c r="W154" s="1" t="s">
        <v>47</v>
      </c>
      <c r="X154" s="1" t="s">
        <v>826</v>
      </c>
    </row>
    <row r="155">
      <c r="A155" s="1" t="s">
        <v>827</v>
      </c>
      <c r="B155" s="1" t="s">
        <v>828</v>
      </c>
      <c r="C155" s="1" t="s">
        <v>829</v>
      </c>
      <c r="D155" s="1" t="s">
        <v>28</v>
      </c>
      <c r="E155" s="1" t="s">
        <v>29</v>
      </c>
      <c r="F155" s="1">
        <v>5000000.0</v>
      </c>
      <c r="G155" s="1" t="s">
        <v>479</v>
      </c>
      <c r="H155" s="1" t="s">
        <v>42</v>
      </c>
      <c r="I155" s="1" t="s">
        <v>43</v>
      </c>
      <c r="K155" s="1">
        <v>0.0</v>
      </c>
      <c r="L155" s="1" t="s">
        <v>830</v>
      </c>
      <c r="M155" s="1" t="str">
        <f>VLOOKUP(L155,'Copy of PMD Workday Constants -'!B154:W840,22,false)</f>
        <v>Delivery</v>
      </c>
      <c r="N155" s="1" t="s">
        <v>32</v>
      </c>
      <c r="O155" s="1" t="s">
        <v>33</v>
      </c>
      <c r="P155" s="1" t="s">
        <v>173</v>
      </c>
      <c r="Q155" s="1" t="s">
        <v>173</v>
      </c>
      <c r="R155" s="1" t="s">
        <v>174</v>
      </c>
      <c r="T155" s="1">
        <v>1.00584422E8</v>
      </c>
      <c r="W155" s="1" t="s">
        <v>147</v>
      </c>
      <c r="X155" s="1" t="s">
        <v>831</v>
      </c>
    </row>
    <row r="156">
      <c r="A156" s="1" t="s">
        <v>832</v>
      </c>
      <c r="B156" s="1" t="s">
        <v>833</v>
      </c>
      <c r="C156" s="1" t="s">
        <v>834</v>
      </c>
      <c r="D156" s="1" t="s">
        <v>51</v>
      </c>
      <c r="E156" s="1" t="s">
        <v>29</v>
      </c>
      <c r="F156" s="5">
        <v>5000000.0</v>
      </c>
      <c r="G156" s="1" t="s">
        <v>479</v>
      </c>
      <c r="H156" s="4">
        <v>44594.0</v>
      </c>
      <c r="I156" s="1" t="s">
        <v>191</v>
      </c>
      <c r="K156" s="1">
        <v>0.0</v>
      </c>
      <c r="L156" s="1" t="s">
        <v>835</v>
      </c>
      <c r="M156" s="1" t="str">
        <f>VLOOKUP(L156,'Copy of PMD Workday Constants -'!B125:Y811,22,false)</f>
        <v>#N/A</v>
      </c>
      <c r="N156" s="1" t="s">
        <v>32</v>
      </c>
      <c r="O156" s="1" t="s">
        <v>33</v>
      </c>
      <c r="P156" s="1" t="s">
        <v>173</v>
      </c>
      <c r="Q156" s="1" t="s">
        <v>173</v>
      </c>
      <c r="R156" s="1" t="s">
        <v>174</v>
      </c>
      <c r="S156" s="1" t="s">
        <v>612</v>
      </c>
      <c r="T156" s="1">
        <v>1.0115972E8</v>
      </c>
      <c r="W156" s="1" t="s">
        <v>140</v>
      </c>
      <c r="X156" s="1" t="s">
        <v>836</v>
      </c>
    </row>
    <row r="157">
      <c r="A157" s="1" t="s">
        <v>837</v>
      </c>
      <c r="B157" s="1" t="s">
        <v>833</v>
      </c>
      <c r="C157" s="1" t="s">
        <v>838</v>
      </c>
      <c r="D157" s="1" t="s">
        <v>28</v>
      </c>
      <c r="E157" s="1" t="s">
        <v>29</v>
      </c>
      <c r="F157" s="5">
        <v>5000000.0</v>
      </c>
      <c r="G157" s="1" t="s">
        <v>479</v>
      </c>
      <c r="H157" s="4">
        <v>44594.0</v>
      </c>
      <c r="I157" s="1" t="s">
        <v>191</v>
      </c>
      <c r="K157" s="1">
        <v>0.0</v>
      </c>
      <c r="L157" s="1" t="s">
        <v>835</v>
      </c>
      <c r="M157" s="1" t="str">
        <f>VLOOKUP(L157,'Copy of PMD Workday Constants -'!B126:Y812,22,false)</f>
        <v>#N/A</v>
      </c>
      <c r="N157" s="1" t="s">
        <v>32</v>
      </c>
      <c r="O157" s="1" t="s">
        <v>33</v>
      </c>
      <c r="P157" s="1" t="s">
        <v>173</v>
      </c>
      <c r="Q157" s="1" t="s">
        <v>173</v>
      </c>
      <c r="R157" s="1" t="s">
        <v>174</v>
      </c>
      <c r="S157" s="1" t="s">
        <v>612</v>
      </c>
      <c r="T157" s="1">
        <v>1.0115972E8</v>
      </c>
      <c r="W157" s="1" t="s">
        <v>140</v>
      </c>
      <c r="X157" s="1" t="s">
        <v>836</v>
      </c>
    </row>
    <row r="158">
      <c r="A158" s="1" t="s">
        <v>839</v>
      </c>
      <c r="B158" s="1" t="s">
        <v>840</v>
      </c>
      <c r="C158" s="1" t="s">
        <v>841</v>
      </c>
      <c r="D158" s="1" t="s">
        <v>103</v>
      </c>
      <c r="E158" s="1" t="s">
        <v>29</v>
      </c>
      <c r="F158" s="1">
        <v>5000000.0</v>
      </c>
      <c r="G158" s="1" t="s">
        <v>479</v>
      </c>
      <c r="H158" s="1" t="s">
        <v>842</v>
      </c>
      <c r="I158" s="1" t="s">
        <v>80</v>
      </c>
      <c r="K158" s="1">
        <v>0.0</v>
      </c>
      <c r="L158" s="1" t="s">
        <v>843</v>
      </c>
      <c r="M158" s="1" t="str">
        <f>VLOOKUP(L158,'Copy of PMD Workday Constants -'!B157:W843,22,false)</f>
        <v>Delivery</v>
      </c>
      <c r="N158" s="1" t="s">
        <v>32</v>
      </c>
      <c r="O158" s="1" t="s">
        <v>33</v>
      </c>
      <c r="P158" s="1" t="s">
        <v>173</v>
      </c>
      <c r="Q158" s="1" t="s">
        <v>173</v>
      </c>
      <c r="R158" s="1" t="s">
        <v>174</v>
      </c>
      <c r="S158" s="1" t="s">
        <v>612</v>
      </c>
      <c r="T158" s="1">
        <v>1.00655091E8</v>
      </c>
      <c r="W158" s="1" t="s">
        <v>147</v>
      </c>
      <c r="X158" s="1" t="s">
        <v>844</v>
      </c>
    </row>
    <row r="159">
      <c r="A159" s="1" t="s">
        <v>845</v>
      </c>
      <c r="B159" s="1" t="s">
        <v>489</v>
      </c>
      <c r="C159" s="1" t="s">
        <v>846</v>
      </c>
      <c r="D159" s="1" t="s">
        <v>103</v>
      </c>
      <c r="E159" s="1" t="s">
        <v>29</v>
      </c>
      <c r="F159" s="1">
        <v>5000000.0</v>
      </c>
      <c r="G159" s="1" t="s">
        <v>479</v>
      </c>
      <c r="H159" s="4">
        <v>44899.0</v>
      </c>
      <c r="I159" s="1" t="s">
        <v>104</v>
      </c>
      <c r="K159" s="1">
        <v>0.0</v>
      </c>
      <c r="L159" s="1" t="s">
        <v>847</v>
      </c>
      <c r="M159" s="1" t="str">
        <f>VLOOKUP(L159,'Copy of PMD Workday Constants -'!B158:W844,22,false)</f>
        <v>Delivery</v>
      </c>
      <c r="N159" s="1" t="s">
        <v>32</v>
      </c>
      <c r="O159" s="1" t="s">
        <v>33</v>
      </c>
      <c r="P159" s="1" t="s">
        <v>173</v>
      </c>
      <c r="Q159" s="1" t="s">
        <v>173</v>
      </c>
      <c r="R159" s="1" t="s">
        <v>174</v>
      </c>
      <c r="T159" s="1">
        <v>1.00586701E8</v>
      </c>
      <c r="W159" s="1" t="s">
        <v>493</v>
      </c>
      <c r="X159" s="1" t="s">
        <v>848</v>
      </c>
    </row>
    <row r="160">
      <c r="A160" s="1" t="s">
        <v>849</v>
      </c>
      <c r="B160" s="1" t="s">
        <v>289</v>
      </c>
      <c r="C160" s="1" t="s">
        <v>850</v>
      </c>
      <c r="D160" s="1" t="s">
        <v>28</v>
      </c>
      <c r="E160" s="1" t="s">
        <v>29</v>
      </c>
      <c r="F160" s="5">
        <v>5000000.0</v>
      </c>
      <c r="G160" s="1" t="s">
        <v>479</v>
      </c>
      <c r="H160" s="4">
        <v>44746.0</v>
      </c>
      <c r="I160" s="4">
        <v>44568.0</v>
      </c>
      <c r="K160" s="1">
        <v>0.0</v>
      </c>
      <c r="L160" s="1" t="s">
        <v>539</v>
      </c>
      <c r="M160" s="1" t="str">
        <f>VLOOKUP(L160,'Copy of PMD Workday Constants -'!B129:Y815,22,false)</f>
        <v>#N/A</v>
      </c>
      <c r="N160" s="1" t="s">
        <v>32</v>
      </c>
      <c r="O160" s="1" t="s">
        <v>33</v>
      </c>
      <c r="P160" s="1" t="s">
        <v>173</v>
      </c>
      <c r="Q160" s="1" t="s">
        <v>173</v>
      </c>
      <c r="R160" s="1" t="s">
        <v>174</v>
      </c>
      <c r="T160" s="1">
        <v>1.00586314E8</v>
      </c>
      <c r="U160" s="1" t="s">
        <v>851</v>
      </c>
      <c r="V160" s="1" t="s">
        <v>187</v>
      </c>
      <c r="W160" s="1" t="s">
        <v>74</v>
      </c>
      <c r="X160" s="1" t="s">
        <v>852</v>
      </c>
    </row>
    <row r="161">
      <c r="A161" s="1" t="s">
        <v>853</v>
      </c>
      <c r="B161" s="1" t="s">
        <v>489</v>
      </c>
      <c r="C161" s="1" t="s">
        <v>854</v>
      </c>
      <c r="D161" s="1" t="s">
        <v>28</v>
      </c>
      <c r="E161" s="1" t="s">
        <v>29</v>
      </c>
      <c r="F161" s="1">
        <v>5000000.0</v>
      </c>
      <c r="G161" s="1" t="s">
        <v>479</v>
      </c>
      <c r="H161" s="4">
        <v>44686.0</v>
      </c>
      <c r="I161" s="1" t="s">
        <v>575</v>
      </c>
      <c r="K161" s="1">
        <v>0.0</v>
      </c>
      <c r="L161" s="1" t="s">
        <v>847</v>
      </c>
      <c r="M161" s="1" t="str">
        <f>VLOOKUP(L161,'Copy of PMD Workday Constants -'!B160:W846,22,false)</f>
        <v>Delivery</v>
      </c>
      <c r="N161" s="1" t="s">
        <v>32</v>
      </c>
      <c r="O161" s="1" t="s">
        <v>33</v>
      </c>
      <c r="P161" s="1" t="s">
        <v>173</v>
      </c>
      <c r="Q161" s="1" t="s">
        <v>173</v>
      </c>
      <c r="R161" s="1" t="s">
        <v>174</v>
      </c>
      <c r="T161" s="1">
        <v>1.00586701E8</v>
      </c>
      <c r="W161" s="1" t="s">
        <v>493</v>
      </c>
      <c r="X161" s="1" t="s">
        <v>848</v>
      </c>
    </row>
    <row r="162">
      <c r="A162" s="1" t="s">
        <v>855</v>
      </c>
      <c r="B162" s="1" t="s">
        <v>673</v>
      </c>
      <c r="C162" s="1" t="s">
        <v>856</v>
      </c>
      <c r="D162" s="1" t="s">
        <v>28</v>
      </c>
      <c r="E162" s="1" t="s">
        <v>29</v>
      </c>
      <c r="F162" s="1">
        <v>5000000.0</v>
      </c>
      <c r="G162" s="1" t="s">
        <v>479</v>
      </c>
      <c r="H162" s="1" t="s">
        <v>375</v>
      </c>
      <c r="I162" s="4">
        <v>44693.0</v>
      </c>
      <c r="K162" s="1">
        <v>0.0</v>
      </c>
      <c r="L162" s="1" t="s">
        <v>505</v>
      </c>
      <c r="M162" s="1" t="str">
        <f>VLOOKUP(L162,'Copy of PMD Workday Constants -'!B161:W847,22,false)</f>
        <v>LCP</v>
      </c>
      <c r="N162" s="1" t="s">
        <v>32</v>
      </c>
      <c r="O162" s="1" t="s">
        <v>33</v>
      </c>
      <c r="P162" s="1" t="s">
        <v>112</v>
      </c>
      <c r="Q162" s="1" t="s">
        <v>112</v>
      </c>
      <c r="R162" s="1" t="s">
        <v>113</v>
      </c>
      <c r="S162" s="1" t="s">
        <v>73</v>
      </c>
      <c r="T162" s="1">
        <v>1.0062347E8</v>
      </c>
      <c r="W162" s="1" t="s">
        <v>47</v>
      </c>
      <c r="X162" s="1" t="s">
        <v>857</v>
      </c>
    </row>
    <row r="163">
      <c r="A163" s="1" t="s">
        <v>858</v>
      </c>
      <c r="B163" s="1" t="s">
        <v>859</v>
      </c>
      <c r="C163" s="1" t="s">
        <v>860</v>
      </c>
      <c r="D163" s="1" t="s">
        <v>28</v>
      </c>
      <c r="E163" s="1" t="s">
        <v>29</v>
      </c>
      <c r="F163" s="5">
        <v>5000000.0</v>
      </c>
      <c r="G163" s="1" t="s">
        <v>479</v>
      </c>
      <c r="H163" s="4">
        <v>44594.0</v>
      </c>
      <c r="I163" s="1" t="s">
        <v>861</v>
      </c>
      <c r="K163" s="1">
        <v>0.0</v>
      </c>
      <c r="L163" s="1" t="s">
        <v>557</v>
      </c>
      <c r="M163" s="1" t="str">
        <f>VLOOKUP(L163,'Copy of PMD Workday Constants -'!B132:Y818,22,false)</f>
        <v>#N/A</v>
      </c>
      <c r="N163" s="1" t="s">
        <v>32</v>
      </c>
      <c r="O163" s="1" t="s">
        <v>33</v>
      </c>
      <c r="P163" s="1" t="s">
        <v>173</v>
      </c>
      <c r="Q163" s="1" t="s">
        <v>173</v>
      </c>
      <c r="R163" s="1" t="s">
        <v>174</v>
      </c>
      <c r="S163" s="1" t="s">
        <v>612</v>
      </c>
      <c r="T163" s="1">
        <v>1.00700761E8</v>
      </c>
      <c r="W163" s="1" t="s">
        <v>147</v>
      </c>
      <c r="X163" s="1" t="s">
        <v>831</v>
      </c>
    </row>
    <row r="164">
      <c r="A164" s="1" t="s">
        <v>862</v>
      </c>
      <c r="B164" s="1" t="s">
        <v>863</v>
      </c>
      <c r="C164" s="1" t="s">
        <v>864</v>
      </c>
      <c r="D164" s="1" t="s">
        <v>79</v>
      </c>
      <c r="E164" s="1" t="s">
        <v>29</v>
      </c>
      <c r="F164" s="1">
        <v>5000000.0</v>
      </c>
      <c r="G164" s="1" t="s">
        <v>479</v>
      </c>
      <c r="H164" s="1" t="s">
        <v>865</v>
      </c>
      <c r="I164" s="4">
        <v>44568.0</v>
      </c>
      <c r="K164" s="1">
        <v>0.0</v>
      </c>
      <c r="L164" s="1" t="s">
        <v>866</v>
      </c>
      <c r="M164" s="1" t="str">
        <f>VLOOKUP(L164,'Copy of PMD Workday Constants -'!B163:W849,22,false)</f>
        <v>LCP</v>
      </c>
      <c r="N164" s="1" t="s">
        <v>32</v>
      </c>
      <c r="O164" s="1" t="s">
        <v>33</v>
      </c>
      <c r="P164" s="1" t="s">
        <v>82</v>
      </c>
      <c r="Q164" s="1" t="s">
        <v>82</v>
      </c>
      <c r="R164" s="1" t="s">
        <v>83</v>
      </c>
      <c r="S164" s="1" t="s">
        <v>84</v>
      </c>
      <c r="T164" s="1">
        <v>1.00941744E8</v>
      </c>
      <c r="W164" s="1" t="s">
        <v>85</v>
      </c>
      <c r="X164" s="1" t="s">
        <v>866</v>
      </c>
    </row>
    <row r="165">
      <c r="A165" s="1" t="s">
        <v>867</v>
      </c>
      <c r="B165" s="1" t="s">
        <v>868</v>
      </c>
      <c r="C165" s="1" t="s">
        <v>869</v>
      </c>
      <c r="D165" s="1" t="s">
        <v>103</v>
      </c>
      <c r="E165" s="1" t="s">
        <v>29</v>
      </c>
      <c r="F165" s="1">
        <v>5000000.0</v>
      </c>
      <c r="G165" s="1" t="s">
        <v>479</v>
      </c>
      <c r="H165" s="1" t="s">
        <v>870</v>
      </c>
      <c r="I165" s="1" t="s">
        <v>80</v>
      </c>
      <c r="K165" s="1">
        <v>0.0</v>
      </c>
      <c r="L165" s="1" t="s">
        <v>871</v>
      </c>
      <c r="M165" s="1" t="str">
        <f>VLOOKUP(L165,'Copy of PMD Workday Constants -'!B164:W850,22,false)</f>
        <v>LCP</v>
      </c>
      <c r="N165" s="1" t="s">
        <v>32</v>
      </c>
      <c r="O165" s="1" t="s">
        <v>33</v>
      </c>
      <c r="P165" s="1" t="s">
        <v>64</v>
      </c>
      <c r="Q165" s="1" t="s">
        <v>64</v>
      </c>
      <c r="R165" s="1" t="s">
        <v>65</v>
      </c>
      <c r="T165" s="1">
        <v>1.00653785E8</v>
      </c>
      <c r="W165" s="1" t="s">
        <v>287</v>
      </c>
      <c r="X165" s="1" t="s">
        <v>872</v>
      </c>
    </row>
    <row r="166">
      <c r="A166" s="1" t="s">
        <v>873</v>
      </c>
      <c r="B166" s="1" t="s">
        <v>253</v>
      </c>
      <c r="C166" s="1" t="s">
        <v>874</v>
      </c>
      <c r="D166" s="1" t="s">
        <v>28</v>
      </c>
      <c r="E166" s="1" t="s">
        <v>29</v>
      </c>
      <c r="F166" s="5">
        <v>5000000.0</v>
      </c>
      <c r="G166" s="1" t="s">
        <v>479</v>
      </c>
      <c r="H166" s="1" t="s">
        <v>208</v>
      </c>
      <c r="I166" s="1" t="s">
        <v>875</v>
      </c>
      <c r="K166" s="1">
        <v>0.0</v>
      </c>
      <c r="L166" s="1" t="s">
        <v>255</v>
      </c>
      <c r="M166" s="1" t="str">
        <f>VLOOKUP(L166,'Copy of PMD Workday Constants -'!B135:Y821,22,false)</f>
        <v>#N/A</v>
      </c>
      <c r="N166" s="1" t="s">
        <v>32</v>
      </c>
      <c r="O166" s="1" t="s">
        <v>33</v>
      </c>
      <c r="P166" s="1" t="s">
        <v>112</v>
      </c>
      <c r="Q166" s="1" t="s">
        <v>112</v>
      </c>
      <c r="R166" s="1" t="s">
        <v>113</v>
      </c>
      <c r="S166" s="1" t="s">
        <v>256</v>
      </c>
      <c r="T166" s="1">
        <v>1.00659114E8</v>
      </c>
      <c r="W166" s="1" t="s">
        <v>258</v>
      </c>
      <c r="X166" s="1" t="s">
        <v>259</v>
      </c>
    </row>
    <row r="167">
      <c r="A167" s="1" t="s">
        <v>876</v>
      </c>
      <c r="B167" s="1" t="s">
        <v>877</v>
      </c>
      <c r="C167" s="1" t="s">
        <v>196</v>
      </c>
      <c r="D167" s="1" t="s">
        <v>28</v>
      </c>
      <c r="E167" s="1" t="s">
        <v>29</v>
      </c>
      <c r="F167" s="5">
        <v>5000000.0</v>
      </c>
      <c r="G167" s="1" t="s">
        <v>479</v>
      </c>
      <c r="H167" s="1" t="s">
        <v>197</v>
      </c>
      <c r="I167" s="1" t="s">
        <v>104</v>
      </c>
      <c r="K167" s="1">
        <v>0.0</v>
      </c>
      <c r="L167" s="1" t="s">
        <v>198</v>
      </c>
      <c r="M167" s="1" t="str">
        <f>VLOOKUP(L167,'Copy of PMD Workday Constants -'!B136:Y822,22,false)</f>
        <v>#N/A</v>
      </c>
      <c r="N167" s="1" t="s">
        <v>32</v>
      </c>
      <c r="O167" s="1" t="s">
        <v>33</v>
      </c>
      <c r="P167" s="1" t="s">
        <v>82</v>
      </c>
      <c r="Q167" s="1" t="s">
        <v>82</v>
      </c>
      <c r="R167" s="1" t="s">
        <v>83</v>
      </c>
      <c r="S167" s="1" t="s">
        <v>180</v>
      </c>
      <c r="T167" s="1">
        <v>1.00590896E8</v>
      </c>
      <c r="W167" s="1" t="s">
        <v>85</v>
      </c>
      <c r="X167" s="1" t="s">
        <v>199</v>
      </c>
    </row>
    <row r="168">
      <c r="A168" s="1" t="s">
        <v>878</v>
      </c>
      <c r="B168" s="1" t="s">
        <v>879</v>
      </c>
      <c r="C168" s="1" t="s">
        <v>880</v>
      </c>
      <c r="D168" s="1" t="s">
        <v>28</v>
      </c>
      <c r="E168" s="1" t="s">
        <v>29</v>
      </c>
      <c r="F168" s="1">
        <v>5000000.0</v>
      </c>
      <c r="G168" s="1" t="s">
        <v>479</v>
      </c>
      <c r="H168" s="4">
        <v>44445.0</v>
      </c>
      <c r="I168" s="1" t="s">
        <v>661</v>
      </c>
      <c r="K168" s="1">
        <v>0.0</v>
      </c>
      <c r="L168" s="1" t="s">
        <v>415</v>
      </c>
      <c r="M168" s="1" t="str">
        <f>VLOOKUP(L168,'Copy of PMD Workday Constants -'!B167:W853,22,false)</f>
        <v>LCP</v>
      </c>
      <c r="N168" s="1" t="s">
        <v>32</v>
      </c>
      <c r="O168" s="1" t="s">
        <v>33</v>
      </c>
      <c r="P168" s="1" t="s">
        <v>210</v>
      </c>
      <c r="Q168" s="1" t="s">
        <v>210</v>
      </c>
      <c r="R168" s="1" t="s">
        <v>211</v>
      </c>
      <c r="T168" s="1">
        <v>1.00650375E8</v>
      </c>
      <c r="W168" s="1" t="s">
        <v>37</v>
      </c>
      <c r="X168" s="1" t="s">
        <v>881</v>
      </c>
    </row>
    <row r="169">
      <c r="A169" s="1" t="s">
        <v>882</v>
      </c>
      <c r="B169" s="1" t="s">
        <v>883</v>
      </c>
      <c r="C169" s="1" t="s">
        <v>884</v>
      </c>
      <c r="D169" s="1" t="s">
        <v>28</v>
      </c>
      <c r="E169" s="1" t="s">
        <v>29</v>
      </c>
      <c r="F169" s="1">
        <v>5000000.0</v>
      </c>
      <c r="G169" s="1" t="s">
        <v>479</v>
      </c>
      <c r="H169" s="4">
        <v>44017.0</v>
      </c>
      <c r="I169" s="1" t="s">
        <v>414</v>
      </c>
      <c r="K169" s="1">
        <v>0.0</v>
      </c>
      <c r="L169" s="1" t="s">
        <v>415</v>
      </c>
      <c r="M169" s="1" t="str">
        <f>VLOOKUP(L169,'Copy of PMD Workday Constants -'!B168:W854,22,false)</f>
        <v>LCP</v>
      </c>
      <c r="N169" s="1" t="s">
        <v>32</v>
      </c>
      <c r="O169" s="1" t="s">
        <v>33</v>
      </c>
      <c r="P169" s="1" t="s">
        <v>210</v>
      </c>
      <c r="Q169" s="1" t="s">
        <v>210</v>
      </c>
      <c r="R169" s="1" t="s">
        <v>211</v>
      </c>
      <c r="S169" s="1" t="s">
        <v>307</v>
      </c>
      <c r="T169" s="1">
        <v>1.00650375E8</v>
      </c>
      <c r="W169" s="1" t="s">
        <v>47</v>
      </c>
      <c r="X169" s="1" t="s">
        <v>415</v>
      </c>
    </row>
    <row r="170">
      <c r="A170" s="1" t="s">
        <v>885</v>
      </c>
      <c r="B170" s="1" t="s">
        <v>886</v>
      </c>
      <c r="C170" s="1" t="s">
        <v>887</v>
      </c>
      <c r="D170" s="1" t="s">
        <v>51</v>
      </c>
      <c r="E170" s="1" t="s">
        <v>29</v>
      </c>
      <c r="F170" s="1">
        <v>5000000.0</v>
      </c>
      <c r="G170" s="1" t="s">
        <v>479</v>
      </c>
      <c r="H170" s="1" t="s">
        <v>888</v>
      </c>
      <c r="I170" s="1" t="s">
        <v>889</v>
      </c>
      <c r="K170" s="1">
        <v>0.0</v>
      </c>
      <c r="L170" s="1" t="s">
        <v>415</v>
      </c>
      <c r="M170" s="1" t="str">
        <f>VLOOKUP(L170,'Copy of PMD Workday Constants -'!B169:W855,22,false)</f>
        <v>LCP</v>
      </c>
      <c r="N170" s="1" t="s">
        <v>32</v>
      </c>
      <c r="O170" s="1" t="s">
        <v>33</v>
      </c>
      <c r="P170" s="1" t="s">
        <v>210</v>
      </c>
      <c r="Q170" s="1" t="s">
        <v>210</v>
      </c>
      <c r="R170" s="1" t="s">
        <v>211</v>
      </c>
      <c r="S170" s="1" t="s">
        <v>180</v>
      </c>
      <c r="T170" s="1">
        <v>1.00650375E8</v>
      </c>
      <c r="V170" s="1" t="s">
        <v>781</v>
      </c>
      <c r="W170" s="1" t="s">
        <v>85</v>
      </c>
      <c r="X170" s="1" t="s">
        <v>415</v>
      </c>
    </row>
    <row r="171">
      <c r="A171" s="1" t="s">
        <v>890</v>
      </c>
      <c r="B171" s="1" t="s">
        <v>891</v>
      </c>
      <c r="C171" s="1" t="s">
        <v>892</v>
      </c>
      <c r="D171" s="1" t="s">
        <v>28</v>
      </c>
      <c r="E171" s="1" t="s">
        <v>29</v>
      </c>
      <c r="F171" s="1">
        <v>5000000.0</v>
      </c>
      <c r="G171" s="1" t="s">
        <v>479</v>
      </c>
      <c r="H171" s="1" t="s">
        <v>283</v>
      </c>
      <c r="I171" s="4">
        <v>44988.0</v>
      </c>
      <c r="K171" s="1">
        <v>0.0</v>
      </c>
      <c r="L171" s="1" t="s">
        <v>893</v>
      </c>
      <c r="M171" s="1" t="str">
        <f>VLOOKUP(L171,'Copy of PMD Workday Constants -'!B170:W856,22,false)</f>
        <v>Catalyst</v>
      </c>
      <c r="N171" s="1" t="s">
        <v>32</v>
      </c>
      <c r="O171" s="1" t="s">
        <v>33</v>
      </c>
      <c r="P171" s="1" t="s">
        <v>82</v>
      </c>
      <c r="Q171" s="1" t="s">
        <v>82</v>
      </c>
      <c r="R171" s="1" t="s">
        <v>83</v>
      </c>
      <c r="T171" s="1">
        <v>1.0112897E8</v>
      </c>
      <c r="W171" s="1" t="s">
        <v>85</v>
      </c>
      <c r="X171" s="1" t="s">
        <v>894</v>
      </c>
    </row>
    <row r="172">
      <c r="A172" s="1" t="s">
        <v>895</v>
      </c>
      <c r="B172" s="1" t="s">
        <v>896</v>
      </c>
      <c r="C172" s="1" t="s">
        <v>897</v>
      </c>
      <c r="D172" s="1" t="s">
        <v>28</v>
      </c>
      <c r="E172" s="1" t="s">
        <v>29</v>
      </c>
      <c r="F172" s="1">
        <v>5000000.0</v>
      </c>
      <c r="G172" s="1" t="s">
        <v>479</v>
      </c>
      <c r="H172" s="1" t="s">
        <v>283</v>
      </c>
      <c r="I172" s="1" t="s">
        <v>406</v>
      </c>
      <c r="K172" s="1">
        <v>0.0</v>
      </c>
      <c r="L172" s="1" t="s">
        <v>894</v>
      </c>
      <c r="M172" s="1" t="str">
        <f>VLOOKUP(L172,'Copy of PMD Workday Constants -'!B171:W857,22,false)</f>
        <v>Catalyst</v>
      </c>
      <c r="N172" s="1" t="s">
        <v>32</v>
      </c>
      <c r="O172" s="1" t="s">
        <v>33</v>
      </c>
      <c r="P172" s="1" t="s">
        <v>82</v>
      </c>
      <c r="Q172" s="1" t="s">
        <v>82</v>
      </c>
      <c r="R172" s="1" t="s">
        <v>83</v>
      </c>
      <c r="S172" s="1" t="s">
        <v>180</v>
      </c>
      <c r="T172" s="1">
        <v>1.01033479E8</v>
      </c>
      <c r="W172" s="1" t="s">
        <v>115</v>
      </c>
      <c r="X172" s="1" t="s">
        <v>894</v>
      </c>
    </row>
    <row r="173">
      <c r="A173" s="1" t="s">
        <v>898</v>
      </c>
      <c r="B173" s="1" t="s">
        <v>899</v>
      </c>
      <c r="C173" s="1" t="s">
        <v>900</v>
      </c>
      <c r="D173" s="1" t="s">
        <v>28</v>
      </c>
      <c r="E173" s="1" t="s">
        <v>29</v>
      </c>
      <c r="F173" s="1">
        <v>5000000.0</v>
      </c>
      <c r="G173" s="1" t="s">
        <v>479</v>
      </c>
      <c r="H173" s="1" t="s">
        <v>283</v>
      </c>
      <c r="I173" s="1" t="s">
        <v>901</v>
      </c>
      <c r="K173" s="1">
        <v>0.0</v>
      </c>
      <c r="L173" s="1" t="s">
        <v>893</v>
      </c>
      <c r="M173" s="1" t="str">
        <f>VLOOKUP(L173,'Copy of PMD Workday Constants -'!B172:W858,22,false)</f>
        <v>Catalyst</v>
      </c>
      <c r="N173" s="1" t="s">
        <v>32</v>
      </c>
      <c r="O173" s="1" t="s">
        <v>33</v>
      </c>
      <c r="P173" s="1" t="s">
        <v>82</v>
      </c>
      <c r="Q173" s="1" t="s">
        <v>82</v>
      </c>
      <c r="R173" s="1" t="s">
        <v>83</v>
      </c>
      <c r="T173" s="1">
        <v>1.0112897E8</v>
      </c>
      <c r="W173" s="1" t="s">
        <v>258</v>
      </c>
      <c r="X173" s="1" t="s">
        <v>894</v>
      </c>
    </row>
    <row r="174">
      <c r="A174" s="1" t="s">
        <v>902</v>
      </c>
      <c r="B174" s="1" t="s">
        <v>903</v>
      </c>
      <c r="C174" s="1" t="s">
        <v>904</v>
      </c>
      <c r="D174" s="1" t="s">
        <v>28</v>
      </c>
      <c r="E174" s="1" t="s">
        <v>29</v>
      </c>
      <c r="F174" s="1">
        <v>5000000.0</v>
      </c>
      <c r="G174" s="1" t="s">
        <v>479</v>
      </c>
      <c r="H174" s="1" t="s">
        <v>283</v>
      </c>
      <c r="I174" s="1" t="s">
        <v>905</v>
      </c>
      <c r="K174" s="1">
        <v>0.0</v>
      </c>
      <c r="L174" s="1" t="s">
        <v>893</v>
      </c>
      <c r="M174" s="1" t="str">
        <f>VLOOKUP(L174,'Copy of PMD Workday Constants -'!B173:W859,22,false)</f>
        <v>Catalyst</v>
      </c>
      <c r="N174" s="1" t="s">
        <v>32</v>
      </c>
      <c r="O174" s="1" t="s">
        <v>33</v>
      </c>
      <c r="P174" s="1" t="s">
        <v>82</v>
      </c>
      <c r="Q174" s="1" t="s">
        <v>82</v>
      </c>
      <c r="R174" s="1" t="s">
        <v>83</v>
      </c>
      <c r="T174" s="1">
        <v>1.0112897E8</v>
      </c>
      <c r="W174" s="1" t="s">
        <v>85</v>
      </c>
      <c r="X174" s="1" t="s">
        <v>894</v>
      </c>
    </row>
    <row r="175">
      <c r="A175" s="1" t="s">
        <v>906</v>
      </c>
      <c r="B175" s="1" t="s">
        <v>907</v>
      </c>
      <c r="C175" s="1" t="s">
        <v>908</v>
      </c>
      <c r="D175" s="1" t="s">
        <v>28</v>
      </c>
      <c r="E175" s="1" t="s">
        <v>29</v>
      </c>
      <c r="F175" s="1">
        <v>5000000.0</v>
      </c>
      <c r="G175" s="1" t="s">
        <v>479</v>
      </c>
      <c r="H175" s="4">
        <v>44447.0</v>
      </c>
      <c r="I175" s="1" t="s">
        <v>217</v>
      </c>
      <c r="K175" s="1">
        <v>0.0</v>
      </c>
      <c r="L175" s="1" t="s">
        <v>909</v>
      </c>
      <c r="M175" s="1" t="str">
        <f>VLOOKUP(L175,'Copy of PMD Workday Constants -'!B174:W860,22,false)</f>
        <v>Delivery</v>
      </c>
      <c r="N175" s="1" t="s">
        <v>32</v>
      </c>
      <c r="O175" s="1" t="s">
        <v>33</v>
      </c>
      <c r="P175" s="1" t="s">
        <v>82</v>
      </c>
      <c r="Q175" s="1" t="s">
        <v>82</v>
      </c>
      <c r="R175" s="1" t="s">
        <v>83</v>
      </c>
      <c r="S175" s="1" t="s">
        <v>84</v>
      </c>
      <c r="T175" s="1">
        <v>1.00649698E8</v>
      </c>
      <c r="W175" s="1" t="s">
        <v>140</v>
      </c>
      <c r="X175" s="1" t="s">
        <v>910</v>
      </c>
    </row>
    <row r="176">
      <c r="A176" s="1" t="s">
        <v>911</v>
      </c>
      <c r="B176" s="1" t="s">
        <v>485</v>
      </c>
      <c r="C176" s="1" t="s">
        <v>196</v>
      </c>
      <c r="D176" s="1" t="s">
        <v>28</v>
      </c>
      <c r="E176" s="1" t="s">
        <v>29</v>
      </c>
      <c r="F176" s="5">
        <v>5000000.0</v>
      </c>
      <c r="G176" s="1" t="s">
        <v>479</v>
      </c>
      <c r="H176" s="1" t="s">
        <v>197</v>
      </c>
      <c r="I176" s="1" t="s">
        <v>104</v>
      </c>
      <c r="K176" s="1">
        <v>0.0</v>
      </c>
      <c r="L176" s="1" t="s">
        <v>198</v>
      </c>
      <c r="M176" s="1" t="str">
        <f>VLOOKUP(L176,'Copy of PMD Workday Constants -'!B145:Y831,22,false)</f>
        <v>#N/A</v>
      </c>
      <c r="N176" s="1" t="s">
        <v>32</v>
      </c>
      <c r="O176" s="1" t="s">
        <v>33</v>
      </c>
      <c r="P176" s="1" t="s">
        <v>82</v>
      </c>
      <c r="Q176" s="1" t="s">
        <v>82</v>
      </c>
      <c r="R176" s="1" t="s">
        <v>83</v>
      </c>
      <c r="S176" s="1" t="s">
        <v>180</v>
      </c>
      <c r="T176" s="1">
        <v>1.00590896E8</v>
      </c>
      <c r="W176" s="1" t="s">
        <v>85</v>
      </c>
      <c r="X176" s="1" t="s">
        <v>199</v>
      </c>
    </row>
    <row r="177">
      <c r="A177" s="1" t="s">
        <v>912</v>
      </c>
      <c r="B177" s="1" t="s">
        <v>913</v>
      </c>
      <c r="C177" s="1" t="s">
        <v>914</v>
      </c>
      <c r="D177" s="1" t="s">
        <v>28</v>
      </c>
      <c r="E177" s="1" t="s">
        <v>29</v>
      </c>
      <c r="F177" s="1">
        <v>5000000.0</v>
      </c>
      <c r="G177" s="1" t="s">
        <v>479</v>
      </c>
      <c r="H177" s="4">
        <v>44450.0</v>
      </c>
      <c r="I177" s="1" t="s">
        <v>132</v>
      </c>
      <c r="K177" s="1">
        <v>0.0</v>
      </c>
      <c r="L177" s="1" t="s">
        <v>915</v>
      </c>
      <c r="M177" s="1" t="str">
        <f>VLOOKUP(L177,'Copy of PMD Workday Constants -'!B176:W862,22,false)</f>
        <v>LCP</v>
      </c>
      <c r="N177" s="1" t="s">
        <v>32</v>
      </c>
      <c r="O177" s="1" t="s">
        <v>33</v>
      </c>
      <c r="P177" s="1" t="s">
        <v>112</v>
      </c>
      <c r="Q177" s="1" t="s">
        <v>112</v>
      </c>
      <c r="R177" s="1" t="s">
        <v>113</v>
      </c>
      <c r="S177" s="1" t="s">
        <v>84</v>
      </c>
      <c r="T177" s="1">
        <v>1.00592304E8</v>
      </c>
      <c r="W177" s="1" t="s">
        <v>85</v>
      </c>
      <c r="X177" s="1" t="s">
        <v>916</v>
      </c>
    </row>
    <row r="178">
      <c r="A178" s="1" t="s">
        <v>917</v>
      </c>
      <c r="B178" s="1" t="s">
        <v>918</v>
      </c>
      <c r="C178" s="1" t="s">
        <v>919</v>
      </c>
      <c r="D178" s="1" t="s">
        <v>28</v>
      </c>
      <c r="E178" s="1" t="s">
        <v>29</v>
      </c>
      <c r="F178" s="1">
        <v>5000000.0</v>
      </c>
      <c r="G178" s="1" t="s">
        <v>479</v>
      </c>
      <c r="H178" s="1" t="s">
        <v>920</v>
      </c>
      <c r="I178" s="1" t="s">
        <v>80</v>
      </c>
      <c r="K178" s="1">
        <v>0.0</v>
      </c>
      <c r="L178" s="1" t="s">
        <v>461</v>
      </c>
      <c r="M178" s="1" t="str">
        <f>VLOOKUP(L178,'Copy of PMD Workday Constants -'!B177:W863,22,false)</f>
        <v>Delivery</v>
      </c>
      <c r="N178" s="1" t="s">
        <v>32</v>
      </c>
      <c r="O178" s="1" t="s">
        <v>33</v>
      </c>
      <c r="P178" s="1" t="s">
        <v>210</v>
      </c>
      <c r="Q178" s="1" t="s">
        <v>210</v>
      </c>
      <c r="R178" s="1" t="s">
        <v>211</v>
      </c>
      <c r="S178" s="1" t="s">
        <v>416</v>
      </c>
      <c r="T178" s="1">
        <v>1.00652846E8</v>
      </c>
      <c r="W178" s="1" t="s">
        <v>56</v>
      </c>
      <c r="X178" s="1" t="s">
        <v>921</v>
      </c>
    </row>
    <row r="179">
      <c r="A179" s="1" t="s">
        <v>922</v>
      </c>
      <c r="B179" s="1" t="s">
        <v>923</v>
      </c>
      <c r="C179" s="1" t="s">
        <v>924</v>
      </c>
      <c r="D179" s="1" t="s">
        <v>51</v>
      </c>
      <c r="E179" s="1" t="s">
        <v>29</v>
      </c>
      <c r="F179" s="1">
        <v>5000000.0</v>
      </c>
      <c r="G179" s="1" t="s">
        <v>479</v>
      </c>
      <c r="H179" s="1" t="s">
        <v>131</v>
      </c>
      <c r="I179" s="1" t="s">
        <v>152</v>
      </c>
      <c r="K179" s="1">
        <v>0.0</v>
      </c>
      <c r="L179" s="1" t="s">
        <v>203</v>
      </c>
      <c r="M179" s="1" t="str">
        <f>VLOOKUP(L179,'Copy of PMD Workday Constants -'!B178:W864,22,false)</f>
        <v>Catalyst</v>
      </c>
      <c r="N179" s="1" t="s">
        <v>32</v>
      </c>
      <c r="O179" s="1" t="s">
        <v>33</v>
      </c>
      <c r="P179" s="1" t="s">
        <v>112</v>
      </c>
      <c r="Q179" s="1" t="s">
        <v>112</v>
      </c>
      <c r="R179" s="1" t="s">
        <v>113</v>
      </c>
      <c r="S179" s="1" t="s">
        <v>307</v>
      </c>
      <c r="T179" s="1">
        <v>1.01200292E8</v>
      </c>
      <c r="W179" s="1" t="s">
        <v>308</v>
      </c>
      <c r="X179" s="1" t="s">
        <v>925</v>
      </c>
    </row>
    <row r="180">
      <c r="A180" s="1" t="s">
        <v>926</v>
      </c>
      <c r="B180" s="1" t="s">
        <v>93</v>
      </c>
      <c r="C180" s="1" t="s">
        <v>927</v>
      </c>
      <c r="D180" s="1" t="s">
        <v>103</v>
      </c>
      <c r="E180" s="1" t="s">
        <v>29</v>
      </c>
      <c r="F180" s="1">
        <v>5000000.0</v>
      </c>
      <c r="G180" s="1" t="s">
        <v>479</v>
      </c>
      <c r="H180" s="4">
        <v>44382.0</v>
      </c>
      <c r="I180" s="1" t="s">
        <v>302</v>
      </c>
      <c r="K180" s="1">
        <v>0.0</v>
      </c>
      <c r="L180" s="1" t="s">
        <v>928</v>
      </c>
      <c r="M180" s="1" t="str">
        <f>VLOOKUP(L180,'Copy of PMD Workday Constants -'!B179:W865,22,false)</f>
        <v>Delivery</v>
      </c>
      <c r="N180" s="1" t="s">
        <v>32</v>
      </c>
      <c r="O180" s="1" t="s">
        <v>33</v>
      </c>
      <c r="P180" s="1" t="s">
        <v>54</v>
      </c>
      <c r="Q180" s="1" t="s">
        <v>54</v>
      </c>
      <c r="R180" s="1" t="s">
        <v>55</v>
      </c>
      <c r="S180" s="1" t="s">
        <v>654</v>
      </c>
      <c r="T180" s="1">
        <v>1.00592305E8</v>
      </c>
      <c r="W180" s="1" t="s">
        <v>56</v>
      </c>
      <c r="X180" s="1" t="s">
        <v>929</v>
      </c>
    </row>
    <row r="181">
      <c r="A181" s="1" t="s">
        <v>930</v>
      </c>
      <c r="B181" s="1" t="s">
        <v>931</v>
      </c>
      <c r="C181" s="1" t="s">
        <v>932</v>
      </c>
      <c r="D181" s="1" t="s">
        <v>51</v>
      </c>
      <c r="E181" s="1" t="s">
        <v>29</v>
      </c>
      <c r="F181" s="1">
        <v>5000000.0</v>
      </c>
      <c r="G181" s="1" t="s">
        <v>479</v>
      </c>
      <c r="H181" s="1" t="s">
        <v>933</v>
      </c>
      <c r="I181" s="4">
        <v>44932.0</v>
      </c>
      <c r="K181" s="1">
        <v>0.0</v>
      </c>
      <c r="L181" s="1" t="s">
        <v>934</v>
      </c>
      <c r="M181" s="1" t="str">
        <f>VLOOKUP(L181,'Copy of PMD Workday Constants -'!B180:W866,22,false)</f>
        <v>LCP</v>
      </c>
      <c r="N181" s="1" t="s">
        <v>32</v>
      </c>
      <c r="O181" s="1" t="s">
        <v>33</v>
      </c>
      <c r="P181" s="1" t="s">
        <v>173</v>
      </c>
      <c r="Q181" s="1" t="s">
        <v>173</v>
      </c>
      <c r="R181" s="1" t="s">
        <v>174</v>
      </c>
      <c r="S181" s="1" t="s">
        <v>153</v>
      </c>
      <c r="T181" s="1">
        <v>1.00653269E8</v>
      </c>
      <c r="W181" s="1" t="s">
        <v>85</v>
      </c>
      <c r="X181" s="1" t="s">
        <v>935</v>
      </c>
    </row>
    <row r="182">
      <c r="A182" s="1" t="s">
        <v>936</v>
      </c>
      <c r="B182" s="1" t="s">
        <v>913</v>
      </c>
      <c r="C182" s="1" t="s">
        <v>937</v>
      </c>
      <c r="D182" s="1" t="s">
        <v>28</v>
      </c>
      <c r="E182" s="1" t="s">
        <v>29</v>
      </c>
      <c r="F182" s="1">
        <v>5000000.0</v>
      </c>
      <c r="G182" s="1" t="s">
        <v>479</v>
      </c>
      <c r="H182" s="4">
        <v>44870.0</v>
      </c>
      <c r="I182" s="1" t="s">
        <v>217</v>
      </c>
      <c r="K182" s="1">
        <v>0.0</v>
      </c>
      <c r="L182" s="1" t="s">
        <v>938</v>
      </c>
      <c r="M182" s="1" t="str">
        <f>VLOOKUP(L182,'Copy of PMD Workday Constants -'!B181:W867,22,false)</f>
        <v>LCP</v>
      </c>
      <c r="N182" s="1" t="s">
        <v>32</v>
      </c>
      <c r="O182" s="1" t="s">
        <v>33</v>
      </c>
      <c r="P182" s="1" t="s">
        <v>82</v>
      </c>
      <c r="Q182" s="1" t="s">
        <v>82</v>
      </c>
      <c r="R182" s="1" t="s">
        <v>83</v>
      </c>
      <c r="S182" s="1" t="s">
        <v>84</v>
      </c>
      <c r="T182" s="1">
        <v>1.00653499E8</v>
      </c>
      <c r="W182" s="1" t="s">
        <v>85</v>
      </c>
      <c r="X182" s="1" t="s">
        <v>916</v>
      </c>
    </row>
    <row r="183">
      <c r="A183" s="1" t="s">
        <v>939</v>
      </c>
      <c r="B183" s="1" t="s">
        <v>87</v>
      </c>
      <c r="C183" s="1" t="s">
        <v>940</v>
      </c>
      <c r="D183" s="1" t="s">
        <v>103</v>
      </c>
      <c r="E183" s="1" t="s">
        <v>29</v>
      </c>
      <c r="F183" s="5">
        <v>5000000.0</v>
      </c>
      <c r="G183" s="1" t="s">
        <v>479</v>
      </c>
      <c r="H183" s="1" t="s">
        <v>865</v>
      </c>
      <c r="I183" s="1" t="s">
        <v>941</v>
      </c>
      <c r="K183" s="1">
        <v>0.0</v>
      </c>
      <c r="L183" s="1" t="s">
        <v>942</v>
      </c>
      <c r="M183" s="1" t="str">
        <f>VLOOKUP(L183,'Copy of PMD Workday Constants -'!B152:Y838,22,false)</f>
        <v>#N/A</v>
      </c>
      <c r="N183" s="1" t="s">
        <v>32</v>
      </c>
      <c r="O183" s="1" t="s">
        <v>33</v>
      </c>
      <c r="P183" s="1" t="s">
        <v>54</v>
      </c>
      <c r="Q183" s="1" t="s">
        <v>54</v>
      </c>
      <c r="R183" s="1" t="s">
        <v>55</v>
      </c>
      <c r="S183" s="1" t="s">
        <v>285</v>
      </c>
      <c r="T183" s="1">
        <v>1.00595407E8</v>
      </c>
      <c r="W183" s="1" t="s">
        <v>91</v>
      </c>
      <c r="X183" s="1" t="s">
        <v>89</v>
      </c>
    </row>
    <row r="184">
      <c r="A184" s="1" t="s">
        <v>943</v>
      </c>
      <c r="B184" s="1" t="s">
        <v>944</v>
      </c>
      <c r="C184" s="1" t="s">
        <v>945</v>
      </c>
      <c r="D184" s="1" t="s">
        <v>28</v>
      </c>
      <c r="E184" s="1" t="s">
        <v>29</v>
      </c>
      <c r="F184" s="1">
        <v>5000000.0</v>
      </c>
      <c r="G184" s="1" t="s">
        <v>479</v>
      </c>
      <c r="H184" s="1" t="s">
        <v>946</v>
      </c>
      <c r="I184" s="4">
        <v>44626.0</v>
      </c>
      <c r="K184" s="1">
        <v>0.0</v>
      </c>
      <c r="L184" s="1" t="s">
        <v>415</v>
      </c>
      <c r="M184" s="1" t="str">
        <f>VLOOKUP(L184,'Copy of PMD Workday Constants -'!B183:W869,22,false)</f>
        <v>LCP</v>
      </c>
      <c r="N184" s="1" t="s">
        <v>32</v>
      </c>
      <c r="O184" s="1" t="s">
        <v>33</v>
      </c>
      <c r="P184" s="1" t="s">
        <v>210</v>
      </c>
      <c r="Q184" s="1" t="s">
        <v>210</v>
      </c>
      <c r="R184" s="1" t="s">
        <v>211</v>
      </c>
      <c r="T184" s="1">
        <v>1.00650375E8</v>
      </c>
      <c r="V184" s="1" t="s">
        <v>422</v>
      </c>
      <c r="W184" s="1" t="s">
        <v>947</v>
      </c>
      <c r="X184" s="1" t="s">
        <v>415</v>
      </c>
    </row>
    <row r="185">
      <c r="A185" s="1" t="s">
        <v>948</v>
      </c>
      <c r="B185" s="1" t="s">
        <v>149</v>
      </c>
      <c r="C185" s="1" t="s">
        <v>949</v>
      </c>
      <c r="D185" s="1" t="s">
        <v>51</v>
      </c>
      <c r="E185" s="1" t="s">
        <v>29</v>
      </c>
      <c r="F185" s="1">
        <v>5000000.0</v>
      </c>
      <c r="G185" s="1" t="s">
        <v>479</v>
      </c>
      <c r="H185" s="4">
        <v>43656.0</v>
      </c>
      <c r="I185" s="1" t="s">
        <v>302</v>
      </c>
      <c r="K185" s="1">
        <v>0.0</v>
      </c>
      <c r="L185" s="1" t="s">
        <v>157</v>
      </c>
      <c r="M185" s="1" t="str">
        <f>VLOOKUP(L185,'Copy of PMD Workday Constants -'!B184:W870,22,false)</f>
        <v>LCP</v>
      </c>
      <c r="N185" s="1" t="s">
        <v>32</v>
      </c>
      <c r="O185" s="1" t="s">
        <v>33</v>
      </c>
      <c r="P185" s="1" t="s">
        <v>112</v>
      </c>
      <c r="Q185" s="1" t="s">
        <v>112</v>
      </c>
      <c r="R185" s="1" t="s">
        <v>113</v>
      </c>
      <c r="S185" s="1" t="s">
        <v>204</v>
      </c>
      <c r="T185" s="1">
        <v>1.00658522E8</v>
      </c>
      <c r="W185" s="1" t="s">
        <v>91</v>
      </c>
      <c r="X185" s="1" t="s">
        <v>157</v>
      </c>
    </row>
    <row r="186">
      <c r="A186" s="1" t="s">
        <v>950</v>
      </c>
      <c r="B186" s="1" t="s">
        <v>241</v>
      </c>
      <c r="C186" s="1" t="s">
        <v>951</v>
      </c>
      <c r="D186" s="1" t="s">
        <v>28</v>
      </c>
      <c r="E186" s="1" t="s">
        <v>29</v>
      </c>
      <c r="F186" s="5">
        <v>5000000.0</v>
      </c>
      <c r="G186" s="1" t="s">
        <v>479</v>
      </c>
      <c r="H186" s="1" t="s">
        <v>952</v>
      </c>
      <c r="I186" s="1" t="s">
        <v>80</v>
      </c>
      <c r="K186" s="1">
        <v>0.0</v>
      </c>
      <c r="L186" s="1" t="s">
        <v>244</v>
      </c>
      <c r="M186" s="1" t="str">
        <f>VLOOKUP(L186,'Copy of PMD Workday Constants -'!B155:Y841,22,false)</f>
        <v>Delivery</v>
      </c>
      <c r="N186" s="1" t="s">
        <v>32</v>
      </c>
      <c r="O186" s="1" t="s">
        <v>33</v>
      </c>
      <c r="P186" s="1" t="s">
        <v>34</v>
      </c>
      <c r="Q186" s="1" t="s">
        <v>34</v>
      </c>
      <c r="R186" s="1" t="s">
        <v>35</v>
      </c>
      <c r="S186" s="1" t="s">
        <v>36</v>
      </c>
      <c r="T186" s="1">
        <v>1.00617853E8</v>
      </c>
      <c r="W186" s="1" t="s">
        <v>37</v>
      </c>
      <c r="X186" s="1" t="s">
        <v>244</v>
      </c>
    </row>
    <row r="187">
      <c r="A187" s="1" t="s">
        <v>953</v>
      </c>
      <c r="B187" s="1" t="s">
        <v>954</v>
      </c>
      <c r="C187" s="1" t="s">
        <v>955</v>
      </c>
      <c r="D187" s="1" t="s">
        <v>28</v>
      </c>
      <c r="E187" s="1" t="s">
        <v>29</v>
      </c>
      <c r="F187" s="5">
        <v>5000000.0</v>
      </c>
      <c r="G187" s="1" t="s">
        <v>479</v>
      </c>
      <c r="H187" s="1" t="s">
        <v>434</v>
      </c>
      <c r="I187" s="1" t="s">
        <v>661</v>
      </c>
      <c r="K187" s="1">
        <v>0.0</v>
      </c>
      <c r="L187" s="1" t="s">
        <v>956</v>
      </c>
      <c r="M187" s="1" t="str">
        <f>VLOOKUP(L187,'Copy of PMD Workday Constants -'!B156:Y842,22,false)</f>
        <v>Delivery</v>
      </c>
      <c r="N187" s="1" t="s">
        <v>32</v>
      </c>
      <c r="O187" s="1" t="s">
        <v>33</v>
      </c>
      <c r="P187" s="1" t="s">
        <v>173</v>
      </c>
      <c r="Q187" s="1" t="s">
        <v>173</v>
      </c>
      <c r="R187" s="1" t="s">
        <v>174</v>
      </c>
      <c r="S187" s="1" t="s">
        <v>612</v>
      </c>
      <c r="T187" s="1">
        <v>1.00623421E8</v>
      </c>
      <c r="U187" s="1" t="s">
        <v>957</v>
      </c>
      <c r="V187" s="1" t="s">
        <v>187</v>
      </c>
      <c r="W187" s="1" t="s">
        <v>147</v>
      </c>
      <c r="X187" s="1" t="s">
        <v>958</v>
      </c>
    </row>
    <row r="188">
      <c r="A188" s="1" t="s">
        <v>959</v>
      </c>
      <c r="B188" s="1" t="s">
        <v>828</v>
      </c>
      <c r="C188" s="1" t="s">
        <v>960</v>
      </c>
      <c r="D188" s="1" t="s">
        <v>51</v>
      </c>
      <c r="E188" s="1" t="s">
        <v>29</v>
      </c>
      <c r="F188" s="5">
        <v>5000000.0</v>
      </c>
      <c r="G188" s="1" t="s">
        <v>479</v>
      </c>
      <c r="H188" s="1" t="s">
        <v>434</v>
      </c>
      <c r="I188" s="1" t="s">
        <v>302</v>
      </c>
      <c r="K188" s="1">
        <v>0.0</v>
      </c>
      <c r="L188" s="1" t="s">
        <v>830</v>
      </c>
      <c r="M188" s="1" t="str">
        <f>VLOOKUP(L188,'Copy of PMD Workday Constants -'!B157:Y843,22,false)</f>
        <v>Delivery</v>
      </c>
      <c r="N188" s="1" t="s">
        <v>32</v>
      </c>
      <c r="O188" s="1" t="s">
        <v>33</v>
      </c>
      <c r="P188" s="1" t="s">
        <v>173</v>
      </c>
      <c r="Q188" s="1" t="s">
        <v>173</v>
      </c>
      <c r="R188" s="1" t="s">
        <v>174</v>
      </c>
      <c r="S188" s="1" t="s">
        <v>612</v>
      </c>
      <c r="T188" s="1">
        <v>1.00584422E8</v>
      </c>
      <c r="W188" s="1" t="s">
        <v>147</v>
      </c>
      <c r="X188" s="1" t="s">
        <v>831</v>
      </c>
    </row>
    <row r="189">
      <c r="A189" s="1" t="s">
        <v>961</v>
      </c>
      <c r="B189" s="1" t="s">
        <v>776</v>
      </c>
      <c r="C189" s="1" t="s">
        <v>962</v>
      </c>
      <c r="D189" s="1" t="s">
        <v>51</v>
      </c>
      <c r="E189" s="1" t="s">
        <v>29</v>
      </c>
      <c r="F189" s="5">
        <v>5000000.0</v>
      </c>
      <c r="G189" s="1" t="s">
        <v>479</v>
      </c>
      <c r="H189" s="4">
        <v>44598.0</v>
      </c>
      <c r="I189" s="4">
        <v>44570.0</v>
      </c>
      <c r="K189" s="1">
        <v>0.0</v>
      </c>
      <c r="L189" s="1" t="s">
        <v>963</v>
      </c>
      <c r="M189" s="1" t="str">
        <f>VLOOKUP(L189,'Copy of PMD Workday Constants -'!B158:Y844,22,false)</f>
        <v>Delivery</v>
      </c>
      <c r="N189" s="1" t="s">
        <v>32</v>
      </c>
      <c r="O189" s="1" t="s">
        <v>33</v>
      </c>
      <c r="P189" s="1" t="s">
        <v>173</v>
      </c>
      <c r="Q189" s="1" t="s">
        <v>173</v>
      </c>
      <c r="R189" s="1" t="s">
        <v>174</v>
      </c>
      <c r="T189" s="1">
        <v>1.00708984E8</v>
      </c>
      <c r="W189" s="1" t="s">
        <v>74</v>
      </c>
      <c r="X189" s="1" t="s">
        <v>963</v>
      </c>
    </row>
    <row r="190">
      <c r="A190" s="1" t="s">
        <v>964</v>
      </c>
      <c r="B190" s="1" t="s">
        <v>965</v>
      </c>
      <c r="C190" s="1" t="s">
        <v>966</v>
      </c>
      <c r="D190" s="1" t="s">
        <v>51</v>
      </c>
      <c r="E190" s="1" t="s">
        <v>29</v>
      </c>
      <c r="F190" s="1">
        <v>5000000.0</v>
      </c>
      <c r="G190" s="1" t="s">
        <v>479</v>
      </c>
      <c r="H190" s="4">
        <v>44836.0</v>
      </c>
      <c r="I190" s="4">
        <v>45114.0</v>
      </c>
      <c r="K190" s="1">
        <v>0.0</v>
      </c>
      <c r="L190" s="1" t="s">
        <v>967</v>
      </c>
      <c r="M190" s="1" t="str">
        <f>VLOOKUP(L190,'Copy of PMD Workday Constants -'!B189:W875,22,false)</f>
        <v>Delivery</v>
      </c>
      <c r="N190" s="1" t="s">
        <v>32</v>
      </c>
      <c r="O190" s="1" t="s">
        <v>33</v>
      </c>
      <c r="P190" s="1" t="s">
        <v>210</v>
      </c>
      <c r="Q190" s="1" t="s">
        <v>210</v>
      </c>
      <c r="R190" s="1" t="s">
        <v>211</v>
      </c>
      <c r="S190" s="1" t="s">
        <v>416</v>
      </c>
      <c r="T190" s="1">
        <v>1.00608243E8</v>
      </c>
      <c r="W190" s="1" t="s">
        <v>56</v>
      </c>
      <c r="X190" s="1" t="s">
        <v>968</v>
      </c>
    </row>
    <row r="191">
      <c r="A191" s="1" t="s">
        <v>969</v>
      </c>
      <c r="B191" s="1" t="s">
        <v>970</v>
      </c>
      <c r="C191" s="1" t="s">
        <v>971</v>
      </c>
      <c r="D191" s="1" t="s">
        <v>51</v>
      </c>
      <c r="E191" s="1" t="s">
        <v>29</v>
      </c>
      <c r="F191" s="5">
        <v>5000000.0</v>
      </c>
      <c r="G191" s="1" t="s">
        <v>479</v>
      </c>
      <c r="H191" s="1" t="s">
        <v>208</v>
      </c>
      <c r="I191" s="1" t="s">
        <v>132</v>
      </c>
      <c r="K191" s="1">
        <v>0.0</v>
      </c>
      <c r="L191" s="1" t="s">
        <v>448</v>
      </c>
      <c r="M191" s="1" t="str">
        <f>VLOOKUP(L191,'Copy of PMD Workday Constants -'!B160:Y846,22,false)</f>
        <v>#N/A</v>
      </c>
      <c r="N191" s="1" t="s">
        <v>32</v>
      </c>
      <c r="O191" s="1" t="s">
        <v>33</v>
      </c>
      <c r="P191" s="1" t="s">
        <v>112</v>
      </c>
      <c r="Q191" s="1" t="s">
        <v>112</v>
      </c>
      <c r="R191" s="1" t="s">
        <v>113</v>
      </c>
      <c r="S191" s="1" t="s">
        <v>66</v>
      </c>
      <c r="T191" s="1">
        <v>1.00657929E8</v>
      </c>
      <c r="W191" s="1" t="s">
        <v>308</v>
      </c>
      <c r="X191" s="1" t="s">
        <v>925</v>
      </c>
    </row>
    <row r="192">
      <c r="A192" s="1" t="s">
        <v>972</v>
      </c>
      <c r="B192" s="1" t="s">
        <v>973</v>
      </c>
      <c r="C192" s="1" t="s">
        <v>974</v>
      </c>
      <c r="D192" s="1" t="s">
        <v>28</v>
      </c>
      <c r="E192" s="1" t="s">
        <v>29</v>
      </c>
      <c r="F192" s="1">
        <v>5000000.0</v>
      </c>
      <c r="G192" s="1" t="s">
        <v>479</v>
      </c>
      <c r="H192" s="1" t="s">
        <v>975</v>
      </c>
      <c r="I192" s="1" t="s">
        <v>171</v>
      </c>
      <c r="K192" s="1">
        <v>0.0</v>
      </c>
      <c r="L192" s="1" t="s">
        <v>976</v>
      </c>
      <c r="M192" s="1" t="str">
        <f>VLOOKUP(L192,'Copy of PMD Workday Constants -'!B191:W877,22,false)</f>
        <v>LCP</v>
      </c>
      <c r="N192" s="1" t="s">
        <v>32</v>
      </c>
      <c r="O192" s="1" t="s">
        <v>33</v>
      </c>
      <c r="P192" s="1" t="s">
        <v>173</v>
      </c>
      <c r="Q192" s="1" t="s">
        <v>173</v>
      </c>
      <c r="R192" s="1" t="s">
        <v>174</v>
      </c>
      <c r="S192" s="1" t="s">
        <v>153</v>
      </c>
      <c r="T192" s="1">
        <v>1.00611358E8</v>
      </c>
      <c r="W192" s="1" t="s">
        <v>456</v>
      </c>
      <c r="X192" s="1" t="s">
        <v>977</v>
      </c>
    </row>
    <row r="193">
      <c r="A193" s="1" t="s">
        <v>978</v>
      </c>
      <c r="B193" s="1" t="s">
        <v>219</v>
      </c>
      <c r="C193" s="1" t="s">
        <v>979</v>
      </c>
      <c r="D193" s="1" t="s">
        <v>28</v>
      </c>
      <c r="E193" s="1" t="s">
        <v>29</v>
      </c>
      <c r="F193" s="1">
        <v>5000000.0</v>
      </c>
      <c r="G193" s="1" t="s">
        <v>479</v>
      </c>
      <c r="H193" s="1" t="s">
        <v>208</v>
      </c>
      <c r="I193" s="1" t="s">
        <v>980</v>
      </c>
      <c r="K193" s="1">
        <v>0.0</v>
      </c>
      <c r="L193" s="1" t="s">
        <v>221</v>
      </c>
      <c r="M193" s="1" t="str">
        <f>VLOOKUP(L193,'Copy of PMD Workday Constants -'!B192:W878,22,false)</f>
        <v>LCP</v>
      </c>
      <c r="N193" s="1" t="s">
        <v>32</v>
      </c>
      <c r="O193" s="1" t="s">
        <v>33</v>
      </c>
      <c r="P193" s="1" t="s">
        <v>222</v>
      </c>
      <c r="Q193" s="1" t="s">
        <v>222</v>
      </c>
      <c r="R193" s="1" t="s">
        <v>223</v>
      </c>
      <c r="T193" s="1">
        <v>1.00660017E8</v>
      </c>
      <c r="W193" s="1" t="s">
        <v>91</v>
      </c>
      <c r="X193" s="1" t="s">
        <v>221</v>
      </c>
    </row>
    <row r="194">
      <c r="A194" s="1" t="s">
        <v>981</v>
      </c>
      <c r="B194" s="1" t="s">
        <v>40</v>
      </c>
      <c r="C194" s="1" t="s">
        <v>982</v>
      </c>
      <c r="D194" s="1" t="s">
        <v>103</v>
      </c>
      <c r="E194" s="1" t="s">
        <v>29</v>
      </c>
      <c r="F194" s="1">
        <v>5000000.0</v>
      </c>
      <c r="G194" s="1" t="s">
        <v>479</v>
      </c>
      <c r="H194" s="1" t="s">
        <v>375</v>
      </c>
      <c r="I194" s="1" t="s">
        <v>96</v>
      </c>
      <c r="K194" s="1">
        <v>0.0</v>
      </c>
      <c r="L194" s="1" t="s">
        <v>983</v>
      </c>
      <c r="M194" s="1" t="str">
        <f>VLOOKUP(L194,'Copy of PMD Workday Constants -'!B193:W879,22,false)</f>
        <v>Delivery</v>
      </c>
      <c r="N194" s="1" t="s">
        <v>32</v>
      </c>
      <c r="O194" s="1" t="s">
        <v>33</v>
      </c>
      <c r="P194" s="1" t="s">
        <v>112</v>
      </c>
      <c r="Q194" s="1" t="s">
        <v>112</v>
      </c>
      <c r="R194" s="1" t="s">
        <v>113</v>
      </c>
      <c r="S194" s="1" t="s">
        <v>307</v>
      </c>
      <c r="T194" s="1">
        <v>1.00607644E8</v>
      </c>
      <c r="W194" s="1" t="s">
        <v>47</v>
      </c>
      <c r="X194" s="1" t="s">
        <v>333</v>
      </c>
    </row>
    <row r="195">
      <c r="A195" s="1" t="s">
        <v>984</v>
      </c>
      <c r="B195" s="1" t="s">
        <v>561</v>
      </c>
      <c r="C195" s="1" t="s">
        <v>985</v>
      </c>
      <c r="D195" s="1" t="s">
        <v>103</v>
      </c>
      <c r="E195" s="1" t="s">
        <v>29</v>
      </c>
      <c r="F195" s="1">
        <v>5000000.0</v>
      </c>
      <c r="G195" s="1" t="s">
        <v>479</v>
      </c>
      <c r="H195" s="4">
        <v>44896.0</v>
      </c>
      <c r="I195" s="1" t="s">
        <v>80</v>
      </c>
      <c r="K195" s="1">
        <v>0.0</v>
      </c>
      <c r="L195" s="1" t="s">
        <v>986</v>
      </c>
      <c r="M195" s="1" t="str">
        <f>VLOOKUP(L195,'Copy of PMD Workday Constants -'!B194:W880,22,false)</f>
        <v>Delivery</v>
      </c>
      <c r="N195" s="1" t="s">
        <v>32</v>
      </c>
      <c r="O195" s="1" t="s">
        <v>33</v>
      </c>
      <c r="P195" s="1" t="s">
        <v>64</v>
      </c>
      <c r="Q195" s="1" t="s">
        <v>64</v>
      </c>
      <c r="R195" s="1" t="s">
        <v>65</v>
      </c>
      <c r="S195" s="1" t="s">
        <v>285</v>
      </c>
      <c r="T195" s="1">
        <v>1.00651901E8</v>
      </c>
      <c r="W195" s="1" t="s">
        <v>37</v>
      </c>
      <c r="X195" s="1" t="s">
        <v>872</v>
      </c>
    </row>
    <row r="196">
      <c r="A196" s="1" t="s">
        <v>987</v>
      </c>
      <c r="B196" s="1" t="s">
        <v>988</v>
      </c>
      <c r="C196" s="1" t="s">
        <v>989</v>
      </c>
      <c r="D196" s="1" t="s">
        <v>79</v>
      </c>
      <c r="E196" s="1" t="s">
        <v>29</v>
      </c>
      <c r="F196" s="1">
        <v>5000000.0</v>
      </c>
      <c r="G196" s="1" t="s">
        <v>479</v>
      </c>
      <c r="H196" s="1" t="s">
        <v>990</v>
      </c>
      <c r="I196" s="1" t="s">
        <v>692</v>
      </c>
      <c r="K196" s="1">
        <v>0.0</v>
      </c>
      <c r="L196" s="1" t="s">
        <v>31</v>
      </c>
      <c r="M196" s="1" t="str">
        <f>VLOOKUP(L196,'Copy of PMD Workday Constants -'!B195:W881,22,false)</f>
        <v>Delivery</v>
      </c>
      <c r="N196" s="1" t="s">
        <v>32</v>
      </c>
      <c r="O196" s="1" t="s">
        <v>33</v>
      </c>
      <c r="P196" s="1" t="s">
        <v>34</v>
      </c>
      <c r="Q196" s="1" t="s">
        <v>34</v>
      </c>
      <c r="R196" s="1" t="s">
        <v>35</v>
      </c>
      <c r="S196" s="1" t="s">
        <v>36</v>
      </c>
      <c r="T196" s="1">
        <v>1.00660652E8</v>
      </c>
      <c r="U196" s="1" t="s">
        <v>991</v>
      </c>
      <c r="V196" s="1" t="s">
        <v>46</v>
      </c>
      <c r="W196" s="1" t="s">
        <v>37</v>
      </c>
      <c r="X196" s="1" t="s">
        <v>31</v>
      </c>
    </row>
    <row r="197">
      <c r="A197" s="1" t="s">
        <v>992</v>
      </c>
      <c r="B197" s="1" t="s">
        <v>993</v>
      </c>
      <c r="C197" s="1" t="s">
        <v>994</v>
      </c>
      <c r="D197" s="1" t="s">
        <v>51</v>
      </c>
      <c r="E197" s="1" t="s">
        <v>29</v>
      </c>
      <c r="F197" s="1">
        <v>5000000.0</v>
      </c>
      <c r="G197" s="1" t="s">
        <v>479</v>
      </c>
      <c r="H197" s="4">
        <v>44899.0</v>
      </c>
      <c r="I197" s="4">
        <v>44689.0</v>
      </c>
      <c r="K197" s="1">
        <v>0.0</v>
      </c>
      <c r="L197" s="1" t="s">
        <v>866</v>
      </c>
      <c r="M197" s="1" t="str">
        <f>VLOOKUP(L197,'Copy of PMD Workday Constants -'!B196:W882,22,false)</f>
        <v>LCP</v>
      </c>
      <c r="N197" s="1" t="s">
        <v>32</v>
      </c>
      <c r="O197" s="1" t="s">
        <v>33</v>
      </c>
      <c r="P197" s="1" t="s">
        <v>82</v>
      </c>
      <c r="Q197" s="1" t="s">
        <v>82</v>
      </c>
      <c r="R197" s="1" t="s">
        <v>83</v>
      </c>
      <c r="S197" s="1" t="s">
        <v>84</v>
      </c>
      <c r="T197" s="1">
        <v>1.00941744E8</v>
      </c>
      <c r="W197" s="1" t="s">
        <v>74</v>
      </c>
      <c r="X197" s="1" t="s">
        <v>866</v>
      </c>
    </row>
    <row r="198">
      <c r="A198" s="1" t="s">
        <v>995</v>
      </c>
      <c r="B198" s="1" t="s">
        <v>996</v>
      </c>
      <c r="C198" s="1" t="s">
        <v>997</v>
      </c>
      <c r="D198" s="1" t="s">
        <v>51</v>
      </c>
      <c r="E198" s="1" t="s">
        <v>29</v>
      </c>
      <c r="F198" s="1">
        <v>5000000.0</v>
      </c>
      <c r="G198" s="1" t="s">
        <v>479</v>
      </c>
      <c r="H198" s="4">
        <v>43680.0</v>
      </c>
      <c r="I198" s="1" t="s">
        <v>998</v>
      </c>
      <c r="K198" s="1">
        <v>0.0</v>
      </c>
      <c r="L198" s="1" t="s">
        <v>999</v>
      </c>
      <c r="M198" s="1" t="str">
        <f>VLOOKUP(L198,'Copy of PMD Workday Constants -'!B197:W883,22,false)</f>
        <v>LCP</v>
      </c>
      <c r="N198" s="1" t="s">
        <v>32</v>
      </c>
      <c r="O198" s="1" t="s">
        <v>33</v>
      </c>
      <c r="P198" s="1" t="s">
        <v>112</v>
      </c>
      <c r="Q198" s="1" t="s">
        <v>112</v>
      </c>
      <c r="R198" s="1" t="s">
        <v>113</v>
      </c>
      <c r="S198" s="1" t="s">
        <v>1000</v>
      </c>
      <c r="T198" s="1">
        <v>1.00623453E8</v>
      </c>
      <c r="W198" s="1" t="s">
        <v>391</v>
      </c>
      <c r="X198" s="1" t="s">
        <v>1001</v>
      </c>
    </row>
    <row r="199">
      <c r="A199" s="1" t="s">
        <v>1002</v>
      </c>
      <c r="B199" s="1" t="s">
        <v>1003</v>
      </c>
      <c r="C199" s="1" t="s">
        <v>1004</v>
      </c>
      <c r="D199" s="1" t="s">
        <v>28</v>
      </c>
      <c r="E199" s="1" t="s">
        <v>29</v>
      </c>
      <c r="F199" s="1">
        <v>5000000.0</v>
      </c>
      <c r="G199" s="1" t="s">
        <v>479</v>
      </c>
      <c r="H199" s="1" t="s">
        <v>1005</v>
      </c>
      <c r="I199" s="4">
        <v>45809.0</v>
      </c>
      <c r="K199" s="1">
        <v>0.0</v>
      </c>
      <c r="L199" s="1" t="s">
        <v>894</v>
      </c>
      <c r="M199" s="1" t="str">
        <f>VLOOKUP(L199,'Copy of PMD Workday Constants -'!B198:W884,22,false)</f>
        <v>Catalyst</v>
      </c>
      <c r="N199" s="1" t="s">
        <v>32</v>
      </c>
      <c r="O199" s="1" t="s">
        <v>33</v>
      </c>
      <c r="P199" s="1" t="s">
        <v>82</v>
      </c>
      <c r="Q199" s="1" t="s">
        <v>82</v>
      </c>
      <c r="R199" s="1" t="s">
        <v>83</v>
      </c>
      <c r="S199" s="1" t="s">
        <v>180</v>
      </c>
      <c r="T199" s="1">
        <v>1.01033479E8</v>
      </c>
      <c r="W199" s="1" t="s">
        <v>85</v>
      </c>
      <c r="X199" s="1" t="s">
        <v>894</v>
      </c>
    </row>
    <row r="200">
      <c r="A200" s="1" t="s">
        <v>1006</v>
      </c>
      <c r="B200" s="1" t="s">
        <v>1003</v>
      </c>
      <c r="C200" s="1" t="s">
        <v>1007</v>
      </c>
      <c r="D200" s="1" t="s">
        <v>28</v>
      </c>
      <c r="E200" s="1" t="s">
        <v>29</v>
      </c>
      <c r="F200" s="1">
        <v>5000000.0</v>
      </c>
      <c r="G200" s="1" t="s">
        <v>479</v>
      </c>
      <c r="H200" s="1" t="s">
        <v>1005</v>
      </c>
      <c r="I200" s="4">
        <v>45505.0</v>
      </c>
      <c r="K200" s="1">
        <v>0.0</v>
      </c>
      <c r="L200" s="1" t="s">
        <v>894</v>
      </c>
      <c r="M200" s="1" t="str">
        <f>VLOOKUP(L200,'Copy of PMD Workday Constants -'!B199:W885,22,false)</f>
        <v>Catalyst</v>
      </c>
      <c r="N200" s="1" t="s">
        <v>32</v>
      </c>
      <c r="O200" s="1" t="s">
        <v>33</v>
      </c>
      <c r="P200" s="1" t="s">
        <v>82</v>
      </c>
      <c r="Q200" s="1" t="s">
        <v>82</v>
      </c>
      <c r="R200" s="1" t="s">
        <v>83</v>
      </c>
      <c r="S200" s="1" t="s">
        <v>180</v>
      </c>
      <c r="T200" s="1">
        <v>1.01033479E8</v>
      </c>
      <c r="W200" s="1" t="s">
        <v>85</v>
      </c>
      <c r="X200" s="1" t="s">
        <v>894</v>
      </c>
    </row>
    <row r="201">
      <c r="A201" s="1" t="s">
        <v>1008</v>
      </c>
      <c r="B201" s="1" t="s">
        <v>1009</v>
      </c>
      <c r="C201" s="1" t="s">
        <v>1010</v>
      </c>
      <c r="D201" s="1" t="s">
        <v>28</v>
      </c>
      <c r="E201" s="1" t="s">
        <v>29</v>
      </c>
      <c r="F201" s="1">
        <v>5000000.0</v>
      </c>
      <c r="G201" s="1" t="s">
        <v>479</v>
      </c>
      <c r="H201" s="1" t="s">
        <v>1005</v>
      </c>
      <c r="I201" s="1" t="s">
        <v>104</v>
      </c>
      <c r="K201" s="1">
        <v>0.0</v>
      </c>
      <c r="L201" s="1" t="s">
        <v>1011</v>
      </c>
      <c r="M201" s="1" t="str">
        <f>VLOOKUP(L201,'Copy of PMD Workday Constants -'!B200:W886,22,false)</f>
        <v>Delivery</v>
      </c>
      <c r="N201" s="1" t="s">
        <v>32</v>
      </c>
      <c r="O201" s="1" t="s">
        <v>33</v>
      </c>
      <c r="P201" s="1" t="s">
        <v>82</v>
      </c>
      <c r="Q201" s="1" t="s">
        <v>82</v>
      </c>
      <c r="R201" s="1" t="s">
        <v>83</v>
      </c>
      <c r="S201" s="1" t="s">
        <v>583</v>
      </c>
      <c r="T201" s="1">
        <v>1.00609514E8</v>
      </c>
      <c r="W201" s="1" t="s">
        <v>74</v>
      </c>
      <c r="X201" s="1" t="s">
        <v>1012</v>
      </c>
    </row>
    <row r="202">
      <c r="A202" s="1" t="s">
        <v>1013</v>
      </c>
      <c r="B202" s="1" t="s">
        <v>450</v>
      </c>
      <c r="C202" s="1" t="s">
        <v>1014</v>
      </c>
      <c r="D202" s="1" t="s">
        <v>28</v>
      </c>
      <c r="E202" s="1" t="s">
        <v>29</v>
      </c>
      <c r="F202" s="1">
        <v>5000000.0</v>
      </c>
      <c r="G202" s="1" t="s">
        <v>479</v>
      </c>
      <c r="H202" s="1" t="s">
        <v>1015</v>
      </c>
      <c r="I202" s="4">
        <v>44630.0</v>
      </c>
      <c r="K202" s="1">
        <v>0.0</v>
      </c>
      <c r="L202" s="1" t="s">
        <v>454</v>
      </c>
      <c r="M202" s="1" t="str">
        <f>VLOOKUP(L202,'Copy of PMD Workday Constants -'!B201:W887,22,false)</f>
        <v>LCP</v>
      </c>
      <c r="N202" s="1" t="s">
        <v>32</v>
      </c>
      <c r="O202" s="1" t="s">
        <v>33</v>
      </c>
      <c r="P202" s="1" t="s">
        <v>112</v>
      </c>
      <c r="Q202" s="1" t="s">
        <v>112</v>
      </c>
      <c r="R202" s="1" t="s">
        <v>113</v>
      </c>
      <c r="S202" s="1" t="s">
        <v>455</v>
      </c>
      <c r="T202" s="1">
        <v>1.00611486E8</v>
      </c>
      <c r="W202" s="1" t="s">
        <v>456</v>
      </c>
      <c r="X202" s="1" t="s">
        <v>1016</v>
      </c>
    </row>
    <row r="203">
      <c r="A203" s="1" t="s">
        <v>1017</v>
      </c>
      <c r="B203" s="1" t="s">
        <v>241</v>
      </c>
      <c r="C203" s="1" t="s">
        <v>1018</v>
      </c>
      <c r="D203" s="1" t="s">
        <v>28</v>
      </c>
      <c r="E203" s="1" t="s">
        <v>29</v>
      </c>
      <c r="F203" s="5">
        <v>5000000.0</v>
      </c>
      <c r="G203" s="1" t="s">
        <v>479</v>
      </c>
      <c r="H203" s="4">
        <v>43142.0</v>
      </c>
      <c r="I203" s="1" t="s">
        <v>191</v>
      </c>
      <c r="K203" s="1">
        <v>0.0</v>
      </c>
      <c r="L203" s="1" t="s">
        <v>244</v>
      </c>
      <c r="M203" s="1" t="str">
        <f>VLOOKUP(L203,'Copy of PMD Workday Constants -'!B172:Y858,22,false)</f>
        <v>#N/A</v>
      </c>
      <c r="N203" s="1" t="s">
        <v>32</v>
      </c>
      <c r="O203" s="1" t="s">
        <v>33</v>
      </c>
      <c r="P203" s="1" t="s">
        <v>34</v>
      </c>
      <c r="Q203" s="1" t="s">
        <v>34</v>
      </c>
      <c r="R203" s="1" t="s">
        <v>35</v>
      </c>
      <c r="S203" s="1" t="s">
        <v>36</v>
      </c>
      <c r="T203" s="1">
        <v>1.00617853E8</v>
      </c>
      <c r="W203" s="1" t="s">
        <v>37</v>
      </c>
      <c r="X203" s="1" t="s">
        <v>1019</v>
      </c>
    </row>
    <row r="204">
      <c r="A204" s="1" t="s">
        <v>1020</v>
      </c>
      <c r="B204" s="1" t="s">
        <v>77</v>
      </c>
      <c r="C204" s="1" t="s">
        <v>1021</v>
      </c>
      <c r="D204" s="1" t="s">
        <v>51</v>
      </c>
      <c r="E204" s="1" t="s">
        <v>29</v>
      </c>
      <c r="F204" s="1">
        <v>5000000.0</v>
      </c>
      <c r="G204" s="1" t="s">
        <v>479</v>
      </c>
      <c r="H204" s="1" t="s">
        <v>1022</v>
      </c>
      <c r="I204" s="1" t="s">
        <v>80</v>
      </c>
      <c r="K204" s="1">
        <v>0.0</v>
      </c>
      <c r="L204" s="1" t="s">
        <v>1023</v>
      </c>
      <c r="M204" s="1" t="str">
        <f>VLOOKUP(L204,'Copy of PMD Workday Constants -'!B203:W889,22,false)</f>
        <v>LCP</v>
      </c>
      <c r="N204" s="1" t="s">
        <v>32</v>
      </c>
      <c r="O204" s="1" t="s">
        <v>33</v>
      </c>
      <c r="P204" s="1" t="s">
        <v>82</v>
      </c>
      <c r="Q204" s="1" t="s">
        <v>82</v>
      </c>
      <c r="R204" s="1" t="s">
        <v>83</v>
      </c>
      <c r="S204" s="1" t="s">
        <v>84</v>
      </c>
      <c r="T204" s="1">
        <v>1.00619899E8</v>
      </c>
      <c r="W204" s="1" t="s">
        <v>85</v>
      </c>
      <c r="X204" s="1" t="s">
        <v>1023</v>
      </c>
    </row>
    <row r="205">
      <c r="A205" s="1" t="s">
        <v>1024</v>
      </c>
      <c r="B205" s="1" t="s">
        <v>1025</v>
      </c>
      <c r="C205" s="1" t="s">
        <v>1026</v>
      </c>
      <c r="D205" s="1" t="s">
        <v>51</v>
      </c>
      <c r="E205" s="1" t="s">
        <v>29</v>
      </c>
      <c r="F205" s="1">
        <v>5000000.0</v>
      </c>
      <c r="G205" s="1" t="s">
        <v>479</v>
      </c>
      <c r="H205" s="1" t="s">
        <v>1027</v>
      </c>
      <c r="I205" s="1" t="s">
        <v>80</v>
      </c>
      <c r="K205" s="1">
        <v>0.0</v>
      </c>
      <c r="L205" s="1" t="s">
        <v>275</v>
      </c>
      <c r="M205" s="1" t="str">
        <f>VLOOKUP(L205,'Copy of PMD Workday Constants -'!B204:W890,22,false)</f>
        <v>Delivery</v>
      </c>
      <c r="N205" s="1" t="s">
        <v>32</v>
      </c>
      <c r="O205" s="1" t="s">
        <v>33</v>
      </c>
      <c r="P205" s="1" t="s">
        <v>34</v>
      </c>
      <c r="Q205" s="1" t="s">
        <v>34</v>
      </c>
      <c r="R205" s="1" t="s">
        <v>35</v>
      </c>
      <c r="S205" s="1" t="s">
        <v>126</v>
      </c>
      <c r="T205" s="1">
        <v>1.00608828E8</v>
      </c>
      <c r="W205" s="1" t="s">
        <v>47</v>
      </c>
      <c r="X205" s="1" t="s">
        <v>275</v>
      </c>
    </row>
    <row r="206">
      <c r="A206" s="1" t="s">
        <v>1028</v>
      </c>
      <c r="B206" s="1" t="s">
        <v>1029</v>
      </c>
      <c r="C206" s="1" t="s">
        <v>1030</v>
      </c>
      <c r="D206" s="1" t="s">
        <v>28</v>
      </c>
      <c r="E206" s="1" t="s">
        <v>29</v>
      </c>
      <c r="F206" s="1">
        <v>5000000.0</v>
      </c>
      <c r="G206" s="1" t="s">
        <v>479</v>
      </c>
      <c r="H206" s="4">
        <v>44866.0</v>
      </c>
      <c r="I206" s="1" t="s">
        <v>692</v>
      </c>
      <c r="K206" s="1">
        <v>0.0</v>
      </c>
      <c r="L206" s="1" t="s">
        <v>1031</v>
      </c>
      <c r="M206" s="1" t="str">
        <f>VLOOKUP(L206,'Copy of PMD Workday Constants -'!B205:W891,22,false)</f>
        <v>Delivery</v>
      </c>
      <c r="N206" s="1" t="s">
        <v>32</v>
      </c>
      <c r="O206" s="1" t="s">
        <v>33</v>
      </c>
      <c r="P206" s="1" t="s">
        <v>64</v>
      </c>
      <c r="Q206" s="1" t="s">
        <v>64</v>
      </c>
      <c r="R206" s="1" t="s">
        <v>65</v>
      </c>
      <c r="S206" s="1" t="s">
        <v>84</v>
      </c>
      <c r="T206" s="1">
        <v>1.00879751E8</v>
      </c>
      <c r="W206" s="1" t="s">
        <v>85</v>
      </c>
      <c r="X206" s="1" t="s">
        <v>1032</v>
      </c>
    </row>
    <row r="207">
      <c r="A207" s="1" t="s">
        <v>1033</v>
      </c>
      <c r="B207" s="1" t="s">
        <v>1034</v>
      </c>
      <c r="C207" s="1" t="s">
        <v>1035</v>
      </c>
      <c r="D207" s="1" t="s">
        <v>28</v>
      </c>
      <c r="E207" s="1" t="s">
        <v>29</v>
      </c>
      <c r="F207" s="5">
        <v>5000000.0</v>
      </c>
      <c r="G207" s="1" t="s">
        <v>479</v>
      </c>
      <c r="H207" s="1" t="s">
        <v>283</v>
      </c>
      <c r="I207" s="1" t="s">
        <v>661</v>
      </c>
      <c r="K207" s="1">
        <v>0.0</v>
      </c>
      <c r="L207" s="1" t="s">
        <v>1036</v>
      </c>
      <c r="M207" s="1" t="str">
        <f>VLOOKUP(L207,'Copy of PMD Workday Constants -'!B176:Y862,22,false)</f>
        <v>#N/A</v>
      </c>
      <c r="N207" s="1" t="s">
        <v>32</v>
      </c>
      <c r="O207" s="1" t="s">
        <v>33</v>
      </c>
      <c r="P207" s="1" t="s">
        <v>82</v>
      </c>
      <c r="Q207" s="1" t="s">
        <v>82</v>
      </c>
      <c r="R207" s="1" t="s">
        <v>83</v>
      </c>
      <c r="S207" s="1" t="s">
        <v>180</v>
      </c>
      <c r="T207" s="1">
        <v>1.0090037E8</v>
      </c>
      <c r="W207" s="1" t="s">
        <v>85</v>
      </c>
      <c r="X207" s="1" t="s">
        <v>1036</v>
      </c>
    </row>
    <row r="208">
      <c r="A208" s="1" t="s">
        <v>1037</v>
      </c>
      <c r="B208" s="1" t="s">
        <v>489</v>
      </c>
      <c r="C208" s="1" t="s">
        <v>1038</v>
      </c>
      <c r="D208" s="1" t="s">
        <v>28</v>
      </c>
      <c r="E208" s="1" t="s">
        <v>29</v>
      </c>
      <c r="F208" s="5">
        <v>5000000.0</v>
      </c>
      <c r="G208" s="1" t="s">
        <v>479</v>
      </c>
      <c r="H208" s="4">
        <v>44686.0</v>
      </c>
      <c r="I208" s="1" t="s">
        <v>400</v>
      </c>
      <c r="K208" s="1">
        <v>0.0</v>
      </c>
      <c r="L208" s="1" t="s">
        <v>1039</v>
      </c>
      <c r="M208" s="1" t="str">
        <f>VLOOKUP(L208,'Copy of PMD Workday Constants -'!B177:Y863,22,false)</f>
        <v>#N/A</v>
      </c>
      <c r="N208" s="1" t="s">
        <v>32</v>
      </c>
      <c r="O208" s="1" t="s">
        <v>33</v>
      </c>
      <c r="P208" s="1" t="s">
        <v>112</v>
      </c>
      <c r="Q208" s="1" t="s">
        <v>112</v>
      </c>
      <c r="R208" s="1" t="s">
        <v>113</v>
      </c>
      <c r="S208" s="1" t="s">
        <v>134</v>
      </c>
      <c r="T208" s="1">
        <v>1.00633489E8</v>
      </c>
      <c r="W208" s="1" t="s">
        <v>493</v>
      </c>
      <c r="X208" s="1" t="s">
        <v>494</v>
      </c>
    </row>
    <row r="209">
      <c r="A209" s="1" t="s">
        <v>1040</v>
      </c>
      <c r="B209" s="1" t="s">
        <v>1041</v>
      </c>
      <c r="C209" s="1" t="s">
        <v>196</v>
      </c>
      <c r="D209" s="1" t="s">
        <v>51</v>
      </c>
      <c r="E209" s="1" t="s">
        <v>29</v>
      </c>
      <c r="F209" s="5">
        <v>5000000.0</v>
      </c>
      <c r="G209" s="1" t="s">
        <v>479</v>
      </c>
      <c r="H209" s="1" t="s">
        <v>1042</v>
      </c>
      <c r="I209" s="1" t="s">
        <v>104</v>
      </c>
      <c r="K209" s="1">
        <v>0.0</v>
      </c>
      <c r="L209" s="1" t="s">
        <v>198</v>
      </c>
      <c r="M209" s="1" t="str">
        <f>VLOOKUP(L209,'Copy of PMD Workday Constants -'!B178:Y864,22,false)</f>
        <v>#N/A</v>
      </c>
      <c r="N209" s="1" t="s">
        <v>32</v>
      </c>
      <c r="O209" s="1" t="s">
        <v>33</v>
      </c>
      <c r="P209" s="1" t="s">
        <v>82</v>
      </c>
      <c r="Q209" s="1" t="s">
        <v>82</v>
      </c>
      <c r="R209" s="1" t="s">
        <v>83</v>
      </c>
      <c r="S209" s="1" t="s">
        <v>180</v>
      </c>
      <c r="T209" s="1">
        <v>1.00590896E8</v>
      </c>
      <c r="W209" s="1" t="s">
        <v>85</v>
      </c>
      <c r="X209" s="1" t="s">
        <v>199</v>
      </c>
    </row>
    <row r="210">
      <c r="A210" s="1" t="s">
        <v>1043</v>
      </c>
      <c r="B210" s="1" t="s">
        <v>1044</v>
      </c>
      <c r="C210" s="1" t="s">
        <v>1045</v>
      </c>
      <c r="D210" s="1" t="s">
        <v>28</v>
      </c>
      <c r="E210" s="1" t="s">
        <v>29</v>
      </c>
      <c r="F210" s="1">
        <v>5000000.0</v>
      </c>
      <c r="G210" s="1" t="s">
        <v>479</v>
      </c>
      <c r="H210" s="1" t="s">
        <v>526</v>
      </c>
      <c r="I210" s="4">
        <v>44813.0</v>
      </c>
      <c r="K210" s="1">
        <v>0.0</v>
      </c>
      <c r="L210" s="1" t="s">
        <v>415</v>
      </c>
      <c r="M210" s="1" t="str">
        <f>VLOOKUP(L210,'Copy of PMD Workday Constants -'!B209:W895,22,false)</f>
        <v>LCP</v>
      </c>
      <c r="N210" s="1" t="s">
        <v>32</v>
      </c>
      <c r="O210" s="1" t="s">
        <v>33</v>
      </c>
      <c r="P210" s="1" t="s">
        <v>210</v>
      </c>
      <c r="Q210" s="1" t="s">
        <v>210</v>
      </c>
      <c r="R210" s="1" t="s">
        <v>211</v>
      </c>
      <c r="T210" s="1">
        <v>1.00650375E8</v>
      </c>
      <c r="W210" s="1" t="s">
        <v>533</v>
      </c>
      <c r="X210" s="1" t="s">
        <v>415</v>
      </c>
    </row>
    <row r="211">
      <c r="A211" s="1" t="s">
        <v>1046</v>
      </c>
      <c r="B211" s="1" t="s">
        <v>1047</v>
      </c>
      <c r="C211" s="1" t="s">
        <v>1048</v>
      </c>
      <c r="D211" s="1" t="s">
        <v>28</v>
      </c>
      <c r="E211" s="1" t="s">
        <v>29</v>
      </c>
      <c r="F211" s="1">
        <v>5000000.0</v>
      </c>
      <c r="G211" s="1" t="s">
        <v>479</v>
      </c>
      <c r="H211" s="4">
        <v>44656.0</v>
      </c>
      <c r="I211" s="1" t="s">
        <v>302</v>
      </c>
      <c r="K211" s="1">
        <v>0.0</v>
      </c>
      <c r="L211" s="1" t="s">
        <v>1049</v>
      </c>
      <c r="M211" s="1" t="str">
        <f>VLOOKUP(L211,'Copy of PMD Workday Constants -'!B210:W896,22,false)</f>
        <v>LCP</v>
      </c>
      <c r="N211" s="1" t="s">
        <v>32</v>
      </c>
      <c r="O211" s="1" t="s">
        <v>33</v>
      </c>
      <c r="P211" s="1" t="s">
        <v>210</v>
      </c>
      <c r="Q211" s="1" t="s">
        <v>210</v>
      </c>
      <c r="R211" s="1" t="s">
        <v>211</v>
      </c>
      <c r="S211" s="1" t="s">
        <v>297</v>
      </c>
      <c r="T211" s="1">
        <v>1.00650344E8</v>
      </c>
      <c r="W211" s="1" t="s">
        <v>258</v>
      </c>
      <c r="X211" s="1" t="s">
        <v>1050</v>
      </c>
    </row>
    <row r="212">
      <c r="A212" s="1" t="s">
        <v>1051</v>
      </c>
      <c r="B212" s="1" t="s">
        <v>931</v>
      </c>
      <c r="C212" s="1" t="s">
        <v>1052</v>
      </c>
      <c r="D212" s="1" t="s">
        <v>28</v>
      </c>
      <c r="E212" s="1" t="s">
        <v>29</v>
      </c>
      <c r="F212" s="5">
        <v>5000000.0</v>
      </c>
      <c r="G212" s="1" t="s">
        <v>479</v>
      </c>
      <c r="H212" s="4">
        <v>44808.0</v>
      </c>
      <c r="I212" s="1" t="s">
        <v>453</v>
      </c>
      <c r="K212" s="1">
        <v>0.0</v>
      </c>
      <c r="L212" s="1" t="s">
        <v>228</v>
      </c>
      <c r="M212" s="1" t="str">
        <f>VLOOKUP(L212,'Copy of PMD Workday Constants -'!B181:Y867,22,false)</f>
        <v>#N/A</v>
      </c>
      <c r="N212" s="1" t="s">
        <v>32</v>
      </c>
      <c r="O212" s="1" t="s">
        <v>33</v>
      </c>
      <c r="P212" s="1" t="s">
        <v>64</v>
      </c>
      <c r="Q212" s="1" t="s">
        <v>64</v>
      </c>
      <c r="R212" s="1" t="s">
        <v>65</v>
      </c>
      <c r="S212" s="1" t="s">
        <v>229</v>
      </c>
      <c r="T212" s="1">
        <v>1.00650619E8</v>
      </c>
      <c r="W212" s="1" t="s">
        <v>85</v>
      </c>
      <c r="X212" s="1" t="s">
        <v>228</v>
      </c>
    </row>
    <row r="213">
      <c r="A213" s="1" t="s">
        <v>1053</v>
      </c>
      <c r="B213" s="1" t="s">
        <v>299</v>
      </c>
      <c r="C213" s="1" t="s">
        <v>1054</v>
      </c>
      <c r="D213" s="1" t="s">
        <v>51</v>
      </c>
      <c r="E213" s="1" t="s">
        <v>29</v>
      </c>
      <c r="F213" s="5">
        <v>5000000.0</v>
      </c>
      <c r="G213" s="1" t="s">
        <v>479</v>
      </c>
      <c r="H213" s="1" t="s">
        <v>1055</v>
      </c>
      <c r="I213" s="1" t="s">
        <v>302</v>
      </c>
      <c r="K213" s="1">
        <v>0.0</v>
      </c>
      <c r="L213" s="1" t="s">
        <v>265</v>
      </c>
      <c r="M213" s="1" t="str">
        <f>VLOOKUP(L213,'Copy of PMD Workday Constants -'!B182:Y868,22,false)</f>
        <v>Delivery</v>
      </c>
      <c r="N213" s="1" t="s">
        <v>32</v>
      </c>
      <c r="O213" s="1" t="s">
        <v>33</v>
      </c>
      <c r="P213" s="1" t="s">
        <v>112</v>
      </c>
      <c r="Q213" s="1" t="s">
        <v>112</v>
      </c>
      <c r="R213" s="1" t="s">
        <v>113</v>
      </c>
      <c r="S213" s="1" t="s">
        <v>204</v>
      </c>
      <c r="T213" s="1">
        <v>1.00633579E8</v>
      </c>
      <c r="W213" s="1" t="s">
        <v>37</v>
      </c>
      <c r="X213" s="1" t="s">
        <v>1056</v>
      </c>
    </row>
    <row r="214">
      <c r="A214" s="1" t="s">
        <v>1057</v>
      </c>
      <c r="B214" s="1" t="s">
        <v>1058</v>
      </c>
      <c r="C214" s="1" t="s">
        <v>1059</v>
      </c>
      <c r="D214" s="1" t="s">
        <v>51</v>
      </c>
      <c r="E214" s="1" t="s">
        <v>29</v>
      </c>
      <c r="F214" s="1">
        <v>5000000.0</v>
      </c>
      <c r="G214" s="1" t="s">
        <v>479</v>
      </c>
      <c r="H214" s="4">
        <v>44653.0</v>
      </c>
      <c r="I214" s="1" t="s">
        <v>1060</v>
      </c>
      <c r="K214" s="1">
        <v>0.0</v>
      </c>
      <c r="L214" s="1" t="s">
        <v>806</v>
      </c>
      <c r="M214" s="1" t="str">
        <f>VLOOKUP(L214,'Copy of PMD Workday Constants -'!B213:W899,22,false)</f>
        <v>Delivery</v>
      </c>
      <c r="N214" s="1" t="s">
        <v>32</v>
      </c>
      <c r="O214" s="1" t="s">
        <v>33</v>
      </c>
      <c r="P214" s="1" t="s">
        <v>173</v>
      </c>
      <c r="Q214" s="1" t="s">
        <v>173</v>
      </c>
      <c r="R214" s="1" t="s">
        <v>174</v>
      </c>
      <c r="S214" s="1" t="s">
        <v>612</v>
      </c>
      <c r="T214" s="1">
        <v>1.00581784E8</v>
      </c>
      <c r="W214" s="1" t="s">
        <v>147</v>
      </c>
      <c r="X214" s="1" t="s">
        <v>806</v>
      </c>
    </row>
    <row r="215">
      <c r="A215" s="1" t="s">
        <v>1061</v>
      </c>
      <c r="B215" s="1" t="s">
        <v>1062</v>
      </c>
      <c r="C215" s="1" t="s">
        <v>1063</v>
      </c>
      <c r="D215" s="1" t="s">
        <v>51</v>
      </c>
      <c r="E215" s="1" t="s">
        <v>29</v>
      </c>
      <c r="F215" s="1">
        <v>5000000.0</v>
      </c>
      <c r="G215" s="1" t="s">
        <v>479</v>
      </c>
      <c r="H215" s="1" t="s">
        <v>1064</v>
      </c>
      <c r="I215" s="1" t="s">
        <v>152</v>
      </c>
      <c r="K215" s="1">
        <v>0.0</v>
      </c>
      <c r="L215" s="1" t="s">
        <v>1065</v>
      </c>
      <c r="M215" s="1" t="str">
        <f>VLOOKUP(L215,'Copy of PMD Workday Constants -'!B214:W900,22,false)</f>
        <v>Delivery</v>
      </c>
      <c r="N215" s="1" t="s">
        <v>32</v>
      </c>
      <c r="O215" s="1" t="s">
        <v>33</v>
      </c>
      <c r="P215" s="1" t="s">
        <v>173</v>
      </c>
      <c r="Q215" s="1" t="s">
        <v>173</v>
      </c>
      <c r="R215" s="1" t="s">
        <v>174</v>
      </c>
      <c r="S215" s="1" t="s">
        <v>134</v>
      </c>
      <c r="T215" s="1">
        <v>1.00594872E8</v>
      </c>
      <c r="W215" s="1" t="s">
        <v>493</v>
      </c>
      <c r="X215" s="1" t="s">
        <v>1065</v>
      </c>
    </row>
    <row r="216">
      <c r="A216" s="1" t="s">
        <v>1066</v>
      </c>
      <c r="B216" s="1" t="s">
        <v>610</v>
      </c>
      <c r="C216" s="1" t="s">
        <v>1067</v>
      </c>
      <c r="D216" s="1" t="s">
        <v>51</v>
      </c>
      <c r="E216" s="1" t="s">
        <v>29</v>
      </c>
      <c r="F216" s="5">
        <v>5000000.0</v>
      </c>
      <c r="G216" s="1" t="s">
        <v>479</v>
      </c>
      <c r="H216" s="1" t="s">
        <v>306</v>
      </c>
      <c r="I216" s="1" t="s">
        <v>217</v>
      </c>
      <c r="K216" s="1">
        <v>0.0</v>
      </c>
      <c r="L216" s="1" t="s">
        <v>265</v>
      </c>
      <c r="M216" s="1" t="str">
        <f>VLOOKUP(L216,'Copy of PMD Workday Constants -'!B185:Y871,22,false)</f>
        <v>Delivery</v>
      </c>
      <c r="N216" s="1" t="s">
        <v>32</v>
      </c>
      <c r="O216" s="1" t="s">
        <v>33</v>
      </c>
      <c r="P216" s="1" t="s">
        <v>112</v>
      </c>
      <c r="Q216" s="1" t="s">
        <v>112</v>
      </c>
      <c r="R216" s="1" t="s">
        <v>113</v>
      </c>
      <c r="S216" s="1" t="s">
        <v>204</v>
      </c>
      <c r="T216" s="1">
        <v>1.00633579E8</v>
      </c>
      <c r="W216" s="1" t="s">
        <v>258</v>
      </c>
      <c r="X216" s="1" t="s">
        <v>1068</v>
      </c>
    </row>
    <row r="217">
      <c r="A217" s="1" t="s">
        <v>1069</v>
      </c>
      <c r="B217" s="1" t="s">
        <v>965</v>
      </c>
      <c r="C217" s="1" t="s">
        <v>1070</v>
      </c>
      <c r="D217" s="1" t="s">
        <v>51</v>
      </c>
      <c r="E217" s="1" t="s">
        <v>29</v>
      </c>
      <c r="F217" s="1">
        <v>5000000.0</v>
      </c>
      <c r="G217" s="1" t="s">
        <v>479</v>
      </c>
      <c r="H217" s="4">
        <v>44774.0</v>
      </c>
      <c r="I217" s="1" t="s">
        <v>227</v>
      </c>
      <c r="K217" s="1">
        <v>0.0</v>
      </c>
      <c r="L217" s="1" t="s">
        <v>967</v>
      </c>
      <c r="M217" s="1" t="str">
        <f>VLOOKUP(L217,'Copy of PMD Workday Constants -'!B216:W902,22,false)</f>
        <v>Delivery</v>
      </c>
      <c r="N217" s="1" t="s">
        <v>32</v>
      </c>
      <c r="O217" s="1" t="s">
        <v>33</v>
      </c>
      <c r="P217" s="1" t="s">
        <v>210</v>
      </c>
      <c r="Q217" s="1" t="s">
        <v>210</v>
      </c>
      <c r="R217" s="1" t="s">
        <v>211</v>
      </c>
      <c r="S217" s="1" t="s">
        <v>416</v>
      </c>
      <c r="T217" s="1">
        <v>1.00608243E8</v>
      </c>
      <c r="W217" s="1" t="s">
        <v>56</v>
      </c>
      <c r="X217" s="1" t="s">
        <v>968</v>
      </c>
    </row>
    <row r="218">
      <c r="A218" s="1" t="s">
        <v>1071</v>
      </c>
      <c r="B218" s="1" t="s">
        <v>1072</v>
      </c>
      <c r="C218" s="1" t="s">
        <v>1073</v>
      </c>
      <c r="D218" s="1" t="s">
        <v>28</v>
      </c>
      <c r="E218" s="1" t="s">
        <v>29</v>
      </c>
      <c r="F218" s="1">
        <v>5000000.0</v>
      </c>
      <c r="G218" s="1" t="s">
        <v>479</v>
      </c>
      <c r="H218" s="1" t="s">
        <v>1074</v>
      </c>
      <c r="I218" s="4">
        <v>44927.0</v>
      </c>
      <c r="K218" s="1">
        <v>0.0</v>
      </c>
      <c r="L218" s="1" t="s">
        <v>1075</v>
      </c>
      <c r="M218" s="1" t="str">
        <f>VLOOKUP(L218,'Copy of PMD Workday Constants -'!B217:W903,22,false)</f>
        <v>Delivery</v>
      </c>
      <c r="N218" s="1" t="s">
        <v>32</v>
      </c>
      <c r="O218" s="1" t="s">
        <v>33</v>
      </c>
      <c r="P218" s="1" t="s">
        <v>34</v>
      </c>
      <c r="Q218" s="1" t="s">
        <v>34</v>
      </c>
      <c r="R218" s="1" t="s">
        <v>35</v>
      </c>
      <c r="S218" s="1" t="s">
        <v>36</v>
      </c>
      <c r="T218" s="1">
        <v>1.00601386E8</v>
      </c>
      <c r="W218" s="1" t="s">
        <v>91</v>
      </c>
      <c r="X218" s="1" t="s">
        <v>1075</v>
      </c>
    </row>
    <row r="219">
      <c r="A219" s="1" t="s">
        <v>1076</v>
      </c>
      <c r="B219" s="1" t="s">
        <v>879</v>
      </c>
      <c r="C219" s="1" t="s">
        <v>1077</v>
      </c>
      <c r="D219" s="1" t="s">
        <v>51</v>
      </c>
      <c r="E219" s="1" t="s">
        <v>29</v>
      </c>
      <c r="F219" s="1">
        <v>5000000.0</v>
      </c>
      <c r="G219" s="1" t="s">
        <v>479</v>
      </c>
      <c r="H219" s="1" t="s">
        <v>1078</v>
      </c>
      <c r="I219" s="4">
        <v>44570.0</v>
      </c>
      <c r="K219" s="1">
        <v>0.0</v>
      </c>
      <c r="L219" s="1" t="s">
        <v>415</v>
      </c>
      <c r="M219" s="1" t="str">
        <f>VLOOKUP(L219,'Copy of PMD Workday Constants -'!B218:W904,22,false)</f>
        <v>LCP</v>
      </c>
      <c r="N219" s="1" t="s">
        <v>32</v>
      </c>
      <c r="O219" s="1" t="s">
        <v>33</v>
      </c>
      <c r="P219" s="1" t="s">
        <v>210</v>
      </c>
      <c r="Q219" s="1" t="s">
        <v>210</v>
      </c>
      <c r="R219" s="1" t="s">
        <v>211</v>
      </c>
      <c r="S219" s="1" t="s">
        <v>73</v>
      </c>
      <c r="T219" s="1">
        <v>1.00650375E8</v>
      </c>
      <c r="W219" s="1" t="s">
        <v>37</v>
      </c>
      <c r="X219" s="1" t="s">
        <v>415</v>
      </c>
    </row>
    <row r="220">
      <c r="A220" s="1" t="s">
        <v>1079</v>
      </c>
      <c r="B220" s="1" t="s">
        <v>1080</v>
      </c>
      <c r="C220" s="1" t="s">
        <v>1081</v>
      </c>
      <c r="D220" s="1" t="s">
        <v>28</v>
      </c>
      <c r="E220" s="1" t="s">
        <v>29</v>
      </c>
      <c r="F220" s="5">
        <v>5000000.0</v>
      </c>
      <c r="G220" s="1" t="s">
        <v>479</v>
      </c>
      <c r="H220" s="1" t="s">
        <v>1082</v>
      </c>
      <c r="I220" s="4">
        <v>44569.0</v>
      </c>
      <c r="K220" s="1">
        <v>0.0</v>
      </c>
      <c r="L220" s="1" t="s">
        <v>1083</v>
      </c>
      <c r="M220" s="1" t="str">
        <f>VLOOKUP(L220,'Copy of PMD Workday Constants -'!B189:Y875,22,false)</f>
        <v>#N/A</v>
      </c>
      <c r="N220" s="1" t="s">
        <v>32</v>
      </c>
      <c r="O220" s="1" t="s">
        <v>33</v>
      </c>
      <c r="P220" s="1" t="s">
        <v>82</v>
      </c>
      <c r="Q220" s="1" t="s">
        <v>82</v>
      </c>
      <c r="R220" s="1" t="s">
        <v>83</v>
      </c>
      <c r="S220" s="1" t="s">
        <v>180</v>
      </c>
      <c r="T220" s="1">
        <v>1.01131115E8</v>
      </c>
      <c r="W220" s="1" t="s">
        <v>85</v>
      </c>
      <c r="X220" s="1" t="s">
        <v>1083</v>
      </c>
    </row>
    <row r="221">
      <c r="A221" s="1" t="s">
        <v>1084</v>
      </c>
      <c r="B221" s="1" t="s">
        <v>1085</v>
      </c>
      <c r="C221" s="1" t="s">
        <v>1086</v>
      </c>
      <c r="D221" s="1" t="s">
        <v>28</v>
      </c>
      <c r="E221" s="1" t="s">
        <v>29</v>
      </c>
      <c r="F221" s="1">
        <v>5000000.0</v>
      </c>
      <c r="G221" s="1" t="s">
        <v>479</v>
      </c>
      <c r="H221" s="1" t="s">
        <v>537</v>
      </c>
      <c r="I221" s="1" t="s">
        <v>166</v>
      </c>
      <c r="K221" s="1">
        <v>0.0</v>
      </c>
      <c r="L221" s="1" t="s">
        <v>1087</v>
      </c>
      <c r="M221" s="1" t="str">
        <f>VLOOKUP(L221,'Copy of PMD Workday Constants -'!B220:W906,22,false)</f>
        <v>LCP</v>
      </c>
      <c r="N221" s="1" t="s">
        <v>32</v>
      </c>
      <c r="O221" s="1" t="s">
        <v>33</v>
      </c>
      <c r="P221" s="1" t="s">
        <v>112</v>
      </c>
      <c r="Q221" s="1" t="s">
        <v>112</v>
      </c>
      <c r="R221" s="1" t="s">
        <v>113</v>
      </c>
      <c r="S221" s="1" t="s">
        <v>307</v>
      </c>
      <c r="T221" s="1">
        <v>1.00634994E8</v>
      </c>
      <c r="W221" s="1" t="s">
        <v>308</v>
      </c>
      <c r="X221" s="1" t="s">
        <v>1088</v>
      </c>
    </row>
    <row r="222">
      <c r="A222" s="1" t="s">
        <v>1089</v>
      </c>
      <c r="B222" s="1" t="s">
        <v>1090</v>
      </c>
      <c r="C222" s="1" t="s">
        <v>1091</v>
      </c>
      <c r="D222" s="1" t="s">
        <v>28</v>
      </c>
      <c r="E222" s="1" t="s">
        <v>29</v>
      </c>
      <c r="F222" s="1">
        <v>5000000.0</v>
      </c>
      <c r="G222" s="1" t="s">
        <v>479</v>
      </c>
      <c r="H222" s="4">
        <v>43747.0</v>
      </c>
      <c r="I222" s="1" t="s">
        <v>302</v>
      </c>
      <c r="K222" s="1">
        <v>0.0</v>
      </c>
      <c r="L222" s="1" t="s">
        <v>415</v>
      </c>
      <c r="M222" s="1" t="str">
        <f>VLOOKUP(L222,'Copy of PMD Workday Constants -'!B221:W907,22,false)</f>
        <v>LCP</v>
      </c>
      <c r="N222" s="1" t="s">
        <v>32</v>
      </c>
      <c r="O222" s="1" t="s">
        <v>33</v>
      </c>
      <c r="P222" s="1" t="s">
        <v>210</v>
      </c>
      <c r="Q222" s="1" t="s">
        <v>210</v>
      </c>
      <c r="R222" s="1" t="s">
        <v>211</v>
      </c>
      <c r="S222" s="1" t="s">
        <v>134</v>
      </c>
      <c r="T222" s="1">
        <v>1.00650375E8</v>
      </c>
      <c r="W222" s="1" t="s">
        <v>74</v>
      </c>
      <c r="X222" s="1" t="s">
        <v>415</v>
      </c>
    </row>
    <row r="223">
      <c r="A223" s="1" t="s">
        <v>1092</v>
      </c>
      <c r="B223" s="1" t="s">
        <v>868</v>
      </c>
      <c r="C223" s="1" t="s">
        <v>1093</v>
      </c>
      <c r="D223" s="1" t="s">
        <v>103</v>
      </c>
      <c r="E223" s="1" t="s">
        <v>29</v>
      </c>
      <c r="F223" s="5">
        <v>5000000.0</v>
      </c>
      <c r="G223" s="1" t="s">
        <v>479</v>
      </c>
      <c r="H223" s="1" t="s">
        <v>330</v>
      </c>
      <c r="I223" s="1" t="s">
        <v>248</v>
      </c>
      <c r="K223" s="1">
        <v>0.0</v>
      </c>
      <c r="L223" s="1" t="s">
        <v>871</v>
      </c>
      <c r="M223" s="1" t="str">
        <f>VLOOKUP(L223,'Copy of PMD Workday Constants -'!B192:Y878,22,false)</f>
        <v>LCP</v>
      </c>
      <c r="N223" s="1" t="s">
        <v>32</v>
      </c>
      <c r="O223" s="1" t="s">
        <v>33</v>
      </c>
      <c r="P223" s="1" t="s">
        <v>64</v>
      </c>
      <c r="Q223" s="1" t="s">
        <v>64</v>
      </c>
      <c r="R223" s="1" t="s">
        <v>65</v>
      </c>
      <c r="T223" s="1">
        <v>1.00653785E8</v>
      </c>
      <c r="W223" s="1" t="s">
        <v>287</v>
      </c>
      <c r="X223" s="1" t="s">
        <v>1094</v>
      </c>
    </row>
    <row r="224">
      <c r="A224" s="1" t="s">
        <v>1095</v>
      </c>
      <c r="B224" s="1" t="s">
        <v>1096</v>
      </c>
      <c r="C224" s="1" t="s">
        <v>1097</v>
      </c>
      <c r="D224" s="1" t="s">
        <v>51</v>
      </c>
      <c r="E224" s="1" t="s">
        <v>29</v>
      </c>
      <c r="F224" s="5">
        <v>5000000.0</v>
      </c>
      <c r="G224" s="1" t="s">
        <v>479</v>
      </c>
      <c r="H224" s="4">
        <v>44208.0</v>
      </c>
      <c r="I224" s="1" t="s">
        <v>264</v>
      </c>
      <c r="K224" s="1">
        <v>0.0</v>
      </c>
      <c r="L224" s="1" t="s">
        <v>1098</v>
      </c>
      <c r="M224" s="1" t="str">
        <f>VLOOKUP(L224,'Copy of PMD Workday Constants -'!B193:Y879,22,false)</f>
        <v>#N/A</v>
      </c>
      <c r="N224" s="1" t="s">
        <v>32</v>
      </c>
      <c r="O224" s="1" t="s">
        <v>33</v>
      </c>
      <c r="P224" s="1" t="s">
        <v>173</v>
      </c>
      <c r="Q224" s="1" t="s">
        <v>173</v>
      </c>
      <c r="R224" s="1" t="s">
        <v>174</v>
      </c>
      <c r="S224" s="1" t="s">
        <v>383</v>
      </c>
      <c r="T224" s="1">
        <v>1.00609827E8</v>
      </c>
      <c r="W224" s="1" t="s">
        <v>456</v>
      </c>
      <c r="X224" s="1" t="s">
        <v>1098</v>
      </c>
    </row>
    <row r="225">
      <c r="A225" s="1" t="s">
        <v>1099</v>
      </c>
      <c r="B225" s="1" t="s">
        <v>93</v>
      </c>
      <c r="C225" s="1" t="s">
        <v>1100</v>
      </c>
      <c r="D225" s="1" t="s">
        <v>103</v>
      </c>
      <c r="E225" s="1" t="s">
        <v>29</v>
      </c>
      <c r="F225" s="1">
        <v>5000000.0</v>
      </c>
      <c r="G225" s="1" t="s">
        <v>479</v>
      </c>
      <c r="H225" s="4">
        <v>44718.0</v>
      </c>
      <c r="I225" s="1" t="s">
        <v>661</v>
      </c>
      <c r="K225" s="1">
        <v>0.0</v>
      </c>
      <c r="L225" s="1" t="s">
        <v>97</v>
      </c>
      <c r="M225" s="1" t="str">
        <f>VLOOKUP(L225,'Copy of PMD Workday Constants -'!B224:W910,22,false)</f>
        <v>Delivery</v>
      </c>
      <c r="N225" s="1" t="s">
        <v>32</v>
      </c>
      <c r="O225" s="1" t="s">
        <v>33</v>
      </c>
      <c r="P225" s="1" t="s">
        <v>64</v>
      </c>
      <c r="Q225" s="1" t="s">
        <v>64</v>
      </c>
      <c r="R225" s="1" t="s">
        <v>65</v>
      </c>
      <c r="T225" s="1">
        <v>1.00653539E8</v>
      </c>
      <c r="W225" s="1" t="s">
        <v>56</v>
      </c>
      <c r="X225" s="1" t="s">
        <v>1101</v>
      </c>
    </row>
    <row r="226">
      <c r="A226" s="1" t="s">
        <v>1102</v>
      </c>
      <c r="B226" s="1" t="s">
        <v>1103</v>
      </c>
      <c r="C226" s="1" t="s">
        <v>1104</v>
      </c>
      <c r="D226" s="1" t="s">
        <v>28</v>
      </c>
      <c r="E226" s="1" t="s">
        <v>29</v>
      </c>
      <c r="F226" s="1">
        <v>5000000.0</v>
      </c>
      <c r="G226" s="1" t="s">
        <v>479</v>
      </c>
      <c r="H226" s="4">
        <v>44595.0</v>
      </c>
      <c r="I226" s="1" t="s">
        <v>302</v>
      </c>
      <c r="K226" s="1">
        <v>0.0</v>
      </c>
      <c r="L226" s="1" t="s">
        <v>382</v>
      </c>
      <c r="M226" s="1" t="str">
        <f>VLOOKUP(L226,'Copy of PMD Workday Constants -'!B225:W911,22,false)</f>
        <v>Delivery</v>
      </c>
      <c r="N226" s="1" t="s">
        <v>32</v>
      </c>
      <c r="O226" s="1" t="s">
        <v>33</v>
      </c>
      <c r="P226" s="1" t="s">
        <v>34</v>
      </c>
      <c r="Q226" s="1" t="s">
        <v>34</v>
      </c>
      <c r="R226" s="1" t="s">
        <v>35</v>
      </c>
      <c r="S226" s="1" t="s">
        <v>126</v>
      </c>
      <c r="T226" s="1">
        <v>1.0059112E8</v>
      </c>
      <c r="W226" s="1" t="s">
        <v>47</v>
      </c>
      <c r="X226" s="1" t="s">
        <v>384</v>
      </c>
    </row>
    <row r="227">
      <c r="A227" s="1" t="s">
        <v>1105</v>
      </c>
      <c r="B227" s="1" t="s">
        <v>1106</v>
      </c>
      <c r="C227" s="1" t="s">
        <v>1107</v>
      </c>
      <c r="D227" s="1" t="s">
        <v>28</v>
      </c>
      <c r="E227" s="1" t="s">
        <v>29</v>
      </c>
      <c r="F227" s="1">
        <v>5000000.0</v>
      </c>
      <c r="G227" s="1" t="s">
        <v>479</v>
      </c>
      <c r="H227" s="4">
        <v>44623.0</v>
      </c>
      <c r="I227" s="1" t="s">
        <v>191</v>
      </c>
      <c r="K227" s="1">
        <v>0.0</v>
      </c>
      <c r="L227" s="1" t="s">
        <v>382</v>
      </c>
      <c r="M227" s="1" t="str">
        <f>VLOOKUP(L227,'Copy of PMD Workday Constants -'!B226:W912,22,false)</f>
        <v>Delivery</v>
      </c>
      <c r="N227" s="1" t="s">
        <v>32</v>
      </c>
      <c r="O227" s="1" t="s">
        <v>33</v>
      </c>
      <c r="P227" s="1" t="s">
        <v>34</v>
      </c>
      <c r="Q227" s="1" t="s">
        <v>34</v>
      </c>
      <c r="R227" s="1" t="s">
        <v>35</v>
      </c>
      <c r="S227" s="1" t="s">
        <v>383</v>
      </c>
      <c r="T227" s="1">
        <v>1.0059112E8</v>
      </c>
      <c r="W227" s="1" t="s">
        <v>140</v>
      </c>
      <c r="X227" s="1" t="s">
        <v>384</v>
      </c>
    </row>
    <row r="228">
      <c r="A228" s="1" t="s">
        <v>1108</v>
      </c>
      <c r="B228" s="1" t="s">
        <v>1109</v>
      </c>
      <c r="C228" s="1" t="s">
        <v>1110</v>
      </c>
      <c r="D228" s="1" t="s">
        <v>51</v>
      </c>
      <c r="E228" s="1" t="s">
        <v>29</v>
      </c>
      <c r="F228" s="1">
        <v>5000000.0</v>
      </c>
      <c r="G228" s="1" t="s">
        <v>479</v>
      </c>
      <c r="H228" s="4">
        <v>44478.0</v>
      </c>
      <c r="I228" s="1" t="s">
        <v>302</v>
      </c>
      <c r="K228" s="1">
        <v>0.0</v>
      </c>
      <c r="L228" s="1" t="s">
        <v>81</v>
      </c>
      <c r="M228" s="1" t="str">
        <f>VLOOKUP(L228,'Copy of PMD Workday Constants -'!B227:W913,22,false)</f>
        <v>LCP</v>
      </c>
      <c r="N228" s="1" t="s">
        <v>32</v>
      </c>
      <c r="O228" s="1" t="s">
        <v>33</v>
      </c>
      <c r="P228" s="1" t="s">
        <v>82</v>
      </c>
      <c r="Q228" s="1" t="s">
        <v>82</v>
      </c>
      <c r="R228" s="1" t="s">
        <v>83</v>
      </c>
      <c r="S228" s="1" t="s">
        <v>84</v>
      </c>
      <c r="T228" s="1">
        <v>1.00640331E8</v>
      </c>
      <c r="W228" s="1" t="s">
        <v>85</v>
      </c>
      <c r="X228" s="1" t="s">
        <v>81</v>
      </c>
    </row>
    <row r="229">
      <c r="A229" s="1" t="s">
        <v>1111</v>
      </c>
      <c r="B229" s="1" t="s">
        <v>1112</v>
      </c>
      <c r="C229" s="1" t="s">
        <v>1113</v>
      </c>
      <c r="D229" s="1" t="s">
        <v>51</v>
      </c>
      <c r="E229" s="1" t="s">
        <v>29</v>
      </c>
      <c r="F229" s="5">
        <v>4903000.0</v>
      </c>
      <c r="G229" s="1" t="s">
        <v>1114</v>
      </c>
      <c r="H229" s="4">
        <v>44871.0</v>
      </c>
      <c r="I229" s="1" t="s">
        <v>132</v>
      </c>
      <c r="K229" s="1">
        <v>0.0</v>
      </c>
      <c r="L229" s="1" t="s">
        <v>1115</v>
      </c>
      <c r="M229" s="1" t="str">
        <f>VLOOKUP(L229,'Copy of PMD Workday Constants -'!B198:Y884,22,false)</f>
        <v>#N/A</v>
      </c>
      <c r="N229" s="1" t="s">
        <v>32</v>
      </c>
      <c r="O229" s="1" t="s">
        <v>33</v>
      </c>
      <c r="P229" s="1" t="s">
        <v>210</v>
      </c>
      <c r="Q229" s="1" t="s">
        <v>210</v>
      </c>
      <c r="R229" s="1" t="s">
        <v>211</v>
      </c>
      <c r="S229" s="1" t="s">
        <v>416</v>
      </c>
      <c r="T229" s="1">
        <v>1.00649215E8</v>
      </c>
      <c r="W229" s="1" t="s">
        <v>56</v>
      </c>
      <c r="X229" s="1" t="s">
        <v>1116</v>
      </c>
    </row>
    <row r="230">
      <c r="A230" s="1" t="s">
        <v>1117</v>
      </c>
      <c r="B230" s="1" t="s">
        <v>1118</v>
      </c>
      <c r="C230" s="1" t="s">
        <v>1119</v>
      </c>
      <c r="D230" s="1" t="s">
        <v>79</v>
      </c>
      <c r="E230" s="1" t="s">
        <v>29</v>
      </c>
      <c r="F230" s="1">
        <v>4900000.0</v>
      </c>
      <c r="G230" s="1" t="s">
        <v>1114</v>
      </c>
      <c r="H230" s="4">
        <v>44836.0</v>
      </c>
      <c r="I230" s="4">
        <v>44568.0</v>
      </c>
      <c r="K230" s="1">
        <v>0.0</v>
      </c>
      <c r="L230" s="1" t="s">
        <v>1120</v>
      </c>
      <c r="M230" s="1" t="str">
        <f>VLOOKUP(L230,'Copy of PMD Workday Constants -'!B229:W915,22,false)</f>
        <v>Delivery</v>
      </c>
      <c r="N230" s="1" t="s">
        <v>32</v>
      </c>
      <c r="O230" s="1" t="s">
        <v>33</v>
      </c>
      <c r="P230" s="1" t="s">
        <v>82</v>
      </c>
      <c r="Q230" s="1" t="s">
        <v>82</v>
      </c>
      <c r="R230" s="1" t="s">
        <v>83</v>
      </c>
      <c r="S230" s="1" t="s">
        <v>180</v>
      </c>
      <c r="T230" s="1">
        <v>1.00603613E8</v>
      </c>
      <c r="U230" s="1" t="s">
        <v>1121</v>
      </c>
      <c r="V230" s="1" t="s">
        <v>346</v>
      </c>
      <c r="W230" s="1" t="s">
        <v>85</v>
      </c>
      <c r="X230" s="1" t="s">
        <v>1120</v>
      </c>
    </row>
    <row r="231">
      <c r="A231" s="1" t="s">
        <v>1122</v>
      </c>
      <c r="B231" s="1" t="s">
        <v>819</v>
      </c>
      <c r="C231" s="1" t="s">
        <v>1123</v>
      </c>
      <c r="D231" s="1" t="s">
        <v>103</v>
      </c>
      <c r="E231" s="1" t="s">
        <v>29</v>
      </c>
      <c r="F231" s="5">
        <v>4800000.0</v>
      </c>
      <c r="G231" s="1" t="s">
        <v>1114</v>
      </c>
      <c r="H231" s="1" t="s">
        <v>1124</v>
      </c>
      <c r="I231" s="1" t="s">
        <v>104</v>
      </c>
      <c r="K231" s="1">
        <v>0.0</v>
      </c>
      <c r="L231" s="1" t="s">
        <v>821</v>
      </c>
      <c r="M231" s="1" t="str">
        <f>VLOOKUP(L231,'Copy of PMD Workday Constants -'!B200:Y886,22,false)</f>
        <v>#N/A</v>
      </c>
      <c r="N231" s="1" t="s">
        <v>32</v>
      </c>
      <c r="O231" s="1" t="s">
        <v>33</v>
      </c>
      <c r="P231" s="1" t="s">
        <v>210</v>
      </c>
      <c r="Q231" s="1" t="s">
        <v>210</v>
      </c>
      <c r="R231" s="1" t="s">
        <v>211</v>
      </c>
      <c r="S231" s="1" t="s">
        <v>297</v>
      </c>
      <c r="T231" s="1">
        <v>1.00647674E8</v>
      </c>
      <c r="W231" s="1" t="s">
        <v>258</v>
      </c>
      <c r="X231" s="1" t="s">
        <v>1125</v>
      </c>
    </row>
    <row r="232">
      <c r="A232" s="1" t="s">
        <v>1126</v>
      </c>
      <c r="B232" s="1" t="s">
        <v>787</v>
      </c>
      <c r="C232" s="1" t="s">
        <v>1127</v>
      </c>
      <c r="D232" s="1" t="s">
        <v>28</v>
      </c>
      <c r="E232" s="1" t="s">
        <v>29</v>
      </c>
      <c r="F232" s="5">
        <v>4650000.0</v>
      </c>
      <c r="G232" s="1" t="s">
        <v>1114</v>
      </c>
      <c r="H232" s="4">
        <v>44389.0</v>
      </c>
      <c r="I232" s="1" t="s">
        <v>104</v>
      </c>
      <c r="K232" s="1">
        <v>0.0</v>
      </c>
      <c r="L232" s="1" t="s">
        <v>790</v>
      </c>
      <c r="M232" s="1" t="str">
        <f>VLOOKUP(L232,'Copy of PMD Workday Constants -'!B201:Y887,22,false)</f>
        <v>#N/A</v>
      </c>
      <c r="N232" s="1" t="s">
        <v>32</v>
      </c>
      <c r="O232" s="1" t="s">
        <v>33</v>
      </c>
      <c r="P232" s="1" t="s">
        <v>64</v>
      </c>
      <c r="Q232" s="1" t="s">
        <v>64</v>
      </c>
      <c r="R232" s="1" t="s">
        <v>65</v>
      </c>
      <c r="S232" s="1" t="s">
        <v>791</v>
      </c>
      <c r="T232" s="1">
        <v>1.00661738E8</v>
      </c>
      <c r="U232" s="1" t="s">
        <v>792</v>
      </c>
      <c r="V232" s="1" t="s">
        <v>187</v>
      </c>
      <c r="W232" s="1" t="s">
        <v>456</v>
      </c>
      <c r="X232" s="1" t="s">
        <v>790</v>
      </c>
    </row>
    <row r="233">
      <c r="A233" s="1" t="s">
        <v>1128</v>
      </c>
      <c r="B233" s="1" t="s">
        <v>931</v>
      </c>
      <c r="C233" s="1" t="s">
        <v>1129</v>
      </c>
      <c r="D233" s="1" t="s">
        <v>79</v>
      </c>
      <c r="E233" s="1" t="s">
        <v>29</v>
      </c>
      <c r="F233" s="1">
        <v>4646998.0</v>
      </c>
      <c r="G233" s="1" t="s">
        <v>1114</v>
      </c>
      <c r="H233" s="4">
        <v>44173.0</v>
      </c>
      <c r="I233" s="1" t="s">
        <v>810</v>
      </c>
      <c r="K233" s="1">
        <v>0.0</v>
      </c>
      <c r="L233" s="1" t="s">
        <v>1130</v>
      </c>
      <c r="M233" s="1" t="str">
        <f>VLOOKUP(L233,'Copy of PMD Workday Constants -'!B232:W918,22,false)</f>
        <v>LCP</v>
      </c>
      <c r="N233" s="1" t="s">
        <v>32</v>
      </c>
      <c r="O233" s="1" t="s">
        <v>33</v>
      </c>
      <c r="P233" s="1" t="s">
        <v>64</v>
      </c>
      <c r="Q233" s="1" t="s">
        <v>64</v>
      </c>
      <c r="R233" s="1" t="s">
        <v>65</v>
      </c>
      <c r="S233" s="1" t="s">
        <v>229</v>
      </c>
      <c r="T233" s="1">
        <v>1.00651298E8</v>
      </c>
      <c r="V233" s="1" t="s">
        <v>422</v>
      </c>
      <c r="W233" s="1" t="s">
        <v>85</v>
      </c>
      <c r="X233" s="1" t="s">
        <v>1130</v>
      </c>
    </row>
    <row r="234">
      <c r="A234" s="1" t="s">
        <v>1131</v>
      </c>
      <c r="B234" s="1" t="s">
        <v>1132</v>
      </c>
      <c r="C234" s="1" t="s">
        <v>1133</v>
      </c>
      <c r="D234" s="1" t="s">
        <v>28</v>
      </c>
      <c r="E234" s="1" t="s">
        <v>29</v>
      </c>
      <c r="F234" s="5">
        <v>4500000.0</v>
      </c>
      <c r="G234" s="1" t="s">
        <v>1114</v>
      </c>
      <c r="H234" s="4">
        <v>44897.0</v>
      </c>
      <c r="I234" s="1" t="s">
        <v>1134</v>
      </c>
      <c r="K234" s="1">
        <v>0.0</v>
      </c>
      <c r="L234" s="1" t="s">
        <v>728</v>
      </c>
      <c r="M234" s="1" t="str">
        <f>VLOOKUP(L234,'Copy of PMD Workday Constants -'!B203:Y889,22,false)</f>
        <v>#N/A</v>
      </c>
      <c r="N234" s="1" t="s">
        <v>32</v>
      </c>
      <c r="O234" s="1" t="s">
        <v>33</v>
      </c>
      <c r="P234" s="1" t="s">
        <v>210</v>
      </c>
      <c r="Q234" s="1" t="s">
        <v>210</v>
      </c>
      <c r="R234" s="1" t="s">
        <v>211</v>
      </c>
      <c r="S234" s="1" t="s">
        <v>212</v>
      </c>
      <c r="T234" s="1">
        <v>1.00899005E8</v>
      </c>
      <c r="W234" s="1" t="s">
        <v>56</v>
      </c>
      <c r="X234" s="1" t="s">
        <v>1101</v>
      </c>
    </row>
    <row r="235">
      <c r="A235" s="1" t="s">
        <v>1135</v>
      </c>
      <c r="B235" s="1" t="s">
        <v>965</v>
      </c>
      <c r="C235" s="1" t="s">
        <v>1136</v>
      </c>
      <c r="D235" s="1" t="s">
        <v>51</v>
      </c>
      <c r="E235" s="1" t="s">
        <v>29</v>
      </c>
      <c r="F235" s="5">
        <v>4500000.0</v>
      </c>
      <c r="G235" s="1" t="s">
        <v>1114</v>
      </c>
      <c r="H235" s="4">
        <v>44836.0</v>
      </c>
      <c r="I235" s="1" t="s">
        <v>191</v>
      </c>
      <c r="J235" s="6">
        <v>44567.95972222222</v>
      </c>
      <c r="K235" s="1">
        <v>0.0</v>
      </c>
      <c r="L235" s="1" t="s">
        <v>968</v>
      </c>
      <c r="M235" s="1" t="str">
        <f>VLOOKUP(L235,'Copy of PMD Workday Constants -'!B204:Y890,22,false)</f>
        <v>#N/A</v>
      </c>
      <c r="N235" s="1" t="s">
        <v>32</v>
      </c>
      <c r="O235" s="1" t="s">
        <v>33</v>
      </c>
      <c r="P235" s="1" t="s">
        <v>210</v>
      </c>
      <c r="Q235" s="1" t="s">
        <v>210</v>
      </c>
      <c r="R235" s="1" t="s">
        <v>211</v>
      </c>
      <c r="S235" s="1" t="s">
        <v>416</v>
      </c>
      <c r="T235" s="1">
        <v>1.00647262E8</v>
      </c>
      <c r="W235" s="1" t="s">
        <v>56</v>
      </c>
      <c r="X235" s="1" t="s">
        <v>968</v>
      </c>
    </row>
    <row r="236">
      <c r="A236" s="1" t="s">
        <v>1137</v>
      </c>
      <c r="B236" s="1" t="s">
        <v>1138</v>
      </c>
      <c r="C236" s="1" t="s">
        <v>1139</v>
      </c>
      <c r="D236" s="1" t="s">
        <v>103</v>
      </c>
      <c r="E236" s="1" t="s">
        <v>29</v>
      </c>
      <c r="F236" s="5">
        <v>4500000.0</v>
      </c>
      <c r="G236" s="1" t="s">
        <v>1114</v>
      </c>
      <c r="H236" s="1" t="s">
        <v>1140</v>
      </c>
      <c r="I236" s="1" t="s">
        <v>1141</v>
      </c>
      <c r="K236" s="1">
        <v>0.0</v>
      </c>
      <c r="L236" s="1" t="s">
        <v>198</v>
      </c>
      <c r="M236" s="1" t="str">
        <f>VLOOKUP(L236,'Copy of PMD Workday Constants -'!B205:Y891,22,false)</f>
        <v>#N/A</v>
      </c>
      <c r="N236" s="1" t="s">
        <v>32</v>
      </c>
      <c r="O236" s="1" t="s">
        <v>33</v>
      </c>
      <c r="P236" s="1" t="s">
        <v>82</v>
      </c>
      <c r="Q236" s="1" t="s">
        <v>82</v>
      </c>
      <c r="R236" s="1" t="s">
        <v>83</v>
      </c>
      <c r="S236" s="1" t="s">
        <v>180</v>
      </c>
      <c r="T236" s="1">
        <v>1.00590896E8</v>
      </c>
      <c r="W236" s="1" t="s">
        <v>85</v>
      </c>
      <c r="X236" s="1" t="s">
        <v>1142</v>
      </c>
    </row>
    <row r="237">
      <c r="A237" s="1" t="s">
        <v>1143</v>
      </c>
      <c r="B237" s="1" t="s">
        <v>1144</v>
      </c>
      <c r="C237" s="1" t="s">
        <v>1145</v>
      </c>
      <c r="D237" s="1" t="s">
        <v>103</v>
      </c>
      <c r="E237" s="1" t="s">
        <v>29</v>
      </c>
      <c r="F237" s="1">
        <v>4500000.0</v>
      </c>
      <c r="G237" s="1" t="s">
        <v>1114</v>
      </c>
      <c r="H237" s="4">
        <v>44298.0</v>
      </c>
      <c r="I237" s="1" t="s">
        <v>104</v>
      </c>
      <c r="K237" s="1">
        <v>0.0</v>
      </c>
      <c r="L237" s="1" t="s">
        <v>1146</v>
      </c>
      <c r="M237" s="1" t="str">
        <f>VLOOKUP(L237,'Copy of PMD Workday Constants -'!B236:W922,22,false)</f>
        <v>Catalyst</v>
      </c>
      <c r="N237" s="1" t="s">
        <v>32</v>
      </c>
      <c r="O237" s="1" t="s">
        <v>33</v>
      </c>
      <c r="P237" s="1" t="s">
        <v>34</v>
      </c>
      <c r="Q237" s="1" t="s">
        <v>34</v>
      </c>
      <c r="R237" s="1" t="s">
        <v>35</v>
      </c>
      <c r="S237" s="1" t="s">
        <v>36</v>
      </c>
      <c r="T237" s="1">
        <v>1.01131118E8</v>
      </c>
      <c r="W237" s="1" t="s">
        <v>37</v>
      </c>
      <c r="X237" s="1" t="s">
        <v>1147</v>
      </c>
    </row>
    <row r="238">
      <c r="A238" s="1" t="s">
        <v>1148</v>
      </c>
      <c r="B238" s="1" t="s">
        <v>1149</v>
      </c>
      <c r="C238" s="1" t="s">
        <v>1150</v>
      </c>
      <c r="D238" s="1" t="s">
        <v>79</v>
      </c>
      <c r="E238" s="1" t="s">
        <v>29</v>
      </c>
      <c r="F238" s="1">
        <v>4250000.0</v>
      </c>
      <c r="G238" s="1" t="s">
        <v>1114</v>
      </c>
      <c r="H238" s="4">
        <v>44625.0</v>
      </c>
      <c r="I238" s="4">
        <v>44568.0</v>
      </c>
      <c r="K238" s="1">
        <v>0.0</v>
      </c>
      <c r="L238" s="1" t="s">
        <v>1151</v>
      </c>
      <c r="M238" s="1" t="str">
        <f>VLOOKUP(L238,'Copy of PMD Workday Constants -'!B237:W923,22,false)</f>
        <v>Delivery</v>
      </c>
      <c r="N238" s="1" t="s">
        <v>32</v>
      </c>
      <c r="O238" s="1" t="s">
        <v>33</v>
      </c>
      <c r="P238" s="1" t="s">
        <v>173</v>
      </c>
      <c r="Q238" s="1" t="s">
        <v>173</v>
      </c>
      <c r="R238" s="1" t="s">
        <v>174</v>
      </c>
      <c r="S238" s="1" t="s">
        <v>612</v>
      </c>
      <c r="T238" s="1">
        <v>1.00654991E8</v>
      </c>
      <c r="U238" s="1" t="s">
        <v>1152</v>
      </c>
      <c r="V238" s="1" t="s">
        <v>187</v>
      </c>
      <c r="W238" s="1" t="s">
        <v>115</v>
      </c>
      <c r="X238" s="1" t="s">
        <v>1151</v>
      </c>
    </row>
    <row r="239">
      <c r="A239" s="1" t="s">
        <v>1153</v>
      </c>
      <c r="B239" s="1" t="s">
        <v>1154</v>
      </c>
      <c r="C239" s="1" t="s">
        <v>1155</v>
      </c>
      <c r="D239" s="1" t="s">
        <v>103</v>
      </c>
      <c r="E239" s="1" t="s">
        <v>29</v>
      </c>
      <c r="F239" s="5">
        <v>4200000.0</v>
      </c>
      <c r="G239" s="1" t="s">
        <v>1114</v>
      </c>
      <c r="H239" s="4">
        <v>44595.0</v>
      </c>
      <c r="I239" s="1" t="s">
        <v>80</v>
      </c>
      <c r="K239" s="1">
        <v>0.0</v>
      </c>
      <c r="L239" s="1" t="s">
        <v>1156</v>
      </c>
      <c r="M239" s="1" t="str">
        <f>VLOOKUP(L239,'Copy of PMD Workday Constants -'!B208:Y894,22,false)</f>
        <v>#N/A</v>
      </c>
      <c r="N239" s="1" t="s">
        <v>32</v>
      </c>
      <c r="O239" s="1" t="s">
        <v>33</v>
      </c>
      <c r="P239" s="1" t="s">
        <v>112</v>
      </c>
      <c r="Q239" s="1" t="s">
        <v>112</v>
      </c>
      <c r="R239" s="1" t="s">
        <v>113</v>
      </c>
      <c r="S239" s="1" t="s">
        <v>114</v>
      </c>
      <c r="T239" s="1">
        <v>1.00633643E8</v>
      </c>
      <c r="W239" s="1" t="s">
        <v>947</v>
      </c>
      <c r="X239" s="1" t="s">
        <v>1156</v>
      </c>
    </row>
    <row r="240">
      <c r="A240" s="1" t="s">
        <v>1157</v>
      </c>
      <c r="B240" s="1" t="s">
        <v>1154</v>
      </c>
      <c r="C240" s="1" t="s">
        <v>1158</v>
      </c>
      <c r="D240" s="1" t="s">
        <v>28</v>
      </c>
      <c r="E240" s="1" t="s">
        <v>29</v>
      </c>
      <c r="F240" s="5">
        <v>4200000.0</v>
      </c>
      <c r="G240" s="1" t="s">
        <v>1114</v>
      </c>
      <c r="H240" s="4">
        <v>44595.0</v>
      </c>
      <c r="I240" s="1" t="s">
        <v>43</v>
      </c>
      <c r="K240" s="1">
        <v>0.0</v>
      </c>
      <c r="L240" s="1" t="s">
        <v>1156</v>
      </c>
      <c r="M240" s="1" t="str">
        <f>VLOOKUP(L240,'Copy of PMD Workday Constants -'!B209:Y895,22,false)</f>
        <v>#N/A</v>
      </c>
      <c r="N240" s="1" t="s">
        <v>32</v>
      </c>
      <c r="O240" s="1" t="s">
        <v>33</v>
      </c>
      <c r="P240" s="1" t="s">
        <v>112</v>
      </c>
      <c r="Q240" s="1" t="s">
        <v>112</v>
      </c>
      <c r="R240" s="1" t="s">
        <v>113</v>
      </c>
      <c r="S240" s="1" t="s">
        <v>114</v>
      </c>
      <c r="T240" s="1">
        <v>1.00633643E8</v>
      </c>
      <c r="W240" s="1" t="s">
        <v>947</v>
      </c>
      <c r="X240" s="1" t="s">
        <v>1156</v>
      </c>
    </row>
    <row r="241">
      <c r="A241" s="1" t="s">
        <v>1159</v>
      </c>
      <c r="B241" s="1" t="s">
        <v>521</v>
      </c>
      <c r="C241" s="1" t="s">
        <v>1160</v>
      </c>
      <c r="D241" s="1" t="s">
        <v>28</v>
      </c>
      <c r="E241" s="1" t="s">
        <v>29</v>
      </c>
      <c r="F241" s="5">
        <v>4200000.0</v>
      </c>
      <c r="G241" s="1" t="s">
        <v>1114</v>
      </c>
      <c r="H241" s="1" t="s">
        <v>1161</v>
      </c>
      <c r="I241" s="4">
        <v>44781.0</v>
      </c>
      <c r="K241" s="1">
        <v>0.0</v>
      </c>
      <c r="L241" s="1" t="s">
        <v>319</v>
      </c>
      <c r="M241" s="1" t="str">
        <f>VLOOKUP(L241,'Copy of PMD Workday Constants -'!B210:Y896,22,false)</f>
        <v>#N/A</v>
      </c>
      <c r="N241" s="1" t="s">
        <v>32</v>
      </c>
      <c r="O241" s="1" t="s">
        <v>33</v>
      </c>
      <c r="P241" s="1" t="s">
        <v>82</v>
      </c>
      <c r="Q241" s="1" t="s">
        <v>82</v>
      </c>
      <c r="R241" s="1" t="s">
        <v>83</v>
      </c>
      <c r="S241" s="1" t="s">
        <v>84</v>
      </c>
      <c r="T241" s="1">
        <v>1.00654705E8</v>
      </c>
      <c r="W241" s="1" t="s">
        <v>85</v>
      </c>
      <c r="X241" s="1" t="s">
        <v>319</v>
      </c>
    </row>
    <row r="242">
      <c r="A242" s="1" t="s">
        <v>1162</v>
      </c>
      <c r="B242" s="1" t="s">
        <v>1163</v>
      </c>
      <c r="C242" s="1" t="s">
        <v>1164</v>
      </c>
      <c r="D242" s="1" t="s">
        <v>103</v>
      </c>
      <c r="E242" s="1" t="s">
        <v>29</v>
      </c>
      <c r="F242" s="1">
        <v>4100000.0</v>
      </c>
      <c r="G242" s="1" t="s">
        <v>1114</v>
      </c>
      <c r="H242" s="1" t="s">
        <v>42</v>
      </c>
      <c r="I242" s="4">
        <v>44873.0</v>
      </c>
      <c r="K242" s="1">
        <v>0.0</v>
      </c>
      <c r="L242" s="1" t="s">
        <v>1165</v>
      </c>
      <c r="M242" s="1" t="str">
        <f>VLOOKUP(L242,'Copy of PMD Workday Constants -'!B241:W927,22,false)</f>
        <v>Delivery</v>
      </c>
      <c r="N242" s="1" t="s">
        <v>32</v>
      </c>
      <c r="O242" s="1" t="s">
        <v>33</v>
      </c>
      <c r="P242" s="1" t="s">
        <v>34</v>
      </c>
      <c r="Q242" s="1" t="s">
        <v>34</v>
      </c>
      <c r="R242" s="1" t="s">
        <v>35</v>
      </c>
      <c r="S242" s="1" t="s">
        <v>1166</v>
      </c>
      <c r="T242" s="1">
        <v>1.00586863E8</v>
      </c>
      <c r="W242" s="1" t="s">
        <v>147</v>
      </c>
      <c r="X242" s="1" t="s">
        <v>1167</v>
      </c>
    </row>
    <row r="243">
      <c r="A243" s="1" t="s">
        <v>1168</v>
      </c>
      <c r="B243" s="1" t="s">
        <v>776</v>
      </c>
      <c r="C243" s="1" t="s">
        <v>1169</v>
      </c>
      <c r="D243" s="1" t="s">
        <v>79</v>
      </c>
      <c r="E243" s="1" t="s">
        <v>29</v>
      </c>
      <c r="F243" s="1">
        <v>4000000.0</v>
      </c>
      <c r="G243" s="1" t="s">
        <v>1114</v>
      </c>
      <c r="H243" s="1" t="s">
        <v>460</v>
      </c>
      <c r="I243" s="1" t="s">
        <v>80</v>
      </c>
      <c r="K243" s="1">
        <v>0.0</v>
      </c>
      <c r="L243" s="1" t="s">
        <v>1170</v>
      </c>
      <c r="M243" s="1" t="str">
        <f>VLOOKUP(L243,'Copy of PMD Workday Constants -'!B242:W928,22,false)</f>
        <v>Delivery</v>
      </c>
      <c r="N243" s="1" t="s">
        <v>32</v>
      </c>
      <c r="O243" s="1" t="s">
        <v>33</v>
      </c>
      <c r="P243" s="1" t="s">
        <v>112</v>
      </c>
      <c r="Q243" s="1" t="s">
        <v>112</v>
      </c>
      <c r="R243" s="1" t="s">
        <v>113</v>
      </c>
      <c r="T243" s="1">
        <v>1.00595231E8</v>
      </c>
      <c r="U243" s="1" t="s">
        <v>1171</v>
      </c>
      <c r="V243" s="1" t="s">
        <v>46</v>
      </c>
      <c r="W243" s="1" t="s">
        <v>74</v>
      </c>
      <c r="X243" s="1" t="s">
        <v>1172</v>
      </c>
    </row>
    <row r="244">
      <c r="A244" s="1" t="s">
        <v>1173</v>
      </c>
      <c r="B244" s="1" t="s">
        <v>1174</v>
      </c>
      <c r="C244" s="1" t="s">
        <v>1175</v>
      </c>
      <c r="D244" s="1" t="s">
        <v>51</v>
      </c>
      <c r="E244" s="1" t="s">
        <v>29</v>
      </c>
      <c r="F244" s="5">
        <v>4000000.0</v>
      </c>
      <c r="G244" s="1" t="s">
        <v>1114</v>
      </c>
      <c r="H244" s="1" t="s">
        <v>1176</v>
      </c>
      <c r="I244" s="4">
        <v>44659.0</v>
      </c>
      <c r="K244" s="1">
        <v>0.0</v>
      </c>
      <c r="L244" s="1" t="s">
        <v>251</v>
      </c>
      <c r="M244" s="1" t="str">
        <f>VLOOKUP(L244,'Copy of PMD Workday Constants -'!B213:Y899,22,false)</f>
        <v>#N/A</v>
      </c>
      <c r="N244" s="1" t="s">
        <v>32</v>
      </c>
      <c r="O244" s="1" t="s">
        <v>33</v>
      </c>
      <c r="P244" s="1" t="s">
        <v>112</v>
      </c>
      <c r="Q244" s="1" t="s">
        <v>112</v>
      </c>
      <c r="R244" s="1" t="s">
        <v>113</v>
      </c>
      <c r="T244" s="1">
        <v>1.00625774E8</v>
      </c>
      <c r="W244" s="1" t="s">
        <v>115</v>
      </c>
      <c r="X244" s="1" t="s">
        <v>251</v>
      </c>
    </row>
    <row r="245">
      <c r="A245" s="1" t="s">
        <v>1177</v>
      </c>
      <c r="B245" s="1" t="s">
        <v>1178</v>
      </c>
      <c r="C245" s="1" t="s">
        <v>1179</v>
      </c>
      <c r="D245" s="1" t="s">
        <v>103</v>
      </c>
      <c r="E245" s="1" t="s">
        <v>29</v>
      </c>
      <c r="F245" s="1">
        <v>4000000.0</v>
      </c>
      <c r="G245" s="1" t="s">
        <v>1114</v>
      </c>
      <c r="H245" s="4">
        <v>44839.0</v>
      </c>
      <c r="I245" s="1" t="s">
        <v>80</v>
      </c>
      <c r="K245" s="1">
        <v>0.0</v>
      </c>
      <c r="L245" s="1" t="s">
        <v>1011</v>
      </c>
      <c r="M245" s="1" t="str">
        <f>VLOOKUP(L245,'Copy of PMD Workday Constants -'!B244:W930,22,false)</f>
        <v>Delivery</v>
      </c>
      <c r="N245" s="1" t="s">
        <v>32</v>
      </c>
      <c r="O245" s="1" t="s">
        <v>33</v>
      </c>
      <c r="P245" s="1" t="s">
        <v>82</v>
      </c>
      <c r="Q245" s="1" t="s">
        <v>82</v>
      </c>
      <c r="R245" s="1" t="s">
        <v>83</v>
      </c>
      <c r="S245" s="1" t="s">
        <v>583</v>
      </c>
      <c r="T245" s="1">
        <v>1.00609514E8</v>
      </c>
      <c r="U245" s="1" t="s">
        <v>1180</v>
      </c>
      <c r="V245" s="1" t="s">
        <v>46</v>
      </c>
      <c r="W245" s="1" t="s">
        <v>1181</v>
      </c>
      <c r="X245" s="1" t="s">
        <v>1182</v>
      </c>
    </row>
    <row r="246">
      <c r="A246" s="1" t="s">
        <v>1183</v>
      </c>
      <c r="B246" s="1" t="s">
        <v>1184</v>
      </c>
      <c r="C246" s="1" t="s">
        <v>1185</v>
      </c>
      <c r="D246" s="1" t="s">
        <v>28</v>
      </c>
      <c r="E246" s="1" t="s">
        <v>29</v>
      </c>
      <c r="F246" s="1">
        <v>4000000.0</v>
      </c>
      <c r="G246" s="1" t="s">
        <v>1114</v>
      </c>
      <c r="H246" s="1" t="s">
        <v>1186</v>
      </c>
      <c r="I246" s="1" t="s">
        <v>1187</v>
      </c>
      <c r="K246" s="1">
        <v>0.0</v>
      </c>
      <c r="L246" s="1" t="s">
        <v>1188</v>
      </c>
      <c r="M246" s="1" t="str">
        <f>VLOOKUP(L246,'Copy of PMD Workday Constants -'!B245:W931,22,false)</f>
        <v>Delivery</v>
      </c>
      <c r="N246" s="1" t="s">
        <v>32</v>
      </c>
      <c r="O246" s="1" t="s">
        <v>33</v>
      </c>
      <c r="P246" s="1" t="s">
        <v>64</v>
      </c>
      <c r="Q246" s="1" t="s">
        <v>64</v>
      </c>
      <c r="R246" s="1" t="s">
        <v>65</v>
      </c>
      <c r="S246" s="1" t="s">
        <v>98</v>
      </c>
      <c r="T246" s="1">
        <v>1.00968114E8</v>
      </c>
      <c r="W246" s="1" t="s">
        <v>56</v>
      </c>
      <c r="X246" s="1" t="s">
        <v>1189</v>
      </c>
    </row>
    <row r="247">
      <c r="A247" s="1" t="s">
        <v>1190</v>
      </c>
      <c r="B247" s="1" t="s">
        <v>304</v>
      </c>
      <c r="C247" s="1" t="s">
        <v>1191</v>
      </c>
      <c r="D247" s="1" t="s">
        <v>28</v>
      </c>
      <c r="E247" s="1" t="s">
        <v>29</v>
      </c>
      <c r="F247" s="1">
        <v>4000000.0</v>
      </c>
      <c r="G247" s="1" t="s">
        <v>1114</v>
      </c>
      <c r="H247" s="1" t="s">
        <v>1192</v>
      </c>
      <c r="I247" s="1" t="s">
        <v>80</v>
      </c>
      <c r="K247" s="1">
        <v>0.0</v>
      </c>
      <c r="L247" s="1" t="s">
        <v>44</v>
      </c>
      <c r="M247" s="1" t="str">
        <f>VLOOKUP(L247,'Copy of PMD Workday Constants -'!B246:W932,22,false)</f>
        <v>LCP</v>
      </c>
      <c r="N247" s="1" t="s">
        <v>32</v>
      </c>
      <c r="O247" s="1" t="s">
        <v>33</v>
      </c>
      <c r="P247" s="1" t="s">
        <v>34</v>
      </c>
      <c r="Q247" s="1" t="s">
        <v>34</v>
      </c>
      <c r="R247" s="1" t="s">
        <v>35</v>
      </c>
      <c r="S247" s="1" t="s">
        <v>126</v>
      </c>
      <c r="T247" s="1">
        <v>1.00587944E8</v>
      </c>
      <c r="W247" s="1" t="s">
        <v>308</v>
      </c>
      <c r="X247" s="1" t="s">
        <v>1193</v>
      </c>
    </row>
    <row r="248">
      <c r="A248" s="1" t="s">
        <v>1194</v>
      </c>
      <c r="B248" s="1" t="s">
        <v>1184</v>
      </c>
      <c r="C248" s="1" t="s">
        <v>1195</v>
      </c>
      <c r="D248" s="1" t="s">
        <v>28</v>
      </c>
      <c r="E248" s="1" t="s">
        <v>29</v>
      </c>
      <c r="F248" s="1">
        <v>4000000.0</v>
      </c>
      <c r="G248" s="1" t="s">
        <v>1114</v>
      </c>
      <c r="H248" s="1" t="s">
        <v>1186</v>
      </c>
      <c r="I248" s="1" t="s">
        <v>538</v>
      </c>
      <c r="K248" s="1">
        <v>0.0</v>
      </c>
      <c r="L248" s="1" t="s">
        <v>1188</v>
      </c>
      <c r="M248" s="1" t="str">
        <f>VLOOKUP(L248,'Copy of PMD Workday Constants -'!B247:W933,22,false)</f>
        <v>Delivery</v>
      </c>
      <c r="N248" s="1" t="s">
        <v>32</v>
      </c>
      <c r="O248" s="1" t="s">
        <v>33</v>
      </c>
      <c r="P248" s="1" t="s">
        <v>64</v>
      </c>
      <c r="Q248" s="1" t="s">
        <v>64</v>
      </c>
      <c r="R248" s="1" t="s">
        <v>65</v>
      </c>
      <c r="S248" s="1" t="s">
        <v>98</v>
      </c>
      <c r="T248" s="1">
        <v>1.00968114E8</v>
      </c>
      <c r="W248" s="1" t="s">
        <v>56</v>
      </c>
      <c r="X248" s="1" t="s">
        <v>1189</v>
      </c>
    </row>
    <row r="249">
      <c r="A249" s="1" t="s">
        <v>1196</v>
      </c>
      <c r="B249" s="1" t="s">
        <v>304</v>
      </c>
      <c r="C249" s="1" t="s">
        <v>1197</v>
      </c>
      <c r="D249" s="1" t="s">
        <v>28</v>
      </c>
      <c r="E249" s="1" t="s">
        <v>29</v>
      </c>
      <c r="F249" s="1">
        <v>4000000.0</v>
      </c>
      <c r="G249" s="1" t="s">
        <v>1114</v>
      </c>
      <c r="H249" s="1" t="s">
        <v>1192</v>
      </c>
      <c r="I249" s="1" t="s">
        <v>538</v>
      </c>
      <c r="K249" s="1">
        <v>0.0</v>
      </c>
      <c r="L249" s="1" t="s">
        <v>1198</v>
      </c>
      <c r="M249" s="1" t="str">
        <f>VLOOKUP(L249,'Copy of PMD Workday Constants -'!B248:W934,22,false)</f>
        <v>Catalyst</v>
      </c>
      <c r="N249" s="1" t="s">
        <v>32</v>
      </c>
      <c r="O249" s="1" t="s">
        <v>33</v>
      </c>
      <c r="P249" s="1" t="s">
        <v>64</v>
      </c>
      <c r="Q249" s="1" t="s">
        <v>64</v>
      </c>
      <c r="R249" s="1" t="s">
        <v>65</v>
      </c>
      <c r="T249" s="1">
        <v>1.01127868E8</v>
      </c>
      <c r="W249" s="1" t="s">
        <v>308</v>
      </c>
      <c r="X249" s="1" t="s">
        <v>1193</v>
      </c>
    </row>
    <row r="250">
      <c r="A250" s="1" t="s">
        <v>1199</v>
      </c>
      <c r="B250" s="1" t="s">
        <v>1200</v>
      </c>
      <c r="C250" s="1" t="s">
        <v>1201</v>
      </c>
      <c r="D250" s="1" t="s">
        <v>103</v>
      </c>
      <c r="E250" s="1" t="s">
        <v>29</v>
      </c>
      <c r="F250" s="5">
        <v>4000000.0</v>
      </c>
      <c r="G250" s="1" t="s">
        <v>1114</v>
      </c>
      <c r="H250" s="1" t="s">
        <v>330</v>
      </c>
      <c r="I250" s="1" t="s">
        <v>302</v>
      </c>
      <c r="K250" s="1">
        <v>0.0</v>
      </c>
      <c r="L250" s="1" t="s">
        <v>198</v>
      </c>
      <c r="M250" s="1" t="str">
        <f>VLOOKUP(L250,'Copy of PMD Workday Constants -'!B219:Y905,22,false)</f>
        <v>#N/A</v>
      </c>
      <c r="N250" s="1" t="s">
        <v>32</v>
      </c>
      <c r="O250" s="1" t="s">
        <v>33</v>
      </c>
      <c r="P250" s="1" t="s">
        <v>82</v>
      </c>
      <c r="Q250" s="1" t="s">
        <v>82</v>
      </c>
      <c r="R250" s="1" t="s">
        <v>83</v>
      </c>
      <c r="S250" s="1" t="s">
        <v>180</v>
      </c>
      <c r="T250" s="1">
        <v>1.00590896E8</v>
      </c>
      <c r="W250" s="1" t="s">
        <v>85</v>
      </c>
      <c r="X250" s="1" t="s">
        <v>1202</v>
      </c>
    </row>
    <row r="251">
      <c r="A251" s="1" t="s">
        <v>1203</v>
      </c>
      <c r="B251" s="1" t="s">
        <v>1204</v>
      </c>
      <c r="C251" s="1" t="s">
        <v>1205</v>
      </c>
      <c r="D251" s="1" t="s">
        <v>28</v>
      </c>
      <c r="E251" s="1" t="s">
        <v>29</v>
      </c>
      <c r="F251" s="5">
        <v>4000000.0</v>
      </c>
      <c r="G251" s="1" t="s">
        <v>1114</v>
      </c>
      <c r="H251" s="4">
        <v>44595.0</v>
      </c>
      <c r="I251" s="1" t="s">
        <v>191</v>
      </c>
      <c r="K251" s="1">
        <v>0.0</v>
      </c>
      <c r="L251" s="1" t="s">
        <v>1206</v>
      </c>
      <c r="M251" s="1" t="str">
        <f>VLOOKUP(L251,'Copy of PMD Workday Constants -'!B220:Y906,22,false)</f>
        <v>#N/A</v>
      </c>
      <c r="N251" s="1" t="s">
        <v>32</v>
      </c>
      <c r="O251" s="1" t="s">
        <v>33</v>
      </c>
      <c r="P251" s="1" t="s">
        <v>82</v>
      </c>
      <c r="Q251" s="1" t="s">
        <v>82</v>
      </c>
      <c r="R251" s="1" t="s">
        <v>83</v>
      </c>
      <c r="S251" s="1" t="s">
        <v>180</v>
      </c>
      <c r="T251" s="1">
        <v>1.00943277E8</v>
      </c>
      <c r="W251" s="1" t="s">
        <v>85</v>
      </c>
      <c r="X251" s="1" t="s">
        <v>1206</v>
      </c>
    </row>
    <row r="252">
      <c r="A252" s="1" t="s">
        <v>1207</v>
      </c>
      <c r="B252" s="1" t="s">
        <v>317</v>
      </c>
      <c r="C252" s="1" t="s">
        <v>1208</v>
      </c>
      <c r="D252" s="1" t="s">
        <v>28</v>
      </c>
      <c r="E252" s="1" t="s">
        <v>29</v>
      </c>
      <c r="F252" s="5">
        <v>4000000.0</v>
      </c>
      <c r="G252" s="1" t="s">
        <v>1114</v>
      </c>
      <c r="H252" s="4">
        <v>44652.0</v>
      </c>
      <c r="I252" s="1" t="s">
        <v>523</v>
      </c>
      <c r="K252" s="1">
        <v>0.0</v>
      </c>
      <c r="L252" s="1" t="s">
        <v>319</v>
      </c>
      <c r="M252" s="1" t="str">
        <f>VLOOKUP(L252,'Copy of PMD Workday Constants -'!B221:Y907,22,false)</f>
        <v>#N/A</v>
      </c>
      <c r="N252" s="1" t="s">
        <v>32</v>
      </c>
      <c r="O252" s="1" t="s">
        <v>33</v>
      </c>
      <c r="P252" s="1" t="s">
        <v>82</v>
      </c>
      <c r="Q252" s="1" t="s">
        <v>82</v>
      </c>
      <c r="R252" s="1" t="s">
        <v>83</v>
      </c>
      <c r="S252" s="1" t="s">
        <v>84</v>
      </c>
      <c r="T252" s="1">
        <v>1.00654705E8</v>
      </c>
      <c r="W252" s="1" t="s">
        <v>85</v>
      </c>
      <c r="X252" s="1" t="s">
        <v>319</v>
      </c>
    </row>
    <row r="253">
      <c r="A253" s="1" t="s">
        <v>1209</v>
      </c>
      <c r="B253" s="1" t="s">
        <v>1210</v>
      </c>
      <c r="C253" s="1" t="s">
        <v>1211</v>
      </c>
      <c r="D253" s="1" t="s">
        <v>28</v>
      </c>
      <c r="E253" s="1" t="s">
        <v>29</v>
      </c>
      <c r="F253" s="5">
        <v>4000000.0</v>
      </c>
      <c r="G253" s="1" t="s">
        <v>1114</v>
      </c>
      <c r="H253" s="4">
        <v>44657.0</v>
      </c>
      <c r="I253" s="1" t="s">
        <v>217</v>
      </c>
      <c r="K253" s="1">
        <v>0.0</v>
      </c>
      <c r="L253" s="1" t="s">
        <v>1212</v>
      </c>
      <c r="M253" s="1" t="str">
        <f>VLOOKUP(L253,'Copy of PMD Workday Constants -'!B222:Y908,22,false)</f>
        <v>#N/A</v>
      </c>
      <c r="N253" s="1" t="s">
        <v>32</v>
      </c>
      <c r="O253" s="1" t="s">
        <v>33</v>
      </c>
      <c r="P253" s="1" t="s">
        <v>173</v>
      </c>
      <c r="Q253" s="1" t="s">
        <v>173</v>
      </c>
      <c r="R253" s="1" t="s">
        <v>174</v>
      </c>
      <c r="S253" s="1" t="s">
        <v>153</v>
      </c>
      <c r="T253" s="1">
        <v>1.0059727E8</v>
      </c>
      <c r="W253" s="1" t="s">
        <v>140</v>
      </c>
      <c r="X253" s="1" t="s">
        <v>1212</v>
      </c>
    </row>
    <row r="254">
      <c r="A254" s="1" t="s">
        <v>1213</v>
      </c>
      <c r="B254" s="1" t="s">
        <v>87</v>
      </c>
      <c r="C254" s="1" t="s">
        <v>1214</v>
      </c>
      <c r="D254" s="1" t="s">
        <v>51</v>
      </c>
      <c r="E254" s="1" t="s">
        <v>29</v>
      </c>
      <c r="F254" s="5">
        <v>4000000.0</v>
      </c>
      <c r="G254" s="1" t="s">
        <v>1114</v>
      </c>
      <c r="H254" s="1" t="s">
        <v>1215</v>
      </c>
      <c r="I254" s="4">
        <v>44604.0</v>
      </c>
      <c r="K254" s="1">
        <v>0.0</v>
      </c>
      <c r="L254" s="1" t="s">
        <v>89</v>
      </c>
      <c r="M254" s="1" t="str">
        <f>VLOOKUP(L254,'Copy of PMD Workday Constants -'!B223:Y909,22,false)</f>
        <v>#N/A</v>
      </c>
      <c r="N254" s="1" t="s">
        <v>32</v>
      </c>
      <c r="O254" s="1" t="s">
        <v>33</v>
      </c>
      <c r="P254" s="1" t="s">
        <v>34</v>
      </c>
      <c r="Q254" s="1" t="s">
        <v>34</v>
      </c>
      <c r="R254" s="1" t="s">
        <v>35</v>
      </c>
      <c r="S254" s="1" t="s">
        <v>36</v>
      </c>
      <c r="T254" s="1">
        <v>1.00609569E8</v>
      </c>
      <c r="W254" s="1" t="s">
        <v>91</v>
      </c>
      <c r="X254" s="1" t="s">
        <v>89</v>
      </c>
    </row>
    <row r="255">
      <c r="A255" s="1" t="s">
        <v>1216</v>
      </c>
      <c r="B255" s="1" t="s">
        <v>304</v>
      </c>
      <c r="C255" s="1" t="s">
        <v>1217</v>
      </c>
      <c r="D255" s="1" t="s">
        <v>28</v>
      </c>
      <c r="E255" s="1" t="s">
        <v>29</v>
      </c>
      <c r="F255" s="1">
        <v>4000000.0</v>
      </c>
      <c r="G255" s="1" t="s">
        <v>1114</v>
      </c>
      <c r="H255" s="1" t="s">
        <v>1192</v>
      </c>
      <c r="I255" s="1" t="s">
        <v>43</v>
      </c>
      <c r="K255" s="1">
        <v>0.0</v>
      </c>
      <c r="L255" s="1" t="s">
        <v>1198</v>
      </c>
      <c r="M255" s="1" t="str">
        <f>VLOOKUP(L255,'Copy of PMD Workday Constants -'!B254:W940,22,false)</f>
        <v>Catalyst</v>
      </c>
      <c r="N255" s="1" t="s">
        <v>32</v>
      </c>
      <c r="O255" s="1" t="s">
        <v>33</v>
      </c>
      <c r="P255" s="1" t="s">
        <v>64</v>
      </c>
      <c r="Q255" s="1" t="s">
        <v>64</v>
      </c>
      <c r="R255" s="1" t="s">
        <v>65</v>
      </c>
      <c r="T255" s="1">
        <v>1.01127868E8</v>
      </c>
      <c r="W255" s="1" t="s">
        <v>308</v>
      </c>
      <c r="X255" s="1" t="s">
        <v>1193</v>
      </c>
    </row>
    <row r="256">
      <c r="A256" s="1" t="s">
        <v>1218</v>
      </c>
      <c r="B256" s="1" t="s">
        <v>304</v>
      </c>
      <c r="C256" s="1" t="s">
        <v>1219</v>
      </c>
      <c r="D256" s="1" t="s">
        <v>28</v>
      </c>
      <c r="E256" s="1" t="s">
        <v>29</v>
      </c>
      <c r="F256" s="1">
        <v>4000000.0</v>
      </c>
      <c r="G256" s="1" t="s">
        <v>1114</v>
      </c>
      <c r="H256" s="1" t="s">
        <v>1220</v>
      </c>
      <c r="I256" s="1" t="s">
        <v>80</v>
      </c>
      <c r="K256" s="1">
        <v>0.0</v>
      </c>
      <c r="L256" s="1" t="s">
        <v>44</v>
      </c>
      <c r="M256" s="1" t="str">
        <f>VLOOKUP(L256,'Copy of PMD Workday Constants -'!B255:W941,22,false)</f>
        <v>LCP</v>
      </c>
      <c r="N256" s="1" t="s">
        <v>32</v>
      </c>
      <c r="O256" s="1" t="s">
        <v>33</v>
      </c>
      <c r="P256" s="1" t="s">
        <v>34</v>
      </c>
      <c r="Q256" s="1" t="s">
        <v>34</v>
      </c>
      <c r="R256" s="1" t="s">
        <v>35</v>
      </c>
      <c r="S256" s="1" t="s">
        <v>126</v>
      </c>
      <c r="T256" s="1">
        <v>1.00587944E8</v>
      </c>
      <c r="W256" s="1" t="s">
        <v>308</v>
      </c>
      <c r="X256" s="1" t="s">
        <v>1193</v>
      </c>
    </row>
    <row r="257">
      <c r="A257" s="1" t="s">
        <v>1221</v>
      </c>
      <c r="B257" s="1" t="s">
        <v>304</v>
      </c>
      <c r="C257" s="1" t="s">
        <v>1222</v>
      </c>
      <c r="D257" s="1" t="s">
        <v>28</v>
      </c>
      <c r="E257" s="1" t="s">
        <v>29</v>
      </c>
      <c r="F257" s="5">
        <v>4000000.0</v>
      </c>
      <c r="G257" s="1" t="s">
        <v>1114</v>
      </c>
      <c r="H257" s="4">
        <v>43840.0</v>
      </c>
      <c r="I257" s="1" t="s">
        <v>1223</v>
      </c>
      <c r="K257" s="1">
        <v>0.0</v>
      </c>
      <c r="L257" s="1" t="s">
        <v>309</v>
      </c>
      <c r="M257" s="1" t="str">
        <f>VLOOKUP(L257,'Copy of PMD Workday Constants -'!B226:Y912,22,false)</f>
        <v>#N/A</v>
      </c>
      <c r="N257" s="1" t="s">
        <v>32</v>
      </c>
      <c r="O257" s="1" t="s">
        <v>33</v>
      </c>
      <c r="P257" s="1" t="s">
        <v>34</v>
      </c>
      <c r="Q257" s="1" t="s">
        <v>34</v>
      </c>
      <c r="R257" s="1" t="s">
        <v>35</v>
      </c>
      <c r="S257" s="1" t="s">
        <v>73</v>
      </c>
      <c r="T257" s="1">
        <v>1.00608155E8</v>
      </c>
      <c r="W257" s="1" t="s">
        <v>308</v>
      </c>
      <c r="X257" s="1" t="s">
        <v>309</v>
      </c>
    </row>
    <row r="258">
      <c r="A258" s="1" t="s">
        <v>1224</v>
      </c>
      <c r="B258" s="1" t="s">
        <v>77</v>
      </c>
      <c r="C258" s="1" t="s">
        <v>1225</v>
      </c>
      <c r="D258" s="1" t="s">
        <v>28</v>
      </c>
      <c r="E258" s="1" t="s">
        <v>29</v>
      </c>
      <c r="F258" s="5">
        <v>4000000.0</v>
      </c>
      <c r="G258" s="1" t="s">
        <v>1114</v>
      </c>
      <c r="H258" s="4">
        <v>44502.0</v>
      </c>
      <c r="I258" s="1" t="s">
        <v>1226</v>
      </c>
      <c r="K258" s="1">
        <v>0.0</v>
      </c>
      <c r="L258" s="1" t="s">
        <v>319</v>
      </c>
      <c r="M258" s="1" t="str">
        <f>VLOOKUP(L258,'Copy of PMD Workday Constants -'!B227:Y913,22,false)</f>
        <v>#N/A</v>
      </c>
      <c r="N258" s="1" t="s">
        <v>32</v>
      </c>
      <c r="O258" s="1" t="s">
        <v>33</v>
      </c>
      <c r="P258" s="1" t="s">
        <v>82</v>
      </c>
      <c r="Q258" s="1" t="s">
        <v>82</v>
      </c>
      <c r="R258" s="1" t="s">
        <v>83</v>
      </c>
      <c r="S258" s="1" t="s">
        <v>84</v>
      </c>
      <c r="T258" s="1">
        <v>1.00654705E8</v>
      </c>
      <c r="W258" s="1" t="s">
        <v>85</v>
      </c>
      <c r="X258" s="1" t="s">
        <v>319</v>
      </c>
    </row>
    <row r="259">
      <c r="A259" s="1" t="s">
        <v>1227</v>
      </c>
      <c r="B259" s="1" t="s">
        <v>744</v>
      </c>
      <c r="C259" s="1" t="s">
        <v>1228</v>
      </c>
      <c r="D259" s="1" t="s">
        <v>28</v>
      </c>
      <c r="E259" s="1" t="s">
        <v>29</v>
      </c>
      <c r="F259" s="5">
        <v>4000000.0</v>
      </c>
      <c r="G259" s="1" t="s">
        <v>1114</v>
      </c>
      <c r="H259" s="4">
        <v>44173.0</v>
      </c>
      <c r="I259" s="1" t="s">
        <v>166</v>
      </c>
      <c r="K259" s="1">
        <v>0.0</v>
      </c>
      <c r="L259" s="1" t="s">
        <v>255</v>
      </c>
      <c r="M259" s="1" t="str">
        <f>VLOOKUP(L259,'Copy of PMD Workday Constants -'!B228:Y914,22,false)</f>
        <v>#N/A</v>
      </c>
      <c r="N259" s="1" t="s">
        <v>32</v>
      </c>
      <c r="O259" s="1" t="s">
        <v>33</v>
      </c>
      <c r="P259" s="1" t="s">
        <v>112</v>
      </c>
      <c r="Q259" s="1" t="s">
        <v>112</v>
      </c>
      <c r="R259" s="1" t="s">
        <v>113</v>
      </c>
      <c r="S259" s="1" t="s">
        <v>256</v>
      </c>
      <c r="T259" s="1">
        <v>1.00659114E8</v>
      </c>
      <c r="W259" s="1" t="s">
        <v>258</v>
      </c>
      <c r="X259" s="1" t="s">
        <v>576</v>
      </c>
    </row>
    <row r="260">
      <c r="A260" s="1" t="s">
        <v>1229</v>
      </c>
      <c r="B260" s="1" t="s">
        <v>149</v>
      </c>
      <c r="C260" s="1" t="s">
        <v>1230</v>
      </c>
      <c r="D260" s="1" t="s">
        <v>28</v>
      </c>
      <c r="E260" s="1" t="s">
        <v>29</v>
      </c>
      <c r="F260" s="5">
        <v>4000000.0</v>
      </c>
      <c r="G260" s="1" t="s">
        <v>1114</v>
      </c>
      <c r="H260" s="1" t="s">
        <v>151</v>
      </c>
      <c r="I260" s="4">
        <v>44988.0</v>
      </c>
      <c r="K260" s="1">
        <v>0.0</v>
      </c>
      <c r="L260" s="1" t="s">
        <v>89</v>
      </c>
      <c r="M260" s="1" t="str">
        <f>VLOOKUP(L260,'Copy of PMD Workday Constants -'!B229:Y915,22,false)</f>
        <v>#N/A</v>
      </c>
      <c r="N260" s="1" t="s">
        <v>32</v>
      </c>
      <c r="O260" s="1" t="s">
        <v>33</v>
      </c>
      <c r="P260" s="1" t="s">
        <v>34</v>
      </c>
      <c r="Q260" s="1" t="s">
        <v>34</v>
      </c>
      <c r="R260" s="1" t="s">
        <v>35</v>
      </c>
      <c r="S260" s="1" t="s">
        <v>153</v>
      </c>
      <c r="T260" s="1">
        <v>1.00609569E8</v>
      </c>
      <c r="W260" s="1" t="s">
        <v>91</v>
      </c>
      <c r="X260" s="1" t="s">
        <v>89</v>
      </c>
    </row>
    <row r="261">
      <c r="A261" s="1" t="s">
        <v>1231</v>
      </c>
      <c r="B261" s="1" t="s">
        <v>1232</v>
      </c>
      <c r="C261" s="1" t="s">
        <v>196</v>
      </c>
      <c r="D261" s="1" t="s">
        <v>28</v>
      </c>
      <c r="E261" s="1" t="s">
        <v>29</v>
      </c>
      <c r="F261" s="5">
        <v>4000000.0</v>
      </c>
      <c r="G261" s="1" t="s">
        <v>1114</v>
      </c>
      <c r="H261" s="1" t="s">
        <v>197</v>
      </c>
      <c r="I261" s="1" t="s">
        <v>104</v>
      </c>
      <c r="K261" s="1">
        <v>0.0</v>
      </c>
      <c r="L261" s="1" t="s">
        <v>198</v>
      </c>
      <c r="M261" s="1" t="str">
        <f>VLOOKUP(L261,'Copy of PMD Workday Constants -'!B230:Y916,22,false)</f>
        <v>#N/A</v>
      </c>
      <c r="N261" s="1" t="s">
        <v>32</v>
      </c>
      <c r="O261" s="1" t="s">
        <v>33</v>
      </c>
      <c r="P261" s="1" t="s">
        <v>82</v>
      </c>
      <c r="Q261" s="1" t="s">
        <v>82</v>
      </c>
      <c r="R261" s="1" t="s">
        <v>83</v>
      </c>
      <c r="S261" s="1" t="s">
        <v>180</v>
      </c>
      <c r="T261" s="1">
        <v>1.00590896E8</v>
      </c>
      <c r="W261" s="1" t="s">
        <v>85</v>
      </c>
      <c r="X261" s="1" t="s">
        <v>199</v>
      </c>
    </row>
    <row r="262">
      <c r="A262" s="1" t="s">
        <v>1233</v>
      </c>
      <c r="B262" s="1" t="s">
        <v>1234</v>
      </c>
      <c r="C262" s="1" t="s">
        <v>196</v>
      </c>
      <c r="D262" s="1" t="s">
        <v>79</v>
      </c>
      <c r="E262" s="1" t="s">
        <v>29</v>
      </c>
      <c r="F262" s="5">
        <v>4000000.0</v>
      </c>
      <c r="G262" s="1" t="s">
        <v>1114</v>
      </c>
      <c r="H262" s="1" t="s">
        <v>197</v>
      </c>
      <c r="I262" s="1" t="s">
        <v>152</v>
      </c>
      <c r="K262" s="1">
        <v>0.0</v>
      </c>
      <c r="L262" s="1" t="s">
        <v>198</v>
      </c>
      <c r="M262" s="1" t="str">
        <f>VLOOKUP(L262,'Copy of PMD Workday Constants -'!B231:Y917,22,false)</f>
        <v>#N/A</v>
      </c>
      <c r="N262" s="1" t="s">
        <v>32</v>
      </c>
      <c r="O262" s="1" t="s">
        <v>33</v>
      </c>
      <c r="P262" s="1" t="s">
        <v>82</v>
      </c>
      <c r="Q262" s="1" t="s">
        <v>82</v>
      </c>
      <c r="R262" s="1" t="s">
        <v>83</v>
      </c>
      <c r="S262" s="1" t="s">
        <v>180</v>
      </c>
      <c r="T262" s="1">
        <v>1.00590896E8</v>
      </c>
      <c r="W262" s="1" t="s">
        <v>85</v>
      </c>
      <c r="X262" s="1" t="s">
        <v>199</v>
      </c>
    </row>
    <row r="263">
      <c r="A263" s="1" t="s">
        <v>1235</v>
      </c>
      <c r="B263" s="1" t="s">
        <v>1236</v>
      </c>
      <c r="C263" s="1" t="s">
        <v>1237</v>
      </c>
      <c r="D263" s="1" t="s">
        <v>28</v>
      </c>
      <c r="E263" s="1" t="s">
        <v>29</v>
      </c>
      <c r="F263" s="1">
        <v>4000000.0</v>
      </c>
      <c r="G263" s="1" t="s">
        <v>1114</v>
      </c>
      <c r="H263" s="4">
        <v>44480.0</v>
      </c>
      <c r="I263" s="1" t="s">
        <v>901</v>
      </c>
      <c r="K263" s="1">
        <v>0.0</v>
      </c>
      <c r="L263" s="1" t="s">
        <v>1238</v>
      </c>
      <c r="M263" s="1" t="str">
        <f>VLOOKUP(L263,'Copy of PMD Workday Constants -'!B262:W948,22,false)</f>
        <v>Delivery</v>
      </c>
      <c r="N263" s="1" t="s">
        <v>32</v>
      </c>
      <c r="O263" s="1" t="s">
        <v>33</v>
      </c>
      <c r="P263" s="1" t="s">
        <v>210</v>
      </c>
      <c r="Q263" s="1" t="s">
        <v>210</v>
      </c>
      <c r="R263" s="1" t="s">
        <v>211</v>
      </c>
      <c r="S263" s="1" t="s">
        <v>416</v>
      </c>
      <c r="T263" s="1">
        <v>1.00586959E8</v>
      </c>
      <c r="W263" s="1" t="s">
        <v>56</v>
      </c>
      <c r="X263" s="1" t="s">
        <v>1238</v>
      </c>
    </row>
    <row r="264">
      <c r="A264" s="1" t="s">
        <v>1239</v>
      </c>
      <c r="B264" s="1" t="s">
        <v>709</v>
      </c>
      <c r="C264" s="1" t="s">
        <v>1240</v>
      </c>
      <c r="D264" s="1" t="s">
        <v>28</v>
      </c>
      <c r="E264" s="1" t="s">
        <v>29</v>
      </c>
      <c r="F264" s="5">
        <v>4000000.0</v>
      </c>
      <c r="G264" s="1" t="s">
        <v>1114</v>
      </c>
      <c r="H264" s="4">
        <v>44538.0</v>
      </c>
      <c r="I264" s="1" t="s">
        <v>132</v>
      </c>
      <c r="K264" s="1">
        <v>0.0</v>
      </c>
      <c r="L264" s="1" t="s">
        <v>1241</v>
      </c>
      <c r="M264" s="1" t="str">
        <f>VLOOKUP(L264,'Copy of PMD Workday Constants -'!B233:Y919,22,false)</f>
        <v>#N/A</v>
      </c>
      <c r="N264" s="1" t="s">
        <v>32</v>
      </c>
      <c r="O264" s="1" t="s">
        <v>33</v>
      </c>
      <c r="P264" s="1" t="s">
        <v>34</v>
      </c>
      <c r="Q264" s="1" t="s">
        <v>34</v>
      </c>
      <c r="R264" s="1" t="s">
        <v>35</v>
      </c>
      <c r="S264" s="1" t="s">
        <v>383</v>
      </c>
      <c r="T264" s="1">
        <v>1.00621724E8</v>
      </c>
      <c r="W264" s="1" t="s">
        <v>140</v>
      </c>
      <c r="X264" s="1" t="s">
        <v>1242</v>
      </c>
    </row>
    <row r="265">
      <c r="A265" s="1" t="s">
        <v>1243</v>
      </c>
      <c r="B265" s="1" t="s">
        <v>970</v>
      </c>
      <c r="C265" s="1" t="s">
        <v>1244</v>
      </c>
      <c r="D265" s="1" t="s">
        <v>51</v>
      </c>
      <c r="E265" s="1" t="s">
        <v>29</v>
      </c>
      <c r="F265" s="5">
        <v>4000000.0</v>
      </c>
      <c r="G265" s="1" t="s">
        <v>1114</v>
      </c>
      <c r="H265" s="1" t="s">
        <v>1245</v>
      </c>
      <c r="I265" s="1" t="s">
        <v>152</v>
      </c>
      <c r="K265" s="1">
        <v>0.0</v>
      </c>
      <c r="L265" s="1" t="s">
        <v>448</v>
      </c>
      <c r="M265" s="1" t="str">
        <f>VLOOKUP(L265,'Copy of PMD Workday Constants -'!B234:Y920,22,false)</f>
        <v>#N/A</v>
      </c>
      <c r="N265" s="1" t="s">
        <v>32</v>
      </c>
      <c r="O265" s="1" t="s">
        <v>33</v>
      </c>
      <c r="P265" s="1" t="s">
        <v>112</v>
      </c>
      <c r="Q265" s="1" t="s">
        <v>112</v>
      </c>
      <c r="R265" s="1" t="s">
        <v>113</v>
      </c>
      <c r="S265" s="1" t="s">
        <v>307</v>
      </c>
      <c r="T265" s="1">
        <v>1.00657929E8</v>
      </c>
      <c r="W265" s="1" t="s">
        <v>308</v>
      </c>
      <c r="X265" s="1" t="s">
        <v>925</v>
      </c>
    </row>
    <row r="266">
      <c r="A266" s="1" t="s">
        <v>1246</v>
      </c>
      <c r="B266" s="1" t="s">
        <v>1247</v>
      </c>
      <c r="C266" s="1" t="s">
        <v>1248</v>
      </c>
      <c r="D266" s="1" t="s">
        <v>51</v>
      </c>
      <c r="E266" s="1" t="s">
        <v>29</v>
      </c>
      <c r="F266" s="5">
        <v>4000000.0</v>
      </c>
      <c r="G266" s="1" t="s">
        <v>1114</v>
      </c>
      <c r="H266" s="4">
        <v>44239.0</v>
      </c>
      <c r="I266" s="1" t="s">
        <v>132</v>
      </c>
      <c r="K266" s="1">
        <v>0.0</v>
      </c>
      <c r="L266" s="1" t="s">
        <v>1249</v>
      </c>
      <c r="M266" s="1" t="str">
        <f>VLOOKUP(L266,'Copy of PMD Workday Constants -'!B235:Y921,22,false)</f>
        <v>#N/A</v>
      </c>
      <c r="N266" s="1" t="s">
        <v>32</v>
      </c>
      <c r="O266" s="1" t="s">
        <v>33</v>
      </c>
      <c r="P266" s="1" t="s">
        <v>222</v>
      </c>
      <c r="Q266" s="1" t="s">
        <v>222</v>
      </c>
      <c r="R266" s="1" t="s">
        <v>223</v>
      </c>
      <c r="S266" s="1" t="s">
        <v>646</v>
      </c>
      <c r="T266" s="1">
        <v>1.00609871E8</v>
      </c>
      <c r="V266" s="1" t="s">
        <v>422</v>
      </c>
      <c r="W266" s="1" t="s">
        <v>140</v>
      </c>
      <c r="X266" s="1" t="s">
        <v>1250</v>
      </c>
    </row>
    <row r="267">
      <c r="A267" s="1" t="s">
        <v>1251</v>
      </c>
      <c r="B267" s="1" t="s">
        <v>1252</v>
      </c>
      <c r="C267" s="1" t="s">
        <v>1253</v>
      </c>
      <c r="D267" s="1" t="s">
        <v>51</v>
      </c>
      <c r="E267" s="1" t="s">
        <v>29</v>
      </c>
      <c r="F267" s="5">
        <v>4000000.0</v>
      </c>
      <c r="G267" s="1" t="s">
        <v>1114</v>
      </c>
      <c r="H267" s="1" t="s">
        <v>1254</v>
      </c>
      <c r="I267" s="1" t="s">
        <v>191</v>
      </c>
      <c r="K267" s="1">
        <v>0.0</v>
      </c>
      <c r="L267" s="1" t="s">
        <v>678</v>
      </c>
      <c r="M267" s="1" t="str">
        <f>VLOOKUP(L267,'Copy of PMD Workday Constants -'!B236:Y922,22,false)</f>
        <v>#N/A</v>
      </c>
      <c r="N267" s="1" t="s">
        <v>32</v>
      </c>
      <c r="O267" s="1" t="s">
        <v>33</v>
      </c>
      <c r="P267" s="1" t="s">
        <v>210</v>
      </c>
      <c r="Q267" s="1" t="s">
        <v>210</v>
      </c>
      <c r="R267" s="1" t="s">
        <v>211</v>
      </c>
      <c r="S267" s="1" t="s">
        <v>416</v>
      </c>
      <c r="T267" s="1">
        <v>1.00609073E8</v>
      </c>
      <c r="W267" s="1" t="s">
        <v>56</v>
      </c>
      <c r="X267" s="1" t="s">
        <v>1255</v>
      </c>
    </row>
    <row r="268">
      <c r="A268" s="1" t="s">
        <v>1256</v>
      </c>
      <c r="B268" s="1" t="s">
        <v>1257</v>
      </c>
      <c r="C268" s="1" t="s">
        <v>1258</v>
      </c>
      <c r="D268" s="1" t="s">
        <v>103</v>
      </c>
      <c r="E268" s="1" t="s">
        <v>29</v>
      </c>
      <c r="F268" s="1">
        <v>4000000.0</v>
      </c>
      <c r="G268" s="1" t="s">
        <v>1114</v>
      </c>
      <c r="H268" s="4">
        <v>44835.0</v>
      </c>
      <c r="I268" s="4">
        <v>45051.0</v>
      </c>
      <c r="K268" s="1">
        <v>0.0</v>
      </c>
      <c r="L268" s="1" t="s">
        <v>1238</v>
      </c>
      <c r="M268" s="1" t="str">
        <f>VLOOKUP(L268,'Copy of PMD Workday Constants -'!B267:W953,22,false)</f>
        <v>Delivery</v>
      </c>
      <c r="N268" s="1" t="s">
        <v>32</v>
      </c>
      <c r="O268" s="1" t="s">
        <v>33</v>
      </c>
      <c r="P268" s="1" t="s">
        <v>210</v>
      </c>
      <c r="Q268" s="1" t="s">
        <v>210</v>
      </c>
      <c r="R268" s="1" t="s">
        <v>211</v>
      </c>
      <c r="S268" s="1" t="s">
        <v>416</v>
      </c>
      <c r="T268" s="1">
        <v>1.00586959E8</v>
      </c>
      <c r="W268" s="1" t="s">
        <v>56</v>
      </c>
      <c r="X268" s="1" t="s">
        <v>968</v>
      </c>
    </row>
    <row r="269">
      <c r="A269" s="1" t="s">
        <v>1259</v>
      </c>
      <c r="B269" s="1" t="s">
        <v>1257</v>
      </c>
      <c r="C269" s="1" t="s">
        <v>1260</v>
      </c>
      <c r="D269" s="1" t="s">
        <v>103</v>
      </c>
      <c r="E269" s="1" t="s">
        <v>29</v>
      </c>
      <c r="F269" s="1">
        <v>4000000.0</v>
      </c>
      <c r="G269" s="1" t="s">
        <v>1114</v>
      </c>
      <c r="H269" s="4">
        <v>44835.0</v>
      </c>
      <c r="I269" s="4">
        <v>45024.0</v>
      </c>
      <c r="K269" s="1">
        <v>0.0</v>
      </c>
      <c r="L269" s="1" t="s">
        <v>1238</v>
      </c>
      <c r="M269" s="1" t="str">
        <f>VLOOKUP(L269,'Copy of PMD Workday Constants -'!B268:W954,22,false)</f>
        <v>Delivery</v>
      </c>
      <c r="N269" s="1" t="s">
        <v>32</v>
      </c>
      <c r="O269" s="1" t="s">
        <v>33</v>
      </c>
      <c r="P269" s="1" t="s">
        <v>210</v>
      </c>
      <c r="Q269" s="1" t="s">
        <v>210</v>
      </c>
      <c r="R269" s="1" t="s">
        <v>211</v>
      </c>
      <c r="S269" s="1" t="s">
        <v>416</v>
      </c>
      <c r="T269" s="1">
        <v>1.00586959E8</v>
      </c>
      <c r="W269" s="1" t="s">
        <v>56</v>
      </c>
      <c r="X269" s="1" t="s">
        <v>968</v>
      </c>
    </row>
    <row r="270">
      <c r="A270" s="1" t="s">
        <v>1261</v>
      </c>
      <c r="B270" s="1" t="s">
        <v>304</v>
      </c>
      <c r="C270" s="1" t="s">
        <v>1262</v>
      </c>
      <c r="D270" s="1" t="s">
        <v>28</v>
      </c>
      <c r="E270" s="1" t="s">
        <v>29</v>
      </c>
      <c r="F270" s="1">
        <v>4000000.0</v>
      </c>
      <c r="G270" s="1" t="s">
        <v>1114</v>
      </c>
      <c r="H270" s="1" t="s">
        <v>1192</v>
      </c>
      <c r="I270" s="1" t="s">
        <v>80</v>
      </c>
      <c r="K270" s="1">
        <v>0.0</v>
      </c>
      <c r="L270" s="1" t="s">
        <v>44</v>
      </c>
      <c r="M270" s="1" t="str">
        <f>VLOOKUP(L270,'Copy of PMD Workday Constants -'!B269:W955,22,false)</f>
        <v>LCP</v>
      </c>
      <c r="N270" s="1" t="s">
        <v>32</v>
      </c>
      <c r="O270" s="1" t="s">
        <v>33</v>
      </c>
      <c r="P270" s="1" t="s">
        <v>34</v>
      </c>
      <c r="Q270" s="1" t="s">
        <v>34</v>
      </c>
      <c r="R270" s="1" t="s">
        <v>35</v>
      </c>
      <c r="S270" s="1" t="s">
        <v>416</v>
      </c>
      <c r="T270" s="1">
        <v>1.00587944E8</v>
      </c>
      <c r="W270" s="1" t="s">
        <v>308</v>
      </c>
      <c r="X270" s="1" t="s">
        <v>1193</v>
      </c>
    </row>
    <row r="271">
      <c r="A271" s="1" t="s">
        <v>1263</v>
      </c>
      <c r="B271" s="1" t="s">
        <v>49</v>
      </c>
      <c r="C271" s="1" t="s">
        <v>1264</v>
      </c>
      <c r="D271" s="1" t="s">
        <v>79</v>
      </c>
      <c r="E271" s="1" t="s">
        <v>29</v>
      </c>
      <c r="F271" s="5">
        <v>3900000.0</v>
      </c>
      <c r="G271" s="1" t="s">
        <v>1114</v>
      </c>
      <c r="H271" s="1" t="s">
        <v>1265</v>
      </c>
      <c r="I271" s="1" t="s">
        <v>810</v>
      </c>
      <c r="K271" s="1">
        <v>0.0</v>
      </c>
      <c r="L271" s="1" t="s">
        <v>53</v>
      </c>
      <c r="M271" s="1" t="str">
        <f>VLOOKUP(L271,'Copy of PMD Workday Constants -'!B240:Y926,22,false)</f>
        <v>#N/A</v>
      </c>
      <c r="N271" s="1" t="s">
        <v>32</v>
      </c>
      <c r="O271" s="1" t="s">
        <v>33</v>
      </c>
      <c r="P271" s="1" t="s">
        <v>54</v>
      </c>
      <c r="Q271" s="1" t="s">
        <v>54</v>
      </c>
      <c r="R271" s="1" t="s">
        <v>55</v>
      </c>
      <c r="S271" s="1" t="s">
        <v>654</v>
      </c>
      <c r="T271" s="1">
        <v>1.00690767E8</v>
      </c>
      <c r="W271" s="1" t="s">
        <v>56</v>
      </c>
      <c r="X271" s="1" t="s">
        <v>1266</v>
      </c>
    </row>
    <row r="272">
      <c r="A272" s="1" t="s">
        <v>1267</v>
      </c>
      <c r="B272" s="1" t="s">
        <v>965</v>
      </c>
      <c r="C272" s="1" t="s">
        <v>1268</v>
      </c>
      <c r="D272" s="1" t="s">
        <v>51</v>
      </c>
      <c r="E272" s="1" t="s">
        <v>29</v>
      </c>
      <c r="F272" s="5">
        <v>3900000.0</v>
      </c>
      <c r="G272" s="1" t="s">
        <v>1114</v>
      </c>
      <c r="H272" s="4">
        <v>44687.0</v>
      </c>
      <c r="I272" s="4">
        <v>44780.0</v>
      </c>
      <c r="K272" s="1">
        <v>0.0</v>
      </c>
      <c r="L272" s="1" t="s">
        <v>968</v>
      </c>
      <c r="M272" s="1" t="str">
        <f>VLOOKUP(L272,'Copy of PMD Workday Constants -'!B241:Y927,22,false)</f>
        <v>#N/A</v>
      </c>
      <c r="N272" s="1" t="s">
        <v>32</v>
      </c>
      <c r="O272" s="1" t="s">
        <v>33</v>
      </c>
      <c r="P272" s="1" t="s">
        <v>210</v>
      </c>
      <c r="Q272" s="1" t="s">
        <v>210</v>
      </c>
      <c r="R272" s="1" t="s">
        <v>211</v>
      </c>
      <c r="S272" s="1" t="s">
        <v>416</v>
      </c>
      <c r="T272" s="1">
        <v>1.00647262E8</v>
      </c>
      <c r="W272" s="1" t="s">
        <v>56</v>
      </c>
      <c r="X272" s="1" t="s">
        <v>1269</v>
      </c>
    </row>
    <row r="273">
      <c r="A273" s="1" t="s">
        <v>1270</v>
      </c>
      <c r="B273" s="1" t="s">
        <v>155</v>
      </c>
      <c r="C273" s="1" t="s">
        <v>1271</v>
      </c>
      <c r="D273" s="1" t="s">
        <v>51</v>
      </c>
      <c r="E273" s="1" t="s">
        <v>29</v>
      </c>
      <c r="F273" s="1">
        <v>3500000.0</v>
      </c>
      <c r="G273" s="1" t="s">
        <v>1114</v>
      </c>
      <c r="H273" s="1" t="s">
        <v>1272</v>
      </c>
      <c r="I273" s="4">
        <v>44569.0</v>
      </c>
      <c r="K273" s="1">
        <v>0.0</v>
      </c>
      <c r="L273" s="1" t="s">
        <v>157</v>
      </c>
      <c r="M273" s="1" t="str">
        <f>VLOOKUP(L273,'Copy of PMD Workday Constants -'!B272:W958,22,false)</f>
        <v>LCP</v>
      </c>
      <c r="N273" s="1" t="s">
        <v>32</v>
      </c>
      <c r="O273" s="1" t="s">
        <v>33</v>
      </c>
      <c r="P273" s="1" t="s">
        <v>112</v>
      </c>
      <c r="Q273" s="1" t="s">
        <v>112</v>
      </c>
      <c r="R273" s="1" t="s">
        <v>113</v>
      </c>
      <c r="S273" s="1" t="s">
        <v>66</v>
      </c>
      <c r="T273" s="1">
        <v>1.00658522E8</v>
      </c>
      <c r="W273" s="1" t="s">
        <v>91</v>
      </c>
      <c r="X273" s="1" t="s">
        <v>158</v>
      </c>
    </row>
    <row r="274">
      <c r="A274" s="1" t="s">
        <v>1273</v>
      </c>
      <c r="B274" s="1" t="s">
        <v>93</v>
      </c>
      <c r="C274" s="1" t="s">
        <v>1274</v>
      </c>
      <c r="D274" s="1" t="s">
        <v>51</v>
      </c>
      <c r="E274" s="1" t="s">
        <v>29</v>
      </c>
      <c r="F274" s="1">
        <v>3500000.0</v>
      </c>
      <c r="G274" s="1" t="s">
        <v>1114</v>
      </c>
      <c r="H274" s="1" t="s">
        <v>42</v>
      </c>
      <c r="I274" s="1" t="s">
        <v>302</v>
      </c>
      <c r="K274" s="1">
        <v>0.0</v>
      </c>
      <c r="L274" s="1" t="s">
        <v>928</v>
      </c>
      <c r="M274" s="1" t="str">
        <f>VLOOKUP(L274,'Copy of PMD Workday Constants -'!B273:W959,22,false)</f>
        <v>Delivery</v>
      </c>
      <c r="N274" s="1" t="s">
        <v>32</v>
      </c>
      <c r="O274" s="1" t="s">
        <v>33</v>
      </c>
      <c r="P274" s="1" t="s">
        <v>54</v>
      </c>
      <c r="Q274" s="1" t="s">
        <v>54</v>
      </c>
      <c r="R274" s="1" t="s">
        <v>55</v>
      </c>
      <c r="S274" s="1" t="s">
        <v>654</v>
      </c>
      <c r="T274" s="1">
        <v>1.00592305E8</v>
      </c>
      <c r="W274" s="1" t="s">
        <v>56</v>
      </c>
      <c r="X274" s="1" t="s">
        <v>1275</v>
      </c>
    </row>
    <row r="275">
      <c r="A275" s="1" t="s">
        <v>1276</v>
      </c>
      <c r="B275" s="1" t="s">
        <v>993</v>
      </c>
      <c r="C275" s="1" t="s">
        <v>1277</v>
      </c>
      <c r="D275" s="1" t="s">
        <v>28</v>
      </c>
      <c r="E275" s="1" t="s">
        <v>29</v>
      </c>
      <c r="F275" s="5">
        <v>3500000.0</v>
      </c>
      <c r="G275" s="1" t="s">
        <v>1114</v>
      </c>
      <c r="H275" s="4">
        <v>44595.0</v>
      </c>
      <c r="I275" s="1" t="s">
        <v>302</v>
      </c>
      <c r="K275" s="1">
        <v>0.0</v>
      </c>
      <c r="L275" s="1" t="s">
        <v>1278</v>
      </c>
      <c r="M275" s="1" t="str">
        <f>VLOOKUP(L275,'Copy of PMD Workday Constants -'!B244:Y930,22,false)</f>
        <v>#N/A</v>
      </c>
      <c r="N275" s="1" t="s">
        <v>32</v>
      </c>
      <c r="O275" s="1" t="s">
        <v>33</v>
      </c>
      <c r="P275" s="1" t="s">
        <v>112</v>
      </c>
      <c r="Q275" s="1" t="s">
        <v>112</v>
      </c>
      <c r="R275" s="1" t="s">
        <v>113</v>
      </c>
      <c r="T275" s="1">
        <v>1.00626753E8</v>
      </c>
      <c r="W275" s="1" t="s">
        <v>74</v>
      </c>
      <c r="X275" s="1" t="s">
        <v>1278</v>
      </c>
    </row>
    <row r="276">
      <c r="A276" s="1" t="s">
        <v>1279</v>
      </c>
      <c r="B276" s="1" t="s">
        <v>507</v>
      </c>
      <c r="C276" s="1" t="s">
        <v>1280</v>
      </c>
      <c r="D276" s="1" t="s">
        <v>28</v>
      </c>
      <c r="E276" s="1" t="s">
        <v>29</v>
      </c>
      <c r="F276" s="5">
        <v>3500000.0</v>
      </c>
      <c r="G276" s="1" t="s">
        <v>1114</v>
      </c>
      <c r="H276" s="1" t="s">
        <v>442</v>
      </c>
      <c r="I276" s="1" t="s">
        <v>1281</v>
      </c>
      <c r="K276" s="1">
        <v>0.0</v>
      </c>
      <c r="L276" s="1" t="s">
        <v>1282</v>
      </c>
      <c r="M276" s="1" t="str">
        <f>VLOOKUP(L276,'Copy of PMD Workday Constants -'!B245:Y931,22,false)</f>
        <v>Delivery</v>
      </c>
      <c r="N276" s="1" t="s">
        <v>32</v>
      </c>
      <c r="O276" s="1" t="s">
        <v>33</v>
      </c>
      <c r="P276" s="1" t="s">
        <v>34</v>
      </c>
      <c r="Q276" s="1" t="s">
        <v>34</v>
      </c>
      <c r="R276" s="1" t="s">
        <v>35</v>
      </c>
      <c r="S276" s="1" t="s">
        <v>1166</v>
      </c>
      <c r="T276" s="1">
        <v>1.006096E8</v>
      </c>
      <c r="W276" s="1" t="s">
        <v>456</v>
      </c>
      <c r="X276" s="1" t="s">
        <v>1283</v>
      </c>
    </row>
    <row r="277">
      <c r="A277" s="1" t="s">
        <v>1284</v>
      </c>
      <c r="B277" s="1" t="s">
        <v>1285</v>
      </c>
      <c r="C277" s="1" t="s">
        <v>1286</v>
      </c>
      <c r="D277" s="1" t="s">
        <v>103</v>
      </c>
      <c r="E277" s="1" t="s">
        <v>29</v>
      </c>
      <c r="F277" s="1">
        <v>3500000.0</v>
      </c>
      <c r="G277" s="1" t="s">
        <v>1114</v>
      </c>
      <c r="H277" s="1" t="s">
        <v>1287</v>
      </c>
      <c r="I277" s="4">
        <v>44569.0</v>
      </c>
      <c r="K277" s="1">
        <v>0.0</v>
      </c>
      <c r="L277" s="1" t="s">
        <v>1288</v>
      </c>
      <c r="M277" s="1" t="str">
        <f>VLOOKUP(L277,'Copy of PMD Workday Constants -'!B276:W962,22,false)</f>
        <v>LCP</v>
      </c>
      <c r="N277" s="1" t="s">
        <v>32</v>
      </c>
      <c r="O277" s="1" t="s">
        <v>33</v>
      </c>
      <c r="P277" s="1" t="s">
        <v>173</v>
      </c>
      <c r="Q277" s="1" t="s">
        <v>173</v>
      </c>
      <c r="R277" s="1" t="s">
        <v>174</v>
      </c>
      <c r="S277" s="1" t="s">
        <v>540</v>
      </c>
      <c r="T277" s="1">
        <v>1.00584043E8</v>
      </c>
      <c r="W277" s="1" t="s">
        <v>74</v>
      </c>
      <c r="X277" s="1" t="s">
        <v>1288</v>
      </c>
    </row>
    <row r="278">
      <c r="A278" s="1" t="s">
        <v>1289</v>
      </c>
      <c r="B278" s="1" t="s">
        <v>1290</v>
      </c>
      <c r="C278" s="1" t="s">
        <v>1291</v>
      </c>
      <c r="D278" s="1" t="s">
        <v>103</v>
      </c>
      <c r="E278" s="1" t="s">
        <v>29</v>
      </c>
      <c r="F278" s="5">
        <v>3500000.0</v>
      </c>
      <c r="G278" s="1" t="s">
        <v>1114</v>
      </c>
      <c r="H278" s="4">
        <v>44417.0</v>
      </c>
      <c r="I278" s="1" t="s">
        <v>406</v>
      </c>
      <c r="K278" s="1">
        <v>0.0</v>
      </c>
      <c r="L278" s="1" t="s">
        <v>1292</v>
      </c>
      <c r="M278" s="1" t="str">
        <f>VLOOKUP(L278,'Copy of PMD Workday Constants -'!B247:Y933,22,false)</f>
        <v>#N/A</v>
      </c>
      <c r="N278" s="1" t="s">
        <v>32</v>
      </c>
      <c r="O278" s="1" t="s">
        <v>33</v>
      </c>
      <c r="P278" s="1" t="s">
        <v>82</v>
      </c>
      <c r="Q278" s="1" t="s">
        <v>82</v>
      </c>
      <c r="R278" s="1" t="s">
        <v>83</v>
      </c>
      <c r="S278" s="1" t="s">
        <v>180</v>
      </c>
      <c r="T278" s="1">
        <v>1.006299E8</v>
      </c>
      <c r="X278" s="1" t="s">
        <v>1293</v>
      </c>
    </row>
    <row r="279">
      <c r="A279" s="1" t="s">
        <v>1294</v>
      </c>
      <c r="B279" s="1" t="s">
        <v>913</v>
      </c>
      <c r="C279" s="1" t="s">
        <v>1295</v>
      </c>
      <c r="D279" s="1" t="s">
        <v>28</v>
      </c>
      <c r="E279" s="1" t="s">
        <v>29</v>
      </c>
      <c r="F279" s="1">
        <v>3500000.0</v>
      </c>
      <c r="G279" s="1" t="s">
        <v>1114</v>
      </c>
      <c r="H279" s="4">
        <v>44594.0</v>
      </c>
      <c r="I279" s="4">
        <v>44927.0</v>
      </c>
      <c r="K279" s="1">
        <v>0.0</v>
      </c>
      <c r="L279" s="1" t="s">
        <v>938</v>
      </c>
      <c r="M279" s="1" t="str">
        <f>VLOOKUP(L279,'Copy of PMD Workday Constants -'!B278:W964,22,false)</f>
        <v>LCP</v>
      </c>
      <c r="N279" s="1" t="s">
        <v>32</v>
      </c>
      <c r="O279" s="1" t="s">
        <v>33</v>
      </c>
      <c r="P279" s="1" t="s">
        <v>82</v>
      </c>
      <c r="Q279" s="1" t="s">
        <v>82</v>
      </c>
      <c r="R279" s="1" t="s">
        <v>83</v>
      </c>
      <c r="S279" s="1" t="s">
        <v>84</v>
      </c>
      <c r="T279" s="1">
        <v>1.00653499E8</v>
      </c>
      <c r="W279" s="1" t="s">
        <v>85</v>
      </c>
      <c r="X279" s="1" t="s">
        <v>1296</v>
      </c>
    </row>
    <row r="280">
      <c r="A280" s="1" t="s">
        <v>1297</v>
      </c>
      <c r="B280" s="1" t="s">
        <v>913</v>
      </c>
      <c r="C280" s="1" t="s">
        <v>1298</v>
      </c>
      <c r="D280" s="1" t="s">
        <v>28</v>
      </c>
      <c r="E280" s="1" t="s">
        <v>29</v>
      </c>
      <c r="F280" s="1">
        <v>3500000.0</v>
      </c>
      <c r="G280" s="1" t="s">
        <v>1114</v>
      </c>
      <c r="H280" s="4">
        <v>44594.0</v>
      </c>
      <c r="I280" s="4">
        <v>44933.0</v>
      </c>
      <c r="K280" s="1">
        <v>0.0</v>
      </c>
      <c r="L280" s="1" t="s">
        <v>938</v>
      </c>
      <c r="M280" s="1" t="str">
        <f>VLOOKUP(L280,'Copy of PMD Workday Constants -'!B279:W965,22,false)</f>
        <v>LCP</v>
      </c>
      <c r="N280" s="1" t="s">
        <v>32</v>
      </c>
      <c r="O280" s="1" t="s">
        <v>33</v>
      </c>
      <c r="P280" s="1" t="s">
        <v>82</v>
      </c>
      <c r="Q280" s="1" t="s">
        <v>82</v>
      </c>
      <c r="R280" s="1" t="s">
        <v>83</v>
      </c>
      <c r="S280" s="1" t="s">
        <v>84</v>
      </c>
      <c r="T280" s="1">
        <v>1.00653499E8</v>
      </c>
      <c r="W280" s="1" t="s">
        <v>85</v>
      </c>
      <c r="X280" s="1" t="s">
        <v>1296</v>
      </c>
    </row>
    <row r="281">
      <c r="A281" s="1" t="s">
        <v>1299</v>
      </c>
      <c r="B281" s="1" t="s">
        <v>1300</v>
      </c>
      <c r="C281" s="1" t="s">
        <v>1301</v>
      </c>
      <c r="D281" s="1" t="s">
        <v>103</v>
      </c>
      <c r="E281" s="1" t="s">
        <v>29</v>
      </c>
      <c r="F281" s="1">
        <v>3500000.0</v>
      </c>
      <c r="G281" s="1" t="s">
        <v>1114</v>
      </c>
      <c r="H281" s="1" t="s">
        <v>52</v>
      </c>
      <c r="I281" s="4">
        <v>44872.0</v>
      </c>
      <c r="K281" s="1">
        <v>0.0</v>
      </c>
      <c r="L281" s="1" t="s">
        <v>1302</v>
      </c>
      <c r="M281" s="1" t="str">
        <f>VLOOKUP(L281,'Copy of PMD Workday Constants -'!B280:W966,22,false)</f>
        <v>Catalyst</v>
      </c>
      <c r="N281" s="1" t="s">
        <v>32</v>
      </c>
      <c r="O281" s="1" t="s">
        <v>33</v>
      </c>
      <c r="P281" s="1" t="s">
        <v>54</v>
      </c>
      <c r="Q281" s="1" t="s">
        <v>54</v>
      </c>
      <c r="R281" s="1" t="s">
        <v>55</v>
      </c>
      <c r="S281" s="1" t="s">
        <v>701</v>
      </c>
      <c r="T281" s="1">
        <v>1.01059157E8</v>
      </c>
      <c r="W281" s="1" t="s">
        <v>1303</v>
      </c>
      <c r="X281" s="1" t="s">
        <v>1302</v>
      </c>
    </row>
    <row r="282">
      <c r="A282" s="1" t="s">
        <v>1304</v>
      </c>
      <c r="B282" s="1" t="s">
        <v>1305</v>
      </c>
      <c r="C282" s="1" t="s">
        <v>1306</v>
      </c>
      <c r="D282" s="1" t="s">
        <v>79</v>
      </c>
      <c r="E282" s="1" t="s">
        <v>29</v>
      </c>
      <c r="F282" s="1">
        <v>3500000.0</v>
      </c>
      <c r="G282" s="1" t="s">
        <v>1114</v>
      </c>
      <c r="H282" s="1" t="s">
        <v>1307</v>
      </c>
      <c r="I282" s="1" t="s">
        <v>732</v>
      </c>
      <c r="K282" s="1">
        <v>0.0</v>
      </c>
      <c r="L282" s="1" t="s">
        <v>1308</v>
      </c>
      <c r="M282" s="1" t="str">
        <f>VLOOKUP(L282,'Copy of PMD Workday Constants -'!B281:W967,22,false)</f>
        <v>Delivery</v>
      </c>
      <c r="N282" s="1" t="s">
        <v>32</v>
      </c>
      <c r="O282" s="1" t="s">
        <v>33</v>
      </c>
      <c r="P282" s="1" t="s">
        <v>173</v>
      </c>
      <c r="Q282" s="1" t="s">
        <v>173</v>
      </c>
      <c r="R282" s="1" t="s">
        <v>174</v>
      </c>
      <c r="S282" s="1" t="s">
        <v>612</v>
      </c>
      <c r="T282" s="1">
        <v>1.00653074E8</v>
      </c>
      <c r="W282" s="1" t="s">
        <v>456</v>
      </c>
      <c r="X282" s="1" t="s">
        <v>106</v>
      </c>
    </row>
    <row r="283">
      <c r="A283" s="1" t="s">
        <v>1309</v>
      </c>
      <c r="B283" s="1" t="s">
        <v>1310</v>
      </c>
      <c r="C283" s="1" t="s">
        <v>1311</v>
      </c>
      <c r="D283" s="1" t="s">
        <v>51</v>
      </c>
      <c r="E283" s="1" t="s">
        <v>29</v>
      </c>
      <c r="F283" s="1">
        <v>3500000.0</v>
      </c>
      <c r="G283" s="1" t="s">
        <v>1114</v>
      </c>
      <c r="H283" s="4">
        <v>44598.0</v>
      </c>
      <c r="I283" s="1" t="s">
        <v>132</v>
      </c>
      <c r="K283" s="1">
        <v>0.0</v>
      </c>
      <c r="L283" s="1" t="s">
        <v>1312</v>
      </c>
      <c r="M283" s="1" t="str">
        <f>VLOOKUP(L283,'Copy of PMD Workday Constants -'!B282:W968,22,false)</f>
        <v>Delivery</v>
      </c>
      <c r="N283" s="1" t="s">
        <v>32</v>
      </c>
      <c r="O283" s="1" t="s">
        <v>33</v>
      </c>
      <c r="P283" s="1" t="s">
        <v>210</v>
      </c>
      <c r="Q283" s="1" t="s">
        <v>210</v>
      </c>
      <c r="R283" s="1" t="s">
        <v>211</v>
      </c>
      <c r="S283" s="1" t="s">
        <v>1313</v>
      </c>
      <c r="T283" s="1">
        <v>1.00660608E8</v>
      </c>
      <c r="W283" s="1" t="s">
        <v>258</v>
      </c>
      <c r="X283" s="1" t="s">
        <v>1314</v>
      </c>
    </row>
    <row r="284">
      <c r="A284" s="1" t="s">
        <v>1315</v>
      </c>
      <c r="B284" s="1" t="s">
        <v>1316</v>
      </c>
      <c r="C284" s="1" t="s">
        <v>1317</v>
      </c>
      <c r="D284" s="1" t="s">
        <v>28</v>
      </c>
      <c r="E284" s="1" t="s">
        <v>29</v>
      </c>
      <c r="F284" s="5">
        <v>3500000.0</v>
      </c>
      <c r="G284" s="1" t="s">
        <v>1114</v>
      </c>
      <c r="H284" s="4">
        <v>44540.0</v>
      </c>
      <c r="I284" s="1" t="s">
        <v>865</v>
      </c>
      <c r="K284" s="1">
        <v>0.0</v>
      </c>
      <c r="L284" s="1" t="s">
        <v>1249</v>
      </c>
      <c r="M284" s="1" t="str">
        <f>VLOOKUP(L284,'Copy of PMD Workday Constants -'!B253:Y939,22,false)</f>
        <v>#N/A</v>
      </c>
      <c r="N284" s="1" t="s">
        <v>32</v>
      </c>
      <c r="O284" s="1" t="s">
        <v>33</v>
      </c>
      <c r="P284" s="1" t="s">
        <v>222</v>
      </c>
      <c r="Q284" s="1" t="s">
        <v>222</v>
      </c>
      <c r="R284" s="1" t="s">
        <v>223</v>
      </c>
      <c r="S284" s="1" t="s">
        <v>646</v>
      </c>
      <c r="T284" s="1">
        <v>1.00609871E8</v>
      </c>
      <c r="W284" s="1" t="s">
        <v>436</v>
      </c>
      <c r="X284" s="1" t="s">
        <v>1249</v>
      </c>
    </row>
    <row r="285">
      <c r="A285" s="1" t="s">
        <v>1318</v>
      </c>
      <c r="B285" s="1" t="s">
        <v>1319</v>
      </c>
      <c r="C285" s="1" t="s">
        <v>1320</v>
      </c>
      <c r="D285" s="1" t="s">
        <v>103</v>
      </c>
      <c r="E285" s="1" t="s">
        <v>29</v>
      </c>
      <c r="F285" s="5">
        <v>3500000.0</v>
      </c>
      <c r="G285" s="1" t="s">
        <v>1114</v>
      </c>
      <c r="H285" s="4">
        <v>44685.0</v>
      </c>
      <c r="I285" s="1" t="s">
        <v>96</v>
      </c>
      <c r="K285" s="1">
        <v>0.0</v>
      </c>
      <c r="L285" s="1" t="s">
        <v>645</v>
      </c>
      <c r="M285" s="1" t="str">
        <f>VLOOKUP(L285,'Copy of PMD Workday Constants -'!B254:Y940,22,false)</f>
        <v>#N/A</v>
      </c>
      <c r="N285" s="1" t="s">
        <v>32</v>
      </c>
      <c r="O285" s="1" t="s">
        <v>33</v>
      </c>
      <c r="P285" s="1" t="s">
        <v>64</v>
      </c>
      <c r="Q285" s="1" t="s">
        <v>64</v>
      </c>
      <c r="R285" s="1" t="s">
        <v>65</v>
      </c>
      <c r="S285" s="1" t="s">
        <v>98</v>
      </c>
      <c r="T285" s="1">
        <v>1.00653597E8</v>
      </c>
      <c r="W285" s="1" t="s">
        <v>436</v>
      </c>
      <c r="X285" s="1" t="s">
        <v>645</v>
      </c>
    </row>
    <row r="286">
      <c r="A286" s="1" t="s">
        <v>1321</v>
      </c>
      <c r="B286" s="1" t="s">
        <v>772</v>
      </c>
      <c r="C286" s="1" t="s">
        <v>1322</v>
      </c>
      <c r="D286" s="1" t="s">
        <v>28</v>
      </c>
      <c r="E286" s="1" t="s">
        <v>29</v>
      </c>
      <c r="F286" s="1">
        <v>3500000.0</v>
      </c>
      <c r="G286" s="1" t="s">
        <v>1114</v>
      </c>
      <c r="H286" s="1" t="s">
        <v>1323</v>
      </c>
      <c r="I286" s="1" t="s">
        <v>295</v>
      </c>
      <c r="K286" s="1">
        <v>0.0</v>
      </c>
      <c r="L286" s="1" t="s">
        <v>1324</v>
      </c>
      <c r="M286" s="1" t="str">
        <f>VLOOKUP(L286,'Copy of PMD Workday Constants -'!B285:W971,22,false)</f>
        <v>LCP</v>
      </c>
      <c r="N286" s="1" t="s">
        <v>32</v>
      </c>
      <c r="O286" s="1" t="s">
        <v>33</v>
      </c>
      <c r="P286" s="1" t="s">
        <v>34</v>
      </c>
      <c r="Q286" s="1" t="s">
        <v>34</v>
      </c>
      <c r="R286" s="1" t="s">
        <v>35</v>
      </c>
      <c r="S286" s="1" t="s">
        <v>36</v>
      </c>
      <c r="T286" s="1">
        <v>1.00613915E8</v>
      </c>
      <c r="W286" s="1" t="s">
        <v>37</v>
      </c>
      <c r="X286" s="1" t="s">
        <v>1324</v>
      </c>
    </row>
    <row r="287">
      <c r="A287" s="1" t="s">
        <v>1325</v>
      </c>
      <c r="B287" s="1" t="s">
        <v>669</v>
      </c>
      <c r="C287" s="1" t="s">
        <v>1326</v>
      </c>
      <c r="D287" s="1" t="s">
        <v>28</v>
      </c>
      <c r="E287" s="1" t="s">
        <v>29</v>
      </c>
      <c r="F287" s="1">
        <v>3500000.0</v>
      </c>
      <c r="G287" s="1" t="s">
        <v>1114</v>
      </c>
      <c r="H287" s="1" t="s">
        <v>1140</v>
      </c>
      <c r="I287" s="1" t="s">
        <v>1327</v>
      </c>
      <c r="K287" s="1">
        <v>0.0</v>
      </c>
      <c r="L287" s="1" t="s">
        <v>105</v>
      </c>
      <c r="M287" s="1" t="str">
        <f>VLOOKUP(L287,'Copy of PMD Workday Constants -'!B286:W972,22,false)</f>
        <v>LCP</v>
      </c>
      <c r="N287" s="1" t="s">
        <v>32</v>
      </c>
      <c r="O287" s="1" t="s">
        <v>33</v>
      </c>
      <c r="P287" s="1" t="s">
        <v>34</v>
      </c>
      <c r="Q287" s="1" t="s">
        <v>34</v>
      </c>
      <c r="R287" s="1" t="s">
        <v>35</v>
      </c>
      <c r="S287" s="1" t="s">
        <v>36</v>
      </c>
      <c r="T287" s="1">
        <v>1.00651722E8</v>
      </c>
      <c r="W287" s="1" t="s">
        <v>37</v>
      </c>
      <c r="X287" s="1" t="s">
        <v>105</v>
      </c>
    </row>
    <row r="288">
      <c r="A288" s="1" t="s">
        <v>1328</v>
      </c>
      <c r="B288" s="1" t="s">
        <v>40</v>
      </c>
      <c r="C288" s="1" t="s">
        <v>1329</v>
      </c>
      <c r="D288" s="1" t="s">
        <v>28</v>
      </c>
      <c r="E288" s="1" t="s">
        <v>29</v>
      </c>
      <c r="F288" s="5">
        <v>3500000.0</v>
      </c>
      <c r="G288" s="1" t="s">
        <v>1114</v>
      </c>
      <c r="H288" s="1" t="s">
        <v>1330</v>
      </c>
      <c r="I288" s="4">
        <v>44569.0</v>
      </c>
      <c r="K288" s="1">
        <v>0.0</v>
      </c>
      <c r="L288" s="1" t="s">
        <v>1331</v>
      </c>
      <c r="M288" s="1" t="str">
        <f>VLOOKUP(L288,'Copy of PMD Workday Constants -'!B257:Y943,22,false)</f>
        <v>#N/A</v>
      </c>
      <c r="N288" s="1" t="s">
        <v>32</v>
      </c>
      <c r="O288" s="1" t="s">
        <v>33</v>
      </c>
      <c r="P288" s="1" t="s">
        <v>222</v>
      </c>
      <c r="Q288" s="1" t="s">
        <v>222</v>
      </c>
      <c r="R288" s="1" t="s">
        <v>223</v>
      </c>
      <c r="T288" s="1">
        <v>1.00631257E8</v>
      </c>
      <c r="U288" s="1" t="s">
        <v>1332</v>
      </c>
      <c r="V288" s="1" t="s">
        <v>46</v>
      </c>
      <c r="W288" s="1" t="s">
        <v>47</v>
      </c>
      <c r="X288" s="1" t="s">
        <v>826</v>
      </c>
    </row>
    <row r="289">
      <c r="A289" s="1" t="s">
        <v>1333</v>
      </c>
      <c r="B289" s="1" t="s">
        <v>1047</v>
      </c>
      <c r="C289" s="1" t="s">
        <v>1334</v>
      </c>
      <c r="D289" s="1" t="s">
        <v>28</v>
      </c>
      <c r="E289" s="1" t="s">
        <v>29</v>
      </c>
      <c r="F289" s="5">
        <v>3450000.0</v>
      </c>
      <c r="G289" s="1" t="s">
        <v>1114</v>
      </c>
      <c r="H289" s="1" t="s">
        <v>42</v>
      </c>
      <c r="I289" s="4">
        <v>44573.0</v>
      </c>
      <c r="K289" s="1">
        <v>0.0</v>
      </c>
      <c r="L289" s="1" t="s">
        <v>1335</v>
      </c>
      <c r="M289" s="1" t="str">
        <f>VLOOKUP(L289,'Copy of PMD Workday Constants -'!B258:Y944,22,false)</f>
        <v>#N/A</v>
      </c>
      <c r="N289" s="1" t="s">
        <v>32</v>
      </c>
      <c r="O289" s="1" t="s">
        <v>33</v>
      </c>
      <c r="P289" s="1" t="s">
        <v>210</v>
      </c>
      <c r="Q289" s="1" t="s">
        <v>210</v>
      </c>
      <c r="R289" s="1" t="s">
        <v>211</v>
      </c>
      <c r="S289" s="1" t="s">
        <v>1336</v>
      </c>
      <c r="T289" s="1">
        <v>1.00594397E8</v>
      </c>
      <c r="W289" s="1" t="s">
        <v>258</v>
      </c>
      <c r="X289" s="1" t="s">
        <v>1337</v>
      </c>
    </row>
    <row r="290">
      <c r="A290" s="1" t="s">
        <v>1338</v>
      </c>
      <c r="B290" s="1" t="s">
        <v>1339</v>
      </c>
      <c r="C290" s="1" t="s">
        <v>1340</v>
      </c>
      <c r="D290" s="1" t="s">
        <v>103</v>
      </c>
      <c r="E290" s="1" t="s">
        <v>29</v>
      </c>
      <c r="F290" s="5">
        <v>3400000.0</v>
      </c>
      <c r="G290" s="1" t="s">
        <v>1114</v>
      </c>
      <c r="H290" s="1" t="s">
        <v>1341</v>
      </c>
      <c r="I290" s="4">
        <v>44903.0</v>
      </c>
      <c r="K290" s="1">
        <v>0.0</v>
      </c>
      <c r="L290" s="1" t="s">
        <v>968</v>
      </c>
      <c r="M290" s="1" t="str">
        <f>VLOOKUP(L290,'Copy of PMD Workday Constants -'!B259:Y945,22,false)</f>
        <v>#N/A</v>
      </c>
      <c r="N290" s="1" t="s">
        <v>32</v>
      </c>
      <c r="O290" s="1" t="s">
        <v>33</v>
      </c>
      <c r="P290" s="1" t="s">
        <v>210</v>
      </c>
      <c r="Q290" s="1" t="s">
        <v>210</v>
      </c>
      <c r="R290" s="1" t="s">
        <v>211</v>
      </c>
      <c r="S290" s="1" t="s">
        <v>416</v>
      </c>
      <c r="T290" s="1">
        <v>1.00647262E8</v>
      </c>
      <c r="W290" s="1" t="s">
        <v>56</v>
      </c>
      <c r="X290" s="1" t="s">
        <v>968</v>
      </c>
    </row>
    <row r="291">
      <c r="A291" s="1" t="s">
        <v>1342</v>
      </c>
      <c r="B291" s="1" t="s">
        <v>756</v>
      </c>
      <c r="C291" s="1" t="s">
        <v>1343</v>
      </c>
      <c r="D291" s="1" t="s">
        <v>28</v>
      </c>
      <c r="E291" s="1" t="s">
        <v>29</v>
      </c>
      <c r="F291" s="5">
        <v>3400000.0</v>
      </c>
      <c r="G291" s="1" t="s">
        <v>1114</v>
      </c>
      <c r="H291" s="4">
        <v>44656.0</v>
      </c>
      <c r="I291" s="4">
        <v>45078.0</v>
      </c>
      <c r="K291" s="1">
        <v>0.0</v>
      </c>
      <c r="L291" s="1" t="s">
        <v>1344</v>
      </c>
      <c r="M291" s="1" t="str">
        <f>VLOOKUP(L291,'Copy of PMD Workday Constants -'!B260:Y946,22,false)</f>
        <v>Delivery</v>
      </c>
      <c r="N291" s="1" t="s">
        <v>32</v>
      </c>
      <c r="O291" s="1" t="s">
        <v>33</v>
      </c>
      <c r="P291" s="1" t="s">
        <v>112</v>
      </c>
      <c r="Q291" s="1" t="s">
        <v>112</v>
      </c>
      <c r="R291" s="1" t="s">
        <v>113</v>
      </c>
      <c r="S291" s="1" t="s">
        <v>134</v>
      </c>
      <c r="T291" s="1">
        <v>1.0061941E8</v>
      </c>
      <c r="W291" s="1" t="s">
        <v>74</v>
      </c>
      <c r="X291" s="1" t="s">
        <v>1345</v>
      </c>
    </row>
    <row r="292">
      <c r="A292" s="1" t="s">
        <v>1346</v>
      </c>
      <c r="B292" s="1" t="s">
        <v>1347</v>
      </c>
      <c r="C292" s="1" t="s">
        <v>1348</v>
      </c>
      <c r="D292" s="1" t="s">
        <v>103</v>
      </c>
      <c r="E292" s="1" t="s">
        <v>29</v>
      </c>
      <c r="F292" s="5">
        <v>3400000.0</v>
      </c>
      <c r="G292" s="1" t="s">
        <v>1114</v>
      </c>
      <c r="H292" s="1" t="s">
        <v>1349</v>
      </c>
      <c r="I292" s="1" t="s">
        <v>1350</v>
      </c>
      <c r="K292" s="1">
        <v>0.0</v>
      </c>
      <c r="L292" s="1" t="s">
        <v>1351</v>
      </c>
      <c r="M292" s="1" t="str">
        <f>VLOOKUP(L292,'Copy of PMD Workday Constants -'!B261:Y947,22,false)</f>
        <v>#N/A</v>
      </c>
      <c r="N292" s="1" t="s">
        <v>32</v>
      </c>
      <c r="O292" s="1" t="s">
        <v>33</v>
      </c>
      <c r="P292" s="1" t="s">
        <v>34</v>
      </c>
      <c r="Q292" s="1" t="s">
        <v>34</v>
      </c>
      <c r="R292" s="1" t="s">
        <v>35</v>
      </c>
      <c r="S292" s="1" t="s">
        <v>126</v>
      </c>
      <c r="T292" s="1">
        <v>1.00585872E8</v>
      </c>
      <c r="W292" s="1" t="s">
        <v>391</v>
      </c>
      <c r="X292" s="1" t="s">
        <v>1351</v>
      </c>
    </row>
    <row r="293">
      <c r="A293" s="1" t="s">
        <v>1352</v>
      </c>
      <c r="B293" s="1" t="s">
        <v>756</v>
      </c>
      <c r="C293" s="1" t="s">
        <v>1353</v>
      </c>
      <c r="D293" s="1" t="s">
        <v>103</v>
      </c>
      <c r="E293" s="1" t="s">
        <v>29</v>
      </c>
      <c r="F293" s="5">
        <v>3339933.0</v>
      </c>
      <c r="G293" s="1" t="s">
        <v>1114</v>
      </c>
      <c r="H293" s="4">
        <v>44896.0</v>
      </c>
      <c r="I293" s="1" t="s">
        <v>104</v>
      </c>
      <c r="K293" s="1">
        <v>0.0</v>
      </c>
      <c r="L293" s="1" t="s">
        <v>1344</v>
      </c>
      <c r="M293" s="1" t="str">
        <f>VLOOKUP(L293,'Copy of PMD Workday Constants -'!B262:Y948,22,false)</f>
        <v>Delivery</v>
      </c>
      <c r="N293" s="1" t="s">
        <v>32</v>
      </c>
      <c r="O293" s="1" t="s">
        <v>33</v>
      </c>
      <c r="P293" s="1" t="s">
        <v>112</v>
      </c>
      <c r="Q293" s="1" t="s">
        <v>112</v>
      </c>
      <c r="R293" s="1" t="s">
        <v>113</v>
      </c>
      <c r="S293" s="1" t="s">
        <v>134</v>
      </c>
      <c r="T293" s="1">
        <v>1.0061941E8</v>
      </c>
      <c r="U293" s="1" t="s">
        <v>1354</v>
      </c>
      <c r="V293" s="1" t="s">
        <v>187</v>
      </c>
      <c r="W293" s="1" t="s">
        <v>74</v>
      </c>
      <c r="X293" s="1" t="s">
        <v>1344</v>
      </c>
    </row>
    <row r="294">
      <c r="A294" s="1" t="s">
        <v>1355</v>
      </c>
      <c r="B294" s="1" t="s">
        <v>129</v>
      </c>
      <c r="C294" s="1" t="s">
        <v>1356</v>
      </c>
      <c r="D294" s="1" t="s">
        <v>28</v>
      </c>
      <c r="E294" s="1" t="s">
        <v>29</v>
      </c>
      <c r="F294" s="5">
        <v>3250000.0</v>
      </c>
      <c r="G294" s="1" t="s">
        <v>1114</v>
      </c>
      <c r="H294" s="4">
        <v>44686.0</v>
      </c>
      <c r="I294" s="1" t="s">
        <v>406</v>
      </c>
      <c r="K294" s="1">
        <v>0.0</v>
      </c>
      <c r="L294" s="1" t="s">
        <v>1357</v>
      </c>
      <c r="M294" s="1" t="str">
        <f>VLOOKUP(L294,'Copy of PMD Workday Constants -'!B263:Y949,22,false)</f>
        <v>#N/A</v>
      </c>
      <c r="N294" s="1" t="s">
        <v>32</v>
      </c>
      <c r="O294" s="1" t="s">
        <v>33</v>
      </c>
      <c r="P294" s="1" t="s">
        <v>64</v>
      </c>
      <c r="Q294" s="1" t="s">
        <v>64</v>
      </c>
      <c r="R294" s="1" t="s">
        <v>65</v>
      </c>
      <c r="S294" s="1" t="s">
        <v>185</v>
      </c>
      <c r="T294" s="1">
        <v>1.00589587E8</v>
      </c>
      <c r="W294" s="1" t="s">
        <v>74</v>
      </c>
      <c r="X294" s="1" t="s">
        <v>759</v>
      </c>
    </row>
    <row r="295">
      <c r="A295" s="1" t="s">
        <v>1358</v>
      </c>
      <c r="B295" s="1" t="s">
        <v>1025</v>
      </c>
      <c r="C295" s="1" t="s">
        <v>1359</v>
      </c>
      <c r="D295" s="1" t="s">
        <v>51</v>
      </c>
      <c r="E295" s="1" t="s">
        <v>29</v>
      </c>
      <c r="F295" s="1">
        <v>3200000.0</v>
      </c>
      <c r="G295" s="1" t="s">
        <v>1114</v>
      </c>
      <c r="H295" s="1" t="s">
        <v>1287</v>
      </c>
      <c r="I295" s="1" t="s">
        <v>816</v>
      </c>
      <c r="K295" s="1">
        <v>0.0</v>
      </c>
      <c r="L295" s="1" t="s">
        <v>1360</v>
      </c>
      <c r="M295" s="1" t="str">
        <f>VLOOKUP(L295,'Copy of PMD Workday Constants -'!B294:W980,22,false)</f>
        <v>Delivery</v>
      </c>
      <c r="N295" s="1" t="s">
        <v>32</v>
      </c>
      <c r="O295" s="1" t="s">
        <v>33</v>
      </c>
      <c r="P295" s="1" t="s">
        <v>54</v>
      </c>
      <c r="Q295" s="1" t="s">
        <v>54</v>
      </c>
      <c r="R295" s="1" t="s">
        <v>55</v>
      </c>
      <c r="S295" s="1" t="s">
        <v>285</v>
      </c>
      <c r="T295" s="1">
        <v>1.00612518E8</v>
      </c>
      <c r="W295" s="1" t="s">
        <v>47</v>
      </c>
      <c r="X295" s="1" t="s">
        <v>1360</v>
      </c>
    </row>
    <row r="296">
      <c r="A296" s="1" t="s">
        <v>1361</v>
      </c>
      <c r="B296" s="1" t="s">
        <v>1025</v>
      </c>
      <c r="C296" s="1" t="s">
        <v>1362</v>
      </c>
      <c r="D296" s="1" t="s">
        <v>51</v>
      </c>
      <c r="E296" s="1" t="s">
        <v>29</v>
      </c>
      <c r="F296" s="1">
        <v>3200000.0</v>
      </c>
      <c r="G296" s="1" t="s">
        <v>1114</v>
      </c>
      <c r="H296" s="1" t="s">
        <v>1287</v>
      </c>
      <c r="I296" s="1" t="s">
        <v>816</v>
      </c>
      <c r="K296" s="1">
        <v>0.0</v>
      </c>
      <c r="L296" s="1" t="s">
        <v>1360</v>
      </c>
      <c r="M296" s="1" t="str">
        <f>VLOOKUP(L296,'Copy of PMD Workday Constants -'!B295:W981,22,false)</f>
        <v>Delivery</v>
      </c>
      <c r="N296" s="1" t="s">
        <v>32</v>
      </c>
      <c r="O296" s="1" t="s">
        <v>33</v>
      </c>
      <c r="P296" s="1" t="s">
        <v>54</v>
      </c>
      <c r="Q296" s="1" t="s">
        <v>54</v>
      </c>
      <c r="R296" s="1" t="s">
        <v>55</v>
      </c>
      <c r="S296" s="1" t="s">
        <v>285</v>
      </c>
      <c r="T296" s="1">
        <v>1.00612518E8</v>
      </c>
      <c r="W296" s="1" t="s">
        <v>47</v>
      </c>
      <c r="X296" s="1" t="s">
        <v>1360</v>
      </c>
    </row>
    <row r="297">
      <c r="A297" s="1" t="s">
        <v>1363</v>
      </c>
      <c r="B297" s="1" t="s">
        <v>1364</v>
      </c>
      <c r="C297" s="1" t="s">
        <v>1365</v>
      </c>
      <c r="D297" s="1" t="s">
        <v>28</v>
      </c>
      <c r="E297" s="1" t="s">
        <v>29</v>
      </c>
      <c r="F297" s="5">
        <v>3200000.0</v>
      </c>
      <c r="G297" s="1" t="s">
        <v>1114</v>
      </c>
      <c r="H297" s="1" t="s">
        <v>1245</v>
      </c>
      <c r="I297" s="1" t="s">
        <v>523</v>
      </c>
      <c r="K297" s="1">
        <v>0.0</v>
      </c>
      <c r="L297" s="1" t="s">
        <v>319</v>
      </c>
      <c r="M297" s="1" t="str">
        <f>VLOOKUP(L297,'Copy of PMD Workday Constants -'!B266:Y952,22,false)</f>
        <v>#N/A</v>
      </c>
      <c r="N297" s="1" t="s">
        <v>32</v>
      </c>
      <c r="O297" s="1" t="s">
        <v>33</v>
      </c>
      <c r="P297" s="1" t="s">
        <v>82</v>
      </c>
      <c r="Q297" s="1" t="s">
        <v>82</v>
      </c>
      <c r="R297" s="1" t="s">
        <v>83</v>
      </c>
      <c r="S297" s="1" t="s">
        <v>84</v>
      </c>
      <c r="T297" s="1">
        <v>1.00654705E8</v>
      </c>
      <c r="W297" s="1" t="s">
        <v>85</v>
      </c>
      <c r="X297" s="1" t="s">
        <v>319</v>
      </c>
    </row>
    <row r="298">
      <c r="A298" s="1" t="s">
        <v>1366</v>
      </c>
      <c r="B298" s="1" t="s">
        <v>1367</v>
      </c>
      <c r="C298" s="1" t="s">
        <v>1368</v>
      </c>
      <c r="D298" s="1" t="s">
        <v>103</v>
      </c>
      <c r="E298" s="1" t="s">
        <v>29</v>
      </c>
      <c r="F298" s="1">
        <v>3200000.0</v>
      </c>
      <c r="G298" s="1" t="s">
        <v>1114</v>
      </c>
      <c r="H298" s="4">
        <v>44717.0</v>
      </c>
      <c r="I298" s="1" t="s">
        <v>1369</v>
      </c>
      <c r="K298" s="1">
        <v>0.0</v>
      </c>
      <c r="L298" s="1" t="s">
        <v>1370</v>
      </c>
      <c r="M298" s="1" t="str">
        <f>VLOOKUP(L298,'Copy of PMD Workday Constants -'!B297:W983,22,false)</f>
        <v>Delivery</v>
      </c>
      <c r="N298" s="1" t="s">
        <v>32</v>
      </c>
      <c r="O298" s="1" t="s">
        <v>33</v>
      </c>
      <c r="P298" s="1" t="s">
        <v>173</v>
      </c>
      <c r="Q298" s="1" t="s">
        <v>173</v>
      </c>
      <c r="R298" s="1" t="s">
        <v>174</v>
      </c>
      <c r="S298" s="1" t="s">
        <v>153</v>
      </c>
      <c r="T298" s="1">
        <v>1.00869794E8</v>
      </c>
      <c r="W298" s="1" t="s">
        <v>47</v>
      </c>
      <c r="X298" s="1" t="s">
        <v>1371</v>
      </c>
    </row>
    <row r="299">
      <c r="A299" s="1" t="s">
        <v>1372</v>
      </c>
      <c r="B299" s="1" t="s">
        <v>1373</v>
      </c>
      <c r="C299" s="1" t="s">
        <v>1374</v>
      </c>
      <c r="D299" s="1" t="s">
        <v>103</v>
      </c>
      <c r="E299" s="1" t="s">
        <v>29</v>
      </c>
      <c r="F299" s="1">
        <v>3200000.0</v>
      </c>
      <c r="G299" s="1" t="s">
        <v>1114</v>
      </c>
      <c r="H299" s="4">
        <v>44777.0</v>
      </c>
      <c r="I299" s="1" t="s">
        <v>104</v>
      </c>
      <c r="K299" s="1">
        <v>0.0</v>
      </c>
      <c r="L299" s="1" t="s">
        <v>1375</v>
      </c>
      <c r="M299" s="1" t="str">
        <f>VLOOKUP(L299,'Copy of PMD Workday Constants -'!B298:W984,22,false)</f>
        <v>Delivery</v>
      </c>
      <c r="N299" s="1" t="s">
        <v>32</v>
      </c>
      <c r="O299" s="1" t="s">
        <v>33</v>
      </c>
      <c r="P299" s="1" t="s">
        <v>64</v>
      </c>
      <c r="Q299" s="1" t="s">
        <v>64</v>
      </c>
      <c r="R299" s="1" t="s">
        <v>65</v>
      </c>
      <c r="S299" s="1" t="s">
        <v>185</v>
      </c>
      <c r="T299" s="1">
        <v>1.00584032E8</v>
      </c>
      <c r="U299" s="1" t="s">
        <v>1376</v>
      </c>
      <c r="V299" s="1" t="s">
        <v>781</v>
      </c>
      <c r="W299" s="1" t="s">
        <v>74</v>
      </c>
      <c r="X299" s="1" t="s">
        <v>1377</v>
      </c>
    </row>
    <row r="300">
      <c r="A300" s="1" t="s">
        <v>1378</v>
      </c>
      <c r="B300" s="1" t="s">
        <v>615</v>
      </c>
      <c r="C300" s="1" t="s">
        <v>1379</v>
      </c>
      <c r="D300" s="1" t="s">
        <v>103</v>
      </c>
      <c r="E300" s="1" t="s">
        <v>29</v>
      </c>
      <c r="F300" s="1">
        <v>3150000.0</v>
      </c>
      <c r="G300" s="1" t="s">
        <v>1114</v>
      </c>
      <c r="H300" s="1" t="s">
        <v>460</v>
      </c>
      <c r="I300" s="1" t="s">
        <v>104</v>
      </c>
      <c r="K300" s="1">
        <v>0.0</v>
      </c>
      <c r="L300" s="1" t="s">
        <v>1380</v>
      </c>
      <c r="M300" s="1" t="str">
        <f>VLOOKUP(L300,'Copy of PMD Workday Constants -'!B299:W985,22,false)</f>
        <v>Delivery</v>
      </c>
      <c r="N300" s="1" t="s">
        <v>32</v>
      </c>
      <c r="O300" s="1" t="s">
        <v>33</v>
      </c>
      <c r="P300" s="1" t="s">
        <v>34</v>
      </c>
      <c r="Q300" s="1" t="s">
        <v>34</v>
      </c>
      <c r="R300" s="1" t="s">
        <v>35</v>
      </c>
      <c r="S300" s="1" t="s">
        <v>126</v>
      </c>
      <c r="T300" s="1">
        <v>1.00587434E8</v>
      </c>
      <c r="W300" s="1" t="s">
        <v>74</v>
      </c>
      <c r="X300" s="1" t="s">
        <v>1381</v>
      </c>
    </row>
    <row r="301">
      <c r="A301" s="1" t="s">
        <v>1382</v>
      </c>
      <c r="B301" s="1" t="s">
        <v>489</v>
      </c>
      <c r="C301" s="1" t="s">
        <v>1383</v>
      </c>
      <c r="D301" s="1" t="s">
        <v>51</v>
      </c>
      <c r="E301" s="1" t="s">
        <v>29</v>
      </c>
      <c r="F301" s="1">
        <v>3100000.0</v>
      </c>
      <c r="G301" s="1" t="s">
        <v>1114</v>
      </c>
      <c r="H301" s="1" t="s">
        <v>865</v>
      </c>
      <c r="I301" s="1" t="s">
        <v>1384</v>
      </c>
      <c r="K301" s="1">
        <v>0.0</v>
      </c>
      <c r="L301" s="1" t="s">
        <v>847</v>
      </c>
      <c r="M301" s="1" t="str">
        <f>VLOOKUP(L301,'Copy of PMD Workday Constants -'!B300:W986,22,false)</f>
        <v>Delivery</v>
      </c>
      <c r="N301" s="1" t="s">
        <v>32</v>
      </c>
      <c r="O301" s="1" t="s">
        <v>33</v>
      </c>
      <c r="P301" s="1" t="s">
        <v>173</v>
      </c>
      <c r="Q301" s="1" t="s">
        <v>173</v>
      </c>
      <c r="R301" s="1" t="s">
        <v>174</v>
      </c>
      <c r="S301" s="1" t="s">
        <v>1385</v>
      </c>
      <c r="T301" s="1">
        <v>1.00586701E8</v>
      </c>
      <c r="W301" s="1" t="s">
        <v>493</v>
      </c>
      <c r="X301" s="1" t="s">
        <v>847</v>
      </c>
    </row>
    <row r="302">
      <c r="A302" s="1" t="s">
        <v>1386</v>
      </c>
      <c r="B302" s="1" t="s">
        <v>1387</v>
      </c>
      <c r="C302" s="1" t="s">
        <v>1388</v>
      </c>
      <c r="D302" s="1" t="s">
        <v>28</v>
      </c>
      <c r="E302" s="1" t="s">
        <v>29</v>
      </c>
      <c r="F302" s="1">
        <v>3100000.0</v>
      </c>
      <c r="G302" s="1" t="s">
        <v>1114</v>
      </c>
      <c r="H302" s="4">
        <v>44297.0</v>
      </c>
      <c r="I302" s="4">
        <v>44569.0</v>
      </c>
      <c r="K302" s="1">
        <v>0.0</v>
      </c>
      <c r="L302" s="1" t="s">
        <v>1389</v>
      </c>
      <c r="M302" s="1" t="str">
        <f>VLOOKUP(L302,'Copy of PMD Workday Constants -'!B301:W987,22,false)</f>
        <v>LCP</v>
      </c>
      <c r="N302" s="1" t="s">
        <v>32</v>
      </c>
      <c r="O302" s="1" t="s">
        <v>33</v>
      </c>
      <c r="P302" s="1" t="s">
        <v>64</v>
      </c>
      <c r="Q302" s="1" t="s">
        <v>64</v>
      </c>
      <c r="R302" s="1" t="s">
        <v>65</v>
      </c>
      <c r="S302" s="1" t="s">
        <v>1336</v>
      </c>
      <c r="T302" s="1">
        <v>1.00610014E8</v>
      </c>
      <c r="W302" s="1" t="s">
        <v>91</v>
      </c>
      <c r="X302" s="1" t="s">
        <v>1390</v>
      </c>
    </row>
    <row r="303">
      <c r="A303" s="1" t="s">
        <v>1391</v>
      </c>
      <c r="B303" s="1" t="s">
        <v>1392</v>
      </c>
      <c r="C303" s="1" t="s">
        <v>1393</v>
      </c>
      <c r="D303" s="1" t="s">
        <v>28</v>
      </c>
      <c r="E303" s="1" t="s">
        <v>29</v>
      </c>
      <c r="F303" s="5">
        <v>3060000.0</v>
      </c>
      <c r="G303" s="1" t="s">
        <v>1114</v>
      </c>
      <c r="H303" s="1" t="s">
        <v>1394</v>
      </c>
      <c r="I303" s="1" t="s">
        <v>1395</v>
      </c>
      <c r="K303" s="1">
        <v>0.0</v>
      </c>
      <c r="L303" s="1" t="s">
        <v>1396</v>
      </c>
      <c r="M303" s="1" t="str">
        <f>VLOOKUP(L303,'Copy of PMD Workday Constants -'!B272:Y958,22,false)</f>
        <v>#N/A</v>
      </c>
      <c r="N303" s="1" t="s">
        <v>32</v>
      </c>
      <c r="O303" s="1" t="s">
        <v>33</v>
      </c>
      <c r="P303" s="1" t="s">
        <v>222</v>
      </c>
      <c r="Q303" s="1" t="s">
        <v>222</v>
      </c>
      <c r="R303" s="1" t="s">
        <v>223</v>
      </c>
      <c r="S303" s="1" t="s">
        <v>646</v>
      </c>
      <c r="T303" s="1">
        <v>1.00609118E8</v>
      </c>
      <c r="W303" s="1" t="s">
        <v>947</v>
      </c>
      <c r="X303" s="1" t="s">
        <v>1397</v>
      </c>
    </row>
    <row r="304">
      <c r="A304" s="1" t="s">
        <v>1398</v>
      </c>
      <c r="B304" s="1" t="s">
        <v>970</v>
      </c>
      <c r="C304" s="1" t="s">
        <v>1399</v>
      </c>
      <c r="D304" s="1" t="s">
        <v>51</v>
      </c>
      <c r="E304" s="1" t="s">
        <v>29</v>
      </c>
      <c r="F304" s="5">
        <v>3000000.0</v>
      </c>
      <c r="G304" s="1" t="s">
        <v>1114</v>
      </c>
      <c r="H304" s="1" t="s">
        <v>816</v>
      </c>
      <c r="I304" s="1" t="s">
        <v>414</v>
      </c>
      <c r="K304" s="1">
        <v>0.0</v>
      </c>
      <c r="L304" s="1" t="s">
        <v>1400</v>
      </c>
      <c r="M304" s="1" t="str">
        <f>VLOOKUP(L304,'Copy of PMD Workday Constants -'!B273:Y959,22,false)</f>
        <v>#N/A</v>
      </c>
      <c r="N304" s="1" t="s">
        <v>32</v>
      </c>
      <c r="O304" s="1" t="s">
        <v>33</v>
      </c>
      <c r="P304" s="1" t="s">
        <v>64</v>
      </c>
      <c r="Q304" s="1" t="s">
        <v>64</v>
      </c>
      <c r="R304" s="1" t="s">
        <v>65</v>
      </c>
      <c r="T304" s="1">
        <v>1.0059033E8</v>
      </c>
      <c r="W304" s="1" t="s">
        <v>308</v>
      </c>
      <c r="X304" s="1" t="s">
        <v>309</v>
      </c>
    </row>
    <row r="305">
      <c r="A305" s="1" t="s">
        <v>1401</v>
      </c>
      <c r="B305" s="1" t="s">
        <v>1402</v>
      </c>
      <c r="C305" s="1" t="s">
        <v>1403</v>
      </c>
      <c r="D305" s="1" t="s">
        <v>51</v>
      </c>
      <c r="E305" s="1" t="s">
        <v>29</v>
      </c>
      <c r="F305" s="1">
        <v>3000000.0</v>
      </c>
      <c r="G305" s="1" t="s">
        <v>1114</v>
      </c>
      <c r="H305" s="1" t="s">
        <v>1404</v>
      </c>
      <c r="I305" s="4">
        <v>44929.0</v>
      </c>
      <c r="K305" s="1">
        <v>0.0</v>
      </c>
      <c r="L305" s="1" t="s">
        <v>753</v>
      </c>
      <c r="M305" s="1" t="str">
        <f>VLOOKUP(L305,'Copy of PMD Workday Constants -'!B304:W990,22,false)</f>
        <v>LCP</v>
      </c>
      <c r="N305" s="1" t="s">
        <v>32</v>
      </c>
      <c r="O305" s="1" t="s">
        <v>33</v>
      </c>
      <c r="P305" s="1" t="s">
        <v>82</v>
      </c>
      <c r="Q305" s="1" t="s">
        <v>82</v>
      </c>
      <c r="R305" s="1" t="s">
        <v>83</v>
      </c>
      <c r="S305" s="1" t="s">
        <v>180</v>
      </c>
      <c r="T305" s="1">
        <v>1.0061032E8</v>
      </c>
      <c r="W305" s="1" t="s">
        <v>85</v>
      </c>
      <c r="X305" s="1" t="s">
        <v>753</v>
      </c>
    </row>
    <row r="306">
      <c r="A306" s="1" t="s">
        <v>1405</v>
      </c>
      <c r="B306" s="1" t="s">
        <v>1406</v>
      </c>
      <c r="C306" s="1" t="s">
        <v>1407</v>
      </c>
      <c r="D306" s="1" t="s">
        <v>51</v>
      </c>
      <c r="E306" s="1" t="s">
        <v>29</v>
      </c>
      <c r="F306" s="1">
        <v>3000000.0</v>
      </c>
      <c r="G306" s="1" t="s">
        <v>1114</v>
      </c>
      <c r="H306" s="1" t="s">
        <v>592</v>
      </c>
      <c r="I306" s="4">
        <v>44601.0</v>
      </c>
      <c r="K306" s="1">
        <v>0.0</v>
      </c>
      <c r="L306" s="1" t="s">
        <v>1408</v>
      </c>
      <c r="M306" s="1" t="str">
        <f>VLOOKUP(L306,'Copy of PMD Workday Constants -'!B305:W991,22,false)</f>
        <v>Delivery</v>
      </c>
      <c r="N306" s="1" t="s">
        <v>32</v>
      </c>
      <c r="O306" s="1" t="s">
        <v>33</v>
      </c>
      <c r="P306" s="1" t="s">
        <v>64</v>
      </c>
      <c r="Q306" s="1" t="s">
        <v>64</v>
      </c>
      <c r="R306" s="1" t="s">
        <v>65</v>
      </c>
      <c r="S306" s="1" t="s">
        <v>791</v>
      </c>
      <c r="T306" s="1">
        <v>1.00652169E8</v>
      </c>
      <c r="W306" s="1" t="s">
        <v>140</v>
      </c>
      <c r="X306" s="1" t="s">
        <v>1408</v>
      </c>
    </row>
    <row r="307">
      <c r="A307" s="1" t="s">
        <v>1409</v>
      </c>
      <c r="B307" s="1" t="s">
        <v>1347</v>
      </c>
      <c r="C307" s="1" t="s">
        <v>1410</v>
      </c>
      <c r="D307" s="1" t="s">
        <v>28</v>
      </c>
      <c r="E307" s="1" t="s">
        <v>29</v>
      </c>
      <c r="F307" s="5">
        <v>3000000.0</v>
      </c>
      <c r="G307" s="1" t="s">
        <v>1114</v>
      </c>
      <c r="H307" s="1" t="s">
        <v>1411</v>
      </c>
      <c r="I307" s="1" t="s">
        <v>1412</v>
      </c>
      <c r="K307" s="1">
        <v>0.0</v>
      </c>
      <c r="L307" s="1" t="s">
        <v>1413</v>
      </c>
      <c r="M307" s="1" t="str">
        <f>VLOOKUP(L307,'Copy of PMD Workday Constants -'!B276:Y962,22,false)</f>
        <v>#N/A</v>
      </c>
      <c r="N307" s="1" t="s">
        <v>32</v>
      </c>
      <c r="O307" s="1" t="s">
        <v>33</v>
      </c>
      <c r="P307" s="1" t="s">
        <v>34</v>
      </c>
      <c r="Q307" s="1" t="s">
        <v>34</v>
      </c>
      <c r="R307" s="1" t="s">
        <v>35</v>
      </c>
      <c r="S307" s="1" t="s">
        <v>73</v>
      </c>
      <c r="T307" s="1">
        <v>1.00643044E8</v>
      </c>
      <c r="W307" s="1" t="s">
        <v>391</v>
      </c>
      <c r="X307" s="1" t="s">
        <v>1001</v>
      </c>
    </row>
    <row r="308">
      <c r="A308" s="1" t="s">
        <v>1414</v>
      </c>
      <c r="B308" s="1" t="s">
        <v>1415</v>
      </c>
      <c r="C308" s="1" t="s">
        <v>1416</v>
      </c>
      <c r="D308" s="1" t="s">
        <v>28</v>
      </c>
      <c r="E308" s="1" t="s">
        <v>29</v>
      </c>
      <c r="F308" s="1">
        <v>3000000.0</v>
      </c>
      <c r="G308" s="1" t="s">
        <v>1114</v>
      </c>
      <c r="H308" s="1" t="s">
        <v>816</v>
      </c>
      <c r="I308" s="4">
        <v>44872.0</v>
      </c>
      <c r="K308" s="1">
        <v>0.0</v>
      </c>
      <c r="L308" s="1" t="s">
        <v>1417</v>
      </c>
      <c r="M308" s="1" t="str">
        <f>VLOOKUP(L308,'Copy of PMD Workday Constants -'!B307:W993,22,false)</f>
        <v>LCP</v>
      </c>
      <c r="N308" s="1" t="s">
        <v>32</v>
      </c>
      <c r="O308" s="1" t="s">
        <v>33</v>
      </c>
      <c r="P308" s="1" t="s">
        <v>64</v>
      </c>
      <c r="Q308" s="1" t="s">
        <v>64</v>
      </c>
      <c r="R308" s="1" t="s">
        <v>65</v>
      </c>
      <c r="S308" s="1" t="s">
        <v>1336</v>
      </c>
      <c r="T308" s="1">
        <v>1.00599107E8</v>
      </c>
      <c r="W308" s="1" t="s">
        <v>1303</v>
      </c>
      <c r="X308" s="1" t="s">
        <v>1418</v>
      </c>
    </row>
    <row r="309">
      <c r="A309" s="1" t="s">
        <v>1419</v>
      </c>
      <c r="B309" s="1" t="s">
        <v>1420</v>
      </c>
      <c r="C309" s="1" t="s">
        <v>1421</v>
      </c>
      <c r="D309" s="1" t="s">
        <v>51</v>
      </c>
      <c r="E309" s="1" t="s">
        <v>29</v>
      </c>
      <c r="F309" s="5">
        <v>3000000.0</v>
      </c>
      <c r="G309" s="1" t="s">
        <v>1114</v>
      </c>
      <c r="H309" s="1" t="s">
        <v>322</v>
      </c>
      <c r="I309" s="1" t="s">
        <v>80</v>
      </c>
      <c r="K309" s="1">
        <v>0.0</v>
      </c>
      <c r="L309" s="1" t="s">
        <v>1351</v>
      </c>
      <c r="M309" s="1" t="str">
        <f>VLOOKUP(L309,'Copy of PMD Workday Constants -'!B278:Y964,22,false)</f>
        <v>#N/A</v>
      </c>
      <c r="N309" s="1" t="s">
        <v>32</v>
      </c>
      <c r="O309" s="1" t="s">
        <v>33</v>
      </c>
      <c r="P309" s="1" t="s">
        <v>34</v>
      </c>
      <c r="Q309" s="1" t="s">
        <v>34</v>
      </c>
      <c r="R309" s="1" t="s">
        <v>35</v>
      </c>
      <c r="S309" s="1" t="s">
        <v>383</v>
      </c>
      <c r="T309" s="1">
        <v>1.00585872E8</v>
      </c>
      <c r="U309" s="1" t="s">
        <v>1422</v>
      </c>
      <c r="V309" s="1" t="s">
        <v>46</v>
      </c>
      <c r="W309" s="1" t="s">
        <v>250</v>
      </c>
      <c r="X309" s="1" t="s">
        <v>1423</v>
      </c>
    </row>
    <row r="310">
      <c r="A310" s="1" t="s">
        <v>1424</v>
      </c>
      <c r="B310" s="1" t="s">
        <v>40</v>
      </c>
      <c r="C310" s="1" t="s">
        <v>1425</v>
      </c>
      <c r="D310" s="1" t="s">
        <v>28</v>
      </c>
      <c r="E310" s="1" t="s">
        <v>29</v>
      </c>
      <c r="F310" s="5">
        <v>3000000.0</v>
      </c>
      <c r="G310" s="1" t="s">
        <v>1114</v>
      </c>
      <c r="H310" s="1" t="s">
        <v>865</v>
      </c>
      <c r="I310" s="1" t="s">
        <v>1426</v>
      </c>
      <c r="K310" s="1">
        <v>0.0</v>
      </c>
      <c r="L310" s="1" t="s">
        <v>825</v>
      </c>
      <c r="M310" s="1" t="str">
        <f>VLOOKUP(L310,'Copy of PMD Workday Constants -'!B279:Y965,22,false)</f>
        <v>#N/A</v>
      </c>
      <c r="N310" s="1" t="s">
        <v>32</v>
      </c>
      <c r="O310" s="1" t="s">
        <v>33</v>
      </c>
      <c r="P310" s="1" t="s">
        <v>112</v>
      </c>
      <c r="Q310" s="1" t="s">
        <v>112</v>
      </c>
      <c r="R310" s="1" t="s">
        <v>113</v>
      </c>
      <c r="S310" s="1" t="s">
        <v>285</v>
      </c>
      <c r="T310" s="1">
        <v>1.00621664E8</v>
      </c>
      <c r="U310" s="1" t="s">
        <v>1427</v>
      </c>
      <c r="V310" s="1" t="s">
        <v>46</v>
      </c>
      <c r="W310" s="1" t="s">
        <v>47</v>
      </c>
      <c r="X310" s="1" t="s">
        <v>44</v>
      </c>
    </row>
    <row r="311">
      <c r="A311" s="1" t="s">
        <v>1428</v>
      </c>
      <c r="B311" s="1" t="s">
        <v>1429</v>
      </c>
      <c r="C311" s="1" t="s">
        <v>1430</v>
      </c>
      <c r="D311" s="1" t="s">
        <v>51</v>
      </c>
      <c r="E311" s="1" t="s">
        <v>29</v>
      </c>
      <c r="F311" s="1">
        <v>3000000.0</v>
      </c>
      <c r="G311" s="1" t="s">
        <v>1114</v>
      </c>
      <c r="H311" s="1" t="s">
        <v>405</v>
      </c>
      <c r="I311" s="1" t="s">
        <v>80</v>
      </c>
      <c r="K311" s="1">
        <v>0.0</v>
      </c>
      <c r="L311" s="1" t="s">
        <v>461</v>
      </c>
      <c r="M311" s="1" t="str">
        <f>VLOOKUP(L311,'Copy of PMD Workday Constants -'!B310:W996,22,false)</f>
        <v>Delivery</v>
      </c>
      <c r="N311" s="1" t="s">
        <v>32</v>
      </c>
      <c r="O311" s="1" t="s">
        <v>33</v>
      </c>
      <c r="P311" s="1" t="s">
        <v>210</v>
      </c>
      <c r="Q311" s="1" t="s">
        <v>210</v>
      </c>
      <c r="R311" s="1" t="s">
        <v>211</v>
      </c>
      <c r="S311" s="1" t="s">
        <v>416</v>
      </c>
      <c r="T311" s="1">
        <v>1.00652846E8</v>
      </c>
      <c r="W311" s="1" t="s">
        <v>56</v>
      </c>
      <c r="X311" s="1" t="s">
        <v>461</v>
      </c>
    </row>
    <row r="312">
      <c r="A312" s="1" t="s">
        <v>1431</v>
      </c>
      <c r="B312" s="1" t="s">
        <v>40</v>
      </c>
      <c r="C312" s="1" t="s">
        <v>1432</v>
      </c>
      <c r="D312" s="1" t="s">
        <v>28</v>
      </c>
      <c r="E312" s="1" t="s">
        <v>29</v>
      </c>
      <c r="F312" s="1">
        <v>3000000.0</v>
      </c>
      <c r="G312" s="1" t="s">
        <v>1114</v>
      </c>
      <c r="H312" s="1" t="s">
        <v>1433</v>
      </c>
      <c r="I312" s="4">
        <v>44567.0</v>
      </c>
      <c r="K312" s="1">
        <v>0.0</v>
      </c>
      <c r="L312" s="1" t="s">
        <v>44</v>
      </c>
      <c r="M312" s="1" t="str">
        <f>VLOOKUP(L312,'Copy of PMD Workday Constants -'!B311:W997,22,false)</f>
        <v>LCP</v>
      </c>
      <c r="N312" s="1" t="s">
        <v>32</v>
      </c>
      <c r="O312" s="1" t="s">
        <v>33</v>
      </c>
      <c r="P312" s="1" t="s">
        <v>34</v>
      </c>
      <c r="Q312" s="1" t="s">
        <v>34</v>
      </c>
      <c r="R312" s="1" t="s">
        <v>35</v>
      </c>
      <c r="S312" s="1" t="s">
        <v>126</v>
      </c>
      <c r="T312" s="1">
        <v>1.00587944E8</v>
      </c>
      <c r="W312" s="1" t="s">
        <v>47</v>
      </c>
      <c r="X312" s="1" t="s">
        <v>826</v>
      </c>
    </row>
    <row r="313">
      <c r="A313" s="1" t="s">
        <v>1434</v>
      </c>
      <c r="B313" s="1" t="s">
        <v>673</v>
      </c>
      <c r="C313" s="1" t="s">
        <v>1435</v>
      </c>
      <c r="D313" s="1" t="s">
        <v>28</v>
      </c>
      <c r="E313" s="1" t="s">
        <v>29</v>
      </c>
      <c r="F313" s="1">
        <v>3000000.0</v>
      </c>
      <c r="G313" s="1" t="s">
        <v>1114</v>
      </c>
      <c r="H313" s="1" t="s">
        <v>1436</v>
      </c>
      <c r="I313" s="4">
        <v>44992.0</v>
      </c>
      <c r="K313" s="1">
        <v>0.0</v>
      </c>
      <c r="L313" s="1" t="s">
        <v>682</v>
      </c>
      <c r="M313" s="1" t="str">
        <f>VLOOKUP(L313,'Copy of PMD Workday Constants -'!B312:W998,22,false)</f>
        <v>Delivery</v>
      </c>
      <c r="N313" s="1" t="s">
        <v>32</v>
      </c>
      <c r="O313" s="1" t="s">
        <v>33</v>
      </c>
      <c r="P313" s="1" t="s">
        <v>112</v>
      </c>
      <c r="Q313" s="1" t="s">
        <v>112</v>
      </c>
      <c r="R313" s="1" t="s">
        <v>113</v>
      </c>
      <c r="S313" s="1" t="s">
        <v>307</v>
      </c>
      <c r="T313" s="1">
        <v>1.00629293E8</v>
      </c>
      <c r="W313" s="1" t="s">
        <v>47</v>
      </c>
      <c r="X313" s="1" t="s">
        <v>682</v>
      </c>
    </row>
    <row r="314">
      <c r="A314" s="1" t="s">
        <v>1437</v>
      </c>
      <c r="B314" s="1" t="s">
        <v>507</v>
      </c>
      <c r="C314" s="1" t="s">
        <v>1438</v>
      </c>
      <c r="D314" s="1" t="s">
        <v>79</v>
      </c>
      <c r="E314" s="1" t="s">
        <v>29</v>
      </c>
      <c r="F314" s="5">
        <v>3000000.0</v>
      </c>
      <c r="G314" s="1" t="s">
        <v>1114</v>
      </c>
      <c r="H314" s="4">
        <v>44594.0</v>
      </c>
      <c r="I314" s="1" t="s">
        <v>302</v>
      </c>
      <c r="K314" s="1">
        <v>0.0</v>
      </c>
      <c r="L314" s="1" t="s">
        <v>582</v>
      </c>
      <c r="M314" s="1" t="str">
        <f>VLOOKUP(L314,'Copy of PMD Workday Constants -'!B283:Y969,22,false)</f>
        <v>#N/A</v>
      </c>
      <c r="N314" s="1" t="s">
        <v>32</v>
      </c>
      <c r="O314" s="1" t="s">
        <v>33</v>
      </c>
      <c r="P314" s="1" t="s">
        <v>82</v>
      </c>
      <c r="Q314" s="1" t="s">
        <v>82</v>
      </c>
      <c r="R314" s="1" t="s">
        <v>83</v>
      </c>
      <c r="S314" s="1" t="s">
        <v>583</v>
      </c>
      <c r="T314" s="1">
        <v>1.00869732E8</v>
      </c>
      <c r="W314" s="1" t="s">
        <v>456</v>
      </c>
      <c r="X314" s="1" t="s">
        <v>1439</v>
      </c>
    </row>
    <row r="315">
      <c r="A315" s="1" t="s">
        <v>1440</v>
      </c>
      <c r="B315" s="1" t="s">
        <v>913</v>
      </c>
      <c r="C315" s="1" t="s">
        <v>1441</v>
      </c>
      <c r="D315" s="1" t="s">
        <v>28</v>
      </c>
      <c r="E315" s="1" t="s">
        <v>29</v>
      </c>
      <c r="F315" s="5">
        <v>3000000.0</v>
      </c>
      <c r="G315" s="1" t="s">
        <v>1114</v>
      </c>
      <c r="H315" s="4">
        <v>44450.0</v>
      </c>
      <c r="I315" s="1" t="s">
        <v>191</v>
      </c>
      <c r="K315" s="1">
        <v>0.0</v>
      </c>
      <c r="L315" s="1" t="s">
        <v>1292</v>
      </c>
      <c r="M315" s="1" t="str">
        <f>VLOOKUP(L315,'Copy of PMD Workday Constants -'!B284:Y970,22,false)</f>
        <v>#N/A</v>
      </c>
      <c r="N315" s="1" t="s">
        <v>32</v>
      </c>
      <c r="O315" s="1" t="s">
        <v>33</v>
      </c>
      <c r="P315" s="1" t="s">
        <v>82</v>
      </c>
      <c r="Q315" s="1" t="s">
        <v>82</v>
      </c>
      <c r="R315" s="1" t="s">
        <v>83</v>
      </c>
      <c r="S315" s="1" t="s">
        <v>180</v>
      </c>
      <c r="T315" s="1">
        <v>1.006299E8</v>
      </c>
      <c r="W315" s="1" t="s">
        <v>85</v>
      </c>
      <c r="X315" s="1" t="s">
        <v>1292</v>
      </c>
    </row>
    <row r="316">
      <c r="A316" s="1" t="s">
        <v>1442</v>
      </c>
      <c r="B316" s="1" t="s">
        <v>489</v>
      </c>
      <c r="C316" s="1" t="s">
        <v>1443</v>
      </c>
      <c r="D316" s="1" t="s">
        <v>28</v>
      </c>
      <c r="E316" s="1" t="s">
        <v>29</v>
      </c>
      <c r="F316" s="5">
        <v>3000000.0</v>
      </c>
      <c r="G316" s="1" t="s">
        <v>1114</v>
      </c>
      <c r="H316" s="1" t="s">
        <v>1444</v>
      </c>
      <c r="I316" s="4">
        <v>44689.0</v>
      </c>
      <c r="K316" s="1">
        <v>0.0</v>
      </c>
      <c r="L316" s="1" t="s">
        <v>1039</v>
      </c>
      <c r="M316" s="1" t="str">
        <f>VLOOKUP(L316,'Copy of PMD Workday Constants -'!B285:Y971,22,false)</f>
        <v>#N/A</v>
      </c>
      <c r="N316" s="1" t="s">
        <v>32</v>
      </c>
      <c r="O316" s="1" t="s">
        <v>33</v>
      </c>
      <c r="P316" s="1" t="s">
        <v>112</v>
      </c>
      <c r="Q316" s="1" t="s">
        <v>112</v>
      </c>
      <c r="R316" s="1" t="s">
        <v>113</v>
      </c>
      <c r="S316" s="1" t="s">
        <v>134</v>
      </c>
      <c r="T316" s="1">
        <v>1.00633489E8</v>
      </c>
      <c r="W316" s="1" t="s">
        <v>493</v>
      </c>
      <c r="X316" s="1" t="s">
        <v>1039</v>
      </c>
    </row>
    <row r="317">
      <c r="A317" s="1" t="s">
        <v>1445</v>
      </c>
      <c r="B317" s="1" t="s">
        <v>1096</v>
      </c>
      <c r="C317" s="1" t="s">
        <v>1446</v>
      </c>
      <c r="D317" s="1" t="s">
        <v>51</v>
      </c>
      <c r="E317" s="1" t="s">
        <v>29</v>
      </c>
      <c r="F317" s="1">
        <v>3000000.0</v>
      </c>
      <c r="G317" s="1" t="s">
        <v>1114</v>
      </c>
      <c r="H317" s="4">
        <v>44447.0</v>
      </c>
      <c r="I317" s="1" t="s">
        <v>302</v>
      </c>
      <c r="K317" s="1">
        <v>0.0</v>
      </c>
      <c r="L317" s="1" t="s">
        <v>1447</v>
      </c>
      <c r="M317" s="1" t="str">
        <f>VLOOKUP(L317,'Copy of PMD Workday Constants -'!B316:W1002,22,false)</f>
        <v>LCP</v>
      </c>
      <c r="N317" s="1" t="s">
        <v>32</v>
      </c>
      <c r="O317" s="1" t="s">
        <v>33</v>
      </c>
      <c r="P317" s="1" t="s">
        <v>64</v>
      </c>
      <c r="Q317" s="1" t="s">
        <v>64</v>
      </c>
      <c r="R317" s="1" t="s">
        <v>65</v>
      </c>
      <c r="S317" s="1" t="s">
        <v>791</v>
      </c>
      <c r="T317" s="1">
        <v>1.00997154E8</v>
      </c>
      <c r="W317" s="1" t="s">
        <v>456</v>
      </c>
      <c r="X317" s="1" t="s">
        <v>1447</v>
      </c>
    </row>
    <row r="318">
      <c r="A318" s="1" t="s">
        <v>1448</v>
      </c>
      <c r="B318" s="1" t="s">
        <v>1449</v>
      </c>
      <c r="C318" s="1" t="s">
        <v>1450</v>
      </c>
      <c r="D318" s="1" t="s">
        <v>28</v>
      </c>
      <c r="E318" s="1" t="s">
        <v>29</v>
      </c>
      <c r="F318" s="5">
        <v>3000000.0</v>
      </c>
      <c r="G318" s="1" t="s">
        <v>1114</v>
      </c>
      <c r="H318" s="1" t="s">
        <v>283</v>
      </c>
      <c r="I318" s="1" t="s">
        <v>227</v>
      </c>
      <c r="K318" s="1">
        <v>0.0</v>
      </c>
      <c r="L318" s="1" t="s">
        <v>1451</v>
      </c>
      <c r="M318" s="1" t="str">
        <f>VLOOKUP(L318,'Copy of PMD Workday Constants -'!B287:Y973,22,false)</f>
        <v>#N/A</v>
      </c>
      <c r="N318" s="1" t="s">
        <v>32</v>
      </c>
      <c r="O318" s="1" t="s">
        <v>33</v>
      </c>
      <c r="P318" s="1" t="s">
        <v>173</v>
      </c>
      <c r="Q318" s="1" t="s">
        <v>173</v>
      </c>
      <c r="R318" s="1" t="s">
        <v>174</v>
      </c>
      <c r="T318" s="1">
        <v>1.00632803E8</v>
      </c>
      <c r="W318" s="1" t="s">
        <v>493</v>
      </c>
      <c r="X318" s="1" t="s">
        <v>1451</v>
      </c>
    </row>
    <row r="319">
      <c r="A319" s="1" t="s">
        <v>1452</v>
      </c>
      <c r="B319" s="1" t="s">
        <v>1453</v>
      </c>
      <c r="C319" s="1" t="s">
        <v>1454</v>
      </c>
      <c r="D319" s="1" t="s">
        <v>28</v>
      </c>
      <c r="E319" s="1" t="s">
        <v>29</v>
      </c>
      <c r="F319" s="1">
        <v>3000000.0</v>
      </c>
      <c r="G319" s="1" t="s">
        <v>1114</v>
      </c>
      <c r="H319" s="1" t="s">
        <v>1455</v>
      </c>
      <c r="I319" s="1" t="s">
        <v>301</v>
      </c>
      <c r="K319" s="1">
        <v>0.0</v>
      </c>
      <c r="L319" s="1" t="s">
        <v>1456</v>
      </c>
      <c r="M319" s="1" t="str">
        <f>VLOOKUP(L319,'Copy of PMD Workday Constants -'!B318:W1004,22,false)</f>
        <v>Delivery</v>
      </c>
      <c r="N319" s="1" t="s">
        <v>32</v>
      </c>
      <c r="O319" s="1" t="s">
        <v>33</v>
      </c>
      <c r="P319" s="1" t="s">
        <v>82</v>
      </c>
      <c r="Q319" s="1" t="s">
        <v>82</v>
      </c>
      <c r="R319" s="1" t="s">
        <v>83</v>
      </c>
      <c r="S319" s="1" t="s">
        <v>1457</v>
      </c>
      <c r="T319" s="1">
        <v>1.00649673E8</v>
      </c>
      <c r="W319" s="1" t="s">
        <v>85</v>
      </c>
      <c r="X319" s="1" t="s">
        <v>1458</v>
      </c>
    </row>
    <row r="320">
      <c r="A320" s="1" t="s">
        <v>1459</v>
      </c>
      <c r="B320" s="1" t="s">
        <v>868</v>
      </c>
      <c r="C320" s="1" t="s">
        <v>1460</v>
      </c>
      <c r="D320" s="1" t="s">
        <v>103</v>
      </c>
      <c r="E320" s="1" t="s">
        <v>29</v>
      </c>
      <c r="F320" s="1">
        <v>3000000.0</v>
      </c>
      <c r="G320" s="1" t="s">
        <v>1114</v>
      </c>
      <c r="H320" s="1" t="s">
        <v>131</v>
      </c>
      <c r="I320" s="1" t="s">
        <v>248</v>
      </c>
      <c r="K320" s="1">
        <v>0.0</v>
      </c>
      <c r="L320" s="1" t="s">
        <v>1461</v>
      </c>
      <c r="M320" s="1" t="str">
        <f>VLOOKUP(L320,'Copy of PMD Workday Constants -'!B319:W1005,22,false)</f>
        <v>Delivery</v>
      </c>
      <c r="N320" s="1" t="s">
        <v>32</v>
      </c>
      <c r="O320" s="1" t="s">
        <v>33</v>
      </c>
      <c r="P320" s="1" t="s">
        <v>54</v>
      </c>
      <c r="Q320" s="1" t="s">
        <v>54</v>
      </c>
      <c r="R320" s="1" t="s">
        <v>55</v>
      </c>
      <c r="T320" s="1">
        <v>1.00619007E8</v>
      </c>
      <c r="W320" s="1" t="s">
        <v>287</v>
      </c>
      <c r="X320" s="1" t="s">
        <v>1462</v>
      </c>
    </row>
    <row r="321">
      <c r="A321" s="1" t="s">
        <v>1463</v>
      </c>
      <c r="B321" s="1" t="s">
        <v>521</v>
      </c>
      <c r="C321" s="1" t="s">
        <v>1464</v>
      </c>
      <c r="D321" s="1" t="s">
        <v>28</v>
      </c>
      <c r="E321" s="1" t="s">
        <v>29</v>
      </c>
      <c r="F321" s="5">
        <v>3000000.0</v>
      </c>
      <c r="G321" s="1" t="s">
        <v>1114</v>
      </c>
      <c r="H321" s="1" t="s">
        <v>1287</v>
      </c>
      <c r="I321" s="1" t="s">
        <v>104</v>
      </c>
      <c r="K321" s="1">
        <v>0.0</v>
      </c>
      <c r="L321" s="1" t="s">
        <v>319</v>
      </c>
      <c r="M321" s="1" t="str">
        <f>VLOOKUP(L321,'Copy of PMD Workday Constants -'!B290:Y976,22,false)</f>
        <v>#N/A</v>
      </c>
      <c r="N321" s="1" t="s">
        <v>32</v>
      </c>
      <c r="O321" s="1" t="s">
        <v>33</v>
      </c>
      <c r="P321" s="1" t="s">
        <v>82</v>
      </c>
      <c r="Q321" s="1" t="s">
        <v>82</v>
      </c>
      <c r="R321" s="1" t="s">
        <v>83</v>
      </c>
      <c r="S321" s="1" t="s">
        <v>84</v>
      </c>
      <c r="T321" s="1">
        <v>1.00654705E8</v>
      </c>
      <c r="W321" s="1" t="s">
        <v>85</v>
      </c>
      <c r="X321" s="1" t="s">
        <v>319</v>
      </c>
    </row>
    <row r="322">
      <c r="A322" s="1" t="s">
        <v>1465</v>
      </c>
      <c r="B322" s="1" t="s">
        <v>261</v>
      </c>
      <c r="C322" s="1" t="s">
        <v>1466</v>
      </c>
      <c r="D322" s="1" t="s">
        <v>28</v>
      </c>
      <c r="E322" s="1" t="s">
        <v>29</v>
      </c>
      <c r="F322" s="5">
        <v>3000000.0</v>
      </c>
      <c r="G322" s="1" t="s">
        <v>1114</v>
      </c>
      <c r="H322" s="1" t="s">
        <v>197</v>
      </c>
      <c r="I322" s="4">
        <v>44816.0</v>
      </c>
      <c r="K322" s="1">
        <v>0.0</v>
      </c>
      <c r="L322" s="1" t="s">
        <v>749</v>
      </c>
      <c r="M322" s="1" t="str">
        <f>VLOOKUP(L322,'Copy of PMD Workday Constants -'!B291:Y977,22,false)</f>
        <v>#N/A</v>
      </c>
      <c r="N322" s="1" t="s">
        <v>32</v>
      </c>
      <c r="O322" s="1" t="s">
        <v>33</v>
      </c>
      <c r="P322" s="1" t="s">
        <v>34</v>
      </c>
      <c r="Q322" s="1" t="s">
        <v>34</v>
      </c>
      <c r="R322" s="1" t="s">
        <v>35</v>
      </c>
      <c r="T322" s="1">
        <v>1.00686761E8</v>
      </c>
      <c r="W322" s="1" t="s">
        <v>37</v>
      </c>
      <c r="X322" s="1" t="s">
        <v>689</v>
      </c>
    </row>
    <row r="323">
      <c r="A323" s="1" t="s">
        <v>1467</v>
      </c>
      <c r="B323" s="1" t="s">
        <v>1387</v>
      </c>
      <c r="C323" s="1" t="s">
        <v>1468</v>
      </c>
      <c r="D323" s="1" t="s">
        <v>51</v>
      </c>
      <c r="E323" s="1" t="s">
        <v>29</v>
      </c>
      <c r="F323" s="1">
        <v>3000000.0</v>
      </c>
      <c r="G323" s="1" t="s">
        <v>1114</v>
      </c>
      <c r="H323" s="1" t="s">
        <v>1469</v>
      </c>
      <c r="I323" s="1" t="s">
        <v>1470</v>
      </c>
      <c r="K323" s="1">
        <v>0.0</v>
      </c>
      <c r="L323" s="1" t="s">
        <v>1389</v>
      </c>
      <c r="M323" s="1" t="str">
        <f>VLOOKUP(L323,'Copy of PMD Workday Constants -'!B322:W1008,22,false)</f>
        <v>LCP</v>
      </c>
      <c r="N323" s="1" t="s">
        <v>32</v>
      </c>
      <c r="O323" s="1" t="s">
        <v>33</v>
      </c>
      <c r="P323" s="1" t="s">
        <v>64</v>
      </c>
      <c r="Q323" s="1" t="s">
        <v>64</v>
      </c>
      <c r="R323" s="1" t="s">
        <v>65</v>
      </c>
      <c r="T323" s="1">
        <v>1.00610014E8</v>
      </c>
      <c r="W323" s="1" t="s">
        <v>91</v>
      </c>
      <c r="X323" s="1" t="s">
        <v>127</v>
      </c>
    </row>
    <row r="324">
      <c r="A324" s="1" t="s">
        <v>1471</v>
      </c>
      <c r="B324" s="1" t="s">
        <v>1472</v>
      </c>
      <c r="C324" s="1" t="s">
        <v>1473</v>
      </c>
      <c r="D324" s="1" t="s">
        <v>103</v>
      </c>
      <c r="E324" s="1" t="s">
        <v>29</v>
      </c>
      <c r="F324" s="1">
        <v>3000000.0</v>
      </c>
      <c r="G324" s="1" t="s">
        <v>1114</v>
      </c>
      <c r="H324" s="1" t="s">
        <v>1474</v>
      </c>
      <c r="I324" s="1" t="s">
        <v>699</v>
      </c>
      <c r="K324" s="1">
        <v>0.0</v>
      </c>
      <c r="L324" s="1" t="s">
        <v>662</v>
      </c>
      <c r="M324" s="1" t="str">
        <f>VLOOKUP(L324,'Copy of PMD Workday Constants -'!B323:W1009,22,false)</f>
        <v>Catalyst</v>
      </c>
      <c r="N324" s="1" t="s">
        <v>32</v>
      </c>
      <c r="O324" s="1" t="s">
        <v>33</v>
      </c>
      <c r="P324" s="1" t="s">
        <v>54</v>
      </c>
      <c r="Q324" s="1" t="s">
        <v>54</v>
      </c>
      <c r="R324" s="1" t="s">
        <v>55</v>
      </c>
      <c r="T324" s="1">
        <v>1.01062258E8</v>
      </c>
      <c r="W324" s="1" t="s">
        <v>533</v>
      </c>
      <c r="X324" s="1" t="s">
        <v>1475</v>
      </c>
    </row>
    <row r="325">
      <c r="A325" s="1" t="s">
        <v>1476</v>
      </c>
      <c r="B325" s="1" t="s">
        <v>1003</v>
      </c>
      <c r="C325" s="1" t="s">
        <v>1477</v>
      </c>
      <c r="D325" s="1" t="s">
        <v>28</v>
      </c>
      <c r="E325" s="1" t="s">
        <v>29</v>
      </c>
      <c r="F325" s="1">
        <v>3000000.0</v>
      </c>
      <c r="G325" s="1" t="s">
        <v>1114</v>
      </c>
      <c r="H325" s="1" t="s">
        <v>1220</v>
      </c>
      <c r="I325" s="4">
        <v>44958.0</v>
      </c>
      <c r="K325" s="1">
        <v>0.0</v>
      </c>
      <c r="L325" s="1" t="s">
        <v>894</v>
      </c>
      <c r="M325" s="1" t="str">
        <f>VLOOKUP(L325,'Copy of PMD Workday Constants -'!B324:W1010,22,false)</f>
        <v>Catalyst</v>
      </c>
      <c r="N325" s="1" t="s">
        <v>32</v>
      </c>
      <c r="O325" s="1" t="s">
        <v>33</v>
      </c>
      <c r="P325" s="1" t="s">
        <v>82</v>
      </c>
      <c r="Q325" s="1" t="s">
        <v>82</v>
      </c>
      <c r="R325" s="1" t="s">
        <v>83</v>
      </c>
      <c r="S325" s="1" t="s">
        <v>180</v>
      </c>
      <c r="T325" s="1">
        <v>1.01033479E8</v>
      </c>
      <c r="W325" s="1" t="s">
        <v>85</v>
      </c>
      <c r="X325" s="1" t="s">
        <v>894</v>
      </c>
    </row>
    <row r="326">
      <c r="A326" s="1" t="s">
        <v>1478</v>
      </c>
      <c r="B326" s="1" t="s">
        <v>1144</v>
      </c>
      <c r="C326" s="1" t="s">
        <v>1479</v>
      </c>
      <c r="D326" s="1" t="s">
        <v>28</v>
      </c>
      <c r="E326" s="1" t="s">
        <v>29</v>
      </c>
      <c r="F326" s="5">
        <v>3000000.0</v>
      </c>
      <c r="G326" s="1" t="s">
        <v>1114</v>
      </c>
      <c r="H326" s="4">
        <v>44567.0</v>
      </c>
      <c r="I326" s="1" t="s">
        <v>661</v>
      </c>
      <c r="K326" s="1">
        <v>0.0</v>
      </c>
      <c r="L326" s="1" t="s">
        <v>564</v>
      </c>
      <c r="M326" s="1" t="str">
        <f>VLOOKUP(L326,'Copy of PMD Workday Constants -'!B295:Y981,22,false)</f>
        <v>#N/A</v>
      </c>
      <c r="N326" s="1" t="s">
        <v>32</v>
      </c>
      <c r="O326" s="1" t="s">
        <v>33</v>
      </c>
      <c r="P326" s="1" t="s">
        <v>112</v>
      </c>
      <c r="Q326" s="1" t="s">
        <v>112</v>
      </c>
      <c r="R326" s="1" t="s">
        <v>113</v>
      </c>
      <c r="S326" s="1" t="s">
        <v>204</v>
      </c>
      <c r="T326" s="1">
        <v>1.005886E8</v>
      </c>
      <c r="W326" s="1" t="s">
        <v>37</v>
      </c>
      <c r="X326" s="1" t="s">
        <v>564</v>
      </c>
    </row>
    <row r="327">
      <c r="A327" s="1" t="s">
        <v>1480</v>
      </c>
      <c r="B327" s="1" t="s">
        <v>293</v>
      </c>
      <c r="C327" s="1" t="s">
        <v>1481</v>
      </c>
      <c r="D327" s="1" t="s">
        <v>28</v>
      </c>
      <c r="E327" s="1" t="s">
        <v>29</v>
      </c>
      <c r="F327" s="1">
        <v>3000000.0</v>
      </c>
      <c r="G327" s="1" t="s">
        <v>1114</v>
      </c>
      <c r="H327" s="1" t="s">
        <v>466</v>
      </c>
      <c r="I327" s="4">
        <v>44780.0</v>
      </c>
      <c r="K327" s="1">
        <v>0.0</v>
      </c>
      <c r="L327" s="1" t="s">
        <v>296</v>
      </c>
      <c r="M327" s="1" t="str">
        <f>VLOOKUP(L327,'Copy of PMD Workday Constants -'!B326:W1012,22,false)</f>
        <v>Delivery</v>
      </c>
      <c r="N327" s="1" t="s">
        <v>32</v>
      </c>
      <c r="O327" s="1" t="s">
        <v>33</v>
      </c>
      <c r="P327" s="1" t="s">
        <v>173</v>
      </c>
      <c r="Q327" s="1" t="s">
        <v>173</v>
      </c>
      <c r="R327" s="1" t="s">
        <v>174</v>
      </c>
      <c r="S327" s="1" t="s">
        <v>297</v>
      </c>
      <c r="T327" s="1">
        <v>1.00642806E8</v>
      </c>
      <c r="W327" s="1" t="s">
        <v>258</v>
      </c>
      <c r="X327" s="1" t="s">
        <v>296</v>
      </c>
    </row>
    <row r="328">
      <c r="A328" s="1" t="s">
        <v>1482</v>
      </c>
      <c r="B328" s="1" t="s">
        <v>1483</v>
      </c>
      <c r="C328" s="1" t="s">
        <v>1484</v>
      </c>
      <c r="D328" s="1" t="s">
        <v>28</v>
      </c>
      <c r="E328" s="1" t="s">
        <v>29</v>
      </c>
      <c r="F328" s="5">
        <v>3000000.0</v>
      </c>
      <c r="G328" s="1" t="s">
        <v>1114</v>
      </c>
      <c r="H328" s="1" t="s">
        <v>1485</v>
      </c>
      <c r="I328" s="4">
        <v>44569.0</v>
      </c>
      <c r="K328" s="1">
        <v>0.0</v>
      </c>
      <c r="L328" s="1" t="s">
        <v>1486</v>
      </c>
      <c r="M328" s="1" t="str">
        <f>VLOOKUP(L328,'Copy of PMD Workday Constants -'!B297:Y983,22,false)</f>
        <v>#N/A</v>
      </c>
      <c r="N328" s="1" t="s">
        <v>32</v>
      </c>
      <c r="O328" s="1" t="s">
        <v>33</v>
      </c>
      <c r="P328" s="1" t="s">
        <v>82</v>
      </c>
      <c r="Q328" s="1" t="s">
        <v>82</v>
      </c>
      <c r="R328" s="1" t="s">
        <v>83</v>
      </c>
      <c r="S328" s="1" t="s">
        <v>583</v>
      </c>
      <c r="T328" s="1">
        <v>1.006324E8</v>
      </c>
      <c r="W328" s="1" t="s">
        <v>456</v>
      </c>
      <c r="X328" s="1" t="s">
        <v>1486</v>
      </c>
    </row>
    <row r="329">
      <c r="A329" s="1" t="s">
        <v>1487</v>
      </c>
      <c r="B329" s="1" t="s">
        <v>1488</v>
      </c>
      <c r="C329" s="1" t="s">
        <v>1489</v>
      </c>
      <c r="D329" s="1" t="s">
        <v>51</v>
      </c>
      <c r="E329" s="1" t="s">
        <v>29</v>
      </c>
      <c r="F329" s="1">
        <v>3000000.0</v>
      </c>
      <c r="G329" s="1" t="s">
        <v>1114</v>
      </c>
      <c r="H329" s="1" t="s">
        <v>1134</v>
      </c>
      <c r="I329" s="1" t="s">
        <v>43</v>
      </c>
      <c r="K329" s="1">
        <v>0.0</v>
      </c>
      <c r="L329" s="1" t="s">
        <v>1165</v>
      </c>
      <c r="M329" s="1" t="str">
        <f>VLOOKUP(L329,'Copy of PMD Workday Constants -'!B328:W1014,22,false)</f>
        <v>Delivery</v>
      </c>
      <c r="N329" s="1" t="s">
        <v>32</v>
      </c>
      <c r="O329" s="1" t="s">
        <v>33</v>
      </c>
      <c r="P329" s="1" t="s">
        <v>34</v>
      </c>
      <c r="Q329" s="1" t="s">
        <v>34</v>
      </c>
      <c r="R329" s="1" t="s">
        <v>35</v>
      </c>
      <c r="S329" s="1" t="s">
        <v>1166</v>
      </c>
      <c r="T329" s="1">
        <v>1.00586863E8</v>
      </c>
      <c r="W329" s="1" t="s">
        <v>456</v>
      </c>
      <c r="X329" s="1" t="s">
        <v>1490</v>
      </c>
    </row>
    <row r="330">
      <c r="A330" s="1" t="s">
        <v>1491</v>
      </c>
      <c r="B330" s="1" t="s">
        <v>1483</v>
      </c>
      <c r="C330" s="1" t="s">
        <v>1492</v>
      </c>
      <c r="D330" s="1" t="s">
        <v>28</v>
      </c>
      <c r="E330" s="1" t="s">
        <v>29</v>
      </c>
      <c r="F330" s="5">
        <v>3000000.0</v>
      </c>
      <c r="G330" s="1" t="s">
        <v>1114</v>
      </c>
      <c r="H330" s="4">
        <v>44776.0</v>
      </c>
      <c r="I330" s="4">
        <v>44989.0</v>
      </c>
      <c r="K330" s="1">
        <v>0.0</v>
      </c>
      <c r="L330" s="1" t="s">
        <v>1486</v>
      </c>
      <c r="M330" s="1" t="str">
        <f>VLOOKUP(L330,'Copy of PMD Workday Constants -'!B299:Y985,22,false)</f>
        <v>#N/A</v>
      </c>
      <c r="N330" s="1" t="s">
        <v>32</v>
      </c>
      <c r="O330" s="1" t="s">
        <v>33</v>
      </c>
      <c r="P330" s="1" t="s">
        <v>82</v>
      </c>
      <c r="Q330" s="1" t="s">
        <v>82</v>
      </c>
      <c r="R330" s="1" t="s">
        <v>83</v>
      </c>
      <c r="S330" s="1" t="s">
        <v>583</v>
      </c>
      <c r="T330" s="1">
        <v>1.006324E8</v>
      </c>
      <c r="W330" s="1" t="s">
        <v>456</v>
      </c>
      <c r="X330" s="1" t="s">
        <v>768</v>
      </c>
    </row>
    <row r="331">
      <c r="A331" s="1" t="s">
        <v>1493</v>
      </c>
      <c r="B331" s="1" t="s">
        <v>1047</v>
      </c>
      <c r="C331" s="1" t="s">
        <v>1494</v>
      </c>
      <c r="D331" s="1" t="s">
        <v>28</v>
      </c>
      <c r="E331" s="1" t="s">
        <v>29</v>
      </c>
      <c r="F331" s="5">
        <v>3000000.0</v>
      </c>
      <c r="G331" s="1" t="s">
        <v>1114</v>
      </c>
      <c r="H331" s="1" t="s">
        <v>1134</v>
      </c>
      <c r="I331" s="4">
        <v>44601.0</v>
      </c>
      <c r="K331" s="1">
        <v>0.0</v>
      </c>
      <c r="L331" s="1" t="s">
        <v>1495</v>
      </c>
      <c r="M331" s="1" t="str">
        <f>VLOOKUP(L331,'Copy of PMD Workday Constants -'!B300:Y986,22,false)</f>
        <v>LCP</v>
      </c>
      <c r="N331" s="1" t="s">
        <v>32</v>
      </c>
      <c r="O331" s="1" t="s">
        <v>33</v>
      </c>
      <c r="P331" s="1" t="s">
        <v>64</v>
      </c>
      <c r="Q331" s="1" t="s">
        <v>64</v>
      </c>
      <c r="R331" s="1" t="s">
        <v>65</v>
      </c>
      <c r="S331" s="1" t="s">
        <v>1496</v>
      </c>
      <c r="T331" s="1">
        <v>1.00898415E8</v>
      </c>
      <c r="W331" s="1" t="s">
        <v>258</v>
      </c>
      <c r="X331" s="1" t="s">
        <v>1497</v>
      </c>
    </row>
    <row r="332">
      <c r="A332" s="1" t="s">
        <v>1498</v>
      </c>
      <c r="B332" s="1" t="s">
        <v>507</v>
      </c>
      <c r="C332" s="1" t="s">
        <v>1499</v>
      </c>
      <c r="D332" s="1" t="s">
        <v>103</v>
      </c>
      <c r="E332" s="1" t="s">
        <v>29</v>
      </c>
      <c r="F332" s="5">
        <v>3000000.0</v>
      </c>
      <c r="G332" s="1" t="s">
        <v>1114</v>
      </c>
      <c r="H332" s="4">
        <v>44779.0</v>
      </c>
      <c r="I332" s="1" t="s">
        <v>96</v>
      </c>
      <c r="K332" s="1">
        <v>0.0</v>
      </c>
      <c r="L332" s="1" t="s">
        <v>1500</v>
      </c>
      <c r="M332" s="1" t="str">
        <f>VLOOKUP(L332,'Copy of PMD Workday Constants -'!B301:Y987,22,false)</f>
        <v>#N/A</v>
      </c>
      <c r="N332" s="1" t="s">
        <v>32</v>
      </c>
      <c r="O332" s="1" t="s">
        <v>33</v>
      </c>
      <c r="P332" s="1" t="s">
        <v>222</v>
      </c>
      <c r="Q332" s="1" t="s">
        <v>222</v>
      </c>
      <c r="R332" s="1" t="s">
        <v>223</v>
      </c>
      <c r="S332" s="1" t="s">
        <v>512</v>
      </c>
      <c r="T332" s="1">
        <v>1.00630016E8</v>
      </c>
      <c r="W332" s="1" t="s">
        <v>456</v>
      </c>
      <c r="X332" s="1" t="s">
        <v>513</v>
      </c>
    </row>
    <row r="333">
      <c r="A333" s="1" t="s">
        <v>1501</v>
      </c>
      <c r="B333" s="1" t="s">
        <v>507</v>
      </c>
      <c r="C333" s="1" t="s">
        <v>1502</v>
      </c>
      <c r="D333" s="1" t="s">
        <v>28</v>
      </c>
      <c r="E333" s="1" t="s">
        <v>29</v>
      </c>
      <c r="F333" s="5">
        <v>3000000.0</v>
      </c>
      <c r="G333" s="1" t="s">
        <v>1114</v>
      </c>
      <c r="H333" s="1" t="s">
        <v>509</v>
      </c>
      <c r="I333" s="1" t="s">
        <v>510</v>
      </c>
      <c r="K333" s="1">
        <v>0.0</v>
      </c>
      <c r="L333" s="1" t="s">
        <v>511</v>
      </c>
      <c r="M333" s="1" t="str">
        <f>VLOOKUP(L333,'Copy of PMD Workday Constants -'!B302:Y988,22,false)</f>
        <v>#N/A</v>
      </c>
      <c r="N333" s="1" t="s">
        <v>32</v>
      </c>
      <c r="O333" s="1" t="s">
        <v>33</v>
      </c>
      <c r="P333" s="1" t="s">
        <v>54</v>
      </c>
      <c r="Q333" s="1" t="s">
        <v>54</v>
      </c>
      <c r="R333" s="1" t="s">
        <v>55</v>
      </c>
      <c r="S333" s="1" t="s">
        <v>512</v>
      </c>
      <c r="T333" s="1">
        <v>1.00620711E8</v>
      </c>
      <c r="W333" s="1" t="s">
        <v>456</v>
      </c>
      <c r="X333" s="1" t="s">
        <v>513</v>
      </c>
    </row>
    <row r="334">
      <c r="A334" s="1" t="s">
        <v>1503</v>
      </c>
      <c r="B334" s="1" t="s">
        <v>973</v>
      </c>
      <c r="C334" s="1" t="s">
        <v>1504</v>
      </c>
      <c r="D334" s="1" t="s">
        <v>28</v>
      </c>
      <c r="E334" s="1" t="s">
        <v>29</v>
      </c>
      <c r="F334" s="5">
        <v>3000000.0</v>
      </c>
      <c r="G334" s="1" t="s">
        <v>1114</v>
      </c>
      <c r="H334" s="1" t="s">
        <v>975</v>
      </c>
      <c r="I334" s="1" t="s">
        <v>171</v>
      </c>
      <c r="K334" s="1">
        <v>0.0</v>
      </c>
      <c r="L334" s="1" t="s">
        <v>1505</v>
      </c>
      <c r="M334" s="1" t="str">
        <f>VLOOKUP(L334,'Copy of PMD Workday Constants -'!B303:Y989,22,false)</f>
        <v>#N/A</v>
      </c>
      <c r="N334" s="1" t="s">
        <v>32</v>
      </c>
      <c r="O334" s="1" t="s">
        <v>33</v>
      </c>
      <c r="P334" s="1" t="s">
        <v>112</v>
      </c>
      <c r="Q334" s="1" t="s">
        <v>112</v>
      </c>
      <c r="R334" s="1" t="s">
        <v>113</v>
      </c>
      <c r="S334" s="1" t="s">
        <v>455</v>
      </c>
      <c r="T334" s="1">
        <v>1.00651554E8</v>
      </c>
      <c r="W334" s="1" t="s">
        <v>456</v>
      </c>
      <c r="X334" s="1" t="s">
        <v>977</v>
      </c>
    </row>
    <row r="335">
      <c r="A335" s="1" t="s">
        <v>1506</v>
      </c>
      <c r="B335" s="1" t="s">
        <v>973</v>
      </c>
      <c r="C335" s="1" t="s">
        <v>1507</v>
      </c>
      <c r="D335" s="1" t="s">
        <v>28</v>
      </c>
      <c r="E335" s="1" t="s">
        <v>29</v>
      </c>
      <c r="F335" s="5">
        <v>3000000.0</v>
      </c>
      <c r="G335" s="1" t="s">
        <v>1114</v>
      </c>
      <c r="H335" s="4">
        <v>44717.0</v>
      </c>
      <c r="I335" s="1" t="s">
        <v>237</v>
      </c>
      <c r="K335" s="1">
        <v>0.0</v>
      </c>
      <c r="L335" s="1" t="s">
        <v>1505</v>
      </c>
      <c r="M335" s="1" t="str">
        <f>VLOOKUP(L335,'Copy of PMD Workday Constants -'!B304:Y990,22,false)</f>
        <v>#N/A</v>
      </c>
      <c r="N335" s="1" t="s">
        <v>32</v>
      </c>
      <c r="O335" s="1" t="s">
        <v>33</v>
      </c>
      <c r="P335" s="1" t="s">
        <v>112</v>
      </c>
      <c r="Q335" s="1" t="s">
        <v>112</v>
      </c>
      <c r="R335" s="1" t="s">
        <v>113</v>
      </c>
      <c r="S335" s="1" t="s">
        <v>583</v>
      </c>
      <c r="T335" s="1">
        <v>1.00651554E8</v>
      </c>
      <c r="W335" s="1" t="s">
        <v>456</v>
      </c>
      <c r="X335" s="1" t="s">
        <v>977</v>
      </c>
    </row>
    <row r="336">
      <c r="A336" s="1" t="s">
        <v>1508</v>
      </c>
      <c r="B336" s="1" t="s">
        <v>1316</v>
      </c>
      <c r="C336" s="1" t="s">
        <v>1509</v>
      </c>
      <c r="D336" s="1" t="s">
        <v>28</v>
      </c>
      <c r="E336" s="1" t="s">
        <v>29</v>
      </c>
      <c r="F336" s="5">
        <v>3000000.0</v>
      </c>
      <c r="G336" s="1" t="s">
        <v>1114</v>
      </c>
      <c r="H336" s="4">
        <v>44540.0</v>
      </c>
      <c r="I336" s="1" t="s">
        <v>191</v>
      </c>
      <c r="K336" s="1">
        <v>0.0</v>
      </c>
      <c r="L336" s="1" t="s">
        <v>1510</v>
      </c>
      <c r="M336" s="1" t="str">
        <f>VLOOKUP(L336,'Copy of PMD Workday Constants -'!B305:Y991,22,false)</f>
        <v>#N/A</v>
      </c>
      <c r="N336" s="1" t="s">
        <v>32</v>
      </c>
      <c r="O336" s="1" t="s">
        <v>33</v>
      </c>
      <c r="P336" s="1" t="s">
        <v>222</v>
      </c>
      <c r="Q336" s="1" t="s">
        <v>222</v>
      </c>
      <c r="R336" s="1" t="s">
        <v>223</v>
      </c>
      <c r="S336" s="1" t="s">
        <v>601</v>
      </c>
      <c r="T336" s="1">
        <v>1.00711752E8</v>
      </c>
      <c r="W336" s="1" t="s">
        <v>436</v>
      </c>
      <c r="X336" s="1" t="s">
        <v>1511</v>
      </c>
    </row>
    <row r="337">
      <c r="A337" s="1" t="s">
        <v>1512</v>
      </c>
      <c r="B337" s="1" t="s">
        <v>507</v>
      </c>
      <c r="C337" s="1" t="s">
        <v>1513</v>
      </c>
      <c r="D337" s="1" t="s">
        <v>51</v>
      </c>
      <c r="E337" s="1" t="s">
        <v>29</v>
      </c>
      <c r="F337" s="1">
        <v>3000000.0</v>
      </c>
      <c r="G337" s="1" t="s">
        <v>1114</v>
      </c>
      <c r="H337" s="1" t="s">
        <v>1514</v>
      </c>
      <c r="I337" s="1" t="s">
        <v>510</v>
      </c>
      <c r="K337" s="1">
        <v>0.0</v>
      </c>
      <c r="L337" s="1" t="s">
        <v>1408</v>
      </c>
      <c r="M337" s="1" t="str">
        <f>VLOOKUP(L337,'Copy of PMD Workday Constants -'!B336:W1022,22,false)</f>
        <v>Delivery</v>
      </c>
      <c r="N337" s="1" t="s">
        <v>32</v>
      </c>
      <c r="O337" s="1" t="s">
        <v>33</v>
      </c>
      <c r="P337" s="1" t="s">
        <v>64</v>
      </c>
      <c r="Q337" s="1" t="s">
        <v>64</v>
      </c>
      <c r="R337" s="1" t="s">
        <v>65</v>
      </c>
      <c r="S337" s="1" t="s">
        <v>791</v>
      </c>
      <c r="T337" s="1">
        <v>1.00652169E8</v>
      </c>
      <c r="W337" s="1" t="s">
        <v>456</v>
      </c>
      <c r="X337" s="1" t="s">
        <v>1408</v>
      </c>
    </row>
    <row r="338">
      <c r="A338" s="1" t="s">
        <v>1515</v>
      </c>
      <c r="B338" s="1" t="s">
        <v>1516</v>
      </c>
      <c r="C338" s="1" t="s">
        <v>1517</v>
      </c>
      <c r="D338" s="1" t="s">
        <v>28</v>
      </c>
      <c r="E338" s="1" t="s">
        <v>29</v>
      </c>
      <c r="F338" s="5">
        <v>3000000.0</v>
      </c>
      <c r="G338" s="1" t="s">
        <v>1114</v>
      </c>
      <c r="H338" s="1" t="s">
        <v>1518</v>
      </c>
      <c r="I338" s="4">
        <v>44567.0</v>
      </c>
      <c r="K338" s="1">
        <v>0.0</v>
      </c>
      <c r="L338" s="1" t="s">
        <v>1282</v>
      </c>
      <c r="M338" s="1" t="str">
        <f>VLOOKUP(L338,'Copy of PMD Workday Constants -'!B307:Y993,22,false)</f>
        <v>#N/A</v>
      </c>
      <c r="N338" s="1" t="s">
        <v>32</v>
      </c>
      <c r="O338" s="1" t="s">
        <v>33</v>
      </c>
      <c r="P338" s="1" t="s">
        <v>34</v>
      </c>
      <c r="Q338" s="1" t="s">
        <v>34</v>
      </c>
      <c r="R338" s="1" t="s">
        <v>35</v>
      </c>
      <c r="S338" s="1" t="s">
        <v>1166</v>
      </c>
      <c r="T338" s="1">
        <v>1.006096E8</v>
      </c>
      <c r="W338" s="1" t="s">
        <v>456</v>
      </c>
      <c r="X338" s="1" t="s">
        <v>1282</v>
      </c>
    </row>
    <row r="339">
      <c r="A339" s="1" t="s">
        <v>1519</v>
      </c>
      <c r="B339" s="1" t="s">
        <v>776</v>
      </c>
      <c r="C339" s="1" t="s">
        <v>1520</v>
      </c>
      <c r="D339" s="1" t="s">
        <v>51</v>
      </c>
      <c r="E339" s="1" t="s">
        <v>29</v>
      </c>
      <c r="F339" s="1">
        <v>3000000.0</v>
      </c>
      <c r="G339" s="1" t="s">
        <v>1114</v>
      </c>
      <c r="H339" s="4">
        <v>44208.0</v>
      </c>
      <c r="I339" s="4">
        <v>44872.0</v>
      </c>
      <c r="K339" s="1">
        <v>0.0</v>
      </c>
      <c r="L339" s="1" t="s">
        <v>779</v>
      </c>
      <c r="M339" s="1" t="str">
        <f>VLOOKUP(L339,'Copy of PMD Workday Constants -'!B338:W1024,22,false)</f>
        <v>LCP</v>
      </c>
      <c r="N339" s="1" t="s">
        <v>32</v>
      </c>
      <c r="O339" s="1" t="s">
        <v>33</v>
      </c>
      <c r="P339" s="1" t="s">
        <v>222</v>
      </c>
      <c r="Q339" s="1" t="s">
        <v>222</v>
      </c>
      <c r="R339" s="1" t="s">
        <v>223</v>
      </c>
      <c r="S339" s="1" t="s">
        <v>701</v>
      </c>
      <c r="T339" s="1">
        <v>1.0061139E8</v>
      </c>
      <c r="W339" s="1" t="s">
        <v>74</v>
      </c>
      <c r="X339" s="1" t="s">
        <v>1521</v>
      </c>
    </row>
    <row r="340">
      <c r="A340" s="1" t="s">
        <v>1522</v>
      </c>
      <c r="B340" s="1" t="s">
        <v>765</v>
      </c>
      <c r="C340" s="1" t="s">
        <v>1523</v>
      </c>
      <c r="D340" s="1" t="s">
        <v>51</v>
      </c>
      <c r="E340" s="1" t="s">
        <v>29</v>
      </c>
      <c r="F340" s="1">
        <v>3000000.0</v>
      </c>
      <c r="G340" s="1" t="s">
        <v>1114</v>
      </c>
      <c r="H340" s="1" t="s">
        <v>1524</v>
      </c>
      <c r="I340" s="1" t="s">
        <v>166</v>
      </c>
      <c r="K340" s="1">
        <v>0.0</v>
      </c>
      <c r="L340" s="1" t="s">
        <v>1525</v>
      </c>
      <c r="M340" s="1" t="str">
        <f>VLOOKUP(L340,'Copy of PMD Workday Constants -'!B339:W1025,22,false)</f>
        <v>Delivery</v>
      </c>
      <c r="N340" s="1" t="s">
        <v>32</v>
      </c>
      <c r="O340" s="1" t="s">
        <v>33</v>
      </c>
      <c r="P340" s="1" t="s">
        <v>34</v>
      </c>
      <c r="Q340" s="1" t="s">
        <v>34</v>
      </c>
      <c r="R340" s="1" t="s">
        <v>35</v>
      </c>
      <c r="S340" s="1" t="s">
        <v>1166</v>
      </c>
      <c r="T340" s="1">
        <v>1.00637597E8</v>
      </c>
      <c r="W340" s="1" t="s">
        <v>456</v>
      </c>
      <c r="X340" s="1" t="s">
        <v>1167</v>
      </c>
    </row>
    <row r="341">
      <c r="A341" s="1" t="s">
        <v>1526</v>
      </c>
      <c r="B341" s="1" t="s">
        <v>489</v>
      </c>
      <c r="C341" s="1" t="s">
        <v>1527</v>
      </c>
      <c r="D341" s="1" t="s">
        <v>51</v>
      </c>
      <c r="E341" s="1" t="s">
        <v>29</v>
      </c>
      <c r="F341" s="1">
        <v>3000000.0</v>
      </c>
      <c r="G341" s="1" t="s">
        <v>1114</v>
      </c>
      <c r="H341" s="4">
        <v>44479.0</v>
      </c>
      <c r="I341" s="1" t="s">
        <v>1528</v>
      </c>
      <c r="K341" s="1">
        <v>0.0</v>
      </c>
      <c r="L341" s="1" t="s">
        <v>847</v>
      </c>
      <c r="M341" s="1" t="str">
        <f>VLOOKUP(L341,'Copy of PMD Workday Constants -'!B340:W1026,22,false)</f>
        <v>Delivery</v>
      </c>
      <c r="N341" s="1" t="s">
        <v>32</v>
      </c>
      <c r="O341" s="1" t="s">
        <v>33</v>
      </c>
      <c r="P341" s="1" t="s">
        <v>173</v>
      </c>
      <c r="Q341" s="1" t="s">
        <v>173</v>
      </c>
      <c r="R341" s="1" t="s">
        <v>174</v>
      </c>
      <c r="T341" s="1">
        <v>1.00586701E8</v>
      </c>
      <c r="W341" s="1" t="s">
        <v>493</v>
      </c>
      <c r="X341" s="1" t="s">
        <v>1529</v>
      </c>
    </row>
    <row r="342">
      <c r="A342" s="1" t="s">
        <v>1530</v>
      </c>
      <c r="B342" s="1" t="s">
        <v>1531</v>
      </c>
      <c r="C342" s="1" t="s">
        <v>1532</v>
      </c>
      <c r="D342" s="1" t="s">
        <v>28</v>
      </c>
      <c r="E342" s="1" t="s">
        <v>29</v>
      </c>
      <c r="F342" s="5">
        <v>3000000.0</v>
      </c>
      <c r="G342" s="1" t="s">
        <v>1114</v>
      </c>
      <c r="H342" s="4">
        <v>44567.0</v>
      </c>
      <c r="I342" s="1" t="s">
        <v>1533</v>
      </c>
      <c r="K342" s="1">
        <v>0.0</v>
      </c>
      <c r="L342" s="1" t="s">
        <v>1534</v>
      </c>
      <c r="M342" s="1" t="str">
        <f>VLOOKUP(L342,'Copy of PMD Workday Constants -'!B311:Y997,22,false)</f>
        <v>#N/A</v>
      </c>
      <c r="N342" s="1" t="s">
        <v>32</v>
      </c>
      <c r="O342" s="1" t="s">
        <v>33</v>
      </c>
      <c r="P342" s="1" t="s">
        <v>82</v>
      </c>
      <c r="Q342" s="1" t="s">
        <v>82</v>
      </c>
      <c r="R342" s="1" t="s">
        <v>83</v>
      </c>
      <c r="S342" s="1" t="s">
        <v>84</v>
      </c>
      <c r="T342" s="1">
        <v>1.00618842E8</v>
      </c>
      <c r="W342" s="1" t="s">
        <v>85</v>
      </c>
      <c r="X342" s="1" t="s">
        <v>1534</v>
      </c>
    </row>
    <row r="343">
      <c r="A343" s="1" t="s">
        <v>1535</v>
      </c>
      <c r="B343" s="1" t="s">
        <v>610</v>
      </c>
      <c r="C343" s="1" t="s">
        <v>1536</v>
      </c>
      <c r="D343" s="1" t="s">
        <v>51</v>
      </c>
      <c r="E343" s="1" t="s">
        <v>29</v>
      </c>
      <c r="F343" s="5">
        <v>3000000.0</v>
      </c>
      <c r="G343" s="1" t="s">
        <v>1114</v>
      </c>
      <c r="H343" s="1" t="s">
        <v>1537</v>
      </c>
      <c r="I343" s="1" t="s">
        <v>104</v>
      </c>
      <c r="K343" s="1">
        <v>0.0</v>
      </c>
      <c r="L343" s="1" t="s">
        <v>255</v>
      </c>
      <c r="M343" s="1" t="str">
        <f>VLOOKUP(L343,'Copy of PMD Workday Constants -'!B312:Y998,22,false)</f>
        <v>#N/A</v>
      </c>
      <c r="N343" s="1" t="s">
        <v>32</v>
      </c>
      <c r="O343" s="1" t="s">
        <v>33</v>
      </c>
      <c r="P343" s="1" t="s">
        <v>112</v>
      </c>
      <c r="Q343" s="1" t="s">
        <v>112</v>
      </c>
      <c r="R343" s="1" t="s">
        <v>113</v>
      </c>
      <c r="S343" s="1" t="s">
        <v>256</v>
      </c>
      <c r="T343" s="1">
        <v>1.00659114E8</v>
      </c>
      <c r="W343" s="1" t="s">
        <v>258</v>
      </c>
      <c r="X343" s="1" t="s">
        <v>1068</v>
      </c>
    </row>
    <row r="344">
      <c r="A344" s="1" t="s">
        <v>1538</v>
      </c>
      <c r="B344" s="1" t="s">
        <v>1539</v>
      </c>
      <c r="C344" s="1" t="s">
        <v>1540</v>
      </c>
      <c r="D344" s="1" t="s">
        <v>28</v>
      </c>
      <c r="E344" s="1" t="s">
        <v>29</v>
      </c>
      <c r="F344" s="1">
        <v>3000000.0</v>
      </c>
      <c r="G344" s="1" t="s">
        <v>1114</v>
      </c>
      <c r="H344" s="1" t="s">
        <v>1541</v>
      </c>
      <c r="I344" s="1" t="s">
        <v>104</v>
      </c>
      <c r="K344" s="1">
        <v>0.0</v>
      </c>
      <c r="L344" s="1" t="s">
        <v>1447</v>
      </c>
      <c r="M344" s="1" t="str">
        <f>VLOOKUP(L344,'Copy of PMD Workday Constants -'!B343:W1029,22,false)</f>
        <v>LCP</v>
      </c>
      <c r="N344" s="1" t="s">
        <v>32</v>
      </c>
      <c r="O344" s="1" t="s">
        <v>33</v>
      </c>
      <c r="P344" s="1" t="s">
        <v>64</v>
      </c>
      <c r="Q344" s="1" t="s">
        <v>64</v>
      </c>
      <c r="R344" s="1" t="s">
        <v>65</v>
      </c>
      <c r="S344" s="1" t="s">
        <v>791</v>
      </c>
      <c r="T344" s="1">
        <v>1.00997154E8</v>
      </c>
      <c r="U344" s="1" t="s">
        <v>1542</v>
      </c>
      <c r="V344" s="1" t="s">
        <v>187</v>
      </c>
      <c r="W344" s="1" t="s">
        <v>456</v>
      </c>
      <c r="X344" s="1" t="s">
        <v>1447</v>
      </c>
    </row>
    <row r="345">
      <c r="A345" s="1" t="s">
        <v>1543</v>
      </c>
      <c r="B345" s="1" t="s">
        <v>1539</v>
      </c>
      <c r="C345" s="1" t="s">
        <v>1544</v>
      </c>
      <c r="D345" s="1" t="s">
        <v>28</v>
      </c>
      <c r="E345" s="1" t="s">
        <v>29</v>
      </c>
      <c r="F345" s="1">
        <v>3000000.0</v>
      </c>
      <c r="G345" s="1" t="s">
        <v>1114</v>
      </c>
      <c r="H345" s="1" t="s">
        <v>1541</v>
      </c>
      <c r="I345" s="1" t="s">
        <v>191</v>
      </c>
      <c r="K345" s="1">
        <v>0.0</v>
      </c>
      <c r="L345" s="1" t="s">
        <v>1447</v>
      </c>
      <c r="M345" s="1" t="str">
        <f>VLOOKUP(L345,'Copy of PMD Workday Constants -'!B344:W1030,22,false)</f>
        <v>LCP</v>
      </c>
      <c r="N345" s="1" t="s">
        <v>32</v>
      </c>
      <c r="O345" s="1" t="s">
        <v>33</v>
      </c>
      <c r="P345" s="1" t="s">
        <v>64</v>
      </c>
      <c r="Q345" s="1" t="s">
        <v>64</v>
      </c>
      <c r="R345" s="1" t="s">
        <v>65</v>
      </c>
      <c r="S345" s="1" t="s">
        <v>791</v>
      </c>
      <c r="T345" s="1">
        <v>1.00997154E8</v>
      </c>
      <c r="U345" s="1" t="s">
        <v>1542</v>
      </c>
      <c r="V345" s="1" t="s">
        <v>187</v>
      </c>
      <c r="W345" s="1" t="s">
        <v>456</v>
      </c>
      <c r="X345" s="1" t="s">
        <v>1447</v>
      </c>
    </row>
    <row r="346">
      <c r="A346" s="1" t="s">
        <v>1545</v>
      </c>
      <c r="B346" s="1" t="s">
        <v>1546</v>
      </c>
      <c r="C346" s="1" t="s">
        <v>1547</v>
      </c>
      <c r="D346" s="1" t="s">
        <v>51</v>
      </c>
      <c r="E346" s="1" t="s">
        <v>29</v>
      </c>
      <c r="F346" s="5">
        <v>3000000.0</v>
      </c>
      <c r="G346" s="1" t="s">
        <v>1114</v>
      </c>
      <c r="H346" s="1" t="s">
        <v>1548</v>
      </c>
      <c r="I346" s="1" t="s">
        <v>43</v>
      </c>
      <c r="K346" s="1">
        <v>0.0</v>
      </c>
      <c r="L346" s="1" t="s">
        <v>1549</v>
      </c>
      <c r="M346" s="1" t="str">
        <f>VLOOKUP(L346,'Copy of PMD Workday Constants -'!B315:Y1001,22,false)</f>
        <v>Delivery</v>
      </c>
      <c r="N346" s="1" t="s">
        <v>32</v>
      </c>
      <c r="O346" s="1" t="s">
        <v>33</v>
      </c>
      <c r="P346" s="1" t="s">
        <v>173</v>
      </c>
      <c r="Q346" s="1" t="s">
        <v>173</v>
      </c>
      <c r="R346" s="1" t="s">
        <v>174</v>
      </c>
      <c r="S346" s="1" t="s">
        <v>383</v>
      </c>
      <c r="T346" s="1">
        <v>1.00646908E8</v>
      </c>
      <c r="W346" s="1" t="s">
        <v>1303</v>
      </c>
      <c r="X346" s="1" t="s">
        <v>1550</v>
      </c>
    </row>
    <row r="347">
      <c r="A347" s="1" t="s">
        <v>1551</v>
      </c>
      <c r="B347" s="1" t="s">
        <v>168</v>
      </c>
      <c r="C347" s="1" t="s">
        <v>1552</v>
      </c>
      <c r="D347" s="1" t="s">
        <v>51</v>
      </c>
      <c r="E347" s="1" t="s">
        <v>29</v>
      </c>
      <c r="F347" s="5">
        <v>3000000.0</v>
      </c>
      <c r="G347" s="1" t="s">
        <v>1114</v>
      </c>
      <c r="H347" s="1" t="s">
        <v>1553</v>
      </c>
      <c r="I347" s="1" t="s">
        <v>302</v>
      </c>
      <c r="K347" s="1">
        <v>0.0</v>
      </c>
      <c r="L347" s="1" t="s">
        <v>172</v>
      </c>
      <c r="M347" s="1" t="str">
        <f>VLOOKUP(L347,'Copy of PMD Workday Constants -'!B316:Y1002,22,false)</f>
        <v>#N/A</v>
      </c>
      <c r="N347" s="1" t="s">
        <v>32</v>
      </c>
      <c r="O347" s="1" t="s">
        <v>33</v>
      </c>
      <c r="P347" s="1" t="s">
        <v>173</v>
      </c>
      <c r="Q347" s="1" t="s">
        <v>173</v>
      </c>
      <c r="R347" s="1" t="s">
        <v>174</v>
      </c>
      <c r="T347" s="1">
        <v>1.00619165E8</v>
      </c>
      <c r="W347" s="1" t="s">
        <v>37</v>
      </c>
      <c r="X347" s="1" t="s">
        <v>1554</v>
      </c>
    </row>
    <row r="348">
      <c r="A348" s="1" t="s">
        <v>1555</v>
      </c>
      <c r="B348" s="1" t="s">
        <v>1556</v>
      </c>
      <c r="C348" s="1" t="s">
        <v>1557</v>
      </c>
      <c r="D348" s="1" t="s">
        <v>103</v>
      </c>
      <c r="E348" s="1" t="s">
        <v>29</v>
      </c>
      <c r="F348" s="5">
        <v>3000000.0</v>
      </c>
      <c r="G348" s="1" t="s">
        <v>1114</v>
      </c>
      <c r="H348" s="1" t="s">
        <v>1514</v>
      </c>
      <c r="I348" s="1" t="s">
        <v>43</v>
      </c>
      <c r="K348" s="1">
        <v>0.0</v>
      </c>
      <c r="L348" s="1" t="s">
        <v>968</v>
      </c>
      <c r="M348" s="1" t="str">
        <f>VLOOKUP(L348,'Copy of PMD Workday Constants -'!B317:Y1003,22,false)</f>
        <v>#N/A</v>
      </c>
      <c r="N348" s="1" t="s">
        <v>32</v>
      </c>
      <c r="O348" s="1" t="s">
        <v>33</v>
      </c>
      <c r="P348" s="1" t="s">
        <v>210</v>
      </c>
      <c r="Q348" s="1" t="s">
        <v>210</v>
      </c>
      <c r="R348" s="1" t="s">
        <v>211</v>
      </c>
      <c r="S348" s="1" t="s">
        <v>416</v>
      </c>
      <c r="T348" s="1">
        <v>1.00647262E8</v>
      </c>
      <c r="W348" s="1" t="s">
        <v>56</v>
      </c>
      <c r="X348" s="1" t="s">
        <v>1558</v>
      </c>
    </row>
    <row r="349">
      <c r="A349" s="1" t="s">
        <v>1559</v>
      </c>
      <c r="B349" s="1" t="s">
        <v>489</v>
      </c>
      <c r="C349" s="1" t="s">
        <v>1560</v>
      </c>
      <c r="D349" s="1" t="s">
        <v>28</v>
      </c>
      <c r="E349" s="1" t="s">
        <v>29</v>
      </c>
      <c r="F349" s="1">
        <v>3000000.0</v>
      </c>
      <c r="G349" s="1" t="s">
        <v>1114</v>
      </c>
      <c r="H349" s="4">
        <v>44837.0</v>
      </c>
      <c r="I349" s="1" t="s">
        <v>191</v>
      </c>
      <c r="K349" s="1">
        <v>0.0</v>
      </c>
      <c r="L349" s="1" t="s">
        <v>733</v>
      </c>
      <c r="M349" s="1" t="str">
        <f>VLOOKUP(L349,'Copy of PMD Workday Constants -'!B348:W1034,22,false)</f>
        <v>Delivery</v>
      </c>
      <c r="N349" s="1" t="s">
        <v>32</v>
      </c>
      <c r="O349" s="1" t="s">
        <v>33</v>
      </c>
      <c r="P349" s="1" t="s">
        <v>210</v>
      </c>
      <c r="Q349" s="1" t="s">
        <v>210</v>
      </c>
      <c r="R349" s="1" t="s">
        <v>211</v>
      </c>
      <c r="S349" s="1" t="s">
        <v>416</v>
      </c>
      <c r="T349" s="1">
        <v>1.00616656E8</v>
      </c>
      <c r="W349" s="1" t="s">
        <v>493</v>
      </c>
      <c r="X349" s="1" t="s">
        <v>734</v>
      </c>
    </row>
    <row r="350">
      <c r="A350" s="1" t="s">
        <v>1561</v>
      </c>
      <c r="B350" s="1" t="s">
        <v>1562</v>
      </c>
      <c r="C350" s="1" t="s">
        <v>1563</v>
      </c>
      <c r="D350" s="1" t="s">
        <v>51</v>
      </c>
      <c r="E350" s="1" t="s">
        <v>29</v>
      </c>
      <c r="F350" s="1">
        <v>3000000.0</v>
      </c>
      <c r="G350" s="1" t="s">
        <v>1114</v>
      </c>
      <c r="H350" s="4">
        <v>44835.0</v>
      </c>
      <c r="I350" s="1" t="s">
        <v>248</v>
      </c>
      <c r="K350" s="1">
        <v>0.0</v>
      </c>
      <c r="L350" s="1" t="s">
        <v>1564</v>
      </c>
      <c r="M350" s="1" t="str">
        <f>VLOOKUP(L350,'Copy of PMD Workday Constants -'!B349:W1035,22,false)</f>
        <v>Delivery</v>
      </c>
      <c r="N350" s="1" t="s">
        <v>32</v>
      </c>
      <c r="O350" s="1" t="s">
        <v>33</v>
      </c>
      <c r="P350" s="1" t="s">
        <v>34</v>
      </c>
      <c r="Q350" s="1" t="s">
        <v>34</v>
      </c>
      <c r="R350" s="1" t="s">
        <v>35</v>
      </c>
      <c r="S350" s="1" t="s">
        <v>383</v>
      </c>
      <c r="T350" s="1">
        <v>1.00611316E8</v>
      </c>
      <c r="W350" s="1" t="s">
        <v>140</v>
      </c>
      <c r="X350" s="1" t="s">
        <v>1564</v>
      </c>
    </row>
    <row r="351">
      <c r="A351" s="1" t="s">
        <v>1565</v>
      </c>
      <c r="B351" s="1" t="s">
        <v>1406</v>
      </c>
      <c r="C351" s="1" t="s">
        <v>1566</v>
      </c>
      <c r="D351" s="1" t="s">
        <v>103</v>
      </c>
      <c r="E351" s="1" t="s">
        <v>29</v>
      </c>
      <c r="F351" s="1">
        <v>3000000.0</v>
      </c>
      <c r="G351" s="1" t="s">
        <v>1114</v>
      </c>
      <c r="H351" s="4">
        <v>44389.0</v>
      </c>
      <c r="I351" s="1" t="s">
        <v>80</v>
      </c>
      <c r="K351" s="1">
        <v>0.0</v>
      </c>
      <c r="L351" s="1" t="s">
        <v>1408</v>
      </c>
      <c r="M351" s="1" t="str">
        <f>VLOOKUP(L351,'Copy of PMD Workday Constants -'!B350:W1036,22,false)</f>
        <v>Delivery</v>
      </c>
      <c r="N351" s="1" t="s">
        <v>32</v>
      </c>
      <c r="O351" s="1" t="s">
        <v>33</v>
      </c>
      <c r="P351" s="1" t="s">
        <v>64</v>
      </c>
      <c r="Q351" s="1" t="s">
        <v>64</v>
      </c>
      <c r="R351" s="1" t="s">
        <v>65</v>
      </c>
      <c r="S351" s="1" t="s">
        <v>791</v>
      </c>
      <c r="T351" s="1">
        <v>1.00652169E8</v>
      </c>
      <c r="W351" s="1" t="s">
        <v>140</v>
      </c>
      <c r="X351" s="1" t="s">
        <v>790</v>
      </c>
    </row>
    <row r="352">
      <c r="A352" s="1" t="s">
        <v>1567</v>
      </c>
      <c r="B352" s="1" t="s">
        <v>1568</v>
      </c>
      <c r="C352" s="1" t="s">
        <v>1569</v>
      </c>
      <c r="D352" s="1" t="s">
        <v>51</v>
      </c>
      <c r="E352" s="1" t="s">
        <v>29</v>
      </c>
      <c r="F352" s="5">
        <v>3000000.0</v>
      </c>
      <c r="G352" s="1" t="s">
        <v>1114</v>
      </c>
      <c r="H352" s="1" t="s">
        <v>1570</v>
      </c>
      <c r="I352" s="4">
        <v>44569.0</v>
      </c>
      <c r="K352" s="1">
        <v>0.0</v>
      </c>
      <c r="L352" s="1" t="s">
        <v>806</v>
      </c>
      <c r="M352" s="1" t="str">
        <f>VLOOKUP(L352,'Copy of PMD Workday Constants -'!B321:Y1007,22,false)</f>
        <v>#N/A</v>
      </c>
      <c r="N352" s="1" t="s">
        <v>32</v>
      </c>
      <c r="O352" s="1" t="s">
        <v>33</v>
      </c>
      <c r="P352" s="1" t="s">
        <v>173</v>
      </c>
      <c r="Q352" s="1" t="s">
        <v>173</v>
      </c>
      <c r="R352" s="1" t="s">
        <v>174</v>
      </c>
      <c r="S352" s="1" t="s">
        <v>612</v>
      </c>
      <c r="T352" s="1">
        <v>1.00581784E8</v>
      </c>
      <c r="W352" s="1" t="s">
        <v>147</v>
      </c>
      <c r="X352" s="1" t="s">
        <v>1571</v>
      </c>
    </row>
    <row r="353">
      <c r="A353" s="1" t="s">
        <v>1572</v>
      </c>
      <c r="B353" s="1" t="s">
        <v>1573</v>
      </c>
      <c r="C353" s="1" t="s">
        <v>1574</v>
      </c>
      <c r="D353" s="1" t="s">
        <v>28</v>
      </c>
      <c r="E353" s="1" t="s">
        <v>29</v>
      </c>
      <c r="F353" s="1">
        <v>3000000.0</v>
      </c>
      <c r="G353" s="1" t="s">
        <v>1114</v>
      </c>
      <c r="H353" s="1" t="s">
        <v>1575</v>
      </c>
      <c r="I353" s="1" t="s">
        <v>96</v>
      </c>
      <c r="K353" s="1">
        <v>0.0</v>
      </c>
      <c r="L353" s="1" t="s">
        <v>1011</v>
      </c>
      <c r="M353" s="1" t="str">
        <f>VLOOKUP(L353,'Copy of PMD Workday Constants -'!B352:W1038,22,false)</f>
        <v>Delivery</v>
      </c>
      <c r="N353" s="1" t="s">
        <v>32</v>
      </c>
      <c r="O353" s="1" t="s">
        <v>33</v>
      </c>
      <c r="P353" s="1" t="s">
        <v>82</v>
      </c>
      <c r="Q353" s="1" t="s">
        <v>82</v>
      </c>
      <c r="R353" s="1" t="s">
        <v>83</v>
      </c>
      <c r="S353" s="1" t="s">
        <v>583</v>
      </c>
      <c r="T353" s="1">
        <v>1.00609514E8</v>
      </c>
      <c r="W353" s="1" t="s">
        <v>456</v>
      </c>
      <c r="X353" s="1" t="s">
        <v>1012</v>
      </c>
    </row>
    <row r="354">
      <c r="A354" s="1" t="s">
        <v>1576</v>
      </c>
      <c r="B354" s="1" t="s">
        <v>879</v>
      </c>
      <c r="C354" s="1" t="s">
        <v>1577</v>
      </c>
      <c r="D354" s="1" t="s">
        <v>28</v>
      </c>
      <c r="E354" s="1" t="s">
        <v>29</v>
      </c>
      <c r="F354" s="5">
        <v>3000000.0</v>
      </c>
      <c r="G354" s="1" t="s">
        <v>1114</v>
      </c>
      <c r="H354" s="1" t="s">
        <v>1514</v>
      </c>
      <c r="I354" s="1" t="s">
        <v>575</v>
      </c>
      <c r="K354" s="1">
        <v>0.0</v>
      </c>
      <c r="L354" s="1" t="s">
        <v>415</v>
      </c>
      <c r="M354" s="1" t="str">
        <f>VLOOKUP(L354,'Copy of PMD Workday Constants -'!B323:Y1009,22,false)</f>
        <v>LCP</v>
      </c>
      <c r="N354" s="1" t="s">
        <v>32</v>
      </c>
      <c r="O354" s="1" t="s">
        <v>33</v>
      </c>
      <c r="P354" s="1" t="s">
        <v>210</v>
      </c>
      <c r="Q354" s="1" t="s">
        <v>210</v>
      </c>
      <c r="R354" s="1" t="s">
        <v>211</v>
      </c>
      <c r="S354" s="1" t="s">
        <v>36</v>
      </c>
      <c r="T354" s="1">
        <v>1.00650375E8</v>
      </c>
      <c r="W354" s="1" t="s">
        <v>37</v>
      </c>
      <c r="X354" s="1" t="s">
        <v>1578</v>
      </c>
    </row>
    <row r="355">
      <c r="A355" s="1" t="s">
        <v>1579</v>
      </c>
      <c r="B355" s="1" t="s">
        <v>1580</v>
      </c>
      <c r="C355" s="1" t="s">
        <v>1581</v>
      </c>
      <c r="D355" s="1" t="s">
        <v>28</v>
      </c>
      <c r="E355" s="1" t="s">
        <v>29</v>
      </c>
      <c r="F355" s="5">
        <v>3000000.0</v>
      </c>
      <c r="G355" s="1" t="s">
        <v>1114</v>
      </c>
      <c r="H355" s="4">
        <v>44563.0</v>
      </c>
      <c r="I355" s="1" t="s">
        <v>538</v>
      </c>
      <c r="K355" s="1">
        <v>0.0</v>
      </c>
      <c r="L355" s="1" t="s">
        <v>491</v>
      </c>
      <c r="M355" s="1" t="str">
        <f>VLOOKUP(L355,'Copy of PMD Workday Constants -'!B324:Y1010,22,false)</f>
        <v>#N/A</v>
      </c>
      <c r="N355" s="1" t="s">
        <v>32</v>
      </c>
      <c r="O355" s="1" t="s">
        <v>33</v>
      </c>
      <c r="P355" s="1" t="s">
        <v>112</v>
      </c>
      <c r="Q355" s="1" t="s">
        <v>112</v>
      </c>
      <c r="R355" s="1" t="s">
        <v>113</v>
      </c>
      <c r="S355" s="1" t="s">
        <v>1336</v>
      </c>
      <c r="T355" s="1">
        <v>1.00623914E8</v>
      </c>
      <c r="W355" s="1" t="s">
        <v>91</v>
      </c>
      <c r="X355" s="1" t="s">
        <v>1337</v>
      </c>
    </row>
    <row r="356">
      <c r="A356" s="1" t="s">
        <v>1582</v>
      </c>
      <c r="B356" s="1" t="s">
        <v>1583</v>
      </c>
      <c r="C356" s="1" t="s">
        <v>1584</v>
      </c>
      <c r="D356" s="1" t="s">
        <v>51</v>
      </c>
      <c r="E356" s="1" t="s">
        <v>29</v>
      </c>
      <c r="F356" s="5">
        <v>3000000.0</v>
      </c>
      <c r="G356" s="1" t="s">
        <v>1114</v>
      </c>
      <c r="H356" s="4">
        <v>44563.0</v>
      </c>
      <c r="I356" s="1" t="s">
        <v>104</v>
      </c>
      <c r="K356" s="1">
        <v>0.0</v>
      </c>
      <c r="L356" s="1" t="s">
        <v>198</v>
      </c>
      <c r="M356" s="1" t="str">
        <f>VLOOKUP(L356,'Copy of PMD Workday Constants -'!B325:Y1011,22,false)</f>
        <v>#N/A</v>
      </c>
      <c r="N356" s="1" t="s">
        <v>32</v>
      </c>
      <c r="O356" s="1" t="s">
        <v>33</v>
      </c>
      <c r="P356" s="1" t="s">
        <v>82</v>
      </c>
      <c r="Q356" s="1" t="s">
        <v>82</v>
      </c>
      <c r="R356" s="1" t="s">
        <v>83</v>
      </c>
      <c r="S356" s="1" t="s">
        <v>180</v>
      </c>
      <c r="T356" s="1">
        <v>1.00590896E8</v>
      </c>
      <c r="W356" s="1" t="s">
        <v>85</v>
      </c>
      <c r="X356" s="1" t="s">
        <v>198</v>
      </c>
    </row>
    <row r="357">
      <c r="A357" s="1" t="s">
        <v>1585</v>
      </c>
      <c r="B357" s="1" t="s">
        <v>1586</v>
      </c>
      <c r="C357" s="1" t="s">
        <v>1581</v>
      </c>
      <c r="D357" s="1" t="s">
        <v>28</v>
      </c>
      <c r="E357" s="1" t="s">
        <v>29</v>
      </c>
      <c r="F357" s="1">
        <v>3000000.0</v>
      </c>
      <c r="G357" s="1" t="s">
        <v>1114</v>
      </c>
      <c r="H357" s="4">
        <v>44563.0</v>
      </c>
      <c r="I357" s="4">
        <v>44958.0</v>
      </c>
      <c r="K357" s="1">
        <v>0.0</v>
      </c>
      <c r="L357" s="1" t="s">
        <v>1587</v>
      </c>
      <c r="M357" s="1" t="str">
        <f>VLOOKUP(L357,'Copy of PMD Workday Constants -'!B356:W1042,22,false)</f>
        <v>Catalyst</v>
      </c>
      <c r="N357" s="1" t="s">
        <v>32</v>
      </c>
      <c r="O357" s="1" t="s">
        <v>33</v>
      </c>
      <c r="P357" s="1" t="s">
        <v>64</v>
      </c>
      <c r="Q357" s="1" t="s">
        <v>64</v>
      </c>
      <c r="R357" s="1" t="s">
        <v>65</v>
      </c>
      <c r="S357" s="1" t="s">
        <v>1336</v>
      </c>
      <c r="T357" s="1">
        <v>1.01141441E8</v>
      </c>
      <c r="W357" s="1" t="s">
        <v>91</v>
      </c>
      <c r="X357" s="1" t="s">
        <v>1337</v>
      </c>
    </row>
    <row r="358">
      <c r="A358" s="1" t="s">
        <v>1588</v>
      </c>
      <c r="B358" s="1" t="s">
        <v>1589</v>
      </c>
      <c r="C358" s="1" t="s">
        <v>1590</v>
      </c>
      <c r="D358" s="1" t="s">
        <v>28</v>
      </c>
      <c r="E358" s="1" t="s">
        <v>29</v>
      </c>
      <c r="F358" s="1">
        <v>3000000.0</v>
      </c>
      <c r="G358" s="1" t="s">
        <v>1114</v>
      </c>
      <c r="H358" s="1" t="s">
        <v>1176</v>
      </c>
      <c r="I358" s="1" t="s">
        <v>302</v>
      </c>
      <c r="K358" s="1">
        <v>0.0</v>
      </c>
      <c r="L358" s="1" t="s">
        <v>1591</v>
      </c>
      <c r="M358" s="1" t="str">
        <f>VLOOKUP(L358,'Copy of PMD Workday Constants -'!B357:W1043,22,false)</f>
        <v>Delivery</v>
      </c>
      <c r="N358" s="1" t="s">
        <v>32</v>
      </c>
      <c r="O358" s="1" t="s">
        <v>33</v>
      </c>
      <c r="P358" s="1" t="s">
        <v>34</v>
      </c>
      <c r="Q358" s="1" t="s">
        <v>34</v>
      </c>
      <c r="R358" s="1" t="s">
        <v>35</v>
      </c>
      <c r="S358" s="1" t="s">
        <v>383</v>
      </c>
      <c r="T358" s="1">
        <v>1.00587799E8</v>
      </c>
      <c r="W358" s="1" t="s">
        <v>140</v>
      </c>
      <c r="X358" s="1" t="s">
        <v>1592</v>
      </c>
    </row>
    <row r="359">
      <c r="A359" s="1" t="s">
        <v>1593</v>
      </c>
      <c r="B359" s="1" t="s">
        <v>225</v>
      </c>
      <c r="C359" s="1" t="s">
        <v>1594</v>
      </c>
      <c r="D359" s="1" t="s">
        <v>28</v>
      </c>
      <c r="E359" s="1" t="s">
        <v>29</v>
      </c>
      <c r="F359" s="5">
        <v>3000000.0</v>
      </c>
      <c r="G359" s="1" t="s">
        <v>1114</v>
      </c>
      <c r="H359" s="4">
        <v>44777.0</v>
      </c>
      <c r="I359" s="1" t="s">
        <v>453</v>
      </c>
      <c r="K359" s="1">
        <v>0.0</v>
      </c>
      <c r="L359" s="1" t="s">
        <v>228</v>
      </c>
      <c r="M359" s="1" t="str">
        <f>VLOOKUP(L359,'Copy of PMD Workday Constants -'!B328:Y1014,22,false)</f>
        <v>#N/A</v>
      </c>
      <c r="N359" s="1" t="s">
        <v>32</v>
      </c>
      <c r="O359" s="1" t="s">
        <v>33</v>
      </c>
      <c r="P359" s="1" t="s">
        <v>64</v>
      </c>
      <c r="Q359" s="1" t="s">
        <v>64</v>
      </c>
      <c r="R359" s="1" t="s">
        <v>65</v>
      </c>
      <c r="S359" s="1" t="s">
        <v>229</v>
      </c>
      <c r="T359" s="1">
        <v>1.00650619E8</v>
      </c>
      <c r="W359" s="1" t="s">
        <v>85</v>
      </c>
      <c r="X359" s="1" t="s">
        <v>228</v>
      </c>
    </row>
    <row r="360">
      <c r="A360" s="1" t="s">
        <v>1595</v>
      </c>
      <c r="B360" s="1" t="s">
        <v>1596</v>
      </c>
      <c r="C360" s="1" t="s">
        <v>1597</v>
      </c>
      <c r="D360" s="1" t="s">
        <v>28</v>
      </c>
      <c r="E360" s="1" t="s">
        <v>29</v>
      </c>
      <c r="F360" s="5">
        <v>3000000.0</v>
      </c>
      <c r="G360" s="1" t="s">
        <v>1114</v>
      </c>
      <c r="H360" s="1" t="s">
        <v>1598</v>
      </c>
      <c r="I360" s="1" t="s">
        <v>1599</v>
      </c>
      <c r="K360" s="1">
        <v>0.0</v>
      </c>
      <c r="L360" s="1" t="s">
        <v>999</v>
      </c>
      <c r="M360" s="1" t="str">
        <f>VLOOKUP(L360,'Copy of PMD Workday Constants -'!B329:Y1015,22,false)</f>
        <v>#N/A</v>
      </c>
      <c r="N360" s="1" t="s">
        <v>32</v>
      </c>
      <c r="O360" s="1" t="s">
        <v>33</v>
      </c>
      <c r="P360" s="1" t="s">
        <v>112</v>
      </c>
      <c r="Q360" s="1" t="s">
        <v>112</v>
      </c>
      <c r="R360" s="1" t="s">
        <v>113</v>
      </c>
      <c r="S360" s="1" t="s">
        <v>307</v>
      </c>
      <c r="T360" s="1">
        <v>1.00623453E8</v>
      </c>
      <c r="W360" s="1" t="s">
        <v>391</v>
      </c>
      <c r="X360" s="1" t="s">
        <v>1600</v>
      </c>
    </row>
    <row r="361">
      <c r="A361" s="1" t="s">
        <v>1601</v>
      </c>
      <c r="B361" s="1" t="s">
        <v>913</v>
      </c>
      <c r="C361" s="1" t="s">
        <v>1602</v>
      </c>
      <c r="D361" s="1" t="s">
        <v>28</v>
      </c>
      <c r="E361" s="1" t="s">
        <v>29</v>
      </c>
      <c r="F361" s="1">
        <v>3000000.0</v>
      </c>
      <c r="G361" s="1" t="s">
        <v>1114</v>
      </c>
      <c r="H361" s="4">
        <v>44808.0</v>
      </c>
      <c r="I361" s="1" t="s">
        <v>80</v>
      </c>
      <c r="K361" s="1">
        <v>0.0</v>
      </c>
      <c r="L361" s="1" t="s">
        <v>1603</v>
      </c>
      <c r="M361" s="1" t="str">
        <f>VLOOKUP(L361,'Copy of PMD Workday Constants -'!B360:W1046,22,false)</f>
        <v>Delivery</v>
      </c>
      <c r="N361" s="1" t="s">
        <v>32</v>
      </c>
      <c r="O361" s="1" t="s">
        <v>33</v>
      </c>
      <c r="P361" s="1" t="s">
        <v>82</v>
      </c>
      <c r="Q361" s="1" t="s">
        <v>82</v>
      </c>
      <c r="R361" s="1" t="s">
        <v>83</v>
      </c>
      <c r="S361" s="1" t="s">
        <v>84</v>
      </c>
      <c r="T361" s="1">
        <v>1.00646452E8</v>
      </c>
      <c r="W361" s="1" t="s">
        <v>85</v>
      </c>
      <c r="X361" s="1" t="s">
        <v>1604</v>
      </c>
    </row>
    <row r="362">
      <c r="A362" s="1" t="s">
        <v>1605</v>
      </c>
      <c r="B362" s="1" t="s">
        <v>1305</v>
      </c>
      <c r="C362" s="1" t="s">
        <v>1606</v>
      </c>
      <c r="D362" s="1" t="s">
        <v>28</v>
      </c>
      <c r="E362" s="1" t="s">
        <v>29</v>
      </c>
      <c r="F362" s="1">
        <v>3000000.0</v>
      </c>
      <c r="G362" s="1" t="s">
        <v>1114</v>
      </c>
      <c r="H362" s="4">
        <v>44656.0</v>
      </c>
      <c r="I362" s="4">
        <v>44932.0</v>
      </c>
      <c r="K362" s="1">
        <v>0.0</v>
      </c>
      <c r="L362" s="1" t="s">
        <v>1165</v>
      </c>
      <c r="M362" s="1" t="str">
        <f>VLOOKUP(L362,'Copy of PMD Workday Constants -'!B361:W1047,22,false)</f>
        <v>Delivery</v>
      </c>
      <c r="N362" s="1" t="s">
        <v>32</v>
      </c>
      <c r="O362" s="1" t="s">
        <v>33</v>
      </c>
      <c r="P362" s="1" t="s">
        <v>34</v>
      </c>
      <c r="Q362" s="1" t="s">
        <v>34</v>
      </c>
      <c r="R362" s="1" t="s">
        <v>35</v>
      </c>
      <c r="S362" s="1" t="s">
        <v>1166</v>
      </c>
      <c r="T362" s="1">
        <v>1.00586863E8</v>
      </c>
      <c r="W362" s="1" t="s">
        <v>456</v>
      </c>
      <c r="X362" s="1" t="s">
        <v>1607</v>
      </c>
    </row>
    <row r="363">
      <c r="A363" s="1" t="s">
        <v>1608</v>
      </c>
      <c r="B363" s="1" t="s">
        <v>1609</v>
      </c>
      <c r="C363" s="1" t="s">
        <v>1610</v>
      </c>
      <c r="D363" s="1" t="s">
        <v>79</v>
      </c>
      <c r="E363" s="1" t="s">
        <v>29</v>
      </c>
      <c r="F363" s="5">
        <v>3000000.0</v>
      </c>
      <c r="G363" s="1" t="s">
        <v>1114</v>
      </c>
      <c r="H363" s="1" t="s">
        <v>1161</v>
      </c>
      <c r="I363" s="4">
        <v>44569.0</v>
      </c>
      <c r="K363" s="1">
        <v>0.0</v>
      </c>
      <c r="L363" s="1" t="s">
        <v>1611</v>
      </c>
      <c r="M363" s="1" t="str">
        <f>VLOOKUP(L363,'Copy of PMD Workday Constants -'!B332:Y1018,22,false)</f>
        <v>#N/A</v>
      </c>
      <c r="N363" s="1" t="s">
        <v>32</v>
      </c>
      <c r="O363" s="1" t="s">
        <v>33</v>
      </c>
      <c r="P363" s="1" t="s">
        <v>34</v>
      </c>
      <c r="Q363" s="1" t="s">
        <v>34</v>
      </c>
      <c r="R363" s="1" t="s">
        <v>35</v>
      </c>
      <c r="S363" s="1" t="s">
        <v>126</v>
      </c>
      <c r="T363" s="1">
        <v>1.00645852E8</v>
      </c>
      <c r="U363" s="1" t="s">
        <v>1612</v>
      </c>
      <c r="V363" s="1" t="s">
        <v>187</v>
      </c>
      <c r="W363" s="1" t="s">
        <v>391</v>
      </c>
      <c r="X363" s="1" t="s">
        <v>1613</v>
      </c>
    </row>
    <row r="364">
      <c r="A364" s="1" t="s">
        <v>1614</v>
      </c>
      <c r="B364" s="1" t="s">
        <v>507</v>
      </c>
      <c r="C364" s="1" t="s">
        <v>1615</v>
      </c>
      <c r="D364" s="1" t="s">
        <v>28</v>
      </c>
      <c r="E364" s="1" t="s">
        <v>29</v>
      </c>
      <c r="F364" s="1">
        <v>3000000.0</v>
      </c>
      <c r="G364" s="1" t="s">
        <v>1114</v>
      </c>
      <c r="H364" s="1" t="s">
        <v>526</v>
      </c>
      <c r="I364" s="1" t="s">
        <v>80</v>
      </c>
      <c r="K364" s="1">
        <v>0.0</v>
      </c>
      <c r="L364" s="1" t="s">
        <v>1616</v>
      </c>
      <c r="M364" s="1" t="str">
        <f>VLOOKUP(L364,'Copy of PMD Workday Constants -'!B363:W1049,22,false)</f>
        <v>Delivery</v>
      </c>
      <c r="N364" s="1" t="s">
        <v>32</v>
      </c>
      <c r="O364" s="1" t="s">
        <v>33</v>
      </c>
      <c r="P364" s="1" t="s">
        <v>64</v>
      </c>
      <c r="Q364" s="1" t="s">
        <v>64</v>
      </c>
      <c r="R364" s="1" t="s">
        <v>65</v>
      </c>
      <c r="T364" s="1">
        <v>1.0065462E8</v>
      </c>
      <c r="W364" s="1" t="s">
        <v>456</v>
      </c>
      <c r="X364" s="1" t="s">
        <v>1617</v>
      </c>
    </row>
    <row r="365">
      <c r="A365" s="1" t="s">
        <v>1618</v>
      </c>
      <c r="B365" s="1" t="s">
        <v>1516</v>
      </c>
      <c r="C365" s="1" t="s">
        <v>1619</v>
      </c>
      <c r="D365" s="1" t="s">
        <v>28</v>
      </c>
      <c r="E365" s="1" t="s">
        <v>29</v>
      </c>
      <c r="F365" s="5">
        <v>3000000.0</v>
      </c>
      <c r="G365" s="1" t="s">
        <v>1114</v>
      </c>
      <c r="H365" s="1" t="s">
        <v>1620</v>
      </c>
      <c r="I365" s="4">
        <v>44601.0</v>
      </c>
      <c r="J365" s="1" t="s">
        <v>1621</v>
      </c>
      <c r="K365" s="1">
        <v>0.0</v>
      </c>
      <c r="L365" s="1" t="s">
        <v>1098</v>
      </c>
      <c r="M365" s="1" t="str">
        <f>VLOOKUP(L365,'Copy of PMD Workday Constants -'!B334:Y1020,22,false)</f>
        <v>#N/A</v>
      </c>
      <c r="N365" s="1" t="s">
        <v>32</v>
      </c>
      <c r="O365" s="1" t="s">
        <v>33</v>
      </c>
      <c r="P365" s="1" t="s">
        <v>173</v>
      </c>
      <c r="Q365" s="1" t="s">
        <v>173</v>
      </c>
      <c r="R365" s="1" t="s">
        <v>174</v>
      </c>
      <c r="S365" s="1" t="s">
        <v>153</v>
      </c>
      <c r="T365" s="1">
        <v>1.00609827E8</v>
      </c>
      <c r="W365" s="1" t="s">
        <v>456</v>
      </c>
      <c r="X365" s="1" t="s">
        <v>1622</v>
      </c>
    </row>
    <row r="366">
      <c r="A366" s="1" t="s">
        <v>1623</v>
      </c>
      <c r="B366" s="1" t="s">
        <v>1624</v>
      </c>
      <c r="C366" s="1" t="s">
        <v>1625</v>
      </c>
      <c r="D366" s="1" t="s">
        <v>28</v>
      </c>
      <c r="E366" s="1" t="s">
        <v>29</v>
      </c>
      <c r="F366" s="1">
        <v>3000000.0</v>
      </c>
      <c r="G366" s="1" t="s">
        <v>1114</v>
      </c>
      <c r="H366" s="4">
        <v>44501.0</v>
      </c>
      <c r="I366" s="1" t="s">
        <v>217</v>
      </c>
      <c r="K366" s="1">
        <v>0.0</v>
      </c>
      <c r="L366" s="1" t="s">
        <v>1447</v>
      </c>
      <c r="M366" s="1" t="str">
        <f>VLOOKUP(L366,'Copy of PMD Workday Constants -'!B365:W1051,22,false)</f>
        <v>LCP</v>
      </c>
      <c r="N366" s="1" t="s">
        <v>32</v>
      </c>
      <c r="O366" s="1" t="s">
        <v>33</v>
      </c>
      <c r="P366" s="1" t="s">
        <v>64</v>
      </c>
      <c r="Q366" s="1" t="s">
        <v>64</v>
      </c>
      <c r="R366" s="1" t="s">
        <v>65</v>
      </c>
      <c r="S366" s="1" t="s">
        <v>791</v>
      </c>
      <c r="T366" s="1">
        <v>1.00997154E8</v>
      </c>
      <c r="W366" s="1" t="s">
        <v>456</v>
      </c>
      <c r="X366" s="1" t="s">
        <v>1447</v>
      </c>
    </row>
    <row r="367">
      <c r="A367" s="1" t="s">
        <v>1626</v>
      </c>
      <c r="B367" s="1" t="s">
        <v>225</v>
      </c>
      <c r="C367" s="1" t="s">
        <v>1627</v>
      </c>
      <c r="D367" s="1" t="s">
        <v>28</v>
      </c>
      <c r="E367" s="1" t="s">
        <v>29</v>
      </c>
      <c r="F367" s="5">
        <v>3000000.0</v>
      </c>
      <c r="G367" s="1" t="s">
        <v>1114</v>
      </c>
      <c r="H367" s="4">
        <v>44508.0</v>
      </c>
      <c r="I367" s="1" t="s">
        <v>191</v>
      </c>
      <c r="K367" s="1">
        <v>0.0</v>
      </c>
      <c r="L367" s="1" t="s">
        <v>767</v>
      </c>
      <c r="M367" s="1" t="str">
        <f>VLOOKUP(L367,'Copy of PMD Workday Constants -'!B336:Y1022,22,false)</f>
        <v>#N/A</v>
      </c>
      <c r="N367" s="1" t="s">
        <v>32</v>
      </c>
      <c r="O367" s="1" t="s">
        <v>33</v>
      </c>
      <c r="P367" s="1" t="s">
        <v>82</v>
      </c>
      <c r="Q367" s="1" t="s">
        <v>82</v>
      </c>
      <c r="R367" s="1" t="s">
        <v>83</v>
      </c>
      <c r="S367" s="1" t="s">
        <v>583</v>
      </c>
      <c r="T367" s="1">
        <v>1.00589481E8</v>
      </c>
      <c r="U367" s="1" t="s">
        <v>1628</v>
      </c>
      <c r="V367" s="1" t="s">
        <v>187</v>
      </c>
      <c r="W367" s="1" t="s">
        <v>85</v>
      </c>
      <c r="X367" s="1" t="s">
        <v>1629</v>
      </c>
    </row>
    <row r="368">
      <c r="A368" s="1" t="s">
        <v>1630</v>
      </c>
      <c r="B368" s="1" t="s">
        <v>1631</v>
      </c>
      <c r="C368" s="1" t="s">
        <v>1632</v>
      </c>
      <c r="D368" s="1" t="s">
        <v>103</v>
      </c>
      <c r="E368" s="1" t="s">
        <v>29</v>
      </c>
      <c r="F368" s="1">
        <v>3000000.0</v>
      </c>
      <c r="G368" s="1" t="s">
        <v>1114</v>
      </c>
      <c r="H368" s="1" t="s">
        <v>42</v>
      </c>
      <c r="I368" s="1" t="s">
        <v>152</v>
      </c>
      <c r="K368" s="1">
        <v>0.0</v>
      </c>
      <c r="L368" s="1" t="s">
        <v>1165</v>
      </c>
      <c r="M368" s="1" t="str">
        <f>VLOOKUP(L368,'Copy of PMD Workday Constants -'!B367:W1053,22,false)</f>
        <v>Delivery</v>
      </c>
      <c r="N368" s="1" t="s">
        <v>32</v>
      </c>
      <c r="O368" s="1" t="s">
        <v>33</v>
      </c>
      <c r="P368" s="1" t="s">
        <v>34</v>
      </c>
      <c r="Q368" s="1" t="s">
        <v>34</v>
      </c>
      <c r="R368" s="1" t="s">
        <v>35</v>
      </c>
      <c r="S368" s="1" t="s">
        <v>1166</v>
      </c>
      <c r="T368" s="1">
        <v>1.00586863E8</v>
      </c>
      <c r="W368" s="1" t="s">
        <v>456</v>
      </c>
      <c r="X368" s="1" t="s">
        <v>1167</v>
      </c>
    </row>
    <row r="369">
      <c r="A369" s="1" t="s">
        <v>1633</v>
      </c>
      <c r="B369" s="1" t="s">
        <v>507</v>
      </c>
      <c r="C369" s="1" t="s">
        <v>1634</v>
      </c>
      <c r="D369" s="1" t="s">
        <v>28</v>
      </c>
      <c r="E369" s="1" t="s">
        <v>29</v>
      </c>
      <c r="F369" s="5">
        <v>3000000.0</v>
      </c>
      <c r="G369" s="1" t="s">
        <v>1114</v>
      </c>
      <c r="H369" s="1" t="s">
        <v>1575</v>
      </c>
      <c r="I369" s="4">
        <v>44571.0</v>
      </c>
      <c r="K369" s="1">
        <v>0.0</v>
      </c>
      <c r="L369" s="1" t="s">
        <v>1282</v>
      </c>
      <c r="M369" s="1" t="str">
        <f>VLOOKUP(L369,'Copy of PMD Workday Constants -'!B338:Y1024,22,false)</f>
        <v>#N/A</v>
      </c>
      <c r="N369" s="1" t="s">
        <v>32</v>
      </c>
      <c r="O369" s="1" t="s">
        <v>33</v>
      </c>
      <c r="P369" s="1" t="s">
        <v>34</v>
      </c>
      <c r="Q369" s="1" t="s">
        <v>34</v>
      </c>
      <c r="R369" s="1" t="s">
        <v>35</v>
      </c>
      <c r="S369" s="1" t="s">
        <v>1166</v>
      </c>
      <c r="T369" s="1">
        <v>1.006096E8</v>
      </c>
      <c r="W369" s="1" t="s">
        <v>456</v>
      </c>
      <c r="X369" s="1" t="s">
        <v>1635</v>
      </c>
    </row>
    <row r="370">
      <c r="A370" s="1" t="s">
        <v>1636</v>
      </c>
      <c r="B370" s="1" t="s">
        <v>833</v>
      </c>
      <c r="C370" s="1" t="s">
        <v>1637</v>
      </c>
      <c r="D370" s="1" t="s">
        <v>51</v>
      </c>
      <c r="E370" s="1" t="s">
        <v>29</v>
      </c>
      <c r="F370" s="5">
        <v>3000000.0</v>
      </c>
      <c r="G370" s="1" t="s">
        <v>1114</v>
      </c>
      <c r="H370" s="4">
        <v>44387.0</v>
      </c>
      <c r="I370" s="4">
        <v>44568.0</v>
      </c>
      <c r="K370" s="1">
        <v>0.0</v>
      </c>
      <c r="L370" s="1" t="s">
        <v>491</v>
      </c>
      <c r="M370" s="1" t="str">
        <f>VLOOKUP(L370,'Copy of PMD Workday Constants -'!B339:Y1025,22,false)</f>
        <v>#N/A</v>
      </c>
      <c r="N370" s="1" t="s">
        <v>32</v>
      </c>
      <c r="O370" s="1" t="s">
        <v>33</v>
      </c>
      <c r="P370" s="1" t="s">
        <v>112</v>
      </c>
      <c r="Q370" s="1" t="s">
        <v>112</v>
      </c>
      <c r="R370" s="1" t="s">
        <v>113</v>
      </c>
      <c r="S370" s="1" t="s">
        <v>114</v>
      </c>
      <c r="T370" s="1">
        <v>1.00623914E8</v>
      </c>
      <c r="W370" s="1" t="s">
        <v>140</v>
      </c>
      <c r="X370" s="1" t="s">
        <v>1638</v>
      </c>
    </row>
    <row r="371">
      <c r="A371" s="1" t="s">
        <v>1639</v>
      </c>
      <c r="B371" s="1" t="s">
        <v>765</v>
      </c>
      <c r="C371" s="1" t="s">
        <v>1640</v>
      </c>
      <c r="D371" s="1" t="s">
        <v>28</v>
      </c>
      <c r="E371" s="1" t="s">
        <v>29</v>
      </c>
      <c r="F371" s="5">
        <v>2995000.0</v>
      </c>
      <c r="G371" s="1" t="s">
        <v>1114</v>
      </c>
      <c r="H371" s="1" t="s">
        <v>170</v>
      </c>
      <c r="I371" s="1" t="s">
        <v>104</v>
      </c>
      <c r="K371" s="1">
        <v>0.0</v>
      </c>
      <c r="L371" s="1" t="s">
        <v>1641</v>
      </c>
      <c r="M371" s="1" t="str">
        <f>VLOOKUP(L371,'Copy of PMD Workday Constants -'!B340:Y1026,22,false)</f>
        <v>#N/A</v>
      </c>
      <c r="N371" s="1" t="s">
        <v>32</v>
      </c>
      <c r="O371" s="1" t="s">
        <v>33</v>
      </c>
      <c r="P371" s="1" t="s">
        <v>54</v>
      </c>
      <c r="Q371" s="1" t="s">
        <v>54</v>
      </c>
      <c r="R371" s="1" t="s">
        <v>55</v>
      </c>
      <c r="S371" s="1" t="s">
        <v>512</v>
      </c>
      <c r="T371" s="1">
        <v>1.0062009E8</v>
      </c>
      <c r="W371" s="1" t="s">
        <v>456</v>
      </c>
      <c r="X371" s="1" t="s">
        <v>1641</v>
      </c>
    </row>
    <row r="372">
      <c r="A372" s="1" t="s">
        <v>1642</v>
      </c>
      <c r="B372" s="1" t="s">
        <v>808</v>
      </c>
      <c r="C372" s="1" t="s">
        <v>1643</v>
      </c>
      <c r="D372" s="1" t="s">
        <v>51</v>
      </c>
      <c r="E372" s="1" t="s">
        <v>29</v>
      </c>
      <c r="F372" s="5">
        <v>2900000.0</v>
      </c>
      <c r="G372" s="1" t="s">
        <v>1114</v>
      </c>
      <c r="H372" s="1" t="s">
        <v>1644</v>
      </c>
      <c r="I372" s="1" t="s">
        <v>1645</v>
      </c>
      <c r="K372" s="1">
        <v>0.0</v>
      </c>
      <c r="L372" s="1" t="s">
        <v>1646</v>
      </c>
      <c r="M372" s="1" t="str">
        <f>VLOOKUP(L372,'Copy of PMD Workday Constants -'!B341:Y1027,22,false)</f>
        <v>#N/A</v>
      </c>
      <c r="N372" s="1" t="s">
        <v>32</v>
      </c>
      <c r="O372" s="1" t="s">
        <v>33</v>
      </c>
      <c r="P372" s="1" t="s">
        <v>64</v>
      </c>
      <c r="Q372" s="1" t="s">
        <v>64</v>
      </c>
      <c r="R372" s="1" t="s">
        <v>65</v>
      </c>
      <c r="S372" s="1" t="s">
        <v>126</v>
      </c>
      <c r="T372" s="1">
        <v>1.00650657E8</v>
      </c>
      <c r="W372" s="1" t="s">
        <v>308</v>
      </c>
      <c r="X372" s="1" t="s">
        <v>309</v>
      </c>
    </row>
    <row r="373">
      <c r="A373" s="1" t="s">
        <v>1647</v>
      </c>
      <c r="B373" s="1" t="s">
        <v>1648</v>
      </c>
      <c r="C373" s="1" t="s">
        <v>1649</v>
      </c>
      <c r="D373" s="1" t="s">
        <v>103</v>
      </c>
      <c r="E373" s="1" t="s">
        <v>29</v>
      </c>
      <c r="F373" s="1">
        <v>2900000.0</v>
      </c>
      <c r="G373" s="1" t="s">
        <v>1114</v>
      </c>
      <c r="H373" s="1" t="s">
        <v>1650</v>
      </c>
      <c r="I373" s="4">
        <v>44658.0</v>
      </c>
      <c r="K373" s="1">
        <v>0.0</v>
      </c>
      <c r="L373" s="1" t="s">
        <v>1238</v>
      </c>
      <c r="M373" s="1" t="str">
        <f>VLOOKUP(L373,'Copy of PMD Workday Constants -'!B372:W1058,22,false)</f>
        <v>Delivery</v>
      </c>
      <c r="N373" s="1" t="s">
        <v>32</v>
      </c>
      <c r="O373" s="1" t="s">
        <v>33</v>
      </c>
      <c r="P373" s="1" t="s">
        <v>210</v>
      </c>
      <c r="Q373" s="1" t="s">
        <v>210</v>
      </c>
      <c r="R373" s="1" t="s">
        <v>211</v>
      </c>
      <c r="S373" s="1" t="s">
        <v>416</v>
      </c>
      <c r="T373" s="1">
        <v>1.00586959E8</v>
      </c>
      <c r="W373" s="1" t="s">
        <v>56</v>
      </c>
      <c r="X373" s="1" t="s">
        <v>968</v>
      </c>
    </row>
    <row r="374">
      <c r="A374" s="1" t="s">
        <v>1651</v>
      </c>
      <c r="B374" s="1" t="s">
        <v>1247</v>
      </c>
      <c r="C374" s="1" t="s">
        <v>1652</v>
      </c>
      <c r="D374" s="1" t="s">
        <v>51</v>
      </c>
      <c r="E374" s="1" t="s">
        <v>29</v>
      </c>
      <c r="F374" s="5">
        <v>2900000.0</v>
      </c>
      <c r="G374" s="1" t="s">
        <v>1114</v>
      </c>
      <c r="H374" s="4">
        <v>44837.0</v>
      </c>
      <c r="I374" s="1" t="s">
        <v>80</v>
      </c>
      <c r="K374" s="1">
        <v>0.0</v>
      </c>
      <c r="L374" s="1" t="s">
        <v>1249</v>
      </c>
      <c r="M374" s="1" t="str">
        <f>VLOOKUP(L374,'Copy of PMD Workday Constants -'!B343:Y1029,22,false)</f>
        <v>#N/A</v>
      </c>
      <c r="N374" s="1" t="s">
        <v>32</v>
      </c>
      <c r="O374" s="1" t="s">
        <v>33</v>
      </c>
      <c r="P374" s="1" t="s">
        <v>222</v>
      </c>
      <c r="Q374" s="1" t="s">
        <v>222</v>
      </c>
      <c r="R374" s="1" t="s">
        <v>223</v>
      </c>
      <c r="S374" s="1" t="s">
        <v>646</v>
      </c>
      <c r="T374" s="1">
        <v>1.00609871E8</v>
      </c>
      <c r="W374" s="1" t="s">
        <v>140</v>
      </c>
      <c r="X374" s="1" t="s">
        <v>1653</v>
      </c>
    </row>
    <row r="375">
      <c r="A375" s="1" t="s">
        <v>1654</v>
      </c>
      <c r="B375" s="1" t="s">
        <v>913</v>
      </c>
      <c r="C375" s="1" t="s">
        <v>1655</v>
      </c>
      <c r="D375" s="1" t="s">
        <v>51</v>
      </c>
      <c r="E375" s="1" t="s">
        <v>29</v>
      </c>
      <c r="F375" s="5">
        <v>2850720.0</v>
      </c>
      <c r="G375" s="1" t="s">
        <v>1114</v>
      </c>
      <c r="H375" s="4">
        <v>44900.0</v>
      </c>
      <c r="I375" s="4">
        <v>44571.0</v>
      </c>
      <c r="K375" s="1">
        <v>0.0</v>
      </c>
      <c r="L375" s="1" t="s">
        <v>938</v>
      </c>
      <c r="M375" s="1" t="str">
        <f>VLOOKUP(L375,'Copy of PMD Workday Constants -'!B344:Y1030,22,false)</f>
        <v>LCP</v>
      </c>
      <c r="N375" s="1" t="s">
        <v>32</v>
      </c>
      <c r="O375" s="1" t="s">
        <v>33</v>
      </c>
      <c r="P375" s="1" t="s">
        <v>82</v>
      </c>
      <c r="Q375" s="1" t="s">
        <v>82</v>
      </c>
      <c r="R375" s="1" t="s">
        <v>83</v>
      </c>
      <c r="S375" s="1" t="s">
        <v>84</v>
      </c>
      <c r="T375" s="1">
        <v>1.00653499E8</v>
      </c>
      <c r="W375" s="1" t="s">
        <v>85</v>
      </c>
      <c r="X375" s="1" t="s">
        <v>1296</v>
      </c>
    </row>
    <row r="376">
      <c r="A376" s="1" t="s">
        <v>1656</v>
      </c>
      <c r="B376" s="1" t="s">
        <v>1657</v>
      </c>
      <c r="C376" s="1" t="s">
        <v>1658</v>
      </c>
      <c r="D376" s="1" t="s">
        <v>103</v>
      </c>
      <c r="E376" s="1" t="s">
        <v>29</v>
      </c>
      <c r="F376" s="1">
        <v>2800000.0</v>
      </c>
      <c r="G376" s="1" t="s">
        <v>1114</v>
      </c>
      <c r="H376" s="4">
        <v>43648.0</v>
      </c>
      <c r="I376" s="1" t="s">
        <v>191</v>
      </c>
      <c r="K376" s="1">
        <v>0.0</v>
      </c>
      <c r="L376" s="1" t="s">
        <v>1659</v>
      </c>
      <c r="M376" s="1" t="str">
        <f>VLOOKUP(L376,'Copy of PMD Workday Constants -'!B375:W1061,22,false)</f>
        <v>Delivery</v>
      </c>
      <c r="N376" s="1" t="s">
        <v>32</v>
      </c>
      <c r="O376" s="1" t="s">
        <v>33</v>
      </c>
      <c r="P376" s="1" t="s">
        <v>173</v>
      </c>
      <c r="Q376" s="1" t="s">
        <v>173</v>
      </c>
      <c r="R376" s="1" t="s">
        <v>174</v>
      </c>
      <c r="S376" s="1" t="s">
        <v>612</v>
      </c>
      <c r="T376" s="1">
        <v>1.00650786E8</v>
      </c>
      <c r="W376" s="1" t="s">
        <v>147</v>
      </c>
      <c r="X376" s="1" t="s">
        <v>1659</v>
      </c>
    </row>
    <row r="377">
      <c r="A377" s="1" t="s">
        <v>1660</v>
      </c>
      <c r="B377" s="1" t="s">
        <v>954</v>
      </c>
      <c r="C377" s="1" t="s">
        <v>1661</v>
      </c>
      <c r="D377" s="1" t="s">
        <v>28</v>
      </c>
      <c r="E377" s="1" t="s">
        <v>29</v>
      </c>
      <c r="F377" s="5">
        <v>2800000.0</v>
      </c>
      <c r="G377" s="1" t="s">
        <v>1114</v>
      </c>
      <c r="H377" s="1" t="s">
        <v>1662</v>
      </c>
      <c r="I377" s="1" t="s">
        <v>132</v>
      </c>
      <c r="K377" s="1">
        <v>0.0</v>
      </c>
      <c r="L377" s="1" t="s">
        <v>956</v>
      </c>
      <c r="M377" s="1" t="str">
        <f>VLOOKUP(L377,'Copy of PMD Workday Constants -'!B346:Y1032,22,false)</f>
        <v>#N/A</v>
      </c>
      <c r="N377" s="1" t="s">
        <v>32</v>
      </c>
      <c r="O377" s="1" t="s">
        <v>33</v>
      </c>
      <c r="P377" s="1" t="s">
        <v>173</v>
      </c>
      <c r="Q377" s="1" t="s">
        <v>173</v>
      </c>
      <c r="R377" s="1" t="s">
        <v>174</v>
      </c>
      <c r="S377" s="1" t="s">
        <v>612</v>
      </c>
      <c r="T377" s="1">
        <v>1.00623421E8</v>
      </c>
      <c r="W377" s="1" t="s">
        <v>147</v>
      </c>
      <c r="X377" s="1" t="s">
        <v>956</v>
      </c>
    </row>
    <row r="378">
      <c r="A378" s="1" t="s">
        <v>1663</v>
      </c>
      <c r="B378" s="1" t="s">
        <v>1664</v>
      </c>
      <c r="C378" s="1" t="s">
        <v>1665</v>
      </c>
      <c r="D378" s="1" t="s">
        <v>51</v>
      </c>
      <c r="E378" s="1" t="s">
        <v>29</v>
      </c>
      <c r="F378" s="5">
        <v>2800000.0</v>
      </c>
      <c r="G378" s="1" t="s">
        <v>1114</v>
      </c>
      <c r="H378" s="4">
        <v>43993.0</v>
      </c>
      <c r="I378" s="1" t="s">
        <v>43</v>
      </c>
      <c r="K378" s="1">
        <v>0.0</v>
      </c>
      <c r="L378" s="1" t="s">
        <v>830</v>
      </c>
      <c r="M378" s="1" t="str">
        <f>VLOOKUP(L378,'Copy of PMD Workday Constants -'!B347:Y1033,22,false)</f>
        <v>#N/A</v>
      </c>
      <c r="N378" s="1" t="s">
        <v>32</v>
      </c>
      <c r="O378" s="1" t="s">
        <v>33</v>
      </c>
      <c r="P378" s="1" t="s">
        <v>173</v>
      </c>
      <c r="Q378" s="1" t="s">
        <v>173</v>
      </c>
      <c r="R378" s="1" t="s">
        <v>174</v>
      </c>
      <c r="S378" s="1" t="s">
        <v>612</v>
      </c>
      <c r="T378" s="1">
        <v>1.00584422E8</v>
      </c>
      <c r="W378" s="1" t="s">
        <v>147</v>
      </c>
      <c r="X378" s="1" t="s">
        <v>830</v>
      </c>
    </row>
    <row r="379">
      <c r="A379" s="1" t="s">
        <v>1666</v>
      </c>
      <c r="B379" s="1" t="s">
        <v>1667</v>
      </c>
      <c r="C379" s="1" t="s">
        <v>1668</v>
      </c>
      <c r="D379" s="1" t="s">
        <v>51</v>
      </c>
      <c r="E379" s="1" t="s">
        <v>29</v>
      </c>
      <c r="F379" s="5">
        <v>2800000.0</v>
      </c>
      <c r="G379" s="1" t="s">
        <v>1114</v>
      </c>
      <c r="H379" s="1" t="s">
        <v>1669</v>
      </c>
      <c r="I379" s="1" t="s">
        <v>264</v>
      </c>
      <c r="K379" s="1">
        <v>0.0</v>
      </c>
      <c r="L379" s="1" t="s">
        <v>428</v>
      </c>
      <c r="M379" s="1" t="str">
        <f>VLOOKUP(L379,'Copy of PMD Workday Constants -'!B348:Y1034,22,false)</f>
        <v>#N/A</v>
      </c>
      <c r="N379" s="1" t="s">
        <v>32</v>
      </c>
      <c r="O379" s="1" t="s">
        <v>33</v>
      </c>
      <c r="P379" s="1" t="s">
        <v>173</v>
      </c>
      <c r="Q379" s="1" t="s">
        <v>173</v>
      </c>
      <c r="R379" s="1" t="s">
        <v>174</v>
      </c>
      <c r="S379" s="1" t="s">
        <v>153</v>
      </c>
      <c r="T379" s="1">
        <v>1.00654085E8</v>
      </c>
      <c r="W379" s="1" t="s">
        <v>85</v>
      </c>
      <c r="X379" s="1" t="s">
        <v>428</v>
      </c>
    </row>
    <row r="380">
      <c r="A380" s="1" t="s">
        <v>1670</v>
      </c>
      <c r="B380" s="1" t="s">
        <v>324</v>
      </c>
      <c r="C380" s="1" t="s">
        <v>1671</v>
      </c>
      <c r="D380" s="1" t="s">
        <v>103</v>
      </c>
      <c r="E380" s="1" t="s">
        <v>29</v>
      </c>
      <c r="F380" s="5">
        <v>2794000.0</v>
      </c>
      <c r="G380" s="1" t="s">
        <v>1114</v>
      </c>
      <c r="H380" s="1" t="s">
        <v>1672</v>
      </c>
      <c r="I380" s="1" t="s">
        <v>1673</v>
      </c>
      <c r="K380" s="1">
        <v>0.0</v>
      </c>
      <c r="L380" s="1" t="s">
        <v>1674</v>
      </c>
      <c r="M380" s="1" t="str">
        <f>VLOOKUP(L380,'Copy of PMD Workday Constants -'!B349:Y1035,22,false)</f>
        <v>#N/A</v>
      </c>
      <c r="N380" s="1" t="s">
        <v>32</v>
      </c>
      <c r="O380" s="1" t="s">
        <v>33</v>
      </c>
      <c r="P380" s="1" t="s">
        <v>210</v>
      </c>
      <c r="Q380" s="1" t="s">
        <v>210</v>
      </c>
      <c r="R380" s="1" t="s">
        <v>211</v>
      </c>
      <c r="S380" s="1" t="s">
        <v>212</v>
      </c>
      <c r="T380" s="1">
        <v>1.00648421E8</v>
      </c>
      <c r="W380" s="1" t="s">
        <v>56</v>
      </c>
      <c r="X380" s="1" t="s">
        <v>1674</v>
      </c>
    </row>
    <row r="381">
      <c r="A381" s="1" t="s">
        <v>1675</v>
      </c>
      <c r="B381" s="1" t="s">
        <v>756</v>
      </c>
      <c r="C381" s="1" t="s">
        <v>1676</v>
      </c>
      <c r="D381" s="1" t="s">
        <v>103</v>
      </c>
      <c r="E381" s="1" t="s">
        <v>29</v>
      </c>
      <c r="F381" s="1">
        <v>2790000.0</v>
      </c>
      <c r="G381" s="1" t="s">
        <v>1114</v>
      </c>
      <c r="H381" s="4">
        <v>44654.0</v>
      </c>
      <c r="I381" s="4">
        <v>44872.0</v>
      </c>
      <c r="J381" s="6">
        <v>44626.86736111111</v>
      </c>
      <c r="K381" s="1">
        <v>0.0</v>
      </c>
      <c r="L381" s="1" t="s">
        <v>1677</v>
      </c>
      <c r="M381" s="1" t="str">
        <f>VLOOKUP(L381,'Copy of PMD Workday Constants -'!B380:W1066,22,false)</f>
        <v>Delivery</v>
      </c>
      <c r="N381" s="1" t="s">
        <v>32</v>
      </c>
      <c r="O381" s="1" t="s">
        <v>33</v>
      </c>
      <c r="P381" s="1" t="s">
        <v>54</v>
      </c>
      <c r="Q381" s="1" t="s">
        <v>54</v>
      </c>
      <c r="R381" s="1" t="s">
        <v>55</v>
      </c>
      <c r="S381" s="1" t="s">
        <v>701</v>
      </c>
      <c r="T381" s="1">
        <v>1.00623248E8</v>
      </c>
      <c r="U381" s="1" t="s">
        <v>1678</v>
      </c>
      <c r="V381" s="1" t="s">
        <v>781</v>
      </c>
      <c r="W381" s="1" t="s">
        <v>74</v>
      </c>
      <c r="X381" s="1" t="s">
        <v>1677</v>
      </c>
    </row>
    <row r="382">
      <c r="A382" s="1" t="s">
        <v>1679</v>
      </c>
      <c r="B382" s="1" t="s">
        <v>40</v>
      </c>
      <c r="C382" s="1" t="s">
        <v>1680</v>
      </c>
      <c r="D382" s="1" t="s">
        <v>28</v>
      </c>
      <c r="E382" s="1" t="s">
        <v>29</v>
      </c>
      <c r="F382" s="5">
        <v>2700000.0</v>
      </c>
      <c r="G382" s="1" t="s">
        <v>1114</v>
      </c>
      <c r="H382" s="1" t="s">
        <v>1681</v>
      </c>
      <c r="I382" s="1" t="s">
        <v>302</v>
      </c>
      <c r="K382" s="1">
        <v>0.0</v>
      </c>
      <c r="L382" s="1" t="s">
        <v>1611</v>
      </c>
      <c r="M382" s="1" t="str">
        <f>VLOOKUP(L382,'Copy of PMD Workday Constants -'!B351:Y1037,22,false)</f>
        <v>#N/A</v>
      </c>
      <c r="N382" s="1" t="s">
        <v>32</v>
      </c>
      <c r="O382" s="1" t="s">
        <v>33</v>
      </c>
      <c r="P382" s="1" t="s">
        <v>34</v>
      </c>
      <c r="Q382" s="1" t="s">
        <v>34</v>
      </c>
      <c r="R382" s="1" t="s">
        <v>35</v>
      </c>
      <c r="S382" s="1" t="s">
        <v>126</v>
      </c>
      <c r="T382" s="1">
        <v>1.00645852E8</v>
      </c>
      <c r="W382" s="1" t="s">
        <v>47</v>
      </c>
      <c r="X382" s="1" t="s">
        <v>127</v>
      </c>
    </row>
    <row r="383">
      <c r="A383" s="1" t="s">
        <v>1682</v>
      </c>
      <c r="B383" s="1" t="s">
        <v>1683</v>
      </c>
      <c r="C383" s="1" t="s">
        <v>1606</v>
      </c>
      <c r="D383" s="1" t="s">
        <v>28</v>
      </c>
      <c r="E383" s="1" t="s">
        <v>29</v>
      </c>
      <c r="F383" s="1">
        <v>2700000.0</v>
      </c>
      <c r="G383" s="1" t="s">
        <v>1114</v>
      </c>
      <c r="H383" s="4">
        <v>44656.0</v>
      </c>
      <c r="I383" s="1" t="s">
        <v>166</v>
      </c>
      <c r="K383" s="1">
        <v>0.0</v>
      </c>
      <c r="L383" s="1" t="s">
        <v>1165</v>
      </c>
      <c r="M383" s="1" t="str">
        <f>VLOOKUP(L383,'Copy of PMD Workday Constants -'!B382:W1068,22,false)</f>
        <v>Delivery</v>
      </c>
      <c r="N383" s="1" t="s">
        <v>32</v>
      </c>
      <c r="O383" s="1" t="s">
        <v>33</v>
      </c>
      <c r="P383" s="1" t="s">
        <v>34</v>
      </c>
      <c r="Q383" s="1" t="s">
        <v>34</v>
      </c>
      <c r="R383" s="1" t="s">
        <v>35</v>
      </c>
      <c r="S383" s="1" t="s">
        <v>1166</v>
      </c>
      <c r="T383" s="1">
        <v>1.00586863E8</v>
      </c>
      <c r="W383" s="1" t="s">
        <v>147</v>
      </c>
      <c r="X383" s="1" t="s">
        <v>1607</v>
      </c>
    </row>
    <row r="384">
      <c r="A384" s="1" t="s">
        <v>1684</v>
      </c>
      <c r="B384" s="1" t="s">
        <v>1685</v>
      </c>
      <c r="C384" s="1" t="s">
        <v>1686</v>
      </c>
      <c r="D384" s="1" t="s">
        <v>28</v>
      </c>
      <c r="E384" s="1" t="s">
        <v>29</v>
      </c>
      <c r="F384" s="1">
        <v>2700000.0</v>
      </c>
      <c r="G384" s="1" t="s">
        <v>1114</v>
      </c>
      <c r="H384" s="4">
        <v>44656.0</v>
      </c>
      <c r="I384" s="1" t="s">
        <v>1687</v>
      </c>
      <c r="K384" s="1">
        <v>0.0</v>
      </c>
      <c r="L384" s="1" t="s">
        <v>1165</v>
      </c>
      <c r="M384" s="1" t="str">
        <f>VLOOKUP(L384,'Copy of PMD Workday Constants -'!B383:W1069,22,false)</f>
        <v>Delivery</v>
      </c>
      <c r="N384" s="1" t="s">
        <v>32</v>
      </c>
      <c r="O384" s="1" t="s">
        <v>33</v>
      </c>
      <c r="P384" s="1" t="s">
        <v>34</v>
      </c>
      <c r="Q384" s="1" t="s">
        <v>34</v>
      </c>
      <c r="R384" s="1" t="s">
        <v>35</v>
      </c>
      <c r="S384" s="1" t="s">
        <v>1166</v>
      </c>
      <c r="T384" s="1">
        <v>1.00586863E8</v>
      </c>
      <c r="W384" s="1" t="s">
        <v>147</v>
      </c>
      <c r="X384" s="1" t="s">
        <v>1607</v>
      </c>
    </row>
    <row r="385">
      <c r="A385" s="1" t="s">
        <v>1688</v>
      </c>
      <c r="B385" s="1" t="s">
        <v>1689</v>
      </c>
      <c r="C385" s="1" t="s">
        <v>1606</v>
      </c>
      <c r="D385" s="1" t="s">
        <v>28</v>
      </c>
      <c r="E385" s="1" t="s">
        <v>29</v>
      </c>
      <c r="F385" s="1">
        <v>2700000.0</v>
      </c>
      <c r="G385" s="1" t="s">
        <v>1114</v>
      </c>
      <c r="H385" s="4">
        <v>44656.0</v>
      </c>
      <c r="I385" s="1" t="s">
        <v>166</v>
      </c>
      <c r="K385" s="1">
        <v>0.0</v>
      </c>
      <c r="L385" s="1" t="s">
        <v>1165</v>
      </c>
      <c r="M385" s="1" t="str">
        <f>VLOOKUP(L385,'Copy of PMD Workday Constants -'!B384:W1070,22,false)</f>
        <v>Delivery</v>
      </c>
      <c r="N385" s="1" t="s">
        <v>32</v>
      </c>
      <c r="O385" s="1" t="s">
        <v>33</v>
      </c>
      <c r="P385" s="1" t="s">
        <v>34</v>
      </c>
      <c r="Q385" s="1" t="s">
        <v>34</v>
      </c>
      <c r="R385" s="1" t="s">
        <v>35</v>
      </c>
      <c r="S385" s="1" t="s">
        <v>1166</v>
      </c>
      <c r="T385" s="1">
        <v>1.00586863E8</v>
      </c>
      <c r="W385" s="1" t="s">
        <v>147</v>
      </c>
      <c r="X385" s="1" t="s">
        <v>1607</v>
      </c>
    </row>
    <row r="386">
      <c r="A386" s="1" t="s">
        <v>1690</v>
      </c>
      <c r="B386" s="1" t="s">
        <v>348</v>
      </c>
      <c r="C386" s="1" t="s">
        <v>1691</v>
      </c>
      <c r="D386" s="1" t="s">
        <v>103</v>
      </c>
      <c r="E386" s="1" t="s">
        <v>29</v>
      </c>
      <c r="F386" s="1">
        <v>2600000.0</v>
      </c>
      <c r="G386" s="1" t="s">
        <v>1114</v>
      </c>
      <c r="H386" s="1" t="s">
        <v>727</v>
      </c>
      <c r="I386" s="1" t="s">
        <v>152</v>
      </c>
      <c r="K386" s="1">
        <v>0.0</v>
      </c>
      <c r="L386" s="1" t="s">
        <v>350</v>
      </c>
      <c r="M386" s="1" t="str">
        <f>VLOOKUP(L386,'Copy of PMD Workday Constants -'!B385:W1071,22,false)</f>
        <v>LCP</v>
      </c>
      <c r="N386" s="1" t="s">
        <v>32</v>
      </c>
      <c r="O386" s="1" t="s">
        <v>33</v>
      </c>
      <c r="P386" s="1" t="s">
        <v>82</v>
      </c>
      <c r="Q386" s="1" t="s">
        <v>82</v>
      </c>
      <c r="R386" s="1" t="s">
        <v>83</v>
      </c>
      <c r="S386" s="1" t="s">
        <v>180</v>
      </c>
      <c r="T386" s="1">
        <v>1.00582847E8</v>
      </c>
      <c r="W386" s="1" t="s">
        <v>85</v>
      </c>
      <c r="X386" s="1" t="s">
        <v>1692</v>
      </c>
    </row>
    <row r="387">
      <c r="A387" s="1" t="s">
        <v>1693</v>
      </c>
      <c r="B387" s="1" t="s">
        <v>324</v>
      </c>
      <c r="C387" s="1" t="s">
        <v>1694</v>
      </c>
      <c r="D387" s="1" t="s">
        <v>79</v>
      </c>
      <c r="E387" s="1" t="s">
        <v>29</v>
      </c>
      <c r="F387" s="5">
        <v>2600000.0</v>
      </c>
      <c r="G387" s="1" t="s">
        <v>1114</v>
      </c>
      <c r="H387" s="4">
        <v>44481.0</v>
      </c>
      <c r="I387" s="1" t="s">
        <v>1673</v>
      </c>
      <c r="K387" s="1">
        <v>0.0</v>
      </c>
      <c r="L387" s="1" t="s">
        <v>415</v>
      </c>
      <c r="M387" s="1" t="str">
        <f>VLOOKUP(L387,'Copy of PMD Workday Constants -'!B356:Y1042,22,false)</f>
        <v>#N/A</v>
      </c>
      <c r="N387" s="1" t="s">
        <v>32</v>
      </c>
      <c r="O387" s="1" t="s">
        <v>33</v>
      </c>
      <c r="P387" s="1" t="s">
        <v>210</v>
      </c>
      <c r="Q387" s="1" t="s">
        <v>210</v>
      </c>
      <c r="R387" s="1" t="s">
        <v>211</v>
      </c>
      <c r="S387" s="1" t="s">
        <v>1313</v>
      </c>
      <c r="T387" s="1">
        <v>1.00650375E8</v>
      </c>
      <c r="W387" s="1" t="s">
        <v>56</v>
      </c>
      <c r="X387" s="1" t="s">
        <v>415</v>
      </c>
    </row>
    <row r="388">
      <c r="A388" s="1" t="s">
        <v>1695</v>
      </c>
      <c r="B388" s="1" t="s">
        <v>931</v>
      </c>
      <c r="C388" s="1" t="s">
        <v>1696</v>
      </c>
      <c r="D388" s="1" t="s">
        <v>79</v>
      </c>
      <c r="E388" s="1" t="s">
        <v>29</v>
      </c>
      <c r="F388" s="5">
        <v>2600000.0</v>
      </c>
      <c r="G388" s="1" t="s">
        <v>1114</v>
      </c>
      <c r="H388" s="4">
        <v>44565.0</v>
      </c>
      <c r="I388" s="1" t="s">
        <v>80</v>
      </c>
      <c r="K388" s="1">
        <v>0.0</v>
      </c>
      <c r="L388" s="1" t="s">
        <v>1697</v>
      </c>
      <c r="M388" s="1" t="str">
        <f>VLOOKUP(L388,'Copy of PMD Workday Constants -'!B357:Y1043,22,false)</f>
        <v>#N/A</v>
      </c>
      <c r="N388" s="1" t="s">
        <v>32</v>
      </c>
      <c r="O388" s="1" t="s">
        <v>33</v>
      </c>
      <c r="P388" s="1" t="s">
        <v>82</v>
      </c>
      <c r="Q388" s="1" t="s">
        <v>82</v>
      </c>
      <c r="R388" s="1" t="s">
        <v>83</v>
      </c>
      <c r="S388" s="1" t="s">
        <v>84</v>
      </c>
      <c r="T388" s="1">
        <v>1.00589728E8</v>
      </c>
      <c r="W388" s="1" t="s">
        <v>85</v>
      </c>
      <c r="X388" s="1" t="s">
        <v>1697</v>
      </c>
    </row>
    <row r="389">
      <c r="A389" s="1" t="s">
        <v>1698</v>
      </c>
      <c r="B389" s="1" t="s">
        <v>800</v>
      </c>
      <c r="C389" s="1" t="s">
        <v>1699</v>
      </c>
      <c r="D389" s="1" t="s">
        <v>51</v>
      </c>
      <c r="E389" s="1" t="s">
        <v>29</v>
      </c>
      <c r="F389" s="5">
        <v>2500000.0</v>
      </c>
      <c r="G389" s="1" t="s">
        <v>1114</v>
      </c>
      <c r="H389" s="1" t="s">
        <v>42</v>
      </c>
      <c r="I389" s="1" t="s">
        <v>80</v>
      </c>
      <c r="K389" s="1">
        <v>0.0</v>
      </c>
      <c r="L389" s="1" t="s">
        <v>1700</v>
      </c>
      <c r="M389" s="1" t="str">
        <f>VLOOKUP(L389,'Copy of PMD Workday Constants -'!B358:Y1044,22,false)</f>
        <v>#N/A</v>
      </c>
      <c r="N389" s="1" t="s">
        <v>32</v>
      </c>
      <c r="O389" s="1" t="s">
        <v>33</v>
      </c>
      <c r="P389" s="1" t="s">
        <v>112</v>
      </c>
      <c r="Q389" s="1" t="s">
        <v>112</v>
      </c>
      <c r="R389" s="1" t="s">
        <v>113</v>
      </c>
      <c r="S389" s="1" t="s">
        <v>120</v>
      </c>
      <c r="T389" s="1">
        <v>1.00596555E8</v>
      </c>
      <c r="W389" s="1" t="s">
        <v>56</v>
      </c>
      <c r="X389" s="1" t="s">
        <v>1701</v>
      </c>
    </row>
    <row r="390">
      <c r="A390" s="1" t="s">
        <v>1702</v>
      </c>
      <c r="B390" s="1" t="s">
        <v>1703</v>
      </c>
      <c r="C390" s="1" t="s">
        <v>1704</v>
      </c>
      <c r="D390" s="1" t="s">
        <v>28</v>
      </c>
      <c r="E390" s="1" t="s">
        <v>29</v>
      </c>
      <c r="F390" s="5">
        <v>2500000.0</v>
      </c>
      <c r="G390" s="1" t="s">
        <v>1114</v>
      </c>
      <c r="H390" s="4">
        <v>44477.0</v>
      </c>
      <c r="I390" s="1" t="s">
        <v>302</v>
      </c>
      <c r="K390" s="1">
        <v>0.0</v>
      </c>
      <c r="L390" s="1" t="s">
        <v>767</v>
      </c>
      <c r="M390" s="1" t="str">
        <f>VLOOKUP(L390,'Copy of PMD Workday Constants -'!B359:Y1045,22,false)</f>
        <v>#N/A</v>
      </c>
      <c r="N390" s="1" t="s">
        <v>32</v>
      </c>
      <c r="O390" s="1" t="s">
        <v>33</v>
      </c>
      <c r="P390" s="1" t="s">
        <v>82</v>
      </c>
      <c r="Q390" s="1" t="s">
        <v>82</v>
      </c>
      <c r="R390" s="1" t="s">
        <v>83</v>
      </c>
      <c r="S390" s="1" t="s">
        <v>583</v>
      </c>
      <c r="T390" s="1">
        <v>1.00589481E8</v>
      </c>
      <c r="U390" s="1" t="s">
        <v>1705</v>
      </c>
      <c r="V390" s="1" t="s">
        <v>187</v>
      </c>
      <c r="W390" s="1" t="s">
        <v>456</v>
      </c>
      <c r="X390" s="1" t="s">
        <v>1629</v>
      </c>
    </row>
    <row r="391">
      <c r="A391" s="1" t="s">
        <v>1706</v>
      </c>
      <c r="B391" s="1" t="s">
        <v>241</v>
      </c>
      <c r="C391" s="1" t="s">
        <v>1707</v>
      </c>
      <c r="D391" s="1" t="s">
        <v>28</v>
      </c>
      <c r="E391" s="1" t="s">
        <v>29</v>
      </c>
      <c r="F391" s="5">
        <v>2500000.0</v>
      </c>
      <c r="G391" s="1" t="s">
        <v>1114</v>
      </c>
      <c r="H391" s="1" t="s">
        <v>1708</v>
      </c>
      <c r="I391" s="1" t="s">
        <v>43</v>
      </c>
      <c r="K391" s="1">
        <v>0.0</v>
      </c>
      <c r="L391" s="1" t="s">
        <v>244</v>
      </c>
      <c r="M391" s="1" t="str">
        <f>VLOOKUP(L391,'Copy of PMD Workday Constants -'!B360:Y1046,22,false)</f>
        <v>#N/A</v>
      </c>
      <c r="N391" s="1" t="s">
        <v>32</v>
      </c>
      <c r="O391" s="1" t="s">
        <v>33</v>
      </c>
      <c r="P391" s="1" t="s">
        <v>34</v>
      </c>
      <c r="Q391" s="1" t="s">
        <v>34</v>
      </c>
      <c r="R391" s="1" t="s">
        <v>35</v>
      </c>
      <c r="S391" s="1" t="s">
        <v>36</v>
      </c>
      <c r="T391" s="1">
        <v>1.00617853E8</v>
      </c>
      <c r="W391" s="1" t="s">
        <v>37</v>
      </c>
      <c r="X391" s="1" t="s">
        <v>1019</v>
      </c>
    </row>
    <row r="392">
      <c r="A392" s="1" t="s">
        <v>1709</v>
      </c>
      <c r="B392" s="1" t="s">
        <v>756</v>
      </c>
      <c r="C392" s="1" t="s">
        <v>1710</v>
      </c>
      <c r="D392" s="1" t="s">
        <v>28</v>
      </c>
      <c r="E392" s="1" t="s">
        <v>29</v>
      </c>
      <c r="F392" s="5">
        <v>2500000.0</v>
      </c>
      <c r="G392" s="1" t="s">
        <v>1114</v>
      </c>
      <c r="H392" s="4">
        <v>44810.0</v>
      </c>
      <c r="I392" s="1" t="s">
        <v>43</v>
      </c>
      <c r="K392" s="1">
        <v>0.0</v>
      </c>
      <c r="L392" s="1" t="s">
        <v>1344</v>
      </c>
      <c r="M392" s="1" t="str">
        <f>VLOOKUP(L392,'Copy of PMD Workday Constants -'!B361:Y1047,22,false)</f>
        <v>#N/A</v>
      </c>
      <c r="N392" s="1" t="s">
        <v>32</v>
      </c>
      <c r="O392" s="1" t="s">
        <v>33</v>
      </c>
      <c r="P392" s="1" t="s">
        <v>112</v>
      </c>
      <c r="Q392" s="1" t="s">
        <v>112</v>
      </c>
      <c r="R392" s="1" t="s">
        <v>113</v>
      </c>
      <c r="S392" s="1" t="s">
        <v>134</v>
      </c>
      <c r="T392" s="1">
        <v>1.0061941E8</v>
      </c>
      <c r="W392" s="1" t="s">
        <v>74</v>
      </c>
      <c r="X392" s="1" t="s">
        <v>1711</v>
      </c>
    </row>
    <row r="393">
      <c r="A393" s="1" t="s">
        <v>1712</v>
      </c>
      <c r="B393" s="1" t="s">
        <v>1713</v>
      </c>
      <c r="C393" s="1" t="s">
        <v>1714</v>
      </c>
      <c r="D393" s="1" t="s">
        <v>28</v>
      </c>
      <c r="E393" s="1" t="s">
        <v>29</v>
      </c>
      <c r="F393" s="5">
        <v>2500000.0</v>
      </c>
      <c r="G393" s="1" t="s">
        <v>1114</v>
      </c>
      <c r="H393" s="1" t="s">
        <v>1715</v>
      </c>
      <c r="I393" s="1" t="s">
        <v>104</v>
      </c>
      <c r="K393" s="1">
        <v>0.0</v>
      </c>
      <c r="L393" s="1" t="s">
        <v>499</v>
      </c>
      <c r="M393" s="1" t="str">
        <f>VLOOKUP(L393,'Copy of PMD Workday Constants -'!B362:Y1048,22,false)</f>
        <v>#N/A</v>
      </c>
      <c r="N393" s="1" t="s">
        <v>32</v>
      </c>
      <c r="O393" s="1" t="s">
        <v>33</v>
      </c>
      <c r="P393" s="1" t="s">
        <v>34</v>
      </c>
      <c r="Q393" s="1" t="s">
        <v>34</v>
      </c>
      <c r="R393" s="1" t="s">
        <v>35</v>
      </c>
      <c r="S393" s="1" t="s">
        <v>153</v>
      </c>
      <c r="T393" s="1">
        <v>1.00627768E8</v>
      </c>
      <c r="W393" s="1" t="s">
        <v>91</v>
      </c>
      <c r="X393" s="1" t="s">
        <v>1716</v>
      </c>
    </row>
    <row r="394">
      <c r="A394" s="1" t="s">
        <v>1717</v>
      </c>
      <c r="B394" s="1" t="s">
        <v>756</v>
      </c>
      <c r="C394" s="1" t="s">
        <v>1718</v>
      </c>
      <c r="D394" s="1" t="s">
        <v>28</v>
      </c>
      <c r="E394" s="1" t="s">
        <v>29</v>
      </c>
      <c r="F394" s="5">
        <v>2500000.0</v>
      </c>
      <c r="G394" s="1" t="s">
        <v>1114</v>
      </c>
      <c r="H394" s="4">
        <v>44806.0</v>
      </c>
      <c r="I394" s="1" t="s">
        <v>523</v>
      </c>
      <c r="K394" s="1">
        <v>0.0</v>
      </c>
      <c r="L394" s="1" t="s">
        <v>1344</v>
      </c>
      <c r="M394" s="1" t="str">
        <f>VLOOKUP(L394,'Copy of PMD Workday Constants -'!B363:Y1049,22,false)</f>
        <v>#N/A</v>
      </c>
      <c r="N394" s="1" t="s">
        <v>32</v>
      </c>
      <c r="O394" s="1" t="s">
        <v>33</v>
      </c>
      <c r="P394" s="1" t="s">
        <v>112</v>
      </c>
      <c r="Q394" s="1" t="s">
        <v>112</v>
      </c>
      <c r="R394" s="1" t="s">
        <v>113</v>
      </c>
      <c r="S394" s="1" t="s">
        <v>134</v>
      </c>
      <c r="T394" s="1">
        <v>1.0061941E8</v>
      </c>
      <c r="U394" s="1" t="s">
        <v>1719</v>
      </c>
      <c r="V394" s="1" t="s">
        <v>187</v>
      </c>
      <c r="W394" s="1" t="s">
        <v>74</v>
      </c>
      <c r="X394" s="1" t="s">
        <v>1344</v>
      </c>
    </row>
    <row r="395">
      <c r="A395" s="1" t="s">
        <v>1720</v>
      </c>
      <c r="B395" s="1" t="s">
        <v>1721</v>
      </c>
      <c r="C395" s="1" t="s">
        <v>1722</v>
      </c>
      <c r="D395" s="1" t="s">
        <v>51</v>
      </c>
      <c r="E395" s="1" t="s">
        <v>29</v>
      </c>
      <c r="F395" s="5">
        <v>2500000.0</v>
      </c>
      <c r="G395" s="1" t="s">
        <v>1114</v>
      </c>
      <c r="H395" s="1" t="s">
        <v>52</v>
      </c>
      <c r="I395" s="1" t="s">
        <v>152</v>
      </c>
      <c r="K395" s="1">
        <v>0.0</v>
      </c>
      <c r="L395" s="1" t="s">
        <v>1723</v>
      </c>
      <c r="M395" s="1" t="str">
        <f>VLOOKUP(L395,'Copy of PMD Workday Constants -'!B364:Y1050,22,false)</f>
        <v>#N/A</v>
      </c>
      <c r="N395" s="1" t="s">
        <v>32</v>
      </c>
      <c r="O395" s="1" t="s">
        <v>33</v>
      </c>
      <c r="P395" s="1" t="s">
        <v>222</v>
      </c>
      <c r="Q395" s="1" t="s">
        <v>222</v>
      </c>
      <c r="R395" s="1" t="s">
        <v>223</v>
      </c>
      <c r="S395" s="1" t="s">
        <v>646</v>
      </c>
      <c r="T395" s="1">
        <v>1.00901211E8</v>
      </c>
      <c r="W395" s="1" t="s">
        <v>391</v>
      </c>
      <c r="X395" s="1" t="s">
        <v>718</v>
      </c>
    </row>
    <row r="396">
      <c r="A396" s="1" t="s">
        <v>1724</v>
      </c>
      <c r="B396" s="1" t="s">
        <v>1725</v>
      </c>
      <c r="C396" s="1" t="s">
        <v>1726</v>
      </c>
      <c r="D396" s="1" t="s">
        <v>103</v>
      </c>
      <c r="E396" s="1" t="s">
        <v>29</v>
      </c>
      <c r="F396" s="5">
        <v>2500000.0</v>
      </c>
      <c r="G396" s="1" t="s">
        <v>1114</v>
      </c>
      <c r="H396" s="4">
        <v>44567.0</v>
      </c>
      <c r="I396" s="1" t="s">
        <v>43</v>
      </c>
      <c r="K396" s="1">
        <v>0.0</v>
      </c>
      <c r="L396" s="1" t="s">
        <v>1727</v>
      </c>
      <c r="M396" s="1" t="str">
        <f>VLOOKUP(L396,'Copy of PMD Workday Constants -'!B365:Y1051,22,false)</f>
        <v>#N/A</v>
      </c>
      <c r="N396" s="1" t="s">
        <v>32</v>
      </c>
      <c r="O396" s="1" t="s">
        <v>33</v>
      </c>
      <c r="P396" s="1" t="s">
        <v>82</v>
      </c>
      <c r="Q396" s="1" t="s">
        <v>82</v>
      </c>
      <c r="R396" s="1" t="s">
        <v>83</v>
      </c>
      <c r="T396" s="1">
        <v>1.00599944E8</v>
      </c>
      <c r="W396" s="1" t="s">
        <v>85</v>
      </c>
      <c r="X396" s="1" t="s">
        <v>1727</v>
      </c>
    </row>
    <row r="397">
      <c r="A397" s="1" t="s">
        <v>1728</v>
      </c>
      <c r="B397" s="1" t="s">
        <v>1472</v>
      </c>
      <c r="C397" s="1" t="s">
        <v>1729</v>
      </c>
      <c r="D397" s="1" t="s">
        <v>28</v>
      </c>
      <c r="E397" s="1" t="s">
        <v>29</v>
      </c>
      <c r="F397" s="1">
        <v>2500000.0</v>
      </c>
      <c r="G397" s="1" t="s">
        <v>1114</v>
      </c>
      <c r="H397" s="4">
        <v>44810.0</v>
      </c>
      <c r="I397" s="4">
        <v>44568.0</v>
      </c>
      <c r="K397" s="1">
        <v>0.0</v>
      </c>
      <c r="L397" s="1" t="s">
        <v>662</v>
      </c>
      <c r="M397" s="1" t="str">
        <f>VLOOKUP(L397,'Copy of PMD Workday Constants -'!B396:W1082,22,false)</f>
        <v>Catalyst</v>
      </c>
      <c r="N397" s="1" t="s">
        <v>32</v>
      </c>
      <c r="O397" s="1" t="s">
        <v>33</v>
      </c>
      <c r="P397" s="1" t="s">
        <v>54</v>
      </c>
      <c r="Q397" s="1" t="s">
        <v>54</v>
      </c>
      <c r="R397" s="1" t="s">
        <v>55</v>
      </c>
      <c r="T397" s="1">
        <v>1.01062258E8</v>
      </c>
      <c r="W397" s="1" t="s">
        <v>533</v>
      </c>
      <c r="X397" s="1" t="s">
        <v>1730</v>
      </c>
    </row>
    <row r="398">
      <c r="A398" s="1" t="s">
        <v>1731</v>
      </c>
      <c r="B398" s="1" t="s">
        <v>311</v>
      </c>
      <c r="C398" s="1" t="s">
        <v>1732</v>
      </c>
      <c r="D398" s="1" t="s">
        <v>28</v>
      </c>
      <c r="E398" s="1" t="s">
        <v>29</v>
      </c>
      <c r="F398" s="5">
        <v>2500000.0</v>
      </c>
      <c r="G398" s="1" t="s">
        <v>1114</v>
      </c>
      <c r="H398" s="1" t="s">
        <v>1733</v>
      </c>
      <c r="I398" s="1" t="s">
        <v>152</v>
      </c>
      <c r="K398" s="1">
        <v>0.0</v>
      </c>
      <c r="L398" s="1" t="s">
        <v>1734</v>
      </c>
      <c r="M398" s="1" t="str">
        <f>VLOOKUP(L398,'Copy of PMD Workday Constants -'!B367:Y1053,22,false)</f>
        <v>#N/A</v>
      </c>
      <c r="N398" s="1" t="s">
        <v>32</v>
      </c>
      <c r="O398" s="1" t="s">
        <v>33</v>
      </c>
      <c r="P398" s="1" t="s">
        <v>82</v>
      </c>
      <c r="Q398" s="1" t="s">
        <v>82</v>
      </c>
      <c r="R398" s="1" t="s">
        <v>83</v>
      </c>
      <c r="S398" s="1" t="s">
        <v>180</v>
      </c>
      <c r="T398" s="1">
        <v>1.00635215E8</v>
      </c>
      <c r="W398" s="1" t="s">
        <v>140</v>
      </c>
      <c r="X398" s="1" t="s">
        <v>1735</v>
      </c>
    </row>
    <row r="399">
      <c r="A399" s="1" t="s">
        <v>1736</v>
      </c>
      <c r="B399" s="1" t="s">
        <v>1737</v>
      </c>
      <c r="C399" s="1" t="s">
        <v>1738</v>
      </c>
      <c r="D399" s="1" t="s">
        <v>28</v>
      </c>
      <c r="E399" s="1" t="s">
        <v>29</v>
      </c>
      <c r="F399" s="1">
        <v>2500000.0</v>
      </c>
      <c r="G399" s="1" t="s">
        <v>1114</v>
      </c>
      <c r="H399" s="1" t="s">
        <v>52</v>
      </c>
      <c r="I399" s="1" t="s">
        <v>217</v>
      </c>
      <c r="K399" s="1">
        <v>0.0</v>
      </c>
      <c r="L399" s="1" t="s">
        <v>1739</v>
      </c>
      <c r="M399" s="1" t="str">
        <f>VLOOKUP(L399,'Copy of PMD Workday Constants -'!B398:W1084,22,false)</f>
        <v>LCP</v>
      </c>
      <c r="N399" s="1" t="s">
        <v>32</v>
      </c>
      <c r="O399" s="1" t="s">
        <v>33</v>
      </c>
      <c r="P399" s="1" t="s">
        <v>210</v>
      </c>
      <c r="Q399" s="1" t="s">
        <v>210</v>
      </c>
      <c r="R399" s="1" t="s">
        <v>211</v>
      </c>
      <c r="S399" s="1" t="s">
        <v>416</v>
      </c>
      <c r="T399" s="1">
        <v>1.00964362E8</v>
      </c>
      <c r="W399" s="1" t="s">
        <v>56</v>
      </c>
      <c r="X399" s="1" t="s">
        <v>1740</v>
      </c>
    </row>
    <row r="400">
      <c r="A400" s="1" t="s">
        <v>1741</v>
      </c>
      <c r="B400" s="1" t="s">
        <v>1737</v>
      </c>
      <c r="C400" s="1" t="s">
        <v>1742</v>
      </c>
      <c r="D400" s="1" t="s">
        <v>28</v>
      </c>
      <c r="E400" s="1" t="s">
        <v>29</v>
      </c>
      <c r="F400" s="1">
        <v>2500000.0</v>
      </c>
      <c r="G400" s="1" t="s">
        <v>1114</v>
      </c>
      <c r="H400" s="1" t="s">
        <v>52</v>
      </c>
      <c r="I400" s="1" t="s">
        <v>217</v>
      </c>
      <c r="K400" s="1">
        <v>0.0</v>
      </c>
      <c r="L400" s="1" t="s">
        <v>1739</v>
      </c>
      <c r="M400" s="1" t="str">
        <f>VLOOKUP(L400,'Copy of PMD Workday Constants -'!B399:W1085,22,false)</f>
        <v>LCP</v>
      </c>
      <c r="N400" s="1" t="s">
        <v>32</v>
      </c>
      <c r="O400" s="1" t="s">
        <v>33</v>
      </c>
      <c r="P400" s="1" t="s">
        <v>210</v>
      </c>
      <c r="Q400" s="1" t="s">
        <v>210</v>
      </c>
      <c r="R400" s="1" t="s">
        <v>211</v>
      </c>
      <c r="S400" s="1" t="s">
        <v>416</v>
      </c>
      <c r="T400" s="1">
        <v>1.00964362E8</v>
      </c>
      <c r="W400" s="1" t="s">
        <v>56</v>
      </c>
      <c r="X400" s="1" t="s">
        <v>1740</v>
      </c>
    </row>
    <row r="401">
      <c r="A401" s="1" t="s">
        <v>1743</v>
      </c>
      <c r="B401" s="1" t="s">
        <v>1744</v>
      </c>
      <c r="C401" s="1" t="s">
        <v>1745</v>
      </c>
      <c r="D401" s="1" t="s">
        <v>103</v>
      </c>
      <c r="E401" s="1" t="s">
        <v>29</v>
      </c>
      <c r="F401" s="1">
        <v>2500000.0</v>
      </c>
      <c r="G401" s="1" t="s">
        <v>1114</v>
      </c>
      <c r="H401" s="4">
        <v>44567.0</v>
      </c>
      <c r="I401" s="1" t="s">
        <v>1746</v>
      </c>
      <c r="K401" s="1">
        <v>0.0</v>
      </c>
      <c r="L401" s="1" t="s">
        <v>1747</v>
      </c>
      <c r="M401" s="1" t="str">
        <f>VLOOKUP(L401,'Copy of PMD Workday Constants -'!B400:W1086,22,false)</f>
        <v>LCP</v>
      </c>
      <c r="N401" s="1" t="s">
        <v>32</v>
      </c>
      <c r="O401" s="1" t="s">
        <v>33</v>
      </c>
      <c r="P401" s="1" t="s">
        <v>173</v>
      </c>
      <c r="Q401" s="1" t="s">
        <v>173</v>
      </c>
      <c r="R401" s="1" t="s">
        <v>174</v>
      </c>
      <c r="S401" s="1" t="s">
        <v>1166</v>
      </c>
      <c r="T401" s="1">
        <v>1.00639495E8</v>
      </c>
      <c r="W401" s="1" t="s">
        <v>456</v>
      </c>
      <c r="X401" s="1" t="s">
        <v>1748</v>
      </c>
    </row>
    <row r="402">
      <c r="A402" s="1" t="s">
        <v>1749</v>
      </c>
      <c r="B402" s="1" t="s">
        <v>1744</v>
      </c>
      <c r="C402" s="1" t="s">
        <v>1750</v>
      </c>
      <c r="D402" s="1" t="s">
        <v>103</v>
      </c>
      <c r="E402" s="1" t="s">
        <v>29</v>
      </c>
      <c r="F402" s="5">
        <v>2500000.0</v>
      </c>
      <c r="G402" s="1" t="s">
        <v>1114</v>
      </c>
      <c r="H402" s="4">
        <v>44567.0</v>
      </c>
      <c r="I402" s="1" t="s">
        <v>1746</v>
      </c>
      <c r="K402" s="1">
        <v>0.0</v>
      </c>
      <c r="L402" s="1" t="s">
        <v>1748</v>
      </c>
      <c r="M402" s="1" t="str">
        <f>VLOOKUP(L402,'Copy of PMD Workday Constants -'!B371:Y1057,22,false)</f>
        <v>#N/A</v>
      </c>
      <c r="N402" s="1" t="s">
        <v>32</v>
      </c>
      <c r="O402" s="1" t="s">
        <v>33</v>
      </c>
      <c r="P402" s="1" t="s">
        <v>34</v>
      </c>
      <c r="Q402" s="1" t="s">
        <v>34</v>
      </c>
      <c r="R402" s="1" t="s">
        <v>35</v>
      </c>
      <c r="S402" s="1" t="s">
        <v>1166</v>
      </c>
      <c r="T402" s="1">
        <v>1.00610242E8</v>
      </c>
      <c r="W402" s="1" t="s">
        <v>456</v>
      </c>
      <c r="X402" s="1" t="s">
        <v>1748</v>
      </c>
    </row>
    <row r="403">
      <c r="A403" s="1" t="s">
        <v>1751</v>
      </c>
      <c r="B403" s="1" t="s">
        <v>1752</v>
      </c>
      <c r="C403" s="1" t="s">
        <v>1753</v>
      </c>
      <c r="D403" s="1" t="s">
        <v>103</v>
      </c>
      <c r="E403" s="1" t="s">
        <v>29</v>
      </c>
      <c r="F403" s="5">
        <v>2500000.0</v>
      </c>
      <c r="G403" s="1" t="s">
        <v>1114</v>
      </c>
      <c r="H403" s="4">
        <v>44238.0</v>
      </c>
      <c r="I403" s="4">
        <v>44813.0</v>
      </c>
      <c r="K403" s="1">
        <v>0.0</v>
      </c>
      <c r="L403" s="1" t="s">
        <v>89</v>
      </c>
      <c r="M403" s="1" t="str">
        <f>VLOOKUP(L403,'Copy of PMD Workday Constants -'!B372:Y1058,22,false)</f>
        <v>#N/A</v>
      </c>
      <c r="N403" s="1" t="s">
        <v>32</v>
      </c>
      <c r="O403" s="1" t="s">
        <v>33</v>
      </c>
      <c r="P403" s="1" t="s">
        <v>34</v>
      </c>
      <c r="Q403" s="1" t="s">
        <v>34</v>
      </c>
      <c r="R403" s="1" t="s">
        <v>35</v>
      </c>
      <c r="S403" s="1" t="s">
        <v>36</v>
      </c>
      <c r="T403" s="1">
        <v>1.00609569E8</v>
      </c>
      <c r="W403" s="1" t="s">
        <v>91</v>
      </c>
      <c r="X403" s="1" t="s">
        <v>1754</v>
      </c>
    </row>
    <row r="404">
      <c r="A404" s="1" t="s">
        <v>1755</v>
      </c>
      <c r="B404" s="1" t="s">
        <v>411</v>
      </c>
      <c r="C404" s="1" t="s">
        <v>1756</v>
      </c>
      <c r="D404" s="1" t="s">
        <v>28</v>
      </c>
      <c r="E404" s="1" t="s">
        <v>29</v>
      </c>
      <c r="F404" s="5">
        <v>2500000.0</v>
      </c>
      <c r="G404" s="1" t="s">
        <v>1114</v>
      </c>
      <c r="H404" s="4">
        <v>44381.0</v>
      </c>
      <c r="I404" s="1" t="s">
        <v>302</v>
      </c>
      <c r="K404" s="1">
        <v>0.0</v>
      </c>
      <c r="L404" s="1" t="s">
        <v>1757</v>
      </c>
      <c r="M404" s="1" t="str">
        <f>VLOOKUP(L404,'Copy of PMD Workday Constants -'!B373:Y1059,22,false)</f>
        <v>#N/A</v>
      </c>
      <c r="N404" s="1" t="s">
        <v>32</v>
      </c>
      <c r="O404" s="1" t="s">
        <v>33</v>
      </c>
      <c r="P404" s="1" t="s">
        <v>112</v>
      </c>
      <c r="Q404" s="1" t="s">
        <v>112</v>
      </c>
      <c r="R404" s="1" t="s">
        <v>113</v>
      </c>
      <c r="S404" s="1" t="s">
        <v>120</v>
      </c>
      <c r="T404" s="1">
        <v>1.00597983E8</v>
      </c>
      <c r="W404" s="1" t="s">
        <v>56</v>
      </c>
      <c r="X404" s="1" t="s">
        <v>1757</v>
      </c>
    </row>
    <row r="405">
      <c r="A405" s="1" t="s">
        <v>1758</v>
      </c>
      <c r="B405" s="1" t="s">
        <v>993</v>
      </c>
      <c r="C405" s="1" t="s">
        <v>1759</v>
      </c>
      <c r="D405" s="1" t="s">
        <v>28</v>
      </c>
      <c r="E405" s="1" t="s">
        <v>29</v>
      </c>
      <c r="F405" s="1">
        <v>2500000.0</v>
      </c>
      <c r="G405" s="1" t="s">
        <v>1114</v>
      </c>
      <c r="H405" s="1" t="s">
        <v>434</v>
      </c>
      <c r="I405" s="1" t="s">
        <v>132</v>
      </c>
      <c r="K405" s="1">
        <v>0.0</v>
      </c>
      <c r="L405" s="1" t="s">
        <v>1760</v>
      </c>
      <c r="M405" s="1" t="str">
        <f>VLOOKUP(L405,'Copy of PMD Workday Constants -'!B404:W1090,22,false)</f>
        <v>Delivery</v>
      </c>
      <c r="N405" s="1" t="s">
        <v>32</v>
      </c>
      <c r="O405" s="1" t="s">
        <v>33</v>
      </c>
      <c r="P405" s="1" t="s">
        <v>112</v>
      </c>
      <c r="Q405" s="1" t="s">
        <v>112</v>
      </c>
      <c r="R405" s="1" t="s">
        <v>113</v>
      </c>
      <c r="T405" s="1">
        <v>1.00610489E8</v>
      </c>
      <c r="W405" s="1" t="s">
        <v>74</v>
      </c>
      <c r="X405" s="1" t="s">
        <v>1761</v>
      </c>
    </row>
    <row r="406">
      <c r="A406" s="1" t="s">
        <v>1762</v>
      </c>
      <c r="B406" s="1" t="s">
        <v>1763</v>
      </c>
      <c r="C406" s="1" t="s">
        <v>1764</v>
      </c>
      <c r="D406" s="1" t="s">
        <v>51</v>
      </c>
      <c r="E406" s="1" t="s">
        <v>29</v>
      </c>
      <c r="F406" s="5">
        <v>2500000.0</v>
      </c>
      <c r="G406" s="1" t="s">
        <v>1114</v>
      </c>
      <c r="H406" s="1" t="s">
        <v>1765</v>
      </c>
      <c r="I406" s="1" t="s">
        <v>302</v>
      </c>
      <c r="K406" s="1">
        <v>0.0</v>
      </c>
      <c r="L406" s="1" t="s">
        <v>203</v>
      </c>
      <c r="M406" s="1" t="str">
        <f>VLOOKUP(L406,'Copy of PMD Workday Constants -'!B375:Y1061,22,false)</f>
        <v>Catalyst</v>
      </c>
      <c r="N406" s="1" t="s">
        <v>32</v>
      </c>
      <c r="O406" s="1" t="s">
        <v>33</v>
      </c>
      <c r="P406" s="1" t="s">
        <v>112</v>
      </c>
      <c r="Q406" s="1" t="s">
        <v>112</v>
      </c>
      <c r="R406" s="1" t="s">
        <v>113</v>
      </c>
      <c r="S406" s="1" t="s">
        <v>307</v>
      </c>
      <c r="T406" s="1">
        <v>1.01200292E8</v>
      </c>
      <c r="W406" s="1" t="s">
        <v>533</v>
      </c>
      <c r="X406" s="1" t="s">
        <v>1766</v>
      </c>
    </row>
    <row r="407">
      <c r="A407" s="1" t="s">
        <v>1767</v>
      </c>
      <c r="B407" s="1" t="s">
        <v>1768</v>
      </c>
      <c r="C407" s="1" t="s">
        <v>1769</v>
      </c>
      <c r="D407" s="1" t="s">
        <v>28</v>
      </c>
      <c r="E407" s="1" t="s">
        <v>29</v>
      </c>
      <c r="F407" s="5">
        <v>2500000.0</v>
      </c>
      <c r="G407" s="1" t="s">
        <v>1114</v>
      </c>
      <c r="H407" s="1" t="s">
        <v>273</v>
      </c>
      <c r="I407" s="1" t="s">
        <v>302</v>
      </c>
      <c r="K407" s="1">
        <v>0.0</v>
      </c>
      <c r="L407" s="1" t="s">
        <v>1770</v>
      </c>
      <c r="M407" s="1" t="str">
        <f>VLOOKUP(L407,'Copy of PMD Workday Constants -'!B376:Y1062,22,false)</f>
        <v>#N/A</v>
      </c>
      <c r="N407" s="1" t="s">
        <v>32</v>
      </c>
      <c r="O407" s="1" t="s">
        <v>33</v>
      </c>
      <c r="P407" s="1" t="s">
        <v>210</v>
      </c>
      <c r="Q407" s="1" t="s">
        <v>210</v>
      </c>
      <c r="R407" s="1" t="s">
        <v>211</v>
      </c>
      <c r="S407" s="1" t="s">
        <v>1313</v>
      </c>
      <c r="T407" s="1">
        <v>1.00593918E8</v>
      </c>
      <c r="W407" s="1" t="s">
        <v>436</v>
      </c>
      <c r="X407" s="1" t="s">
        <v>1771</v>
      </c>
    </row>
    <row r="408">
      <c r="A408" s="1" t="s">
        <v>1772</v>
      </c>
      <c r="B408" s="1" t="s">
        <v>580</v>
      </c>
      <c r="C408" s="1" t="s">
        <v>1773</v>
      </c>
      <c r="D408" s="1" t="s">
        <v>28</v>
      </c>
      <c r="E408" s="1" t="s">
        <v>29</v>
      </c>
      <c r="F408" s="5">
        <v>2500000.0</v>
      </c>
      <c r="G408" s="1" t="s">
        <v>1114</v>
      </c>
      <c r="H408" s="1" t="s">
        <v>413</v>
      </c>
      <c r="I408" s="1" t="s">
        <v>80</v>
      </c>
      <c r="K408" s="1">
        <v>0.0</v>
      </c>
      <c r="L408" s="1" t="s">
        <v>767</v>
      </c>
      <c r="M408" s="1" t="str">
        <f>VLOOKUP(L408,'Copy of PMD Workday Constants -'!B377:Y1063,22,false)</f>
        <v>#N/A</v>
      </c>
      <c r="N408" s="1" t="s">
        <v>32</v>
      </c>
      <c r="O408" s="1" t="s">
        <v>33</v>
      </c>
      <c r="P408" s="1" t="s">
        <v>82</v>
      </c>
      <c r="Q408" s="1" t="s">
        <v>82</v>
      </c>
      <c r="R408" s="1" t="s">
        <v>83</v>
      </c>
      <c r="S408" s="1" t="s">
        <v>583</v>
      </c>
      <c r="T408" s="1">
        <v>1.00589481E8</v>
      </c>
      <c r="W408" s="1" t="s">
        <v>456</v>
      </c>
      <c r="X408" s="1" t="s">
        <v>767</v>
      </c>
    </row>
    <row r="409">
      <c r="A409" s="1" t="s">
        <v>1774</v>
      </c>
      <c r="B409" s="1" t="s">
        <v>1775</v>
      </c>
      <c r="C409" s="1" t="s">
        <v>1776</v>
      </c>
      <c r="D409" s="1" t="s">
        <v>103</v>
      </c>
      <c r="E409" s="1" t="s">
        <v>29</v>
      </c>
      <c r="F409" s="5">
        <v>2500000.0</v>
      </c>
      <c r="G409" s="1" t="s">
        <v>1114</v>
      </c>
      <c r="H409" s="1" t="s">
        <v>413</v>
      </c>
      <c r="I409" s="1" t="s">
        <v>302</v>
      </c>
      <c r="K409" s="1">
        <v>0.0</v>
      </c>
      <c r="L409" s="1" t="s">
        <v>767</v>
      </c>
      <c r="M409" s="1" t="str">
        <f>VLOOKUP(L409,'Copy of PMD Workday Constants -'!B378:Y1064,22,false)</f>
        <v>#N/A</v>
      </c>
      <c r="N409" s="1" t="s">
        <v>32</v>
      </c>
      <c r="O409" s="1" t="s">
        <v>33</v>
      </c>
      <c r="P409" s="1" t="s">
        <v>82</v>
      </c>
      <c r="Q409" s="1" t="s">
        <v>82</v>
      </c>
      <c r="R409" s="1" t="s">
        <v>83</v>
      </c>
      <c r="S409" s="1" t="s">
        <v>583</v>
      </c>
      <c r="T409" s="1">
        <v>1.00589481E8</v>
      </c>
      <c r="W409" s="1" t="s">
        <v>456</v>
      </c>
      <c r="X409" s="1" t="s">
        <v>767</v>
      </c>
    </row>
    <row r="410">
      <c r="A410" s="1" t="s">
        <v>1777</v>
      </c>
      <c r="B410" s="1" t="s">
        <v>1778</v>
      </c>
      <c r="C410" s="1" t="s">
        <v>1779</v>
      </c>
      <c r="D410" s="1" t="s">
        <v>28</v>
      </c>
      <c r="E410" s="1" t="s">
        <v>29</v>
      </c>
      <c r="F410" s="5">
        <v>2500000.0</v>
      </c>
      <c r="G410" s="1" t="s">
        <v>1114</v>
      </c>
      <c r="H410" s="1" t="s">
        <v>1140</v>
      </c>
      <c r="I410" s="4">
        <v>44570.0</v>
      </c>
      <c r="K410" s="1">
        <v>0.0</v>
      </c>
      <c r="L410" s="1" t="s">
        <v>1780</v>
      </c>
      <c r="M410" s="1" t="str">
        <f>VLOOKUP(L410,'Copy of PMD Workday Constants -'!B379:Y1065,22,false)</f>
        <v>#N/A</v>
      </c>
      <c r="N410" s="1" t="s">
        <v>32</v>
      </c>
      <c r="O410" s="1" t="s">
        <v>33</v>
      </c>
      <c r="P410" s="1" t="s">
        <v>82</v>
      </c>
      <c r="Q410" s="1" t="s">
        <v>82</v>
      </c>
      <c r="R410" s="1" t="s">
        <v>83</v>
      </c>
      <c r="S410" s="1" t="s">
        <v>583</v>
      </c>
      <c r="T410" s="1">
        <v>1.00617113E8</v>
      </c>
      <c r="W410" s="1" t="s">
        <v>456</v>
      </c>
      <c r="X410" s="1" t="s">
        <v>1781</v>
      </c>
    </row>
    <row r="411">
      <c r="A411" s="1" t="s">
        <v>1782</v>
      </c>
      <c r="B411" s="1" t="s">
        <v>1783</v>
      </c>
      <c r="C411" s="1" t="s">
        <v>1784</v>
      </c>
      <c r="D411" s="1" t="s">
        <v>28</v>
      </c>
      <c r="E411" s="1" t="s">
        <v>29</v>
      </c>
      <c r="F411" s="5">
        <v>2500000.0</v>
      </c>
      <c r="G411" s="1" t="s">
        <v>1114</v>
      </c>
      <c r="H411" s="1" t="s">
        <v>1785</v>
      </c>
      <c r="I411" s="1" t="s">
        <v>302</v>
      </c>
      <c r="K411" s="1">
        <v>0.0</v>
      </c>
      <c r="L411" s="1" t="s">
        <v>1786</v>
      </c>
      <c r="M411" s="1" t="str">
        <f>VLOOKUP(L411,'Copy of PMD Workday Constants -'!B380:Y1066,22,false)</f>
        <v>#N/A</v>
      </c>
      <c r="N411" s="1" t="s">
        <v>32</v>
      </c>
      <c r="O411" s="1" t="s">
        <v>33</v>
      </c>
      <c r="P411" s="1" t="s">
        <v>54</v>
      </c>
      <c r="Q411" s="1" t="s">
        <v>54</v>
      </c>
      <c r="R411" s="1" t="s">
        <v>55</v>
      </c>
      <c r="T411" s="1">
        <v>1.00647536E8</v>
      </c>
      <c r="W411" s="1" t="s">
        <v>56</v>
      </c>
      <c r="X411" s="1" t="s">
        <v>1787</v>
      </c>
    </row>
    <row r="412">
      <c r="A412" s="1" t="s">
        <v>1788</v>
      </c>
      <c r="B412" s="1" t="s">
        <v>353</v>
      </c>
      <c r="C412" s="1" t="s">
        <v>1789</v>
      </c>
      <c r="D412" s="1" t="s">
        <v>103</v>
      </c>
      <c r="E412" s="1" t="s">
        <v>29</v>
      </c>
      <c r="F412" s="5">
        <v>2500000.0</v>
      </c>
      <c r="G412" s="1" t="s">
        <v>1114</v>
      </c>
      <c r="H412" s="4">
        <v>44779.0</v>
      </c>
      <c r="I412" s="1" t="s">
        <v>302</v>
      </c>
      <c r="K412" s="1">
        <v>0.0</v>
      </c>
      <c r="L412" s="1" t="s">
        <v>1790</v>
      </c>
      <c r="M412" s="1" t="str">
        <f>VLOOKUP(L412,'Copy of PMD Workday Constants -'!B381:Y1067,22,false)</f>
        <v>#N/A</v>
      </c>
      <c r="N412" s="1" t="s">
        <v>32</v>
      </c>
      <c r="O412" s="1" t="s">
        <v>33</v>
      </c>
      <c r="P412" s="1" t="s">
        <v>222</v>
      </c>
      <c r="Q412" s="1" t="s">
        <v>222</v>
      </c>
      <c r="R412" s="1" t="s">
        <v>223</v>
      </c>
      <c r="S412" s="1" t="s">
        <v>601</v>
      </c>
      <c r="T412" s="1">
        <v>1.00645232E8</v>
      </c>
      <c r="W412" s="1" t="s">
        <v>258</v>
      </c>
      <c r="X412" s="1" t="s">
        <v>1791</v>
      </c>
    </row>
    <row r="413">
      <c r="A413" s="1" t="s">
        <v>1792</v>
      </c>
      <c r="B413" s="1" t="s">
        <v>1775</v>
      </c>
      <c r="C413" s="1" t="s">
        <v>1793</v>
      </c>
      <c r="D413" s="1" t="s">
        <v>28</v>
      </c>
      <c r="E413" s="1" t="s">
        <v>29</v>
      </c>
      <c r="F413" s="1">
        <v>2500000.0</v>
      </c>
      <c r="G413" s="1" t="s">
        <v>1114</v>
      </c>
      <c r="H413" s="1" t="s">
        <v>1005</v>
      </c>
      <c r="I413" s="1" t="s">
        <v>96</v>
      </c>
      <c r="K413" s="1">
        <v>0.0</v>
      </c>
      <c r="L413" s="1" t="s">
        <v>1011</v>
      </c>
      <c r="M413" s="1" t="str">
        <f>VLOOKUP(L413,'Copy of PMD Workday Constants -'!B412:W1098,22,false)</f>
        <v>Delivery</v>
      </c>
      <c r="N413" s="1" t="s">
        <v>32</v>
      </c>
      <c r="O413" s="1" t="s">
        <v>33</v>
      </c>
      <c r="P413" s="1" t="s">
        <v>82</v>
      </c>
      <c r="Q413" s="1" t="s">
        <v>82</v>
      </c>
      <c r="R413" s="1" t="s">
        <v>83</v>
      </c>
      <c r="S413" s="1" t="s">
        <v>583</v>
      </c>
      <c r="T413" s="1">
        <v>1.00609514E8</v>
      </c>
      <c r="W413" s="1" t="s">
        <v>456</v>
      </c>
      <c r="X413" s="1" t="s">
        <v>1012</v>
      </c>
    </row>
    <row r="414">
      <c r="A414" s="1" t="s">
        <v>1794</v>
      </c>
      <c r="B414" s="1" t="s">
        <v>1573</v>
      </c>
      <c r="C414" s="1" t="s">
        <v>1795</v>
      </c>
      <c r="D414" s="1" t="s">
        <v>51</v>
      </c>
      <c r="E414" s="1" t="s">
        <v>29</v>
      </c>
      <c r="F414" s="1">
        <v>2500000.0</v>
      </c>
      <c r="G414" s="1" t="s">
        <v>1114</v>
      </c>
      <c r="H414" s="1" t="s">
        <v>1015</v>
      </c>
      <c r="I414" s="1" t="s">
        <v>661</v>
      </c>
      <c r="K414" s="1">
        <v>0.0</v>
      </c>
      <c r="L414" s="1" t="s">
        <v>1011</v>
      </c>
      <c r="M414" s="1" t="str">
        <f>VLOOKUP(L414,'Copy of PMD Workday Constants -'!B413:W1099,22,false)</f>
        <v>Delivery</v>
      </c>
      <c r="N414" s="1" t="s">
        <v>32</v>
      </c>
      <c r="O414" s="1" t="s">
        <v>33</v>
      </c>
      <c r="P414" s="1" t="s">
        <v>82</v>
      </c>
      <c r="Q414" s="1" t="s">
        <v>82</v>
      </c>
      <c r="R414" s="1" t="s">
        <v>83</v>
      </c>
      <c r="S414" s="1" t="s">
        <v>583</v>
      </c>
      <c r="T414" s="1">
        <v>1.00609514E8</v>
      </c>
      <c r="W414" s="1" t="s">
        <v>456</v>
      </c>
      <c r="X414" s="1" t="s">
        <v>1796</v>
      </c>
    </row>
    <row r="415">
      <c r="A415" s="1" t="s">
        <v>1797</v>
      </c>
      <c r="B415" s="1" t="s">
        <v>1798</v>
      </c>
      <c r="C415" s="1" t="s">
        <v>1799</v>
      </c>
      <c r="D415" s="1" t="s">
        <v>103</v>
      </c>
      <c r="E415" s="1" t="s">
        <v>29</v>
      </c>
      <c r="F415" s="5">
        <v>2500000.0</v>
      </c>
      <c r="G415" s="1" t="s">
        <v>1114</v>
      </c>
      <c r="H415" s="1" t="s">
        <v>1785</v>
      </c>
      <c r="I415" s="1" t="s">
        <v>732</v>
      </c>
      <c r="K415" s="1">
        <v>0.0</v>
      </c>
      <c r="L415" s="1" t="s">
        <v>1800</v>
      </c>
      <c r="M415" s="1" t="str">
        <f>VLOOKUP(L415,'Copy of PMD Workday Constants -'!B384:Y1070,22,false)</f>
        <v>#N/A</v>
      </c>
      <c r="N415" s="1" t="s">
        <v>32</v>
      </c>
      <c r="O415" s="1" t="s">
        <v>33</v>
      </c>
      <c r="P415" s="1" t="s">
        <v>112</v>
      </c>
      <c r="Q415" s="1" t="s">
        <v>112</v>
      </c>
      <c r="R415" s="1" t="s">
        <v>113</v>
      </c>
      <c r="S415" s="1" t="s">
        <v>455</v>
      </c>
      <c r="T415" s="1">
        <v>1.0060553E8</v>
      </c>
      <c r="W415" s="1" t="s">
        <v>1801</v>
      </c>
      <c r="X415" s="1" t="s">
        <v>1802</v>
      </c>
    </row>
    <row r="416">
      <c r="A416" s="1" t="s">
        <v>1803</v>
      </c>
      <c r="B416" s="1" t="s">
        <v>1804</v>
      </c>
      <c r="C416" s="1" t="s">
        <v>1805</v>
      </c>
      <c r="D416" s="1" t="s">
        <v>28</v>
      </c>
      <c r="E416" s="1" t="s">
        <v>29</v>
      </c>
      <c r="F416" s="5">
        <v>2500000.0</v>
      </c>
      <c r="G416" s="1" t="s">
        <v>1114</v>
      </c>
      <c r="H416" s="1" t="s">
        <v>1672</v>
      </c>
      <c r="I416" s="1" t="s">
        <v>264</v>
      </c>
      <c r="K416" s="1">
        <v>0.0</v>
      </c>
      <c r="L416" s="1" t="s">
        <v>491</v>
      </c>
      <c r="M416" s="1" t="str">
        <f>VLOOKUP(L416,'Copy of PMD Workday Constants -'!B385:Y1071,22,false)</f>
        <v>#N/A</v>
      </c>
      <c r="N416" s="1" t="s">
        <v>32</v>
      </c>
      <c r="O416" s="1" t="s">
        <v>33</v>
      </c>
      <c r="P416" s="1" t="s">
        <v>112</v>
      </c>
      <c r="Q416" s="1" t="s">
        <v>112</v>
      </c>
      <c r="R416" s="1" t="s">
        <v>113</v>
      </c>
      <c r="S416" s="1" t="s">
        <v>492</v>
      </c>
      <c r="T416" s="1">
        <v>1.00623914E8</v>
      </c>
      <c r="W416" s="1" t="s">
        <v>250</v>
      </c>
      <c r="X416" s="1" t="s">
        <v>1806</v>
      </c>
    </row>
    <row r="417">
      <c r="A417" s="1" t="s">
        <v>1807</v>
      </c>
      <c r="B417" s="1" t="s">
        <v>1808</v>
      </c>
      <c r="C417" s="1" t="s">
        <v>1809</v>
      </c>
      <c r="D417" s="1" t="s">
        <v>51</v>
      </c>
      <c r="E417" s="1" t="s">
        <v>29</v>
      </c>
      <c r="F417" s="5">
        <v>2500000.0</v>
      </c>
      <c r="G417" s="1" t="s">
        <v>1114</v>
      </c>
      <c r="H417" s="1" t="s">
        <v>1810</v>
      </c>
      <c r="I417" s="4">
        <v>44601.0</v>
      </c>
      <c r="K417" s="1">
        <v>0.0</v>
      </c>
      <c r="L417" s="1" t="s">
        <v>1039</v>
      </c>
      <c r="M417" s="1" t="str">
        <f>VLOOKUP(L417,'Copy of PMD Workday Constants -'!B386:Y1072,22,false)</f>
        <v>#N/A</v>
      </c>
      <c r="N417" s="1" t="s">
        <v>32</v>
      </c>
      <c r="O417" s="1" t="s">
        <v>33</v>
      </c>
      <c r="P417" s="1" t="s">
        <v>112</v>
      </c>
      <c r="Q417" s="1" t="s">
        <v>112</v>
      </c>
      <c r="R417" s="1" t="s">
        <v>113</v>
      </c>
      <c r="S417" s="1" t="s">
        <v>134</v>
      </c>
      <c r="T417" s="1">
        <v>1.00633489E8</v>
      </c>
      <c r="V417" s="1" t="s">
        <v>67</v>
      </c>
      <c r="W417" s="1" t="s">
        <v>493</v>
      </c>
      <c r="X417" s="1" t="s">
        <v>1811</v>
      </c>
    </row>
    <row r="418">
      <c r="A418" s="1" t="s">
        <v>1812</v>
      </c>
      <c r="B418" s="1" t="s">
        <v>1813</v>
      </c>
      <c r="C418" s="1" t="s">
        <v>1814</v>
      </c>
      <c r="D418" s="1" t="s">
        <v>103</v>
      </c>
      <c r="E418" s="1" t="s">
        <v>29</v>
      </c>
      <c r="F418" s="5">
        <v>2500000.0</v>
      </c>
      <c r="G418" s="1" t="s">
        <v>1114</v>
      </c>
      <c r="H418" s="4">
        <v>44900.0</v>
      </c>
      <c r="I418" s="4">
        <v>44658.0</v>
      </c>
      <c r="K418" s="1">
        <v>0.0</v>
      </c>
      <c r="L418" s="1" t="s">
        <v>203</v>
      </c>
      <c r="M418" s="1" t="str">
        <f>VLOOKUP(L418,'Copy of PMD Workday Constants -'!B387:Y1073,22,false)</f>
        <v>Catalyst</v>
      </c>
      <c r="N418" s="1" t="s">
        <v>32</v>
      </c>
      <c r="O418" s="1" t="s">
        <v>33</v>
      </c>
      <c r="P418" s="1" t="s">
        <v>112</v>
      </c>
      <c r="Q418" s="1" t="s">
        <v>112</v>
      </c>
      <c r="R418" s="1" t="s">
        <v>113</v>
      </c>
      <c r="S418" s="1" t="s">
        <v>134</v>
      </c>
      <c r="T418" s="1">
        <v>1.01200292E8</v>
      </c>
      <c r="W418" s="1" t="s">
        <v>115</v>
      </c>
      <c r="X418" s="1" t="s">
        <v>1815</v>
      </c>
    </row>
    <row r="419">
      <c r="A419" s="1" t="s">
        <v>1816</v>
      </c>
      <c r="B419" s="1" t="s">
        <v>1817</v>
      </c>
      <c r="C419" s="1" t="s">
        <v>1818</v>
      </c>
      <c r="D419" s="1" t="s">
        <v>28</v>
      </c>
      <c r="E419" s="1" t="s">
        <v>29</v>
      </c>
      <c r="F419" s="1">
        <v>2500000.0</v>
      </c>
      <c r="G419" s="1" t="s">
        <v>1114</v>
      </c>
      <c r="H419" s="4">
        <v>44870.0</v>
      </c>
      <c r="I419" s="1" t="s">
        <v>80</v>
      </c>
      <c r="K419" s="1">
        <v>0.0</v>
      </c>
      <c r="L419" s="1" t="s">
        <v>1819</v>
      </c>
      <c r="M419" s="1" t="str">
        <f>VLOOKUP(L419,'Copy of PMD Workday Constants -'!B418:W1104,22,false)</f>
        <v>Catalyst</v>
      </c>
      <c r="N419" s="1" t="s">
        <v>32</v>
      </c>
      <c r="O419" s="1" t="s">
        <v>33</v>
      </c>
      <c r="P419" s="1" t="s">
        <v>82</v>
      </c>
      <c r="Q419" s="1" t="s">
        <v>82</v>
      </c>
      <c r="R419" s="1" t="s">
        <v>83</v>
      </c>
      <c r="S419" s="1" t="s">
        <v>180</v>
      </c>
      <c r="T419" s="1">
        <v>1.01025735E8</v>
      </c>
      <c r="W419" s="1" t="s">
        <v>85</v>
      </c>
      <c r="X419" s="1" t="s">
        <v>1820</v>
      </c>
    </row>
    <row r="420">
      <c r="A420" s="1" t="s">
        <v>1821</v>
      </c>
      <c r="B420" s="1" t="s">
        <v>70</v>
      </c>
      <c r="C420" s="1" t="s">
        <v>1822</v>
      </c>
      <c r="D420" s="1" t="s">
        <v>28</v>
      </c>
      <c r="E420" s="1" t="s">
        <v>29</v>
      </c>
      <c r="F420" s="5">
        <v>2500000.0</v>
      </c>
      <c r="G420" s="1" t="s">
        <v>1114</v>
      </c>
      <c r="H420" s="1" t="s">
        <v>526</v>
      </c>
      <c r="I420" s="4">
        <v>44569.0</v>
      </c>
      <c r="K420" s="1">
        <v>0.0</v>
      </c>
      <c r="L420" s="1" t="s">
        <v>1823</v>
      </c>
      <c r="M420" s="1" t="str">
        <f>VLOOKUP(L420,'Copy of PMD Workday Constants -'!B389:Y1075,22,false)</f>
        <v>#N/A</v>
      </c>
      <c r="N420" s="1" t="s">
        <v>32</v>
      </c>
      <c r="O420" s="1" t="s">
        <v>33</v>
      </c>
      <c r="P420" s="1" t="s">
        <v>222</v>
      </c>
      <c r="Q420" s="1" t="s">
        <v>222</v>
      </c>
      <c r="R420" s="1" t="s">
        <v>223</v>
      </c>
      <c r="S420" s="1" t="s">
        <v>601</v>
      </c>
      <c r="T420" s="1">
        <v>1.0064195E8</v>
      </c>
      <c r="W420" s="1" t="s">
        <v>74</v>
      </c>
      <c r="X420" s="1" t="s">
        <v>75</v>
      </c>
    </row>
    <row r="421">
      <c r="A421" s="1" t="s">
        <v>1824</v>
      </c>
      <c r="B421" s="1" t="s">
        <v>1339</v>
      </c>
      <c r="C421" s="1" t="s">
        <v>1825</v>
      </c>
      <c r="D421" s="1" t="s">
        <v>103</v>
      </c>
      <c r="E421" s="1" t="s">
        <v>29</v>
      </c>
      <c r="F421" s="1">
        <v>2500000.0</v>
      </c>
      <c r="G421" s="1" t="s">
        <v>1114</v>
      </c>
      <c r="H421" s="1" t="s">
        <v>1826</v>
      </c>
      <c r="I421" s="1" t="s">
        <v>80</v>
      </c>
      <c r="K421" s="1">
        <v>0.0</v>
      </c>
      <c r="L421" s="1" t="s">
        <v>1238</v>
      </c>
      <c r="M421" s="1" t="str">
        <f>VLOOKUP(L421,'Copy of PMD Workday Constants -'!B420:W1106,22,false)</f>
        <v>Delivery</v>
      </c>
      <c r="N421" s="1" t="s">
        <v>32</v>
      </c>
      <c r="O421" s="1" t="s">
        <v>33</v>
      </c>
      <c r="P421" s="1" t="s">
        <v>210</v>
      </c>
      <c r="Q421" s="1" t="s">
        <v>210</v>
      </c>
      <c r="R421" s="1" t="s">
        <v>211</v>
      </c>
      <c r="S421" s="1" t="s">
        <v>416</v>
      </c>
      <c r="T421" s="1">
        <v>1.00586959E8</v>
      </c>
      <c r="W421" s="1" t="s">
        <v>56</v>
      </c>
      <c r="X421" s="1" t="s">
        <v>968</v>
      </c>
    </row>
    <row r="422">
      <c r="A422" s="1" t="s">
        <v>1827</v>
      </c>
      <c r="B422" s="1" t="s">
        <v>765</v>
      </c>
      <c r="C422" s="1" t="s">
        <v>1828</v>
      </c>
      <c r="D422" s="1" t="s">
        <v>28</v>
      </c>
      <c r="E422" s="1" t="s">
        <v>29</v>
      </c>
      <c r="F422" s="5">
        <v>2500000.0</v>
      </c>
      <c r="G422" s="1" t="s">
        <v>1114</v>
      </c>
      <c r="H422" s="1" t="s">
        <v>556</v>
      </c>
      <c r="I422" s="1" t="s">
        <v>132</v>
      </c>
      <c r="K422" s="1">
        <v>0.0</v>
      </c>
      <c r="L422" s="1" t="s">
        <v>1829</v>
      </c>
      <c r="M422" s="1" t="str">
        <f>VLOOKUP(L422,'Copy of PMD Workday Constants -'!B391:Y1077,22,false)</f>
        <v>#N/A</v>
      </c>
      <c r="N422" s="1" t="s">
        <v>32</v>
      </c>
      <c r="O422" s="1" t="s">
        <v>33</v>
      </c>
      <c r="P422" s="1" t="s">
        <v>54</v>
      </c>
      <c r="Q422" s="1" t="s">
        <v>54</v>
      </c>
      <c r="R422" s="1" t="s">
        <v>55</v>
      </c>
      <c r="S422" s="1" t="s">
        <v>512</v>
      </c>
      <c r="T422" s="1">
        <v>1.00637664E8</v>
      </c>
      <c r="W422" s="1" t="s">
        <v>456</v>
      </c>
      <c r="X422" s="1" t="s">
        <v>1829</v>
      </c>
    </row>
    <row r="423">
      <c r="A423" s="1" t="s">
        <v>1830</v>
      </c>
      <c r="B423" s="1" t="s">
        <v>1096</v>
      </c>
      <c r="C423" s="1" t="s">
        <v>1831</v>
      </c>
      <c r="D423" s="1" t="s">
        <v>51</v>
      </c>
      <c r="E423" s="1" t="s">
        <v>29</v>
      </c>
      <c r="F423" s="5">
        <v>2500000.0</v>
      </c>
      <c r="G423" s="1" t="s">
        <v>1114</v>
      </c>
      <c r="H423" s="4">
        <v>44208.0</v>
      </c>
      <c r="I423" s="4">
        <v>44630.0</v>
      </c>
      <c r="K423" s="1">
        <v>0.0</v>
      </c>
      <c r="L423" s="1" t="s">
        <v>1098</v>
      </c>
      <c r="M423" s="1" t="str">
        <f>VLOOKUP(L423,'Copy of PMD Workday Constants -'!B392:Y1078,22,false)</f>
        <v>#N/A</v>
      </c>
      <c r="N423" s="1" t="s">
        <v>32</v>
      </c>
      <c r="O423" s="1" t="s">
        <v>33</v>
      </c>
      <c r="P423" s="1" t="s">
        <v>173</v>
      </c>
      <c r="Q423" s="1" t="s">
        <v>173</v>
      </c>
      <c r="R423" s="1" t="s">
        <v>174</v>
      </c>
      <c r="S423" s="1" t="s">
        <v>153</v>
      </c>
      <c r="T423" s="1">
        <v>1.00609827E8</v>
      </c>
      <c r="W423" s="1" t="s">
        <v>456</v>
      </c>
      <c r="X423" s="1" t="s">
        <v>1098</v>
      </c>
    </row>
    <row r="424">
      <c r="A424" s="1" t="s">
        <v>1832</v>
      </c>
      <c r="B424" s="1" t="s">
        <v>1833</v>
      </c>
      <c r="C424" s="1" t="s">
        <v>1834</v>
      </c>
      <c r="D424" s="1" t="s">
        <v>51</v>
      </c>
      <c r="E424" s="1" t="s">
        <v>29</v>
      </c>
      <c r="F424" s="5">
        <v>2500000.0</v>
      </c>
      <c r="G424" s="1" t="s">
        <v>1114</v>
      </c>
      <c r="H424" s="4">
        <v>44208.0</v>
      </c>
      <c r="I424" s="1" t="s">
        <v>302</v>
      </c>
      <c r="K424" s="1">
        <v>0.0</v>
      </c>
      <c r="L424" s="1" t="s">
        <v>1098</v>
      </c>
      <c r="M424" s="1" t="str">
        <f>VLOOKUP(L424,'Copy of PMD Workday Constants -'!B393:Y1079,22,false)</f>
        <v>#N/A</v>
      </c>
      <c r="N424" s="1" t="s">
        <v>32</v>
      </c>
      <c r="O424" s="1" t="s">
        <v>33</v>
      </c>
      <c r="P424" s="1" t="s">
        <v>173</v>
      </c>
      <c r="Q424" s="1" t="s">
        <v>173</v>
      </c>
      <c r="R424" s="1" t="s">
        <v>174</v>
      </c>
      <c r="T424" s="1">
        <v>1.00609827E8</v>
      </c>
      <c r="W424" s="1" t="s">
        <v>456</v>
      </c>
      <c r="X424" s="1" t="s">
        <v>1098</v>
      </c>
    </row>
    <row r="425">
      <c r="A425" s="1" t="s">
        <v>1835</v>
      </c>
      <c r="B425" s="1" t="s">
        <v>973</v>
      </c>
      <c r="C425" s="1" t="s">
        <v>1836</v>
      </c>
      <c r="D425" s="1" t="s">
        <v>51</v>
      </c>
      <c r="E425" s="1" t="s">
        <v>29</v>
      </c>
      <c r="F425" s="5">
        <v>2500000.0</v>
      </c>
      <c r="G425" s="1" t="s">
        <v>1114</v>
      </c>
      <c r="H425" s="4">
        <v>44208.0</v>
      </c>
      <c r="I425" s="1" t="s">
        <v>302</v>
      </c>
      <c r="K425" s="1">
        <v>0.0</v>
      </c>
      <c r="L425" s="1" t="s">
        <v>1098</v>
      </c>
      <c r="M425" s="1" t="str">
        <f>VLOOKUP(L425,'Copy of PMD Workday Constants -'!B394:Y1080,22,false)</f>
        <v>#N/A</v>
      </c>
      <c r="N425" s="1" t="s">
        <v>32</v>
      </c>
      <c r="O425" s="1" t="s">
        <v>33</v>
      </c>
      <c r="P425" s="1" t="s">
        <v>173</v>
      </c>
      <c r="Q425" s="1" t="s">
        <v>173</v>
      </c>
      <c r="R425" s="1" t="s">
        <v>174</v>
      </c>
      <c r="T425" s="1">
        <v>1.00609827E8</v>
      </c>
      <c r="W425" s="1" t="s">
        <v>456</v>
      </c>
      <c r="X425" s="1" t="s">
        <v>1098</v>
      </c>
    </row>
    <row r="426">
      <c r="A426" s="1" t="s">
        <v>1837</v>
      </c>
      <c r="B426" s="1" t="s">
        <v>149</v>
      </c>
      <c r="C426" s="1" t="s">
        <v>1838</v>
      </c>
      <c r="D426" s="1" t="s">
        <v>28</v>
      </c>
      <c r="E426" s="1" t="s">
        <v>29</v>
      </c>
      <c r="F426" s="5">
        <v>2500000.0</v>
      </c>
      <c r="G426" s="1" t="s">
        <v>1114</v>
      </c>
      <c r="H426" s="1" t="s">
        <v>1839</v>
      </c>
      <c r="I426" s="1" t="s">
        <v>538</v>
      </c>
      <c r="K426" s="1">
        <v>0.0</v>
      </c>
      <c r="L426" s="1" t="s">
        <v>89</v>
      </c>
      <c r="M426" s="1" t="str">
        <f>VLOOKUP(L426,'Copy of PMD Workday Constants -'!B395:Y1081,22,false)</f>
        <v>#N/A</v>
      </c>
      <c r="N426" s="1" t="s">
        <v>32</v>
      </c>
      <c r="O426" s="1" t="s">
        <v>33</v>
      </c>
      <c r="P426" s="1" t="s">
        <v>34</v>
      </c>
      <c r="Q426" s="1" t="s">
        <v>34</v>
      </c>
      <c r="R426" s="1" t="s">
        <v>35</v>
      </c>
      <c r="T426" s="1">
        <v>1.00609569E8</v>
      </c>
      <c r="W426" s="1" t="s">
        <v>91</v>
      </c>
      <c r="X426" s="1" t="s">
        <v>89</v>
      </c>
    </row>
    <row r="427">
      <c r="A427" s="1" t="s">
        <v>1840</v>
      </c>
      <c r="B427" s="1" t="s">
        <v>1234</v>
      </c>
      <c r="C427" s="1" t="s">
        <v>1841</v>
      </c>
      <c r="D427" s="1" t="s">
        <v>103</v>
      </c>
      <c r="E427" s="1" t="s">
        <v>29</v>
      </c>
      <c r="F427" s="1">
        <v>2500000.0</v>
      </c>
      <c r="G427" s="1" t="s">
        <v>1114</v>
      </c>
      <c r="H427" s="1" t="s">
        <v>1842</v>
      </c>
      <c r="I427" s="1" t="s">
        <v>1843</v>
      </c>
      <c r="K427" s="1">
        <v>0.0</v>
      </c>
      <c r="L427" s="1" t="s">
        <v>1844</v>
      </c>
      <c r="M427" s="1" t="str">
        <f>VLOOKUP(L427,'Copy of PMD Workday Constants -'!B426:W1112,22,false)</f>
        <v>Catalyst</v>
      </c>
      <c r="N427" s="1" t="s">
        <v>32</v>
      </c>
      <c r="O427" s="1" t="s">
        <v>33</v>
      </c>
      <c r="P427" s="1" t="s">
        <v>82</v>
      </c>
      <c r="Q427" s="1" t="s">
        <v>82</v>
      </c>
      <c r="R427" s="1" t="s">
        <v>83</v>
      </c>
      <c r="S427" s="1" t="s">
        <v>180</v>
      </c>
      <c r="T427" s="1">
        <v>1.01152213E8</v>
      </c>
      <c r="W427" s="1" t="s">
        <v>85</v>
      </c>
      <c r="X427" s="1" t="s">
        <v>1692</v>
      </c>
    </row>
    <row r="428">
      <c r="A428" s="1" t="s">
        <v>1845</v>
      </c>
      <c r="B428" s="1" t="s">
        <v>1096</v>
      </c>
      <c r="C428" s="1" t="s">
        <v>1846</v>
      </c>
      <c r="D428" s="1" t="s">
        <v>51</v>
      </c>
      <c r="E428" s="1" t="s">
        <v>29</v>
      </c>
      <c r="F428" s="5">
        <v>2500000.0</v>
      </c>
      <c r="G428" s="1" t="s">
        <v>1114</v>
      </c>
      <c r="H428" s="4">
        <v>44208.0</v>
      </c>
      <c r="I428" s="4">
        <v>44662.0</v>
      </c>
      <c r="K428" s="1">
        <v>0.0</v>
      </c>
      <c r="L428" s="1" t="s">
        <v>1098</v>
      </c>
      <c r="M428" s="1" t="str">
        <f>VLOOKUP(L428,'Copy of PMD Workday Constants -'!B397:Y1083,22,false)</f>
        <v>#N/A</v>
      </c>
      <c r="N428" s="1" t="s">
        <v>32</v>
      </c>
      <c r="O428" s="1" t="s">
        <v>33</v>
      </c>
      <c r="P428" s="1" t="s">
        <v>173</v>
      </c>
      <c r="Q428" s="1" t="s">
        <v>173</v>
      </c>
      <c r="R428" s="1" t="s">
        <v>174</v>
      </c>
      <c r="S428" s="1" t="s">
        <v>153</v>
      </c>
      <c r="T428" s="1">
        <v>1.00609827E8</v>
      </c>
      <c r="W428" s="1" t="s">
        <v>456</v>
      </c>
      <c r="X428" s="1" t="s">
        <v>1098</v>
      </c>
    </row>
    <row r="429">
      <c r="A429" s="1" t="s">
        <v>1847</v>
      </c>
      <c r="B429" s="1" t="s">
        <v>776</v>
      </c>
      <c r="C429" s="1" t="s">
        <v>1848</v>
      </c>
      <c r="D429" s="1" t="s">
        <v>51</v>
      </c>
      <c r="E429" s="1" t="s">
        <v>29</v>
      </c>
      <c r="F429" s="1">
        <v>2500000.0</v>
      </c>
      <c r="G429" s="1" t="s">
        <v>1114</v>
      </c>
      <c r="H429" s="1" t="s">
        <v>1849</v>
      </c>
      <c r="I429" s="1" t="s">
        <v>732</v>
      </c>
      <c r="K429" s="1">
        <v>0.0</v>
      </c>
      <c r="L429" s="1" t="s">
        <v>779</v>
      </c>
      <c r="M429" s="1" t="str">
        <f>VLOOKUP(L429,'Copy of PMD Workday Constants -'!B428:W1114,22,false)</f>
        <v>LCP</v>
      </c>
      <c r="N429" s="1" t="s">
        <v>32</v>
      </c>
      <c r="O429" s="1" t="s">
        <v>33</v>
      </c>
      <c r="P429" s="1" t="s">
        <v>222</v>
      </c>
      <c r="Q429" s="1" t="s">
        <v>222</v>
      </c>
      <c r="R429" s="1" t="s">
        <v>223</v>
      </c>
      <c r="S429" s="1" t="s">
        <v>601</v>
      </c>
      <c r="T429" s="1">
        <v>1.0061139E8</v>
      </c>
      <c r="W429" s="1" t="s">
        <v>74</v>
      </c>
      <c r="X429" s="1" t="s">
        <v>1850</v>
      </c>
    </row>
    <row r="430">
      <c r="A430" s="1" t="s">
        <v>1851</v>
      </c>
      <c r="B430" s="1" t="s">
        <v>776</v>
      </c>
      <c r="C430" s="1" t="s">
        <v>1852</v>
      </c>
      <c r="D430" s="1" t="s">
        <v>51</v>
      </c>
      <c r="E430" s="1" t="s">
        <v>29</v>
      </c>
      <c r="F430" s="1">
        <v>2500000.0</v>
      </c>
      <c r="G430" s="1" t="s">
        <v>1114</v>
      </c>
      <c r="H430" s="4">
        <v>44836.0</v>
      </c>
      <c r="I430" s="1" t="s">
        <v>80</v>
      </c>
      <c r="K430" s="1">
        <v>0.0</v>
      </c>
      <c r="L430" s="1" t="s">
        <v>779</v>
      </c>
      <c r="M430" s="1" t="str">
        <f>VLOOKUP(L430,'Copy of PMD Workday Constants -'!B429:W1115,22,false)</f>
        <v>LCP</v>
      </c>
      <c r="N430" s="1" t="s">
        <v>32</v>
      </c>
      <c r="O430" s="1" t="s">
        <v>33</v>
      </c>
      <c r="P430" s="1" t="s">
        <v>222</v>
      </c>
      <c r="Q430" s="1" t="s">
        <v>222</v>
      </c>
      <c r="R430" s="1" t="s">
        <v>223</v>
      </c>
      <c r="S430" s="1" t="s">
        <v>701</v>
      </c>
      <c r="T430" s="1">
        <v>1.0061139E8</v>
      </c>
      <c r="V430" s="1" t="s">
        <v>1853</v>
      </c>
      <c r="W430" s="1" t="s">
        <v>74</v>
      </c>
      <c r="X430" s="1" t="s">
        <v>1854</v>
      </c>
    </row>
    <row r="431">
      <c r="A431" s="1" t="s">
        <v>1855</v>
      </c>
      <c r="B431" s="1" t="s">
        <v>389</v>
      </c>
      <c r="C431" s="1" t="s">
        <v>1856</v>
      </c>
      <c r="D431" s="1" t="s">
        <v>28</v>
      </c>
      <c r="E431" s="1" t="s">
        <v>29</v>
      </c>
      <c r="F431" s="1">
        <v>2500000.0</v>
      </c>
      <c r="G431" s="1" t="s">
        <v>1114</v>
      </c>
      <c r="H431" s="4">
        <v>44564.0</v>
      </c>
      <c r="I431" s="1" t="s">
        <v>248</v>
      </c>
      <c r="K431" s="1">
        <v>0.0</v>
      </c>
      <c r="L431" s="1" t="s">
        <v>275</v>
      </c>
      <c r="M431" s="1" t="str">
        <f>VLOOKUP(L431,'Copy of PMD Workday Constants -'!B430:W1116,22,false)</f>
        <v>Delivery</v>
      </c>
      <c r="N431" s="1" t="s">
        <v>32</v>
      </c>
      <c r="O431" s="1" t="s">
        <v>33</v>
      </c>
      <c r="P431" s="1" t="s">
        <v>34</v>
      </c>
      <c r="Q431" s="1" t="s">
        <v>34</v>
      </c>
      <c r="R431" s="1" t="s">
        <v>35</v>
      </c>
      <c r="S431" s="1" t="s">
        <v>126</v>
      </c>
      <c r="T431" s="1">
        <v>1.00608828E8</v>
      </c>
      <c r="W431" s="1" t="s">
        <v>391</v>
      </c>
      <c r="X431" s="1" t="s">
        <v>826</v>
      </c>
    </row>
    <row r="432">
      <c r="A432" s="1" t="s">
        <v>1857</v>
      </c>
      <c r="B432" s="1" t="s">
        <v>143</v>
      </c>
      <c r="C432" s="1" t="s">
        <v>1858</v>
      </c>
      <c r="D432" s="1" t="s">
        <v>28</v>
      </c>
      <c r="E432" s="1" t="s">
        <v>29</v>
      </c>
      <c r="F432" s="1">
        <v>2500000.0</v>
      </c>
      <c r="G432" s="1" t="s">
        <v>1114</v>
      </c>
      <c r="H432" s="1" t="s">
        <v>816</v>
      </c>
      <c r="I432" s="1" t="s">
        <v>1859</v>
      </c>
      <c r="K432" s="1">
        <v>0.0</v>
      </c>
      <c r="L432" s="1" t="s">
        <v>314</v>
      </c>
      <c r="M432" s="1" t="str">
        <f>VLOOKUP(L432,'Copy of PMD Workday Constants -'!B431:W1117,22,false)</f>
        <v>Delivery</v>
      </c>
      <c r="N432" s="1" t="s">
        <v>32</v>
      </c>
      <c r="O432" s="1" t="s">
        <v>33</v>
      </c>
      <c r="P432" s="1" t="s">
        <v>64</v>
      </c>
      <c r="Q432" s="1" t="s">
        <v>64</v>
      </c>
      <c r="R432" s="1" t="s">
        <v>65</v>
      </c>
      <c r="T432" s="1">
        <v>1.00651094E8</v>
      </c>
      <c r="W432" s="1" t="s">
        <v>147</v>
      </c>
      <c r="X432" s="1" t="s">
        <v>1860</v>
      </c>
    </row>
    <row r="433">
      <c r="A433" s="1" t="s">
        <v>1861</v>
      </c>
      <c r="B433" s="1" t="s">
        <v>1154</v>
      </c>
      <c r="C433" s="1" t="s">
        <v>1862</v>
      </c>
      <c r="D433" s="1" t="s">
        <v>51</v>
      </c>
      <c r="E433" s="1" t="s">
        <v>29</v>
      </c>
      <c r="F433" s="5">
        <v>2500000.0</v>
      </c>
      <c r="G433" s="1" t="s">
        <v>1114</v>
      </c>
      <c r="H433" s="1" t="s">
        <v>1082</v>
      </c>
      <c r="I433" s="4">
        <v>44568.0</v>
      </c>
      <c r="K433" s="1">
        <v>0.0</v>
      </c>
      <c r="L433" s="1" t="s">
        <v>1156</v>
      </c>
      <c r="M433" s="1" t="str">
        <f>VLOOKUP(L433,'Copy of PMD Workday Constants -'!B402:Y1088,22,false)</f>
        <v>#N/A</v>
      </c>
      <c r="N433" s="1" t="s">
        <v>32</v>
      </c>
      <c r="O433" s="1" t="s">
        <v>33</v>
      </c>
      <c r="P433" s="1" t="s">
        <v>112</v>
      </c>
      <c r="Q433" s="1" t="s">
        <v>112</v>
      </c>
      <c r="R433" s="1" t="s">
        <v>113</v>
      </c>
      <c r="S433" s="1" t="s">
        <v>114</v>
      </c>
      <c r="T433" s="1">
        <v>1.00633643E8</v>
      </c>
      <c r="W433" s="1" t="s">
        <v>947</v>
      </c>
      <c r="X433" s="1" t="s">
        <v>1156</v>
      </c>
    </row>
    <row r="434">
      <c r="A434" s="1" t="s">
        <v>1863</v>
      </c>
      <c r="B434" s="1" t="s">
        <v>1864</v>
      </c>
      <c r="C434" s="1" t="s">
        <v>1865</v>
      </c>
      <c r="D434" s="1" t="s">
        <v>79</v>
      </c>
      <c r="E434" s="1" t="s">
        <v>29</v>
      </c>
      <c r="F434" s="5">
        <v>2400002.0</v>
      </c>
      <c r="G434" s="1" t="s">
        <v>1114</v>
      </c>
      <c r="H434" s="1" t="s">
        <v>1866</v>
      </c>
      <c r="I434" s="4">
        <v>44570.0</v>
      </c>
      <c r="K434" s="1">
        <v>0.0</v>
      </c>
      <c r="L434" s="1" t="s">
        <v>728</v>
      </c>
      <c r="M434" s="1" t="str">
        <f>VLOOKUP(L434,'Copy of PMD Workday Constants -'!B403:Y1089,22,false)</f>
        <v>#N/A</v>
      </c>
      <c r="N434" s="1" t="s">
        <v>32</v>
      </c>
      <c r="O434" s="1" t="s">
        <v>33</v>
      </c>
      <c r="P434" s="1" t="s">
        <v>210</v>
      </c>
      <c r="Q434" s="1" t="s">
        <v>210</v>
      </c>
      <c r="R434" s="1" t="s">
        <v>211</v>
      </c>
      <c r="S434" s="1" t="s">
        <v>416</v>
      </c>
      <c r="T434" s="1">
        <v>1.00899005E8</v>
      </c>
      <c r="W434" s="1" t="s">
        <v>250</v>
      </c>
      <c r="X434" s="1" t="s">
        <v>728</v>
      </c>
    </row>
    <row r="435">
      <c r="A435" s="1" t="s">
        <v>1867</v>
      </c>
      <c r="B435" s="1" t="s">
        <v>1868</v>
      </c>
      <c r="C435" s="1" t="s">
        <v>1869</v>
      </c>
      <c r="D435" s="1" t="s">
        <v>28</v>
      </c>
      <c r="E435" s="1" t="s">
        <v>29</v>
      </c>
      <c r="F435" s="5">
        <v>2400000.0</v>
      </c>
      <c r="G435" s="1" t="s">
        <v>1114</v>
      </c>
      <c r="H435" s="1" t="s">
        <v>42</v>
      </c>
      <c r="I435" s="4">
        <v>44573.0</v>
      </c>
      <c r="K435" s="1">
        <v>0.0</v>
      </c>
      <c r="L435" s="1" t="s">
        <v>1870</v>
      </c>
      <c r="M435" s="1" t="str">
        <f>VLOOKUP(L435,'Copy of PMD Workday Constants -'!B404:Y1090,22,false)</f>
        <v>#N/A</v>
      </c>
      <c r="N435" s="1" t="s">
        <v>32</v>
      </c>
      <c r="O435" s="1" t="s">
        <v>33</v>
      </c>
      <c r="P435" s="1" t="s">
        <v>112</v>
      </c>
      <c r="Q435" s="1" t="s">
        <v>112</v>
      </c>
      <c r="R435" s="1" t="s">
        <v>113</v>
      </c>
      <c r="S435" s="1" t="s">
        <v>1336</v>
      </c>
      <c r="T435" s="1">
        <v>1.00638639E8</v>
      </c>
      <c r="W435" s="1" t="s">
        <v>577</v>
      </c>
      <c r="X435" s="1" t="s">
        <v>1337</v>
      </c>
    </row>
    <row r="436">
      <c r="A436" s="1" t="s">
        <v>1871</v>
      </c>
      <c r="B436" s="1" t="s">
        <v>1184</v>
      </c>
      <c r="C436" s="1" t="s">
        <v>1872</v>
      </c>
      <c r="D436" s="1" t="s">
        <v>103</v>
      </c>
      <c r="E436" s="1" t="s">
        <v>29</v>
      </c>
      <c r="F436" s="5">
        <v>2400000.0</v>
      </c>
      <c r="G436" s="1" t="s">
        <v>1114</v>
      </c>
      <c r="H436" s="1" t="s">
        <v>466</v>
      </c>
      <c r="I436" s="4">
        <v>44749.0</v>
      </c>
      <c r="K436" s="1">
        <v>0.0</v>
      </c>
      <c r="L436" s="1" t="s">
        <v>1873</v>
      </c>
      <c r="M436" s="1" t="str">
        <f>VLOOKUP(L436,'Copy of PMD Workday Constants -'!B405:Y1091,22,false)</f>
        <v>#N/A</v>
      </c>
      <c r="N436" s="1" t="s">
        <v>32</v>
      </c>
      <c r="O436" s="1" t="s">
        <v>33</v>
      </c>
      <c r="P436" s="1" t="s">
        <v>210</v>
      </c>
      <c r="Q436" s="1" t="s">
        <v>210</v>
      </c>
      <c r="R436" s="1" t="s">
        <v>211</v>
      </c>
      <c r="S436" s="1" t="s">
        <v>212</v>
      </c>
      <c r="T436" s="1">
        <v>1.00612834E8</v>
      </c>
      <c r="W436" s="1" t="s">
        <v>56</v>
      </c>
      <c r="X436" s="1" t="s">
        <v>1874</v>
      </c>
    </row>
    <row r="437">
      <c r="A437" s="1" t="s">
        <v>1875</v>
      </c>
      <c r="B437" s="1" t="s">
        <v>1364</v>
      </c>
      <c r="C437" s="1" t="s">
        <v>1876</v>
      </c>
      <c r="D437" s="1" t="s">
        <v>103</v>
      </c>
      <c r="E437" s="1" t="s">
        <v>29</v>
      </c>
      <c r="F437" s="5">
        <v>2400000.0</v>
      </c>
      <c r="G437" s="1" t="s">
        <v>1114</v>
      </c>
      <c r="H437" s="1" t="s">
        <v>1161</v>
      </c>
      <c r="I437" s="4">
        <v>44903.0</v>
      </c>
      <c r="K437" s="1">
        <v>0.0</v>
      </c>
      <c r="L437" s="1" t="s">
        <v>319</v>
      </c>
      <c r="M437" s="1" t="str">
        <f>VLOOKUP(L437,'Copy of PMD Workday Constants -'!B406:Y1092,22,false)</f>
        <v>#N/A</v>
      </c>
      <c r="N437" s="1" t="s">
        <v>32</v>
      </c>
      <c r="O437" s="1" t="s">
        <v>33</v>
      </c>
      <c r="P437" s="1" t="s">
        <v>82</v>
      </c>
      <c r="Q437" s="1" t="s">
        <v>82</v>
      </c>
      <c r="R437" s="1" t="s">
        <v>83</v>
      </c>
      <c r="S437" s="1" t="s">
        <v>84</v>
      </c>
      <c r="T437" s="1">
        <v>1.00654705E8</v>
      </c>
      <c r="W437" s="1" t="s">
        <v>85</v>
      </c>
      <c r="X437" s="1" t="s">
        <v>319</v>
      </c>
    </row>
    <row r="438">
      <c r="A438" s="1" t="s">
        <v>1877</v>
      </c>
      <c r="B438" s="1" t="s">
        <v>1713</v>
      </c>
      <c r="C438" s="1" t="s">
        <v>1878</v>
      </c>
      <c r="D438" s="1" t="s">
        <v>51</v>
      </c>
      <c r="E438" s="1" t="s">
        <v>29</v>
      </c>
      <c r="F438" s="5">
        <v>2400000.0</v>
      </c>
      <c r="G438" s="1" t="s">
        <v>1114</v>
      </c>
      <c r="H438" s="1" t="s">
        <v>1078</v>
      </c>
      <c r="I438" s="4">
        <v>44688.0</v>
      </c>
      <c r="K438" s="1">
        <v>0.0</v>
      </c>
      <c r="L438" s="1" t="s">
        <v>1879</v>
      </c>
      <c r="M438" s="1" t="str">
        <f>VLOOKUP(L438,'Copy of PMD Workday Constants -'!B407:Y1093,22,false)</f>
        <v>#N/A</v>
      </c>
      <c r="N438" s="1" t="s">
        <v>32</v>
      </c>
      <c r="O438" s="1" t="s">
        <v>33</v>
      </c>
      <c r="P438" s="1" t="s">
        <v>34</v>
      </c>
      <c r="Q438" s="1" t="s">
        <v>34</v>
      </c>
      <c r="R438" s="1" t="s">
        <v>35</v>
      </c>
      <c r="S438" s="1" t="s">
        <v>1880</v>
      </c>
      <c r="T438" s="1">
        <v>1.00626539E8</v>
      </c>
      <c r="W438" s="1" t="s">
        <v>91</v>
      </c>
      <c r="X438" s="1" t="s">
        <v>689</v>
      </c>
    </row>
    <row r="439">
      <c r="A439" s="1" t="s">
        <v>1881</v>
      </c>
      <c r="B439" s="1" t="s">
        <v>1882</v>
      </c>
      <c r="C439" s="1" t="s">
        <v>1883</v>
      </c>
      <c r="D439" s="1" t="s">
        <v>103</v>
      </c>
      <c r="E439" s="1" t="s">
        <v>29</v>
      </c>
      <c r="F439" s="5">
        <v>2400000.0</v>
      </c>
      <c r="G439" s="1" t="s">
        <v>1114</v>
      </c>
      <c r="H439" s="1" t="s">
        <v>920</v>
      </c>
      <c r="I439" s="1" t="s">
        <v>661</v>
      </c>
      <c r="K439" s="1">
        <v>0.0</v>
      </c>
      <c r="L439" s="1" t="s">
        <v>1397</v>
      </c>
      <c r="M439" s="1" t="str">
        <f>VLOOKUP(L439,'Copy of PMD Workday Constants -'!B408:Y1094,22,false)</f>
        <v>#N/A</v>
      </c>
      <c r="N439" s="1" t="s">
        <v>32</v>
      </c>
      <c r="O439" s="1" t="s">
        <v>33</v>
      </c>
      <c r="P439" s="1" t="s">
        <v>112</v>
      </c>
      <c r="Q439" s="1" t="s">
        <v>112</v>
      </c>
      <c r="R439" s="1" t="s">
        <v>113</v>
      </c>
      <c r="S439" s="1" t="s">
        <v>114</v>
      </c>
      <c r="T439" s="1">
        <v>1.00613841E8</v>
      </c>
      <c r="W439" s="1" t="s">
        <v>47</v>
      </c>
      <c r="X439" s="1" t="s">
        <v>1884</v>
      </c>
    </row>
    <row r="440">
      <c r="A440" s="1" t="s">
        <v>1885</v>
      </c>
      <c r="B440" s="1" t="s">
        <v>1886</v>
      </c>
      <c r="C440" s="1" t="s">
        <v>1887</v>
      </c>
      <c r="D440" s="1" t="s">
        <v>79</v>
      </c>
      <c r="E440" s="1" t="s">
        <v>29</v>
      </c>
      <c r="F440" s="5">
        <v>2400000.0</v>
      </c>
      <c r="G440" s="1" t="s">
        <v>1114</v>
      </c>
      <c r="H440" s="4">
        <v>44626.0</v>
      </c>
      <c r="I440" s="1" t="s">
        <v>104</v>
      </c>
      <c r="K440" s="1">
        <v>0.0</v>
      </c>
      <c r="L440" s="1" t="s">
        <v>198</v>
      </c>
      <c r="M440" s="1" t="str">
        <f>VLOOKUP(L440,'Copy of PMD Workday Constants -'!B409:Y1095,22,false)</f>
        <v>#N/A</v>
      </c>
      <c r="N440" s="1" t="s">
        <v>32</v>
      </c>
      <c r="O440" s="1" t="s">
        <v>33</v>
      </c>
      <c r="P440" s="1" t="s">
        <v>82</v>
      </c>
      <c r="Q440" s="1" t="s">
        <v>82</v>
      </c>
      <c r="R440" s="1" t="s">
        <v>83</v>
      </c>
      <c r="S440" s="1" t="s">
        <v>180</v>
      </c>
      <c r="T440" s="1">
        <v>1.00590896E8</v>
      </c>
      <c r="W440" s="1" t="s">
        <v>85</v>
      </c>
      <c r="X440" s="1" t="s">
        <v>198</v>
      </c>
    </row>
    <row r="441">
      <c r="A441" s="1" t="s">
        <v>1888</v>
      </c>
      <c r="B441" s="1" t="s">
        <v>521</v>
      </c>
      <c r="C441" s="1" t="s">
        <v>1889</v>
      </c>
      <c r="D441" s="1" t="s">
        <v>28</v>
      </c>
      <c r="E441" s="1" t="s">
        <v>29</v>
      </c>
      <c r="F441" s="5">
        <v>2400000.0</v>
      </c>
      <c r="G441" s="1" t="s">
        <v>1114</v>
      </c>
      <c r="H441" s="4">
        <v>44598.0</v>
      </c>
      <c r="I441" s="4">
        <v>45201.0</v>
      </c>
      <c r="K441" s="1">
        <v>0.0</v>
      </c>
      <c r="L441" s="1" t="s">
        <v>319</v>
      </c>
      <c r="M441" s="1" t="str">
        <f>VLOOKUP(L441,'Copy of PMD Workday Constants -'!B410:Y1096,22,false)</f>
        <v>#N/A</v>
      </c>
      <c r="N441" s="1" t="s">
        <v>32</v>
      </c>
      <c r="O441" s="1" t="s">
        <v>33</v>
      </c>
      <c r="P441" s="1" t="s">
        <v>82</v>
      </c>
      <c r="Q441" s="1" t="s">
        <v>82</v>
      </c>
      <c r="R441" s="1" t="s">
        <v>83</v>
      </c>
      <c r="S441" s="1" t="s">
        <v>84</v>
      </c>
      <c r="T441" s="1">
        <v>1.00654705E8</v>
      </c>
      <c r="W441" s="1" t="s">
        <v>85</v>
      </c>
      <c r="X441" s="1" t="s">
        <v>319</v>
      </c>
    </row>
    <row r="442">
      <c r="A442" s="1" t="s">
        <v>1890</v>
      </c>
      <c r="B442" s="1" t="s">
        <v>1713</v>
      </c>
      <c r="C442" s="1" t="s">
        <v>1891</v>
      </c>
      <c r="D442" s="1" t="s">
        <v>28</v>
      </c>
      <c r="E442" s="1" t="s">
        <v>29</v>
      </c>
      <c r="F442" s="5">
        <v>2400000.0</v>
      </c>
      <c r="G442" s="1" t="s">
        <v>1114</v>
      </c>
      <c r="H442" s="4">
        <v>44113.0</v>
      </c>
      <c r="I442" s="1" t="s">
        <v>104</v>
      </c>
      <c r="K442" s="1">
        <v>0.0</v>
      </c>
      <c r="L442" s="1" t="s">
        <v>499</v>
      </c>
      <c r="M442" s="1" t="str">
        <f>VLOOKUP(L442,'Copy of PMD Workday Constants -'!B411:Y1097,22,false)</f>
        <v>#N/A</v>
      </c>
      <c r="N442" s="1" t="s">
        <v>32</v>
      </c>
      <c r="O442" s="1" t="s">
        <v>33</v>
      </c>
      <c r="P442" s="1" t="s">
        <v>34</v>
      </c>
      <c r="Q442" s="1" t="s">
        <v>34</v>
      </c>
      <c r="R442" s="1" t="s">
        <v>35</v>
      </c>
      <c r="S442" s="1" t="s">
        <v>153</v>
      </c>
      <c r="T442" s="1">
        <v>1.00627768E8</v>
      </c>
      <c r="W442" s="1" t="s">
        <v>91</v>
      </c>
      <c r="X442" s="1" t="s">
        <v>499</v>
      </c>
    </row>
    <row r="443">
      <c r="A443" s="1" t="s">
        <v>1892</v>
      </c>
      <c r="B443" s="1" t="s">
        <v>913</v>
      </c>
      <c r="C443" s="1" t="s">
        <v>1893</v>
      </c>
      <c r="D443" s="1" t="s">
        <v>28</v>
      </c>
      <c r="E443" s="1" t="s">
        <v>29</v>
      </c>
      <c r="F443" s="1">
        <v>2390000.0</v>
      </c>
      <c r="G443" s="1" t="s">
        <v>1114</v>
      </c>
      <c r="H443" s="4">
        <v>44777.0</v>
      </c>
      <c r="I443" s="1" t="s">
        <v>80</v>
      </c>
      <c r="K443" s="1">
        <v>0.0</v>
      </c>
      <c r="L443" s="1" t="s">
        <v>1456</v>
      </c>
      <c r="M443" s="1" t="str">
        <f>VLOOKUP(L443,'Copy of PMD Workday Constants -'!B442:W1128,22,false)</f>
        <v>Delivery</v>
      </c>
      <c r="N443" s="1" t="s">
        <v>32</v>
      </c>
      <c r="O443" s="1" t="s">
        <v>33</v>
      </c>
      <c r="P443" s="1" t="s">
        <v>82</v>
      </c>
      <c r="Q443" s="1" t="s">
        <v>82</v>
      </c>
      <c r="R443" s="1" t="s">
        <v>83</v>
      </c>
      <c r="S443" s="1" t="s">
        <v>84</v>
      </c>
      <c r="T443" s="1">
        <v>1.00649673E8</v>
      </c>
      <c r="W443" s="1" t="s">
        <v>85</v>
      </c>
      <c r="X443" s="1" t="s">
        <v>916</v>
      </c>
    </row>
    <row r="444">
      <c r="A444" s="1" t="s">
        <v>1894</v>
      </c>
      <c r="B444" s="1" t="s">
        <v>93</v>
      </c>
      <c r="C444" s="1" t="s">
        <v>1895</v>
      </c>
      <c r="D444" s="1" t="s">
        <v>79</v>
      </c>
      <c r="E444" s="1" t="s">
        <v>29</v>
      </c>
      <c r="F444" s="5">
        <v>2375000.0</v>
      </c>
      <c r="G444" s="1" t="s">
        <v>1114</v>
      </c>
      <c r="H444" s="4">
        <v>44567.0</v>
      </c>
      <c r="I444" s="1" t="s">
        <v>96</v>
      </c>
      <c r="K444" s="1">
        <v>0.0</v>
      </c>
      <c r="L444" s="1" t="s">
        <v>97</v>
      </c>
      <c r="M444" s="1" t="str">
        <f>VLOOKUP(L444,'Copy of PMD Workday Constants -'!B413:Y1099,22,false)</f>
        <v>#N/A</v>
      </c>
      <c r="N444" s="1" t="s">
        <v>32</v>
      </c>
      <c r="O444" s="1" t="s">
        <v>33</v>
      </c>
      <c r="P444" s="1" t="s">
        <v>64</v>
      </c>
      <c r="Q444" s="1" t="s">
        <v>64</v>
      </c>
      <c r="R444" s="1" t="s">
        <v>65</v>
      </c>
      <c r="T444" s="1">
        <v>1.00653539E8</v>
      </c>
      <c r="W444" s="1" t="s">
        <v>56</v>
      </c>
      <c r="X444" s="1" t="s">
        <v>99</v>
      </c>
    </row>
    <row r="445">
      <c r="A445" s="1" t="s">
        <v>1896</v>
      </c>
      <c r="B445" s="1" t="s">
        <v>341</v>
      </c>
      <c r="C445" s="1" t="s">
        <v>1897</v>
      </c>
      <c r="D445" s="1" t="s">
        <v>51</v>
      </c>
      <c r="E445" s="1" t="s">
        <v>29</v>
      </c>
      <c r="F445" s="5">
        <v>2350000.0</v>
      </c>
      <c r="G445" s="1" t="s">
        <v>1114</v>
      </c>
      <c r="H445" s="4">
        <v>44511.0</v>
      </c>
      <c r="I445" s="1" t="s">
        <v>80</v>
      </c>
      <c r="K445" s="1">
        <v>0.0</v>
      </c>
      <c r="L445" s="1" t="s">
        <v>415</v>
      </c>
      <c r="M445" s="1" t="str">
        <f>VLOOKUP(L445,'Copy of PMD Workday Constants -'!B414:Y1100,22,false)</f>
        <v>#N/A</v>
      </c>
      <c r="N445" s="1" t="s">
        <v>32</v>
      </c>
      <c r="O445" s="1" t="s">
        <v>33</v>
      </c>
      <c r="P445" s="1" t="s">
        <v>210</v>
      </c>
      <c r="Q445" s="1" t="s">
        <v>210</v>
      </c>
      <c r="R445" s="1" t="s">
        <v>211</v>
      </c>
      <c r="S445" s="1" t="s">
        <v>1898</v>
      </c>
      <c r="T445" s="1">
        <v>1.00650375E8</v>
      </c>
      <c r="W445" s="1" t="s">
        <v>85</v>
      </c>
      <c r="X445" s="1" t="s">
        <v>415</v>
      </c>
    </row>
    <row r="446">
      <c r="A446" s="1" t="s">
        <v>1899</v>
      </c>
      <c r="B446" s="1" t="s">
        <v>1900</v>
      </c>
      <c r="C446" s="1" t="s">
        <v>1901</v>
      </c>
      <c r="D446" s="1" t="s">
        <v>51</v>
      </c>
      <c r="E446" s="1" t="s">
        <v>29</v>
      </c>
      <c r="F446" s="5">
        <v>2300000.0</v>
      </c>
      <c r="G446" s="1" t="s">
        <v>1114</v>
      </c>
      <c r="H446" s="4">
        <v>44626.0</v>
      </c>
      <c r="I446" s="1" t="s">
        <v>152</v>
      </c>
      <c r="K446" s="1">
        <v>0.0</v>
      </c>
      <c r="L446" s="1" t="s">
        <v>1902</v>
      </c>
      <c r="M446" s="1" t="str">
        <f>VLOOKUP(L446,'Copy of PMD Workday Constants -'!B415:Y1101,22,false)</f>
        <v>#N/A</v>
      </c>
      <c r="N446" s="1" t="s">
        <v>32</v>
      </c>
      <c r="O446" s="1" t="s">
        <v>33</v>
      </c>
      <c r="P446" s="1" t="s">
        <v>173</v>
      </c>
      <c r="Q446" s="1" t="s">
        <v>173</v>
      </c>
      <c r="R446" s="1" t="s">
        <v>174</v>
      </c>
      <c r="S446" s="1" t="s">
        <v>540</v>
      </c>
      <c r="T446" s="1">
        <v>1.00956516E8</v>
      </c>
      <c r="W446" s="1" t="s">
        <v>258</v>
      </c>
      <c r="X446" s="1" t="s">
        <v>1903</v>
      </c>
    </row>
    <row r="447">
      <c r="A447" s="1" t="s">
        <v>1904</v>
      </c>
      <c r="B447" s="1" t="s">
        <v>311</v>
      </c>
      <c r="C447" s="1" t="s">
        <v>1905</v>
      </c>
      <c r="D447" s="1" t="s">
        <v>103</v>
      </c>
      <c r="E447" s="1" t="s">
        <v>29</v>
      </c>
      <c r="F447" s="5">
        <v>2250000.0</v>
      </c>
      <c r="G447" s="1" t="s">
        <v>1114</v>
      </c>
      <c r="H447" s="1" t="s">
        <v>785</v>
      </c>
      <c r="I447" s="1" t="s">
        <v>732</v>
      </c>
      <c r="K447" s="1">
        <v>0.0</v>
      </c>
      <c r="L447" s="1" t="s">
        <v>491</v>
      </c>
      <c r="M447" s="1" t="str">
        <f>VLOOKUP(L447,'Copy of PMD Workday Constants -'!B416:Y1102,22,false)</f>
        <v>#N/A</v>
      </c>
      <c r="N447" s="1" t="s">
        <v>32</v>
      </c>
      <c r="O447" s="1" t="s">
        <v>33</v>
      </c>
      <c r="P447" s="1" t="s">
        <v>112</v>
      </c>
      <c r="Q447" s="1" t="s">
        <v>112</v>
      </c>
      <c r="R447" s="1" t="s">
        <v>113</v>
      </c>
      <c r="S447" s="1" t="s">
        <v>114</v>
      </c>
      <c r="T447" s="1">
        <v>1.00623914E8</v>
      </c>
      <c r="W447" s="1" t="s">
        <v>140</v>
      </c>
      <c r="X447" s="1" t="s">
        <v>547</v>
      </c>
    </row>
    <row r="448">
      <c r="A448" s="1" t="s">
        <v>1906</v>
      </c>
      <c r="B448" s="1" t="s">
        <v>1768</v>
      </c>
      <c r="C448" s="1" t="s">
        <v>1907</v>
      </c>
      <c r="D448" s="1" t="s">
        <v>51</v>
      </c>
      <c r="E448" s="1" t="s">
        <v>29</v>
      </c>
      <c r="F448" s="5">
        <v>2250000.0</v>
      </c>
      <c r="G448" s="1" t="s">
        <v>1114</v>
      </c>
      <c r="H448" s="1" t="s">
        <v>273</v>
      </c>
      <c r="I448" s="1" t="s">
        <v>302</v>
      </c>
      <c r="K448" s="1">
        <v>0.0</v>
      </c>
      <c r="L448" s="1" t="s">
        <v>1770</v>
      </c>
      <c r="M448" s="1" t="str">
        <f>VLOOKUP(L448,'Copy of PMD Workday Constants -'!B417:Y1103,22,false)</f>
        <v>#N/A</v>
      </c>
      <c r="N448" s="1" t="s">
        <v>32</v>
      </c>
      <c r="O448" s="1" t="s">
        <v>33</v>
      </c>
      <c r="P448" s="1" t="s">
        <v>210</v>
      </c>
      <c r="Q448" s="1" t="s">
        <v>210</v>
      </c>
      <c r="R448" s="1" t="s">
        <v>211</v>
      </c>
      <c r="S448" s="1" t="s">
        <v>1313</v>
      </c>
      <c r="T448" s="1">
        <v>1.00593918E8</v>
      </c>
      <c r="V448" s="1" t="s">
        <v>67</v>
      </c>
      <c r="W448" s="1" t="s">
        <v>436</v>
      </c>
      <c r="X448" s="1" t="s">
        <v>1771</v>
      </c>
    </row>
    <row r="449">
      <c r="A449" s="1" t="s">
        <v>1908</v>
      </c>
      <c r="B449" s="1" t="s">
        <v>1775</v>
      </c>
      <c r="C449" s="1" t="s">
        <v>1909</v>
      </c>
      <c r="D449" s="1" t="s">
        <v>51</v>
      </c>
      <c r="E449" s="1" t="s">
        <v>29</v>
      </c>
      <c r="F449" s="5">
        <v>2200000.0</v>
      </c>
      <c r="G449" s="1" t="s">
        <v>1114</v>
      </c>
      <c r="H449" s="1" t="s">
        <v>1134</v>
      </c>
      <c r="I449" s="1" t="s">
        <v>1349</v>
      </c>
      <c r="K449" s="1">
        <v>0.0</v>
      </c>
      <c r="L449" s="1" t="s">
        <v>1910</v>
      </c>
      <c r="M449" s="1" t="str">
        <f>VLOOKUP(L449,'Copy of PMD Workday Constants -'!B418:Y1104,22,false)</f>
        <v>#N/A</v>
      </c>
      <c r="N449" s="1" t="s">
        <v>32</v>
      </c>
      <c r="O449" s="1" t="s">
        <v>33</v>
      </c>
      <c r="P449" s="1" t="s">
        <v>82</v>
      </c>
      <c r="Q449" s="1" t="s">
        <v>82</v>
      </c>
      <c r="R449" s="1" t="s">
        <v>83</v>
      </c>
      <c r="T449" s="1">
        <v>1.01193937E8</v>
      </c>
      <c r="W449" s="1" t="s">
        <v>456</v>
      </c>
      <c r="X449" s="1" t="s">
        <v>1911</v>
      </c>
    </row>
    <row r="450">
      <c r="A450" s="1" t="s">
        <v>1912</v>
      </c>
      <c r="B450" s="1" t="s">
        <v>1913</v>
      </c>
      <c r="C450" s="1" t="s">
        <v>1914</v>
      </c>
      <c r="D450" s="1" t="s">
        <v>79</v>
      </c>
      <c r="E450" s="1" t="s">
        <v>29</v>
      </c>
      <c r="F450" s="5">
        <v>2200000.0</v>
      </c>
      <c r="G450" s="1" t="s">
        <v>1114</v>
      </c>
      <c r="H450" s="1" t="s">
        <v>1915</v>
      </c>
      <c r="I450" s="1" t="s">
        <v>80</v>
      </c>
      <c r="K450" s="1">
        <v>0.0</v>
      </c>
      <c r="L450" s="1" t="s">
        <v>1916</v>
      </c>
      <c r="M450" s="1" t="str">
        <f>VLOOKUP(L450,'Copy of PMD Workday Constants -'!B419:Y1105,22,false)</f>
        <v>#N/A</v>
      </c>
      <c r="N450" s="1" t="s">
        <v>32</v>
      </c>
      <c r="O450" s="1" t="s">
        <v>33</v>
      </c>
      <c r="P450" s="1" t="s">
        <v>222</v>
      </c>
      <c r="Q450" s="1" t="s">
        <v>222</v>
      </c>
      <c r="R450" s="1" t="s">
        <v>223</v>
      </c>
      <c r="S450" s="1" t="s">
        <v>601</v>
      </c>
      <c r="T450" s="1">
        <v>1.00955805E8</v>
      </c>
      <c r="W450" s="1" t="s">
        <v>115</v>
      </c>
      <c r="X450" s="1" t="s">
        <v>1916</v>
      </c>
    </row>
    <row r="451">
      <c r="A451" s="1" t="s">
        <v>1917</v>
      </c>
      <c r="B451" s="1" t="s">
        <v>489</v>
      </c>
      <c r="C451" s="1" t="s">
        <v>1918</v>
      </c>
      <c r="D451" s="1" t="s">
        <v>79</v>
      </c>
      <c r="E451" s="1" t="s">
        <v>29</v>
      </c>
      <c r="F451" s="1">
        <v>2200000.0</v>
      </c>
      <c r="G451" s="1" t="s">
        <v>1114</v>
      </c>
      <c r="H451" s="1" t="s">
        <v>1919</v>
      </c>
      <c r="I451" s="1" t="s">
        <v>1350</v>
      </c>
      <c r="K451" s="1">
        <v>0.0</v>
      </c>
      <c r="L451" s="1" t="s">
        <v>847</v>
      </c>
      <c r="M451" s="1" t="str">
        <f>VLOOKUP(L451,'Copy of PMD Workday Constants -'!B450:W1136,22,false)</f>
        <v>Delivery</v>
      </c>
      <c r="N451" s="1" t="s">
        <v>32</v>
      </c>
      <c r="O451" s="1" t="s">
        <v>33</v>
      </c>
      <c r="P451" s="1" t="s">
        <v>173</v>
      </c>
      <c r="Q451" s="1" t="s">
        <v>173</v>
      </c>
      <c r="R451" s="1" t="s">
        <v>174</v>
      </c>
      <c r="S451" s="1" t="s">
        <v>1385</v>
      </c>
      <c r="T451" s="1">
        <v>1.00586701E8</v>
      </c>
      <c r="V451" s="1" t="s">
        <v>67</v>
      </c>
      <c r="W451" s="1" t="s">
        <v>493</v>
      </c>
      <c r="X451" s="1" t="s">
        <v>1529</v>
      </c>
    </row>
    <row r="452">
      <c r="A452" s="1" t="s">
        <v>1920</v>
      </c>
      <c r="B452" s="1" t="s">
        <v>637</v>
      </c>
      <c r="C452" s="1" t="s">
        <v>1921</v>
      </c>
      <c r="D452" s="1" t="s">
        <v>51</v>
      </c>
      <c r="E452" s="1" t="s">
        <v>29</v>
      </c>
      <c r="F452" s="5">
        <v>2200000.0</v>
      </c>
      <c r="G452" s="1" t="s">
        <v>1114</v>
      </c>
      <c r="H452" s="1" t="s">
        <v>1245</v>
      </c>
      <c r="I452" s="4">
        <v>44568.0</v>
      </c>
      <c r="K452" s="1">
        <v>0.0</v>
      </c>
      <c r="L452" s="1" t="s">
        <v>1922</v>
      </c>
      <c r="M452" s="1" t="str">
        <f>VLOOKUP(L452,'Copy of PMD Workday Constants -'!B421:Y1107,22,false)</f>
        <v>#N/A</v>
      </c>
      <c r="N452" s="1" t="s">
        <v>32</v>
      </c>
      <c r="O452" s="1" t="s">
        <v>33</v>
      </c>
      <c r="P452" s="1" t="s">
        <v>64</v>
      </c>
      <c r="Q452" s="1" t="s">
        <v>64</v>
      </c>
      <c r="R452" s="1" t="s">
        <v>65</v>
      </c>
      <c r="S452" s="1" t="s">
        <v>416</v>
      </c>
      <c r="T452" s="1">
        <v>1.01026035E8</v>
      </c>
      <c r="W452" s="1" t="s">
        <v>56</v>
      </c>
      <c r="X452" s="1" t="s">
        <v>1923</v>
      </c>
    </row>
    <row r="453">
      <c r="A453" s="1" t="s">
        <v>1924</v>
      </c>
      <c r="B453" s="1" t="s">
        <v>1925</v>
      </c>
      <c r="C453" s="1" t="s">
        <v>1926</v>
      </c>
      <c r="D453" s="1" t="s">
        <v>51</v>
      </c>
      <c r="E453" s="1" t="s">
        <v>29</v>
      </c>
      <c r="F453" s="1">
        <v>2200000.0</v>
      </c>
      <c r="G453" s="1" t="s">
        <v>1114</v>
      </c>
      <c r="H453" s="1" t="s">
        <v>1524</v>
      </c>
      <c r="I453" s="1" t="s">
        <v>202</v>
      </c>
      <c r="K453" s="1">
        <v>0.0</v>
      </c>
      <c r="L453" s="1" t="s">
        <v>1165</v>
      </c>
      <c r="M453" s="1" t="str">
        <f>VLOOKUP(L453,'Copy of PMD Workday Constants -'!B452:W1138,22,false)</f>
        <v>Delivery</v>
      </c>
      <c r="N453" s="1" t="s">
        <v>32</v>
      </c>
      <c r="O453" s="1" t="s">
        <v>33</v>
      </c>
      <c r="P453" s="1" t="s">
        <v>34</v>
      </c>
      <c r="Q453" s="1" t="s">
        <v>34</v>
      </c>
      <c r="R453" s="1" t="s">
        <v>35</v>
      </c>
      <c r="S453" s="1" t="s">
        <v>1166</v>
      </c>
      <c r="T453" s="1">
        <v>1.00586863E8</v>
      </c>
      <c r="W453" s="1" t="s">
        <v>456</v>
      </c>
      <c r="X453" s="1" t="s">
        <v>1167</v>
      </c>
    </row>
    <row r="454">
      <c r="A454" s="1" t="s">
        <v>1927</v>
      </c>
      <c r="B454" s="1" t="s">
        <v>1928</v>
      </c>
      <c r="C454" s="1" t="s">
        <v>1606</v>
      </c>
      <c r="D454" s="1" t="s">
        <v>28</v>
      </c>
      <c r="E454" s="1" t="s">
        <v>29</v>
      </c>
      <c r="F454" s="1">
        <v>2200000.0</v>
      </c>
      <c r="G454" s="1" t="s">
        <v>1114</v>
      </c>
      <c r="H454" s="4">
        <v>44656.0</v>
      </c>
      <c r="I454" s="1" t="s">
        <v>166</v>
      </c>
      <c r="K454" s="1">
        <v>0.0</v>
      </c>
      <c r="L454" s="1" t="s">
        <v>1165</v>
      </c>
      <c r="M454" s="1" t="str">
        <f>VLOOKUP(L454,'Copy of PMD Workday Constants -'!B453:W1139,22,false)</f>
        <v>Delivery</v>
      </c>
      <c r="N454" s="1" t="s">
        <v>32</v>
      </c>
      <c r="O454" s="1" t="s">
        <v>33</v>
      </c>
      <c r="P454" s="1" t="s">
        <v>34</v>
      </c>
      <c r="Q454" s="1" t="s">
        <v>34</v>
      </c>
      <c r="R454" s="1" t="s">
        <v>35</v>
      </c>
      <c r="S454" s="1" t="s">
        <v>1166</v>
      </c>
      <c r="T454" s="1">
        <v>1.00586863E8</v>
      </c>
      <c r="W454" s="1" t="s">
        <v>147</v>
      </c>
      <c r="X454" s="1" t="s">
        <v>1607</v>
      </c>
    </row>
    <row r="455">
      <c r="A455" s="1" t="s">
        <v>1929</v>
      </c>
      <c r="B455" s="1" t="s">
        <v>1930</v>
      </c>
      <c r="C455" s="1" t="s">
        <v>1931</v>
      </c>
      <c r="D455" s="1" t="s">
        <v>103</v>
      </c>
      <c r="E455" s="1" t="s">
        <v>29</v>
      </c>
      <c r="F455" s="5">
        <v>2200000.0</v>
      </c>
      <c r="G455" s="1" t="s">
        <v>1114</v>
      </c>
      <c r="H455" s="1" t="s">
        <v>1842</v>
      </c>
      <c r="I455" s="4">
        <v>44780.0</v>
      </c>
      <c r="K455" s="1">
        <v>0.0</v>
      </c>
      <c r="L455" s="1" t="s">
        <v>1932</v>
      </c>
      <c r="M455" s="1" t="str">
        <f>VLOOKUP(L455,'Copy of PMD Workday Constants -'!B424:Y1110,22,false)</f>
        <v>Catalyst</v>
      </c>
      <c r="N455" s="1" t="s">
        <v>32</v>
      </c>
      <c r="O455" s="1" t="s">
        <v>33</v>
      </c>
      <c r="P455" s="1" t="s">
        <v>34</v>
      </c>
      <c r="Q455" s="1" t="s">
        <v>34</v>
      </c>
      <c r="R455" s="1" t="s">
        <v>35</v>
      </c>
      <c r="T455" s="1">
        <v>1.0119869E8</v>
      </c>
      <c r="W455" s="1" t="s">
        <v>74</v>
      </c>
      <c r="X455" s="1" t="s">
        <v>1933</v>
      </c>
    </row>
    <row r="456">
      <c r="A456" s="1" t="s">
        <v>1934</v>
      </c>
      <c r="B456" s="1" t="s">
        <v>1935</v>
      </c>
      <c r="C456" s="1" t="s">
        <v>1936</v>
      </c>
      <c r="D456" s="1" t="s">
        <v>79</v>
      </c>
      <c r="E456" s="1" t="s">
        <v>29</v>
      </c>
      <c r="F456" s="5">
        <v>2200000.0</v>
      </c>
      <c r="G456" s="1" t="s">
        <v>1114</v>
      </c>
      <c r="H456" s="4">
        <v>44839.0</v>
      </c>
      <c r="I456" s="4">
        <v>44780.0</v>
      </c>
      <c r="K456" s="1">
        <v>0.0</v>
      </c>
      <c r="L456" s="1" t="s">
        <v>968</v>
      </c>
      <c r="M456" s="1" t="str">
        <f>VLOOKUP(L456,'Copy of PMD Workday Constants -'!B425:Y1111,22,false)</f>
        <v>#N/A</v>
      </c>
      <c r="N456" s="1" t="s">
        <v>32</v>
      </c>
      <c r="O456" s="1" t="s">
        <v>33</v>
      </c>
      <c r="P456" s="1" t="s">
        <v>210</v>
      </c>
      <c r="Q456" s="1" t="s">
        <v>210</v>
      </c>
      <c r="R456" s="1" t="s">
        <v>211</v>
      </c>
      <c r="S456" s="1" t="s">
        <v>416</v>
      </c>
      <c r="T456" s="1">
        <v>1.00647262E8</v>
      </c>
      <c r="W456" s="1" t="s">
        <v>56</v>
      </c>
      <c r="X456" s="1" t="s">
        <v>968</v>
      </c>
    </row>
    <row r="457">
      <c r="A457" s="1" t="s">
        <v>1937</v>
      </c>
      <c r="B457" s="1" t="s">
        <v>931</v>
      </c>
      <c r="C457" s="1" t="s">
        <v>1938</v>
      </c>
      <c r="D457" s="1" t="s">
        <v>28</v>
      </c>
      <c r="E457" s="1" t="s">
        <v>29</v>
      </c>
      <c r="F457" s="1">
        <v>2156100.0</v>
      </c>
      <c r="G457" s="1" t="s">
        <v>1114</v>
      </c>
      <c r="H457" s="1" t="s">
        <v>1681</v>
      </c>
      <c r="I457" s="1" t="s">
        <v>302</v>
      </c>
      <c r="K457" s="1">
        <v>0.0</v>
      </c>
      <c r="L457" s="1" t="s">
        <v>1939</v>
      </c>
      <c r="M457" s="1" t="str">
        <f>VLOOKUP(L457,'Copy of PMD Workday Constants -'!B456:W1142,22,false)</f>
        <v>Delivery</v>
      </c>
      <c r="N457" s="1" t="s">
        <v>32</v>
      </c>
      <c r="O457" s="1" t="s">
        <v>33</v>
      </c>
      <c r="P457" s="1" t="s">
        <v>173</v>
      </c>
      <c r="Q457" s="1" t="s">
        <v>173</v>
      </c>
      <c r="R457" s="1" t="s">
        <v>174</v>
      </c>
      <c r="S457" s="1" t="s">
        <v>153</v>
      </c>
      <c r="T457" s="1">
        <v>1.00649264E8</v>
      </c>
      <c r="W457" s="1" t="s">
        <v>85</v>
      </c>
      <c r="X457" s="1" t="s">
        <v>1940</v>
      </c>
    </row>
    <row r="458">
      <c r="A458" s="1" t="s">
        <v>1941</v>
      </c>
      <c r="B458" s="1" t="s">
        <v>776</v>
      </c>
      <c r="C458" s="1" t="s">
        <v>1942</v>
      </c>
      <c r="D458" s="1" t="s">
        <v>79</v>
      </c>
      <c r="E458" s="1" t="s">
        <v>29</v>
      </c>
      <c r="F458" s="1">
        <v>2150000.0</v>
      </c>
      <c r="G458" s="1" t="s">
        <v>1114</v>
      </c>
      <c r="H458" s="1" t="s">
        <v>592</v>
      </c>
      <c r="I458" s="1" t="s">
        <v>131</v>
      </c>
      <c r="K458" s="1">
        <v>0.0</v>
      </c>
      <c r="L458" s="1" t="s">
        <v>779</v>
      </c>
      <c r="M458" s="1" t="str">
        <f>VLOOKUP(L458,'Copy of PMD Workday Constants -'!B457:W1143,22,false)</f>
        <v>LCP</v>
      </c>
      <c r="N458" s="1" t="s">
        <v>32</v>
      </c>
      <c r="O458" s="1" t="s">
        <v>33</v>
      </c>
      <c r="P458" s="1" t="s">
        <v>222</v>
      </c>
      <c r="Q458" s="1" t="s">
        <v>222</v>
      </c>
      <c r="R458" s="1" t="s">
        <v>223</v>
      </c>
      <c r="T458" s="1">
        <v>1.0061139E8</v>
      </c>
      <c r="U458" s="1" t="s">
        <v>777</v>
      </c>
      <c r="V458" s="1" t="s">
        <v>781</v>
      </c>
      <c r="W458" s="1" t="s">
        <v>74</v>
      </c>
      <c r="X458" s="1" t="s">
        <v>782</v>
      </c>
    </row>
    <row r="459">
      <c r="A459" s="1" t="s">
        <v>1943</v>
      </c>
      <c r="B459" s="1" t="s">
        <v>432</v>
      </c>
      <c r="C459" s="1" t="s">
        <v>1944</v>
      </c>
      <c r="D459" s="1" t="s">
        <v>28</v>
      </c>
      <c r="E459" s="1" t="s">
        <v>29</v>
      </c>
      <c r="F459" s="5">
        <v>2145000.0</v>
      </c>
      <c r="G459" s="1" t="s">
        <v>1114</v>
      </c>
      <c r="H459" s="1" t="s">
        <v>42</v>
      </c>
      <c r="I459" s="4">
        <v>44573.0</v>
      </c>
      <c r="K459" s="1">
        <v>0.0</v>
      </c>
      <c r="L459" s="1" t="s">
        <v>1870</v>
      </c>
      <c r="M459" s="1" t="str">
        <f>VLOOKUP(L459,'Copy of PMD Workday Constants -'!B428:Y1114,22,false)</f>
        <v>#N/A</v>
      </c>
      <c r="N459" s="1" t="s">
        <v>32</v>
      </c>
      <c r="O459" s="1" t="s">
        <v>33</v>
      </c>
      <c r="P459" s="1" t="s">
        <v>112</v>
      </c>
      <c r="Q459" s="1" t="s">
        <v>112</v>
      </c>
      <c r="R459" s="1" t="s">
        <v>113</v>
      </c>
      <c r="S459" s="1" t="s">
        <v>1336</v>
      </c>
      <c r="T459" s="1">
        <v>1.00638639E8</v>
      </c>
      <c r="W459" s="1" t="s">
        <v>436</v>
      </c>
      <c r="X459" s="1" t="s">
        <v>1337</v>
      </c>
    </row>
    <row r="460">
      <c r="A460" s="1" t="s">
        <v>1945</v>
      </c>
      <c r="B460" s="1" t="s">
        <v>93</v>
      </c>
      <c r="C460" s="1" t="s">
        <v>1946</v>
      </c>
      <c r="D460" s="1" t="s">
        <v>51</v>
      </c>
      <c r="E460" s="1" t="s">
        <v>29</v>
      </c>
      <c r="F460" s="5">
        <v>2100000.0</v>
      </c>
      <c r="G460" s="1" t="s">
        <v>1114</v>
      </c>
      <c r="H460" s="1" t="s">
        <v>537</v>
      </c>
      <c r="I460" s="1" t="s">
        <v>302</v>
      </c>
      <c r="K460" s="1">
        <v>0.0</v>
      </c>
      <c r="L460" s="1" t="s">
        <v>209</v>
      </c>
      <c r="M460" s="1" t="str">
        <f>VLOOKUP(L460,'Copy of PMD Workday Constants -'!B429:Y1115,22,false)</f>
        <v>#N/A</v>
      </c>
      <c r="N460" s="1" t="s">
        <v>32</v>
      </c>
      <c r="O460" s="1" t="s">
        <v>33</v>
      </c>
      <c r="P460" s="1" t="s">
        <v>210</v>
      </c>
      <c r="Q460" s="1" t="s">
        <v>210</v>
      </c>
      <c r="R460" s="1" t="s">
        <v>211</v>
      </c>
      <c r="S460" s="1" t="s">
        <v>212</v>
      </c>
      <c r="T460" s="1">
        <v>1.00628186E8</v>
      </c>
      <c r="W460" s="1" t="s">
        <v>56</v>
      </c>
      <c r="X460" s="1" t="s">
        <v>1101</v>
      </c>
    </row>
    <row r="461">
      <c r="A461" s="1" t="s">
        <v>1947</v>
      </c>
      <c r="B461" s="1" t="s">
        <v>709</v>
      </c>
      <c r="C461" s="1" t="s">
        <v>1948</v>
      </c>
      <c r="D461" s="1" t="s">
        <v>103</v>
      </c>
      <c r="E461" s="1" t="s">
        <v>29</v>
      </c>
      <c r="F461" s="5">
        <v>2100000.0</v>
      </c>
      <c r="G461" s="1" t="s">
        <v>1114</v>
      </c>
      <c r="H461" s="4">
        <v>44839.0</v>
      </c>
      <c r="I461" s="4">
        <v>44568.0</v>
      </c>
      <c r="K461" s="1">
        <v>0.0</v>
      </c>
      <c r="L461" s="1" t="s">
        <v>1241</v>
      </c>
      <c r="M461" s="1" t="str">
        <f>VLOOKUP(L461,'Copy of PMD Workday Constants -'!B430:Y1116,22,false)</f>
        <v>#N/A</v>
      </c>
      <c r="N461" s="1" t="s">
        <v>32</v>
      </c>
      <c r="O461" s="1" t="s">
        <v>33</v>
      </c>
      <c r="P461" s="1" t="s">
        <v>34</v>
      </c>
      <c r="Q461" s="1" t="s">
        <v>34</v>
      </c>
      <c r="R461" s="1" t="s">
        <v>35</v>
      </c>
      <c r="T461" s="1">
        <v>1.00621724E8</v>
      </c>
      <c r="W461" s="1" t="s">
        <v>140</v>
      </c>
      <c r="X461" s="1" t="s">
        <v>1949</v>
      </c>
    </row>
    <row r="462">
      <c r="A462" s="1" t="s">
        <v>1950</v>
      </c>
      <c r="B462" s="1" t="s">
        <v>642</v>
      </c>
      <c r="C462" s="1" t="s">
        <v>1951</v>
      </c>
      <c r="D462" s="1" t="s">
        <v>51</v>
      </c>
      <c r="E462" s="1" t="s">
        <v>29</v>
      </c>
      <c r="F462" s="5">
        <v>2100000.0</v>
      </c>
      <c r="G462" s="1" t="s">
        <v>1114</v>
      </c>
      <c r="H462" s="1" t="s">
        <v>1952</v>
      </c>
      <c r="I462" s="1" t="s">
        <v>732</v>
      </c>
      <c r="K462" s="1">
        <v>0.0</v>
      </c>
      <c r="L462" s="1" t="s">
        <v>645</v>
      </c>
      <c r="M462" s="1" t="str">
        <f>VLOOKUP(L462,'Copy of PMD Workday Constants -'!B431:Y1117,22,false)</f>
        <v>#N/A</v>
      </c>
      <c r="N462" s="1" t="s">
        <v>32</v>
      </c>
      <c r="O462" s="1" t="s">
        <v>33</v>
      </c>
      <c r="P462" s="1" t="s">
        <v>64</v>
      </c>
      <c r="Q462" s="1" t="s">
        <v>64</v>
      </c>
      <c r="R462" s="1" t="s">
        <v>65</v>
      </c>
      <c r="S462" s="1" t="s">
        <v>98</v>
      </c>
      <c r="T462" s="1">
        <v>1.00653597E8</v>
      </c>
      <c r="W462" s="1" t="s">
        <v>56</v>
      </c>
      <c r="X462" s="1" t="s">
        <v>645</v>
      </c>
    </row>
    <row r="463">
      <c r="A463" s="1" t="s">
        <v>1953</v>
      </c>
      <c r="B463" s="1" t="s">
        <v>289</v>
      </c>
      <c r="C463" s="1" t="s">
        <v>541</v>
      </c>
      <c r="D463" s="1" t="s">
        <v>51</v>
      </c>
      <c r="E463" s="1" t="s">
        <v>29</v>
      </c>
      <c r="F463" s="5">
        <v>2100000.0</v>
      </c>
      <c r="G463" s="1" t="s">
        <v>1114</v>
      </c>
      <c r="H463" s="4">
        <v>44318.0</v>
      </c>
      <c r="I463" s="4">
        <v>44988.0</v>
      </c>
      <c r="K463" s="1">
        <v>0.0</v>
      </c>
      <c r="L463" s="1" t="s">
        <v>539</v>
      </c>
      <c r="M463" s="1" t="str">
        <f>VLOOKUP(L463,'Copy of PMD Workday Constants -'!B432:Y1118,22,false)</f>
        <v>#N/A</v>
      </c>
      <c r="N463" s="1" t="s">
        <v>32</v>
      </c>
      <c r="O463" s="1" t="s">
        <v>33</v>
      </c>
      <c r="P463" s="1" t="s">
        <v>173</v>
      </c>
      <c r="Q463" s="1" t="s">
        <v>173</v>
      </c>
      <c r="R463" s="1" t="s">
        <v>174</v>
      </c>
      <c r="S463" s="1" t="s">
        <v>540</v>
      </c>
      <c r="T463" s="1">
        <v>1.00586314E8</v>
      </c>
      <c r="V463" s="1" t="s">
        <v>67</v>
      </c>
      <c r="W463" s="1" t="s">
        <v>74</v>
      </c>
      <c r="X463" s="1" t="s">
        <v>539</v>
      </c>
    </row>
    <row r="464">
      <c r="A464" s="1" t="s">
        <v>1954</v>
      </c>
      <c r="B464" s="1" t="s">
        <v>1664</v>
      </c>
      <c r="C464" s="1" t="s">
        <v>1955</v>
      </c>
      <c r="D464" s="1" t="s">
        <v>28</v>
      </c>
      <c r="E464" s="1" t="s">
        <v>29</v>
      </c>
      <c r="F464" s="5">
        <v>2000000.0</v>
      </c>
      <c r="G464" s="1" t="s">
        <v>1114</v>
      </c>
      <c r="H464" s="4">
        <v>44595.0</v>
      </c>
      <c r="I464" s="1" t="s">
        <v>96</v>
      </c>
      <c r="K464" s="1">
        <v>0.0</v>
      </c>
      <c r="L464" s="1" t="s">
        <v>830</v>
      </c>
      <c r="M464" s="1" t="str">
        <f>VLOOKUP(L464,'Copy of PMD Workday Constants -'!B433:Y1119,22,false)</f>
        <v>#N/A</v>
      </c>
      <c r="N464" s="1" t="s">
        <v>32</v>
      </c>
      <c r="O464" s="1" t="s">
        <v>33</v>
      </c>
      <c r="P464" s="1" t="s">
        <v>173</v>
      </c>
      <c r="Q464" s="1" t="s">
        <v>173</v>
      </c>
      <c r="R464" s="1" t="s">
        <v>174</v>
      </c>
      <c r="T464" s="1">
        <v>1.00584422E8</v>
      </c>
      <c r="W464" s="1" t="s">
        <v>147</v>
      </c>
      <c r="X464" s="1" t="s">
        <v>1571</v>
      </c>
    </row>
    <row r="465">
      <c r="A465" s="1" t="s">
        <v>1956</v>
      </c>
      <c r="B465" s="1" t="s">
        <v>1957</v>
      </c>
      <c r="C465" s="1" t="s">
        <v>1958</v>
      </c>
      <c r="D465" s="1" t="s">
        <v>28</v>
      </c>
      <c r="E465" s="1" t="s">
        <v>29</v>
      </c>
      <c r="F465" s="5">
        <v>2000000.0</v>
      </c>
      <c r="G465" s="1" t="s">
        <v>1114</v>
      </c>
      <c r="H465" s="4">
        <v>44348.0</v>
      </c>
      <c r="I465" s="1" t="s">
        <v>406</v>
      </c>
      <c r="K465" s="1">
        <v>0.0</v>
      </c>
      <c r="L465" s="1" t="s">
        <v>749</v>
      </c>
      <c r="M465" s="1" t="str">
        <f>VLOOKUP(L465,'Copy of PMD Workday Constants -'!B434:Y1120,22,false)</f>
        <v>#N/A</v>
      </c>
      <c r="N465" s="1" t="s">
        <v>32</v>
      </c>
      <c r="O465" s="1" t="s">
        <v>33</v>
      </c>
      <c r="P465" s="1" t="s">
        <v>34</v>
      </c>
      <c r="Q465" s="1" t="s">
        <v>34</v>
      </c>
      <c r="R465" s="1" t="s">
        <v>35</v>
      </c>
      <c r="S465" s="1" t="s">
        <v>153</v>
      </c>
      <c r="T465" s="1">
        <v>1.00686761E8</v>
      </c>
      <c r="W465" s="1" t="s">
        <v>37</v>
      </c>
      <c r="X465" s="1" t="s">
        <v>689</v>
      </c>
    </row>
    <row r="466">
      <c r="A466" s="1" t="s">
        <v>1959</v>
      </c>
      <c r="B466" s="1" t="s">
        <v>1960</v>
      </c>
      <c r="C466" s="1" t="s">
        <v>1961</v>
      </c>
      <c r="D466" s="1" t="s">
        <v>51</v>
      </c>
      <c r="E466" s="1" t="s">
        <v>29</v>
      </c>
      <c r="F466" s="5">
        <v>2000000.0</v>
      </c>
      <c r="G466" s="1" t="s">
        <v>1114</v>
      </c>
      <c r="H466" s="1" t="s">
        <v>870</v>
      </c>
      <c r="I466" s="4">
        <v>44570.0</v>
      </c>
      <c r="K466" s="1">
        <v>0.0</v>
      </c>
      <c r="L466" s="1" t="s">
        <v>505</v>
      </c>
      <c r="M466" s="1" t="str">
        <f>VLOOKUP(L466,'Copy of PMD Workday Constants -'!B435:Y1121,22,false)</f>
        <v>#N/A</v>
      </c>
      <c r="N466" s="1" t="s">
        <v>32</v>
      </c>
      <c r="O466" s="1" t="s">
        <v>33</v>
      </c>
      <c r="P466" s="1" t="s">
        <v>112</v>
      </c>
      <c r="Q466" s="1" t="s">
        <v>112</v>
      </c>
      <c r="R466" s="1" t="s">
        <v>113</v>
      </c>
      <c r="S466" s="1" t="s">
        <v>73</v>
      </c>
      <c r="T466" s="1">
        <v>1.0062347E8</v>
      </c>
      <c r="W466" s="1" t="s">
        <v>287</v>
      </c>
      <c r="X466" s="1" t="s">
        <v>505</v>
      </c>
    </row>
    <row r="467">
      <c r="A467" s="1" t="s">
        <v>1962</v>
      </c>
      <c r="B467" s="1" t="s">
        <v>1062</v>
      </c>
      <c r="C467" s="1" t="s">
        <v>1963</v>
      </c>
      <c r="D467" s="1" t="s">
        <v>28</v>
      </c>
      <c r="E467" s="1" t="s">
        <v>29</v>
      </c>
      <c r="F467" s="5">
        <v>2000000.0</v>
      </c>
      <c r="G467" s="1" t="s">
        <v>1114</v>
      </c>
      <c r="H467" s="4">
        <v>44208.0</v>
      </c>
      <c r="I467" s="1" t="s">
        <v>152</v>
      </c>
      <c r="K467" s="1">
        <v>0.0</v>
      </c>
      <c r="L467" s="1" t="s">
        <v>1964</v>
      </c>
      <c r="M467" s="1" t="str">
        <f>VLOOKUP(L467,'Copy of PMD Workday Constants -'!B436:Y1122,22,false)</f>
        <v>#N/A</v>
      </c>
      <c r="N467" s="1" t="s">
        <v>32</v>
      </c>
      <c r="O467" s="1" t="s">
        <v>33</v>
      </c>
      <c r="P467" s="1" t="s">
        <v>222</v>
      </c>
      <c r="Q467" s="1" t="s">
        <v>222</v>
      </c>
      <c r="R467" s="1" t="s">
        <v>223</v>
      </c>
      <c r="S467" s="1" t="s">
        <v>482</v>
      </c>
      <c r="T467" s="1">
        <v>1.0065343E8</v>
      </c>
      <c r="W467" s="1" t="s">
        <v>493</v>
      </c>
      <c r="X467" s="1" t="s">
        <v>1964</v>
      </c>
    </row>
    <row r="468">
      <c r="A468" s="1" t="s">
        <v>1965</v>
      </c>
      <c r="B468" s="1" t="s">
        <v>1966</v>
      </c>
      <c r="C468" s="1" t="s">
        <v>196</v>
      </c>
      <c r="D468" s="1" t="s">
        <v>51</v>
      </c>
      <c r="E468" s="1" t="s">
        <v>29</v>
      </c>
      <c r="F468" s="5">
        <v>2000000.0</v>
      </c>
      <c r="G468" s="1" t="s">
        <v>1114</v>
      </c>
      <c r="H468" s="1" t="s">
        <v>197</v>
      </c>
      <c r="I468" s="1" t="s">
        <v>104</v>
      </c>
      <c r="K468" s="1">
        <v>0.0</v>
      </c>
      <c r="L468" s="1" t="s">
        <v>198</v>
      </c>
      <c r="M468" s="1" t="str">
        <f>VLOOKUP(L468,'Copy of PMD Workday Constants -'!B437:Y1123,22,false)</f>
        <v>#N/A</v>
      </c>
      <c r="N468" s="1" t="s">
        <v>32</v>
      </c>
      <c r="O468" s="1" t="s">
        <v>33</v>
      </c>
      <c r="P468" s="1" t="s">
        <v>82</v>
      </c>
      <c r="Q468" s="1" t="s">
        <v>82</v>
      </c>
      <c r="R468" s="1" t="s">
        <v>83</v>
      </c>
      <c r="S468" s="1" t="s">
        <v>180</v>
      </c>
      <c r="T468" s="1">
        <v>1.00590896E8</v>
      </c>
      <c r="W468" s="1" t="s">
        <v>85</v>
      </c>
      <c r="X468" s="1" t="s">
        <v>199</v>
      </c>
    </row>
    <row r="469">
      <c r="A469" s="1" t="s">
        <v>1967</v>
      </c>
      <c r="B469" s="1" t="s">
        <v>1968</v>
      </c>
      <c r="C469" s="1" t="s">
        <v>1969</v>
      </c>
      <c r="D469" s="1" t="s">
        <v>28</v>
      </c>
      <c r="E469" s="1" t="s">
        <v>29</v>
      </c>
      <c r="F469" s="1">
        <v>2000000.0</v>
      </c>
      <c r="G469" s="1" t="s">
        <v>1114</v>
      </c>
      <c r="H469" s="1" t="s">
        <v>816</v>
      </c>
      <c r="I469" s="4">
        <v>44813.0</v>
      </c>
      <c r="K469" s="1">
        <v>0.0</v>
      </c>
      <c r="L469" s="1" t="s">
        <v>737</v>
      </c>
      <c r="M469" s="1" t="str">
        <f>VLOOKUP(L469,'Copy of PMD Workday Constants -'!B468:W1154,22,false)</f>
        <v>Delivery</v>
      </c>
      <c r="N469" s="1" t="s">
        <v>32</v>
      </c>
      <c r="O469" s="1" t="s">
        <v>33</v>
      </c>
      <c r="P469" s="1" t="s">
        <v>112</v>
      </c>
      <c r="Q469" s="1" t="s">
        <v>112</v>
      </c>
      <c r="R469" s="1" t="s">
        <v>113</v>
      </c>
      <c r="S469" s="1" t="s">
        <v>455</v>
      </c>
      <c r="T469" s="1">
        <v>1.00629729E8</v>
      </c>
      <c r="W469" s="1" t="s">
        <v>85</v>
      </c>
      <c r="X469" s="1" t="s">
        <v>1970</v>
      </c>
    </row>
    <row r="470">
      <c r="A470" s="1" t="s">
        <v>1971</v>
      </c>
      <c r="B470" s="1" t="s">
        <v>1204</v>
      </c>
      <c r="C470" s="1" t="s">
        <v>1972</v>
      </c>
      <c r="D470" s="1" t="s">
        <v>28</v>
      </c>
      <c r="E470" s="1" t="s">
        <v>29</v>
      </c>
      <c r="F470" s="5">
        <v>2000000.0</v>
      </c>
      <c r="G470" s="1" t="s">
        <v>1114</v>
      </c>
      <c r="H470" s="1" t="s">
        <v>1220</v>
      </c>
      <c r="I470" s="1" t="s">
        <v>302</v>
      </c>
      <c r="K470" s="1">
        <v>0.0</v>
      </c>
      <c r="L470" s="1" t="s">
        <v>1973</v>
      </c>
      <c r="M470" s="1" t="str">
        <f>VLOOKUP(L470,'Copy of PMD Workday Constants -'!B439:Y1125,22,false)</f>
        <v>#N/A</v>
      </c>
      <c r="N470" s="1" t="s">
        <v>32</v>
      </c>
      <c r="O470" s="1" t="s">
        <v>33</v>
      </c>
      <c r="P470" s="1" t="s">
        <v>82</v>
      </c>
      <c r="Q470" s="1" t="s">
        <v>82</v>
      </c>
      <c r="R470" s="1" t="s">
        <v>83</v>
      </c>
      <c r="S470" s="1" t="s">
        <v>180</v>
      </c>
      <c r="T470" s="1">
        <v>1.00619692E8</v>
      </c>
      <c r="W470" s="1" t="s">
        <v>85</v>
      </c>
      <c r="X470" s="1" t="s">
        <v>1974</v>
      </c>
    </row>
    <row r="471">
      <c r="A471" s="1" t="s">
        <v>1975</v>
      </c>
      <c r="B471" s="1" t="s">
        <v>1976</v>
      </c>
      <c r="C471" s="1" t="s">
        <v>1977</v>
      </c>
      <c r="D471" s="1" t="s">
        <v>103</v>
      </c>
      <c r="E471" s="1" t="s">
        <v>29</v>
      </c>
      <c r="F471" s="5">
        <v>2000000.0</v>
      </c>
      <c r="G471" s="1" t="s">
        <v>1114</v>
      </c>
      <c r="H471" s="4">
        <v>44806.0</v>
      </c>
      <c r="I471" s="1" t="s">
        <v>248</v>
      </c>
      <c r="K471" s="1">
        <v>0.0</v>
      </c>
      <c r="L471" s="1" t="s">
        <v>428</v>
      </c>
      <c r="M471" s="1" t="str">
        <f>VLOOKUP(L471,'Copy of PMD Workday Constants -'!B440:Y1126,22,false)</f>
        <v>#N/A</v>
      </c>
      <c r="N471" s="1" t="s">
        <v>32</v>
      </c>
      <c r="O471" s="1" t="s">
        <v>33</v>
      </c>
      <c r="P471" s="1" t="s">
        <v>173</v>
      </c>
      <c r="Q471" s="1" t="s">
        <v>173</v>
      </c>
      <c r="R471" s="1" t="s">
        <v>174</v>
      </c>
      <c r="S471" s="1" t="s">
        <v>153</v>
      </c>
      <c r="T471" s="1">
        <v>1.00654085E8</v>
      </c>
      <c r="W471" s="1" t="s">
        <v>85</v>
      </c>
      <c r="X471" s="1" t="s">
        <v>428</v>
      </c>
    </row>
    <row r="472">
      <c r="A472" s="1" t="s">
        <v>1978</v>
      </c>
      <c r="B472" s="1" t="s">
        <v>1979</v>
      </c>
      <c r="C472" s="1" t="s">
        <v>1980</v>
      </c>
      <c r="D472" s="1" t="s">
        <v>51</v>
      </c>
      <c r="E472" s="1" t="s">
        <v>29</v>
      </c>
      <c r="F472" s="5">
        <v>2000000.0</v>
      </c>
      <c r="G472" s="1" t="s">
        <v>1114</v>
      </c>
      <c r="H472" s="4">
        <v>44686.0</v>
      </c>
      <c r="I472" s="1" t="s">
        <v>104</v>
      </c>
      <c r="K472" s="1">
        <v>0.0</v>
      </c>
      <c r="L472" s="1" t="s">
        <v>1981</v>
      </c>
      <c r="M472" s="1" t="str">
        <f>VLOOKUP(L472,'Copy of PMD Workday Constants -'!B441:Y1127,22,false)</f>
        <v>#N/A</v>
      </c>
      <c r="N472" s="1" t="s">
        <v>32</v>
      </c>
      <c r="O472" s="1" t="s">
        <v>33</v>
      </c>
      <c r="P472" s="1" t="s">
        <v>64</v>
      </c>
      <c r="Q472" s="1" t="s">
        <v>64</v>
      </c>
      <c r="R472" s="1" t="s">
        <v>65</v>
      </c>
      <c r="S472" s="1" t="s">
        <v>1336</v>
      </c>
      <c r="T472" s="1">
        <v>1.00638494E8</v>
      </c>
      <c r="W472" s="1" t="s">
        <v>436</v>
      </c>
      <c r="X472" s="1" t="s">
        <v>1982</v>
      </c>
    </row>
    <row r="473">
      <c r="A473" s="1" t="s">
        <v>1983</v>
      </c>
      <c r="B473" s="1" t="s">
        <v>1984</v>
      </c>
      <c r="C473" s="1" t="s">
        <v>1985</v>
      </c>
      <c r="D473" s="1" t="s">
        <v>103</v>
      </c>
      <c r="E473" s="1" t="s">
        <v>29</v>
      </c>
      <c r="F473" s="5">
        <v>2000000.0</v>
      </c>
      <c r="G473" s="1" t="s">
        <v>1114</v>
      </c>
      <c r="H473" s="1" t="s">
        <v>1842</v>
      </c>
      <c r="I473" s="1" t="s">
        <v>152</v>
      </c>
      <c r="K473" s="1">
        <v>0.0</v>
      </c>
      <c r="L473" s="1" t="s">
        <v>198</v>
      </c>
      <c r="M473" s="1" t="str">
        <f>VLOOKUP(L473,'Copy of PMD Workday Constants -'!B442:Y1128,22,false)</f>
        <v>#N/A</v>
      </c>
      <c r="N473" s="1" t="s">
        <v>32</v>
      </c>
      <c r="O473" s="1" t="s">
        <v>33</v>
      </c>
      <c r="P473" s="1" t="s">
        <v>82</v>
      </c>
      <c r="Q473" s="1" t="s">
        <v>82</v>
      </c>
      <c r="R473" s="1" t="s">
        <v>83</v>
      </c>
      <c r="S473" s="1" t="s">
        <v>180</v>
      </c>
      <c r="T473" s="1">
        <v>1.00590896E8</v>
      </c>
      <c r="W473" s="1" t="s">
        <v>85</v>
      </c>
      <c r="X473" s="1" t="s">
        <v>1986</v>
      </c>
    </row>
    <row r="474">
      <c r="A474" s="1" t="s">
        <v>1987</v>
      </c>
      <c r="B474" s="1" t="s">
        <v>489</v>
      </c>
      <c r="C474" s="1" t="s">
        <v>1988</v>
      </c>
      <c r="D474" s="1" t="s">
        <v>28</v>
      </c>
      <c r="E474" s="1" t="s">
        <v>29</v>
      </c>
      <c r="F474" s="1">
        <v>2000000.0</v>
      </c>
      <c r="G474" s="1" t="s">
        <v>1114</v>
      </c>
      <c r="H474" s="4">
        <v>44686.0</v>
      </c>
      <c r="I474" s="4">
        <v>44570.0</v>
      </c>
      <c r="K474" s="1">
        <v>0.0</v>
      </c>
      <c r="L474" s="1" t="s">
        <v>847</v>
      </c>
      <c r="M474" s="1" t="str">
        <f>VLOOKUP(L474,'Copy of PMD Workday Constants -'!B473:W1159,22,false)</f>
        <v>Delivery</v>
      </c>
      <c r="N474" s="1" t="s">
        <v>32</v>
      </c>
      <c r="O474" s="1" t="s">
        <v>33</v>
      </c>
      <c r="P474" s="1" t="s">
        <v>173</v>
      </c>
      <c r="Q474" s="1" t="s">
        <v>173</v>
      </c>
      <c r="R474" s="1" t="s">
        <v>174</v>
      </c>
      <c r="T474" s="1">
        <v>1.00586701E8</v>
      </c>
      <c r="W474" s="1" t="s">
        <v>493</v>
      </c>
      <c r="X474" s="1" t="s">
        <v>848</v>
      </c>
    </row>
    <row r="475">
      <c r="A475" s="1" t="s">
        <v>1989</v>
      </c>
      <c r="B475" s="1" t="s">
        <v>1058</v>
      </c>
      <c r="C475" s="1" t="s">
        <v>1990</v>
      </c>
      <c r="D475" s="1" t="s">
        <v>28</v>
      </c>
      <c r="E475" s="1" t="s">
        <v>29</v>
      </c>
      <c r="F475" s="1">
        <v>2000000.0</v>
      </c>
      <c r="G475" s="1" t="s">
        <v>1114</v>
      </c>
      <c r="H475" s="4">
        <v>44775.0</v>
      </c>
      <c r="I475" s="1" t="s">
        <v>166</v>
      </c>
      <c r="K475" s="1">
        <v>0.0</v>
      </c>
      <c r="L475" s="1" t="s">
        <v>1659</v>
      </c>
      <c r="M475" s="1" t="str">
        <f>VLOOKUP(L475,'Copy of PMD Workday Constants -'!B474:W1160,22,false)</f>
        <v>Delivery</v>
      </c>
      <c r="N475" s="1" t="s">
        <v>32</v>
      </c>
      <c r="O475" s="1" t="s">
        <v>33</v>
      </c>
      <c r="P475" s="1" t="s">
        <v>173</v>
      </c>
      <c r="Q475" s="1" t="s">
        <v>173</v>
      </c>
      <c r="R475" s="1" t="s">
        <v>174</v>
      </c>
      <c r="S475" s="1" t="s">
        <v>612</v>
      </c>
      <c r="T475" s="1">
        <v>1.00650786E8</v>
      </c>
      <c r="W475" s="1" t="s">
        <v>147</v>
      </c>
      <c r="X475" s="1" t="s">
        <v>1659</v>
      </c>
    </row>
    <row r="476">
      <c r="A476" s="1" t="s">
        <v>1991</v>
      </c>
      <c r="B476" s="1" t="s">
        <v>489</v>
      </c>
      <c r="C476" s="1" t="s">
        <v>1992</v>
      </c>
      <c r="D476" s="1" t="s">
        <v>51</v>
      </c>
      <c r="E476" s="1" t="s">
        <v>29</v>
      </c>
      <c r="F476" s="1">
        <v>2000000.0</v>
      </c>
      <c r="G476" s="1" t="s">
        <v>1114</v>
      </c>
      <c r="H476" s="4">
        <v>44686.0</v>
      </c>
      <c r="I476" s="1" t="s">
        <v>104</v>
      </c>
      <c r="K476" s="1">
        <v>0.0</v>
      </c>
      <c r="L476" s="1" t="s">
        <v>847</v>
      </c>
      <c r="M476" s="1" t="str">
        <f>VLOOKUP(L476,'Copy of PMD Workday Constants -'!B475:W1161,22,false)</f>
        <v>Delivery</v>
      </c>
      <c r="N476" s="1" t="s">
        <v>32</v>
      </c>
      <c r="O476" s="1" t="s">
        <v>33</v>
      </c>
      <c r="P476" s="1" t="s">
        <v>173</v>
      </c>
      <c r="Q476" s="1" t="s">
        <v>173</v>
      </c>
      <c r="R476" s="1" t="s">
        <v>174</v>
      </c>
      <c r="T476" s="1">
        <v>1.00586701E8</v>
      </c>
      <c r="W476" s="1" t="s">
        <v>493</v>
      </c>
      <c r="X476" s="1" t="s">
        <v>848</v>
      </c>
    </row>
    <row r="477">
      <c r="A477" s="1" t="s">
        <v>1993</v>
      </c>
      <c r="B477" s="1" t="s">
        <v>1392</v>
      </c>
      <c r="C477" s="1" t="s">
        <v>1994</v>
      </c>
      <c r="D477" s="1" t="s">
        <v>28</v>
      </c>
      <c r="E477" s="1" t="s">
        <v>29</v>
      </c>
      <c r="F477" s="5">
        <v>2000000.0</v>
      </c>
      <c r="G477" s="1" t="s">
        <v>1114</v>
      </c>
      <c r="H477" s="4">
        <v>44013.0</v>
      </c>
      <c r="I477" s="1" t="s">
        <v>295</v>
      </c>
      <c r="K477" s="1">
        <v>0.0</v>
      </c>
      <c r="L477" s="1" t="s">
        <v>1397</v>
      </c>
      <c r="M477" s="1" t="str">
        <f>VLOOKUP(L477,'Copy of PMD Workday Constants -'!B446:Y1132,22,false)</f>
        <v>#N/A</v>
      </c>
      <c r="N477" s="1" t="s">
        <v>32</v>
      </c>
      <c r="O477" s="1" t="s">
        <v>33</v>
      </c>
      <c r="P477" s="1" t="s">
        <v>112</v>
      </c>
      <c r="Q477" s="1" t="s">
        <v>112</v>
      </c>
      <c r="R477" s="1" t="s">
        <v>113</v>
      </c>
      <c r="S477" s="1" t="s">
        <v>114</v>
      </c>
      <c r="T477" s="1">
        <v>1.00613841E8</v>
      </c>
      <c r="W477" s="1" t="s">
        <v>947</v>
      </c>
      <c r="X477" s="1" t="s">
        <v>1995</v>
      </c>
    </row>
    <row r="478">
      <c r="A478" s="1" t="s">
        <v>1996</v>
      </c>
      <c r="B478" s="1" t="s">
        <v>1997</v>
      </c>
      <c r="C478" s="1" t="s">
        <v>1998</v>
      </c>
      <c r="D478" s="1" t="s">
        <v>28</v>
      </c>
      <c r="E478" s="1" t="s">
        <v>29</v>
      </c>
      <c r="F478" s="5">
        <v>2000000.0</v>
      </c>
      <c r="G478" s="1" t="s">
        <v>1114</v>
      </c>
      <c r="H478" s="1" t="s">
        <v>375</v>
      </c>
      <c r="I478" s="1" t="s">
        <v>152</v>
      </c>
      <c r="K478" s="1">
        <v>0.0</v>
      </c>
      <c r="L478" s="1" t="s">
        <v>588</v>
      </c>
      <c r="M478" s="1" t="str">
        <f>VLOOKUP(L478,'Copy of PMD Workday Constants -'!B447:Y1133,22,false)</f>
        <v>#N/A</v>
      </c>
      <c r="N478" s="1" t="s">
        <v>32</v>
      </c>
      <c r="O478" s="1" t="s">
        <v>33</v>
      </c>
      <c r="P478" s="1" t="s">
        <v>34</v>
      </c>
      <c r="Q478" s="1" t="s">
        <v>34</v>
      </c>
      <c r="R478" s="1" t="s">
        <v>35</v>
      </c>
      <c r="T478" s="1">
        <v>1.00609607E8</v>
      </c>
      <c r="W478" s="1" t="s">
        <v>947</v>
      </c>
      <c r="X478" s="1" t="s">
        <v>1999</v>
      </c>
    </row>
    <row r="479">
      <c r="A479" s="1" t="s">
        <v>2000</v>
      </c>
      <c r="B479" s="1" t="s">
        <v>554</v>
      </c>
      <c r="C479" s="1" t="s">
        <v>2001</v>
      </c>
      <c r="D479" s="1" t="s">
        <v>28</v>
      </c>
      <c r="E479" s="1" t="s">
        <v>29</v>
      </c>
      <c r="F479" s="5">
        <v>2000000.0</v>
      </c>
      <c r="G479" s="1" t="s">
        <v>1114</v>
      </c>
      <c r="H479" s="1" t="s">
        <v>556</v>
      </c>
      <c r="I479" s="1" t="s">
        <v>264</v>
      </c>
      <c r="K479" s="1">
        <v>0.0</v>
      </c>
      <c r="L479" s="1" t="s">
        <v>557</v>
      </c>
      <c r="M479" s="1" t="str">
        <f>VLOOKUP(L479,'Copy of PMD Workday Constants -'!B448:Y1134,22,false)</f>
        <v>#N/A</v>
      </c>
      <c r="N479" s="1" t="s">
        <v>32</v>
      </c>
      <c r="O479" s="1" t="s">
        <v>33</v>
      </c>
      <c r="P479" s="1" t="s">
        <v>173</v>
      </c>
      <c r="Q479" s="1" t="s">
        <v>173</v>
      </c>
      <c r="R479" s="1" t="s">
        <v>174</v>
      </c>
      <c r="S479" s="1" t="s">
        <v>153</v>
      </c>
      <c r="T479" s="1">
        <v>1.00700761E8</v>
      </c>
      <c r="U479" s="1" t="s">
        <v>558</v>
      </c>
      <c r="V479" s="1" t="s">
        <v>187</v>
      </c>
      <c r="W479" s="1" t="s">
        <v>147</v>
      </c>
      <c r="X479" s="1" t="s">
        <v>559</v>
      </c>
    </row>
    <row r="480">
      <c r="A480" s="1" t="s">
        <v>2002</v>
      </c>
      <c r="B480" s="1" t="s">
        <v>521</v>
      </c>
      <c r="C480" s="1" t="s">
        <v>2003</v>
      </c>
      <c r="D480" s="1" t="s">
        <v>51</v>
      </c>
      <c r="E480" s="1" t="s">
        <v>29</v>
      </c>
      <c r="F480" s="5">
        <v>2000000.0</v>
      </c>
      <c r="G480" s="1" t="s">
        <v>1114</v>
      </c>
      <c r="H480" s="4">
        <v>44806.0</v>
      </c>
      <c r="I480" s="1" t="s">
        <v>2004</v>
      </c>
      <c r="K480" s="1">
        <v>0.0</v>
      </c>
      <c r="L480" s="1" t="s">
        <v>934</v>
      </c>
      <c r="M480" s="1" t="str">
        <f>VLOOKUP(L480,'Copy of PMD Workday Constants -'!B449:Y1135,22,false)</f>
        <v>#N/A</v>
      </c>
      <c r="N480" s="1" t="s">
        <v>32</v>
      </c>
      <c r="O480" s="1" t="s">
        <v>33</v>
      </c>
      <c r="P480" s="1" t="s">
        <v>173</v>
      </c>
      <c r="Q480" s="1" t="s">
        <v>173</v>
      </c>
      <c r="R480" s="1" t="s">
        <v>174</v>
      </c>
      <c r="S480" s="1" t="s">
        <v>153</v>
      </c>
      <c r="T480" s="1">
        <v>1.00653269E8</v>
      </c>
      <c r="U480" s="1" t="s">
        <v>2005</v>
      </c>
      <c r="V480" s="1" t="s">
        <v>187</v>
      </c>
      <c r="W480" s="1" t="s">
        <v>85</v>
      </c>
      <c r="X480" s="1" t="s">
        <v>2006</v>
      </c>
    </row>
    <row r="481">
      <c r="A481" s="1" t="s">
        <v>2007</v>
      </c>
      <c r="B481" s="1" t="s">
        <v>2008</v>
      </c>
      <c r="C481" s="1" t="s">
        <v>2009</v>
      </c>
      <c r="D481" s="1" t="s">
        <v>51</v>
      </c>
      <c r="E481" s="1" t="s">
        <v>29</v>
      </c>
      <c r="F481" s="5">
        <v>2000000.0</v>
      </c>
      <c r="G481" s="1" t="s">
        <v>1114</v>
      </c>
      <c r="H481" s="1" t="s">
        <v>865</v>
      </c>
      <c r="I481" s="1" t="s">
        <v>104</v>
      </c>
      <c r="K481" s="1">
        <v>0.0</v>
      </c>
      <c r="L481" s="1" t="s">
        <v>866</v>
      </c>
      <c r="M481" s="1" t="str">
        <f>VLOOKUP(L481,'Copy of PMD Workday Constants -'!B450:Y1136,22,false)</f>
        <v>#N/A</v>
      </c>
      <c r="N481" s="1" t="s">
        <v>32</v>
      </c>
      <c r="O481" s="1" t="s">
        <v>33</v>
      </c>
      <c r="P481" s="1" t="s">
        <v>82</v>
      </c>
      <c r="Q481" s="1" t="s">
        <v>82</v>
      </c>
      <c r="R481" s="1" t="s">
        <v>83</v>
      </c>
      <c r="S481" s="1" t="s">
        <v>84</v>
      </c>
      <c r="T481" s="1">
        <v>1.00941744E8</v>
      </c>
      <c r="W481" s="1" t="s">
        <v>85</v>
      </c>
      <c r="X481" s="1" t="s">
        <v>866</v>
      </c>
    </row>
    <row r="482">
      <c r="A482" s="1" t="s">
        <v>2010</v>
      </c>
      <c r="B482" s="1" t="s">
        <v>2011</v>
      </c>
      <c r="C482" s="1" t="s">
        <v>2012</v>
      </c>
      <c r="D482" s="1" t="s">
        <v>103</v>
      </c>
      <c r="E482" s="1" t="s">
        <v>29</v>
      </c>
      <c r="F482" s="5">
        <v>2000000.0</v>
      </c>
      <c r="G482" s="1" t="s">
        <v>1114</v>
      </c>
      <c r="H482" s="1" t="s">
        <v>1575</v>
      </c>
      <c r="I482" s="1" t="s">
        <v>132</v>
      </c>
      <c r="K482" s="1">
        <v>0.0</v>
      </c>
      <c r="L482" s="1" t="s">
        <v>2013</v>
      </c>
      <c r="M482" s="1" t="str">
        <f>VLOOKUP(L482,'Copy of PMD Workday Constants -'!B451:Y1137,22,false)</f>
        <v>#N/A</v>
      </c>
      <c r="N482" s="1" t="s">
        <v>32</v>
      </c>
      <c r="O482" s="1" t="s">
        <v>33</v>
      </c>
      <c r="P482" s="1" t="s">
        <v>222</v>
      </c>
      <c r="Q482" s="1" t="s">
        <v>222</v>
      </c>
      <c r="R482" s="1" t="s">
        <v>223</v>
      </c>
      <c r="S482" s="1" t="s">
        <v>482</v>
      </c>
      <c r="T482" s="1">
        <v>1.00596618E8</v>
      </c>
      <c r="W482" s="1" t="s">
        <v>56</v>
      </c>
      <c r="X482" s="1" t="s">
        <v>2014</v>
      </c>
    </row>
    <row r="483">
      <c r="A483" s="1" t="s">
        <v>2015</v>
      </c>
      <c r="B483" s="1" t="s">
        <v>776</v>
      </c>
      <c r="C483" s="1" t="s">
        <v>2016</v>
      </c>
      <c r="D483" s="1" t="s">
        <v>51</v>
      </c>
      <c r="E483" s="1" t="s">
        <v>29</v>
      </c>
      <c r="F483" s="1">
        <v>2000000.0</v>
      </c>
      <c r="G483" s="1" t="s">
        <v>1114</v>
      </c>
      <c r="H483" s="4">
        <v>44806.0</v>
      </c>
      <c r="I483" s="1" t="s">
        <v>152</v>
      </c>
      <c r="K483" s="1">
        <v>0.0</v>
      </c>
      <c r="L483" s="1" t="s">
        <v>1170</v>
      </c>
      <c r="M483" s="1" t="str">
        <f>VLOOKUP(L483,'Copy of PMD Workday Constants -'!B482:W1168,22,false)</f>
        <v>Delivery</v>
      </c>
      <c r="N483" s="1" t="s">
        <v>32</v>
      </c>
      <c r="O483" s="1" t="s">
        <v>33</v>
      </c>
      <c r="P483" s="1" t="s">
        <v>112</v>
      </c>
      <c r="Q483" s="1" t="s">
        <v>112</v>
      </c>
      <c r="R483" s="1" t="s">
        <v>113</v>
      </c>
      <c r="S483" s="1" t="s">
        <v>1336</v>
      </c>
      <c r="T483" s="1">
        <v>1.00595231E8</v>
      </c>
      <c r="W483" s="1" t="s">
        <v>74</v>
      </c>
      <c r="X483" s="1" t="s">
        <v>1170</v>
      </c>
    </row>
    <row r="484">
      <c r="A484" s="1" t="s">
        <v>2017</v>
      </c>
      <c r="B484" s="1" t="s">
        <v>2018</v>
      </c>
      <c r="C484" s="1" t="s">
        <v>2019</v>
      </c>
      <c r="D484" s="1" t="s">
        <v>28</v>
      </c>
      <c r="E484" s="1" t="s">
        <v>29</v>
      </c>
      <c r="F484" s="5">
        <v>2000000.0</v>
      </c>
      <c r="G484" s="1" t="s">
        <v>1114</v>
      </c>
      <c r="H484" s="1" t="s">
        <v>301</v>
      </c>
      <c r="I484" s="4">
        <v>44569.0</v>
      </c>
      <c r="K484" s="1">
        <v>0.0</v>
      </c>
      <c r="L484" s="1" t="s">
        <v>2020</v>
      </c>
      <c r="M484" s="1" t="str">
        <f>VLOOKUP(L484,'Copy of PMD Workday Constants -'!B453:Y1139,22,false)</f>
        <v>#N/A</v>
      </c>
      <c r="N484" s="1" t="s">
        <v>32</v>
      </c>
      <c r="O484" s="1" t="s">
        <v>33</v>
      </c>
      <c r="P484" s="1" t="s">
        <v>34</v>
      </c>
      <c r="Q484" s="1" t="s">
        <v>34</v>
      </c>
      <c r="R484" s="1" t="s">
        <v>35</v>
      </c>
      <c r="T484" s="1">
        <v>1.00893232E8</v>
      </c>
      <c r="W484" s="1" t="s">
        <v>140</v>
      </c>
      <c r="X484" s="1" t="s">
        <v>2020</v>
      </c>
    </row>
    <row r="485">
      <c r="A485" s="1" t="s">
        <v>2021</v>
      </c>
      <c r="B485" s="1" t="s">
        <v>2022</v>
      </c>
      <c r="C485" s="1" t="s">
        <v>2023</v>
      </c>
      <c r="D485" s="1" t="s">
        <v>103</v>
      </c>
      <c r="E485" s="1" t="s">
        <v>29</v>
      </c>
      <c r="F485" s="1">
        <v>2000000.0</v>
      </c>
      <c r="G485" s="1" t="s">
        <v>1114</v>
      </c>
      <c r="H485" s="4">
        <v>44236.0</v>
      </c>
      <c r="I485" s="4">
        <v>44659.0</v>
      </c>
      <c r="K485" s="1">
        <v>0.0</v>
      </c>
      <c r="L485" s="1" t="s">
        <v>2024</v>
      </c>
      <c r="M485" s="1" t="str">
        <f>VLOOKUP(L485,'Copy of PMD Workday Constants -'!B484:W1170,22,false)</f>
        <v>Delivery</v>
      </c>
      <c r="N485" s="1" t="s">
        <v>32</v>
      </c>
      <c r="O485" s="1" t="s">
        <v>33</v>
      </c>
      <c r="P485" s="1" t="s">
        <v>112</v>
      </c>
      <c r="Q485" s="1" t="s">
        <v>112</v>
      </c>
      <c r="R485" s="1" t="s">
        <v>113</v>
      </c>
      <c r="S485" s="1" t="s">
        <v>2025</v>
      </c>
      <c r="T485" s="1">
        <v>1.00580065E8</v>
      </c>
      <c r="W485" s="1" t="s">
        <v>115</v>
      </c>
      <c r="X485" s="1" t="s">
        <v>2024</v>
      </c>
    </row>
    <row r="486">
      <c r="A486" s="1" t="s">
        <v>2026</v>
      </c>
      <c r="B486" s="1" t="s">
        <v>2027</v>
      </c>
      <c r="C486" s="1" t="s">
        <v>2028</v>
      </c>
      <c r="D486" s="1" t="s">
        <v>28</v>
      </c>
      <c r="E486" s="1" t="s">
        <v>29</v>
      </c>
      <c r="F486" s="5">
        <v>2000000.0</v>
      </c>
      <c r="G486" s="1" t="s">
        <v>1114</v>
      </c>
      <c r="H486" s="4">
        <v>44716.0</v>
      </c>
      <c r="I486" s="1" t="s">
        <v>593</v>
      </c>
      <c r="K486" s="1">
        <v>0.0</v>
      </c>
      <c r="L486" s="1" t="s">
        <v>319</v>
      </c>
      <c r="M486" s="1" t="str">
        <f>VLOOKUP(L486,'Copy of PMD Workday Constants -'!B455:Y1141,22,false)</f>
        <v>#N/A</v>
      </c>
      <c r="N486" s="1" t="s">
        <v>32</v>
      </c>
      <c r="O486" s="1" t="s">
        <v>33</v>
      </c>
      <c r="P486" s="1" t="s">
        <v>82</v>
      </c>
      <c r="Q486" s="1" t="s">
        <v>82</v>
      </c>
      <c r="R486" s="1" t="s">
        <v>83</v>
      </c>
      <c r="S486" s="1" t="s">
        <v>84</v>
      </c>
      <c r="T486" s="1">
        <v>1.00654705E8</v>
      </c>
      <c r="W486" s="1" t="s">
        <v>85</v>
      </c>
      <c r="X486" s="1" t="s">
        <v>319</v>
      </c>
    </row>
    <row r="487">
      <c r="A487" s="1" t="s">
        <v>2029</v>
      </c>
      <c r="B487" s="1" t="s">
        <v>1305</v>
      </c>
      <c r="C487" s="1" t="s">
        <v>2030</v>
      </c>
      <c r="D487" s="1" t="s">
        <v>28</v>
      </c>
      <c r="E487" s="1" t="s">
        <v>29</v>
      </c>
      <c r="F487" s="5">
        <v>2000000.0</v>
      </c>
      <c r="G487" s="1" t="s">
        <v>1114</v>
      </c>
      <c r="H487" s="4">
        <v>44477.0</v>
      </c>
      <c r="I487" s="1" t="s">
        <v>217</v>
      </c>
      <c r="K487" s="1">
        <v>0.0</v>
      </c>
      <c r="L487" s="1" t="s">
        <v>767</v>
      </c>
      <c r="M487" s="1" t="str">
        <f>VLOOKUP(L487,'Copy of PMD Workday Constants -'!B456:Y1142,22,false)</f>
        <v>#N/A</v>
      </c>
      <c r="N487" s="1" t="s">
        <v>32</v>
      </c>
      <c r="O487" s="1" t="s">
        <v>33</v>
      </c>
      <c r="P487" s="1" t="s">
        <v>82</v>
      </c>
      <c r="Q487" s="1" t="s">
        <v>82</v>
      </c>
      <c r="R487" s="1" t="s">
        <v>83</v>
      </c>
      <c r="S487" s="1" t="s">
        <v>583</v>
      </c>
      <c r="T487" s="1">
        <v>1.00589481E8</v>
      </c>
      <c r="U487" s="1" t="s">
        <v>2031</v>
      </c>
      <c r="V487" s="1" t="s">
        <v>187</v>
      </c>
      <c r="W487" s="1" t="s">
        <v>456</v>
      </c>
      <c r="X487" s="1" t="s">
        <v>1629</v>
      </c>
    </row>
    <row r="488">
      <c r="A488" s="1" t="s">
        <v>2032</v>
      </c>
      <c r="B488" s="1" t="s">
        <v>489</v>
      </c>
      <c r="C488" s="1" t="s">
        <v>2033</v>
      </c>
      <c r="D488" s="1" t="s">
        <v>28</v>
      </c>
      <c r="E488" s="1" t="s">
        <v>29</v>
      </c>
      <c r="F488" s="5">
        <v>2000000.0</v>
      </c>
      <c r="G488" s="1" t="s">
        <v>1114</v>
      </c>
      <c r="H488" s="4">
        <v>44656.0</v>
      </c>
      <c r="I488" s="4">
        <v>44569.0</v>
      </c>
      <c r="K488" s="1">
        <v>0.0</v>
      </c>
      <c r="L488" s="1" t="s">
        <v>847</v>
      </c>
      <c r="M488" s="1" t="str">
        <f>VLOOKUP(L488,'Copy of PMD Workday Constants -'!B457:Y1143,22,false)</f>
        <v>Delivery</v>
      </c>
      <c r="N488" s="1" t="s">
        <v>32</v>
      </c>
      <c r="O488" s="1" t="s">
        <v>33</v>
      </c>
      <c r="P488" s="1" t="s">
        <v>173</v>
      </c>
      <c r="Q488" s="1" t="s">
        <v>173</v>
      </c>
      <c r="R488" s="1" t="s">
        <v>174</v>
      </c>
      <c r="T488" s="1">
        <v>1.00586701E8</v>
      </c>
      <c r="W488" s="1" t="s">
        <v>493</v>
      </c>
      <c r="X488" s="1" t="s">
        <v>2034</v>
      </c>
    </row>
    <row r="489">
      <c r="A489" s="1" t="s">
        <v>2035</v>
      </c>
      <c r="B489" s="1" t="s">
        <v>40</v>
      </c>
      <c r="C489" s="1" t="s">
        <v>2036</v>
      </c>
      <c r="D489" s="1" t="s">
        <v>51</v>
      </c>
      <c r="E489" s="1" t="s">
        <v>29</v>
      </c>
      <c r="F489" s="1">
        <v>2000000.0</v>
      </c>
      <c r="G489" s="1" t="s">
        <v>1114</v>
      </c>
      <c r="H489" s="1" t="s">
        <v>1681</v>
      </c>
      <c r="I489" s="1" t="s">
        <v>248</v>
      </c>
      <c r="K489" s="1">
        <v>0.0</v>
      </c>
      <c r="L489" s="1" t="s">
        <v>275</v>
      </c>
      <c r="M489" s="1" t="str">
        <f>VLOOKUP(L489,'Copy of PMD Workday Constants -'!B488:W1174,22,false)</f>
        <v>Delivery</v>
      </c>
      <c r="N489" s="1" t="s">
        <v>32</v>
      </c>
      <c r="O489" s="1" t="s">
        <v>33</v>
      </c>
      <c r="P489" s="1" t="s">
        <v>34</v>
      </c>
      <c r="Q489" s="1" t="s">
        <v>34</v>
      </c>
      <c r="R489" s="1" t="s">
        <v>35</v>
      </c>
      <c r="S489" s="1" t="s">
        <v>126</v>
      </c>
      <c r="T489" s="1">
        <v>1.00608828E8</v>
      </c>
      <c r="W489" s="1" t="s">
        <v>47</v>
      </c>
      <c r="X489" s="1" t="s">
        <v>127</v>
      </c>
    </row>
    <row r="490">
      <c r="A490" s="1" t="s">
        <v>2037</v>
      </c>
      <c r="B490" s="1" t="s">
        <v>756</v>
      </c>
      <c r="C490" s="1" t="s">
        <v>2038</v>
      </c>
      <c r="D490" s="1" t="s">
        <v>28</v>
      </c>
      <c r="E490" s="1" t="s">
        <v>29</v>
      </c>
      <c r="F490" s="5">
        <v>2000000.0</v>
      </c>
      <c r="G490" s="1" t="s">
        <v>1114</v>
      </c>
      <c r="H490" s="4">
        <v>44806.0</v>
      </c>
      <c r="I490" s="1" t="s">
        <v>523</v>
      </c>
      <c r="K490" s="1">
        <v>0.0</v>
      </c>
      <c r="L490" s="1" t="s">
        <v>1344</v>
      </c>
      <c r="M490" s="1" t="str">
        <f>VLOOKUP(L490,'Copy of PMD Workday Constants -'!B459:Y1145,22,false)</f>
        <v>#N/A</v>
      </c>
      <c r="N490" s="1" t="s">
        <v>32</v>
      </c>
      <c r="O490" s="1" t="s">
        <v>33</v>
      </c>
      <c r="P490" s="1" t="s">
        <v>112</v>
      </c>
      <c r="Q490" s="1" t="s">
        <v>112</v>
      </c>
      <c r="R490" s="1" t="s">
        <v>113</v>
      </c>
      <c r="S490" s="1" t="s">
        <v>134</v>
      </c>
      <c r="T490" s="1">
        <v>1.0061941E8</v>
      </c>
      <c r="W490" s="1" t="s">
        <v>74</v>
      </c>
      <c r="X490" s="1" t="s">
        <v>1344</v>
      </c>
    </row>
    <row r="491">
      <c r="A491" s="1" t="s">
        <v>2039</v>
      </c>
      <c r="B491" s="1" t="s">
        <v>772</v>
      </c>
      <c r="C491" s="1" t="s">
        <v>2040</v>
      </c>
      <c r="D491" s="1" t="s">
        <v>28</v>
      </c>
      <c r="E491" s="1" t="s">
        <v>29</v>
      </c>
      <c r="F491" s="5">
        <v>2000000.0</v>
      </c>
      <c r="G491" s="1" t="s">
        <v>1114</v>
      </c>
      <c r="H491" s="4">
        <v>44387.0</v>
      </c>
      <c r="I491" s="1" t="s">
        <v>2041</v>
      </c>
      <c r="K491" s="1">
        <v>0.0</v>
      </c>
      <c r="L491" s="1" t="s">
        <v>2042</v>
      </c>
      <c r="M491" s="1" t="str">
        <f>VLOOKUP(L491,'Copy of PMD Workday Constants -'!B460:Y1146,22,false)</f>
        <v>#N/A</v>
      </c>
      <c r="N491" s="1" t="s">
        <v>32</v>
      </c>
      <c r="O491" s="1" t="s">
        <v>33</v>
      </c>
      <c r="P491" s="1" t="s">
        <v>34</v>
      </c>
      <c r="Q491" s="1" t="s">
        <v>34</v>
      </c>
      <c r="R491" s="1" t="s">
        <v>35</v>
      </c>
      <c r="S491" s="1" t="s">
        <v>126</v>
      </c>
      <c r="T491" s="1">
        <v>1.00611284E8</v>
      </c>
      <c r="W491" s="1" t="s">
        <v>37</v>
      </c>
      <c r="X491" s="1" t="s">
        <v>2043</v>
      </c>
    </row>
    <row r="492">
      <c r="A492" s="1" t="s">
        <v>2044</v>
      </c>
      <c r="B492" s="1" t="s">
        <v>1109</v>
      </c>
      <c r="C492" s="1" t="s">
        <v>2045</v>
      </c>
      <c r="D492" s="1" t="s">
        <v>28</v>
      </c>
      <c r="E492" s="1" t="s">
        <v>29</v>
      </c>
      <c r="F492" s="5">
        <v>2000000.0</v>
      </c>
      <c r="G492" s="1" t="s">
        <v>1114</v>
      </c>
      <c r="H492" s="1" t="s">
        <v>1444</v>
      </c>
      <c r="I492" s="1" t="s">
        <v>302</v>
      </c>
      <c r="K492" s="1">
        <v>0.0</v>
      </c>
      <c r="L492" s="1" t="s">
        <v>81</v>
      </c>
      <c r="M492" s="1" t="str">
        <f>VLOOKUP(L492,'Copy of PMD Workday Constants -'!B461:Y1147,22,false)</f>
        <v>#N/A</v>
      </c>
      <c r="N492" s="1" t="s">
        <v>32</v>
      </c>
      <c r="O492" s="1" t="s">
        <v>33</v>
      </c>
      <c r="P492" s="1" t="s">
        <v>82</v>
      </c>
      <c r="Q492" s="1" t="s">
        <v>82</v>
      </c>
      <c r="R492" s="1" t="s">
        <v>83</v>
      </c>
      <c r="S492" s="1" t="s">
        <v>612</v>
      </c>
      <c r="T492" s="1">
        <v>1.00640331E8</v>
      </c>
      <c r="W492" s="1" t="s">
        <v>85</v>
      </c>
      <c r="X492" s="1" t="s">
        <v>2046</v>
      </c>
    </row>
    <row r="493">
      <c r="A493" s="1" t="s">
        <v>2047</v>
      </c>
      <c r="B493" s="1" t="s">
        <v>996</v>
      </c>
      <c r="C493" s="1" t="s">
        <v>2048</v>
      </c>
      <c r="D493" s="1" t="s">
        <v>28</v>
      </c>
      <c r="E493" s="1" t="s">
        <v>29</v>
      </c>
      <c r="F493" s="1">
        <v>2000000.0</v>
      </c>
      <c r="G493" s="1" t="s">
        <v>1114</v>
      </c>
      <c r="H493" s="1" t="s">
        <v>2049</v>
      </c>
      <c r="I493" s="1" t="s">
        <v>1281</v>
      </c>
      <c r="K493" s="1">
        <v>0.0</v>
      </c>
      <c r="L493" s="1" t="s">
        <v>2050</v>
      </c>
      <c r="M493" s="1" t="str">
        <f>VLOOKUP(L493,'Copy of PMD Workday Constants -'!B492:W1178,22,false)</f>
        <v>Delivery</v>
      </c>
      <c r="N493" s="1" t="s">
        <v>32</v>
      </c>
      <c r="O493" s="1" t="s">
        <v>33</v>
      </c>
      <c r="P493" s="1" t="s">
        <v>64</v>
      </c>
      <c r="Q493" s="1" t="s">
        <v>64</v>
      </c>
      <c r="R493" s="1" t="s">
        <v>65</v>
      </c>
      <c r="T493" s="1">
        <v>1.00624533E8</v>
      </c>
      <c r="W493" s="1" t="s">
        <v>391</v>
      </c>
      <c r="X493" s="1" t="s">
        <v>2051</v>
      </c>
    </row>
    <row r="494">
      <c r="A494" s="1" t="s">
        <v>2052</v>
      </c>
      <c r="B494" s="1" t="s">
        <v>1154</v>
      </c>
      <c r="C494" s="1" t="s">
        <v>2053</v>
      </c>
      <c r="D494" s="1" t="s">
        <v>51</v>
      </c>
      <c r="E494" s="1" t="s">
        <v>29</v>
      </c>
      <c r="F494" s="1">
        <v>2000000.0</v>
      </c>
      <c r="G494" s="1" t="s">
        <v>1114</v>
      </c>
      <c r="H494" s="1" t="s">
        <v>2054</v>
      </c>
      <c r="I494" s="4">
        <v>44688.0</v>
      </c>
      <c r="K494" s="1">
        <v>0.0</v>
      </c>
      <c r="L494" s="1" t="s">
        <v>1461</v>
      </c>
      <c r="M494" s="1" t="str">
        <f>VLOOKUP(L494,'Copy of PMD Workday Constants -'!B493:W1179,22,false)</f>
        <v>Delivery</v>
      </c>
      <c r="N494" s="1" t="s">
        <v>32</v>
      </c>
      <c r="O494" s="1" t="s">
        <v>33</v>
      </c>
      <c r="P494" s="1" t="s">
        <v>54</v>
      </c>
      <c r="Q494" s="1" t="s">
        <v>54</v>
      </c>
      <c r="R494" s="1" t="s">
        <v>55</v>
      </c>
      <c r="S494" s="1" t="s">
        <v>2055</v>
      </c>
      <c r="T494" s="1">
        <v>1.00619007E8</v>
      </c>
      <c r="W494" s="1" t="s">
        <v>947</v>
      </c>
      <c r="X494" s="1" t="s">
        <v>1461</v>
      </c>
    </row>
    <row r="495">
      <c r="A495" s="1" t="s">
        <v>2056</v>
      </c>
      <c r="B495" s="1" t="s">
        <v>1106</v>
      </c>
      <c r="C495" s="1" t="s">
        <v>2057</v>
      </c>
      <c r="D495" s="1" t="s">
        <v>51</v>
      </c>
      <c r="E495" s="1" t="s">
        <v>29</v>
      </c>
      <c r="F495" s="5">
        <v>2000000.0</v>
      </c>
      <c r="G495" s="1" t="s">
        <v>1114</v>
      </c>
      <c r="H495" s="4">
        <v>44687.0</v>
      </c>
      <c r="I495" s="1" t="s">
        <v>414</v>
      </c>
      <c r="K495" s="1">
        <v>0.0</v>
      </c>
      <c r="L495" s="1" t="s">
        <v>2058</v>
      </c>
      <c r="M495" s="1" t="str">
        <f>VLOOKUP(L495,'Copy of PMD Workday Constants -'!B464:Y1150,22,false)</f>
        <v>#N/A</v>
      </c>
      <c r="N495" s="1" t="s">
        <v>32</v>
      </c>
      <c r="O495" s="1" t="s">
        <v>33</v>
      </c>
      <c r="P495" s="1" t="s">
        <v>34</v>
      </c>
      <c r="Q495" s="1" t="s">
        <v>34</v>
      </c>
      <c r="R495" s="1" t="s">
        <v>35</v>
      </c>
      <c r="T495" s="1">
        <v>1.01076271E8</v>
      </c>
      <c r="W495" s="1" t="s">
        <v>140</v>
      </c>
      <c r="X495" s="1" t="s">
        <v>2058</v>
      </c>
    </row>
    <row r="496">
      <c r="A496" s="1" t="s">
        <v>2059</v>
      </c>
      <c r="B496" s="1" t="s">
        <v>2060</v>
      </c>
      <c r="C496" s="1" t="s">
        <v>2061</v>
      </c>
      <c r="D496" s="1" t="s">
        <v>51</v>
      </c>
      <c r="E496" s="1" t="s">
        <v>29</v>
      </c>
      <c r="F496" s="5">
        <v>2000000.0</v>
      </c>
      <c r="G496" s="1" t="s">
        <v>1114</v>
      </c>
      <c r="H496" s="1" t="s">
        <v>2062</v>
      </c>
      <c r="I496" s="1" t="s">
        <v>132</v>
      </c>
      <c r="K496" s="1">
        <v>0.0</v>
      </c>
      <c r="L496" s="1" t="s">
        <v>1770</v>
      </c>
      <c r="M496" s="1" t="str">
        <f>VLOOKUP(L496,'Copy of PMD Workday Constants -'!B465:Y1151,22,false)</f>
        <v>#N/A</v>
      </c>
      <c r="N496" s="1" t="s">
        <v>32</v>
      </c>
      <c r="O496" s="1" t="s">
        <v>33</v>
      </c>
      <c r="P496" s="1" t="s">
        <v>210</v>
      </c>
      <c r="Q496" s="1" t="s">
        <v>210</v>
      </c>
      <c r="R496" s="1" t="s">
        <v>211</v>
      </c>
      <c r="S496" s="1" t="s">
        <v>1313</v>
      </c>
      <c r="T496" s="1">
        <v>1.00593918E8</v>
      </c>
      <c r="U496" s="1" t="s">
        <v>2063</v>
      </c>
      <c r="V496" s="1" t="s">
        <v>187</v>
      </c>
      <c r="W496" s="1" t="s">
        <v>577</v>
      </c>
      <c r="X496" s="1" t="s">
        <v>1771</v>
      </c>
    </row>
    <row r="497">
      <c r="A497" s="1" t="s">
        <v>2064</v>
      </c>
      <c r="B497" s="1" t="s">
        <v>70</v>
      </c>
      <c r="C497" s="1" t="s">
        <v>2065</v>
      </c>
      <c r="D497" s="1" t="s">
        <v>28</v>
      </c>
      <c r="E497" s="1" t="s">
        <v>29</v>
      </c>
      <c r="F497" s="5">
        <v>2000000.0</v>
      </c>
      <c r="G497" s="1" t="s">
        <v>1114</v>
      </c>
      <c r="H497" s="4">
        <v>44053.0</v>
      </c>
      <c r="I497" s="1" t="s">
        <v>80</v>
      </c>
      <c r="K497" s="1">
        <v>0.0</v>
      </c>
      <c r="L497" s="1" t="s">
        <v>2066</v>
      </c>
      <c r="M497" s="1" t="str">
        <f>VLOOKUP(L497,'Copy of PMD Workday Constants -'!B466:Y1152,22,false)</f>
        <v>#N/A</v>
      </c>
      <c r="N497" s="1" t="s">
        <v>32</v>
      </c>
      <c r="O497" s="1" t="s">
        <v>33</v>
      </c>
      <c r="P497" s="1" t="s">
        <v>54</v>
      </c>
      <c r="Q497" s="1" t="s">
        <v>54</v>
      </c>
      <c r="R497" s="1" t="s">
        <v>55</v>
      </c>
      <c r="S497" s="1" t="s">
        <v>701</v>
      </c>
      <c r="T497" s="1">
        <v>1.0058019E8</v>
      </c>
      <c r="W497" s="1" t="s">
        <v>74</v>
      </c>
      <c r="X497" s="1" t="s">
        <v>75</v>
      </c>
    </row>
    <row r="498">
      <c r="A498" s="1" t="s">
        <v>2067</v>
      </c>
      <c r="B498" s="1" t="s">
        <v>1234</v>
      </c>
      <c r="C498" s="1" t="s">
        <v>2068</v>
      </c>
      <c r="D498" s="1" t="s">
        <v>103</v>
      </c>
      <c r="E498" s="1" t="s">
        <v>29</v>
      </c>
      <c r="F498" s="1">
        <v>2000000.0</v>
      </c>
      <c r="G498" s="1" t="s">
        <v>1114</v>
      </c>
      <c r="H498" s="1" t="s">
        <v>2069</v>
      </c>
      <c r="I498" s="1" t="s">
        <v>1843</v>
      </c>
      <c r="K498" s="1">
        <v>0.0</v>
      </c>
      <c r="L498" s="1" t="s">
        <v>1819</v>
      </c>
      <c r="M498" s="1" t="str">
        <f>VLOOKUP(L498,'Copy of PMD Workday Constants -'!B497:W1183,22,false)</f>
        <v>Catalyst</v>
      </c>
      <c r="N498" s="1" t="s">
        <v>32</v>
      </c>
      <c r="O498" s="1" t="s">
        <v>33</v>
      </c>
      <c r="P498" s="1" t="s">
        <v>82</v>
      </c>
      <c r="Q498" s="1" t="s">
        <v>82</v>
      </c>
      <c r="R498" s="1" t="s">
        <v>83</v>
      </c>
      <c r="S498" s="1" t="s">
        <v>180</v>
      </c>
      <c r="T498" s="1">
        <v>1.01025735E8</v>
      </c>
      <c r="W498" s="1" t="s">
        <v>85</v>
      </c>
      <c r="X498" s="1" t="s">
        <v>1692</v>
      </c>
    </row>
    <row r="499">
      <c r="A499" s="1" t="s">
        <v>2070</v>
      </c>
      <c r="B499" s="1" t="s">
        <v>2071</v>
      </c>
      <c r="C499" s="1" t="s">
        <v>2072</v>
      </c>
      <c r="D499" s="1" t="s">
        <v>51</v>
      </c>
      <c r="E499" s="1" t="s">
        <v>29</v>
      </c>
      <c r="F499" s="5">
        <v>2000000.0</v>
      </c>
      <c r="G499" s="1" t="s">
        <v>1114</v>
      </c>
      <c r="H499" s="4">
        <v>44013.0</v>
      </c>
      <c r="I499" s="1" t="s">
        <v>191</v>
      </c>
      <c r="K499" s="1">
        <v>0.0</v>
      </c>
      <c r="L499" s="1" t="s">
        <v>1757</v>
      </c>
      <c r="M499" s="1" t="str">
        <f>VLOOKUP(L499,'Copy of PMD Workday Constants -'!B468:Y1154,22,false)</f>
        <v>#N/A</v>
      </c>
      <c r="N499" s="1" t="s">
        <v>32</v>
      </c>
      <c r="O499" s="1" t="s">
        <v>33</v>
      </c>
      <c r="P499" s="1" t="s">
        <v>112</v>
      </c>
      <c r="Q499" s="1" t="s">
        <v>112</v>
      </c>
      <c r="R499" s="1" t="s">
        <v>113</v>
      </c>
      <c r="S499" s="1" t="s">
        <v>120</v>
      </c>
      <c r="T499" s="1">
        <v>1.00597983E8</v>
      </c>
      <c r="W499" s="1" t="s">
        <v>56</v>
      </c>
      <c r="X499" s="1" t="s">
        <v>2073</v>
      </c>
    </row>
    <row r="500">
      <c r="A500" s="1" t="s">
        <v>2074</v>
      </c>
      <c r="B500" s="1" t="s">
        <v>2075</v>
      </c>
      <c r="C500" s="1" t="s">
        <v>2076</v>
      </c>
      <c r="D500" s="1" t="s">
        <v>28</v>
      </c>
      <c r="E500" s="1" t="s">
        <v>29</v>
      </c>
      <c r="F500" s="5">
        <v>2000000.0</v>
      </c>
      <c r="G500" s="1" t="s">
        <v>1114</v>
      </c>
      <c r="H500" s="1" t="s">
        <v>2077</v>
      </c>
      <c r="I500" s="4">
        <v>44569.0</v>
      </c>
      <c r="K500" s="1">
        <v>0.0</v>
      </c>
      <c r="L500" s="1" t="s">
        <v>1206</v>
      </c>
      <c r="M500" s="1" t="str">
        <f>VLOOKUP(L500,'Copy of PMD Workday Constants -'!B469:Y1155,22,false)</f>
        <v>#N/A</v>
      </c>
      <c r="N500" s="1" t="s">
        <v>32</v>
      </c>
      <c r="O500" s="1" t="s">
        <v>33</v>
      </c>
      <c r="P500" s="1" t="s">
        <v>82</v>
      </c>
      <c r="Q500" s="1" t="s">
        <v>82</v>
      </c>
      <c r="R500" s="1" t="s">
        <v>83</v>
      </c>
      <c r="S500" s="1" t="s">
        <v>180</v>
      </c>
      <c r="T500" s="1">
        <v>1.00943277E8</v>
      </c>
      <c r="W500" s="1" t="s">
        <v>85</v>
      </c>
      <c r="X500" s="1" t="s">
        <v>1206</v>
      </c>
    </row>
    <row r="501">
      <c r="A501" s="1" t="s">
        <v>2078</v>
      </c>
      <c r="B501" s="1" t="s">
        <v>2079</v>
      </c>
      <c r="C501" s="1" t="s">
        <v>2080</v>
      </c>
      <c r="D501" s="1" t="s">
        <v>28</v>
      </c>
      <c r="E501" s="1" t="s">
        <v>29</v>
      </c>
      <c r="F501" s="5">
        <v>2000000.0</v>
      </c>
      <c r="G501" s="1" t="s">
        <v>1114</v>
      </c>
      <c r="H501" s="1" t="s">
        <v>870</v>
      </c>
      <c r="I501" s="4">
        <v>44601.0</v>
      </c>
      <c r="K501" s="1">
        <v>0.0</v>
      </c>
      <c r="L501" s="1" t="s">
        <v>2081</v>
      </c>
      <c r="M501" s="1" t="str">
        <f>VLOOKUP(L501,'Copy of PMD Workday Constants -'!B470:Y1156,22,false)</f>
        <v>#N/A</v>
      </c>
      <c r="N501" s="1" t="s">
        <v>32</v>
      </c>
      <c r="O501" s="1" t="s">
        <v>33</v>
      </c>
      <c r="P501" s="1" t="s">
        <v>34</v>
      </c>
      <c r="Q501" s="1" t="s">
        <v>34</v>
      </c>
      <c r="R501" s="1" t="s">
        <v>35</v>
      </c>
      <c r="T501" s="1">
        <v>1.01215106E8</v>
      </c>
      <c r="W501" s="1" t="s">
        <v>258</v>
      </c>
      <c r="X501" s="1" t="s">
        <v>2081</v>
      </c>
    </row>
    <row r="502">
      <c r="A502" s="1" t="s">
        <v>2082</v>
      </c>
      <c r="B502" s="1" t="s">
        <v>1234</v>
      </c>
      <c r="C502" s="1" t="s">
        <v>2083</v>
      </c>
      <c r="D502" s="1" t="s">
        <v>51</v>
      </c>
      <c r="E502" s="1" t="s">
        <v>29</v>
      </c>
      <c r="F502" s="5">
        <v>2000000.0</v>
      </c>
      <c r="G502" s="1" t="s">
        <v>1114</v>
      </c>
      <c r="H502" s="1" t="s">
        <v>110</v>
      </c>
      <c r="I502" s="1" t="s">
        <v>302</v>
      </c>
      <c r="K502" s="1">
        <v>0.0</v>
      </c>
      <c r="L502" s="1" t="s">
        <v>893</v>
      </c>
      <c r="M502" s="1" t="str">
        <f>VLOOKUP(L502,'Copy of PMD Workday Constants -'!B471:Y1157,22,false)</f>
        <v>Catalyst</v>
      </c>
      <c r="N502" s="1" t="s">
        <v>32</v>
      </c>
      <c r="O502" s="1" t="s">
        <v>33</v>
      </c>
      <c r="P502" s="1" t="s">
        <v>82</v>
      </c>
      <c r="Q502" s="1" t="s">
        <v>82</v>
      </c>
      <c r="R502" s="1" t="s">
        <v>83</v>
      </c>
      <c r="S502" s="1" t="s">
        <v>180</v>
      </c>
      <c r="T502" s="1">
        <v>1.0112897E8</v>
      </c>
      <c r="W502" s="1" t="s">
        <v>85</v>
      </c>
      <c r="X502" s="1" t="s">
        <v>893</v>
      </c>
    </row>
    <row r="503">
      <c r="A503" s="1" t="s">
        <v>2084</v>
      </c>
      <c r="B503" s="1" t="s">
        <v>521</v>
      </c>
      <c r="C503" s="1" t="s">
        <v>2085</v>
      </c>
      <c r="D503" s="1" t="s">
        <v>28</v>
      </c>
      <c r="E503" s="1" t="s">
        <v>29</v>
      </c>
      <c r="F503" s="1">
        <v>2000000.0</v>
      </c>
      <c r="G503" s="1" t="s">
        <v>1114</v>
      </c>
      <c r="H503" s="4">
        <v>44381.0</v>
      </c>
      <c r="I503" s="1" t="s">
        <v>302</v>
      </c>
      <c r="K503" s="1">
        <v>0.0</v>
      </c>
      <c r="L503" s="1" t="s">
        <v>2086</v>
      </c>
      <c r="M503" s="1" t="str">
        <f>VLOOKUP(L503,'Copy of PMD Workday Constants -'!B502:W1188,22,false)</f>
        <v>Delivery</v>
      </c>
      <c r="N503" s="1" t="s">
        <v>32</v>
      </c>
      <c r="O503" s="1" t="s">
        <v>33</v>
      </c>
      <c r="P503" s="1" t="s">
        <v>82</v>
      </c>
      <c r="Q503" s="1" t="s">
        <v>82</v>
      </c>
      <c r="R503" s="1" t="s">
        <v>83</v>
      </c>
      <c r="S503" s="1" t="s">
        <v>84</v>
      </c>
      <c r="T503" s="1">
        <v>1.0061233E8</v>
      </c>
      <c r="W503" s="1" t="s">
        <v>85</v>
      </c>
      <c r="X503" s="1" t="s">
        <v>2086</v>
      </c>
    </row>
    <row r="504">
      <c r="A504" s="1" t="s">
        <v>2087</v>
      </c>
      <c r="B504" s="1" t="s">
        <v>1392</v>
      </c>
      <c r="C504" s="1" t="s">
        <v>2088</v>
      </c>
      <c r="D504" s="1" t="s">
        <v>51</v>
      </c>
      <c r="E504" s="1" t="s">
        <v>29</v>
      </c>
      <c r="F504" s="5">
        <v>2000000.0</v>
      </c>
      <c r="G504" s="1" t="s">
        <v>1114</v>
      </c>
      <c r="H504" s="1" t="s">
        <v>420</v>
      </c>
      <c r="I504" s="4">
        <v>44933.0</v>
      </c>
      <c r="K504" s="1">
        <v>0.0</v>
      </c>
      <c r="L504" s="1" t="s">
        <v>1397</v>
      </c>
      <c r="M504" s="1" t="str">
        <f>VLOOKUP(L504,'Copy of PMD Workday Constants -'!B473:Y1159,22,false)</f>
        <v>#N/A</v>
      </c>
      <c r="N504" s="1" t="s">
        <v>32</v>
      </c>
      <c r="O504" s="1" t="s">
        <v>33</v>
      </c>
      <c r="P504" s="1" t="s">
        <v>112</v>
      </c>
      <c r="Q504" s="1" t="s">
        <v>112</v>
      </c>
      <c r="R504" s="1" t="s">
        <v>113</v>
      </c>
      <c r="S504" s="1" t="s">
        <v>114</v>
      </c>
      <c r="T504" s="1">
        <v>1.00613841E8</v>
      </c>
      <c r="W504" s="1" t="s">
        <v>947</v>
      </c>
      <c r="X504" s="1" t="s">
        <v>2089</v>
      </c>
    </row>
    <row r="505">
      <c r="A505" s="1" t="s">
        <v>2090</v>
      </c>
      <c r="B505" s="1" t="s">
        <v>2091</v>
      </c>
      <c r="C505" s="1" t="s">
        <v>2092</v>
      </c>
      <c r="D505" s="1" t="s">
        <v>103</v>
      </c>
      <c r="E505" s="1" t="s">
        <v>29</v>
      </c>
      <c r="F505" s="5">
        <v>2000000.0</v>
      </c>
      <c r="G505" s="1" t="s">
        <v>1114</v>
      </c>
      <c r="H505" s="1" t="s">
        <v>466</v>
      </c>
      <c r="I505" s="4">
        <v>44689.0</v>
      </c>
      <c r="K505" s="1">
        <v>0.0</v>
      </c>
      <c r="L505" s="1" t="s">
        <v>2093</v>
      </c>
      <c r="M505" s="1" t="str">
        <f>VLOOKUP(L505,'Copy of PMD Workday Constants -'!B474:Y1160,22,false)</f>
        <v>#N/A</v>
      </c>
      <c r="N505" s="1" t="s">
        <v>32</v>
      </c>
      <c r="O505" s="1" t="s">
        <v>33</v>
      </c>
      <c r="P505" s="1" t="s">
        <v>222</v>
      </c>
      <c r="Q505" s="1" t="s">
        <v>222</v>
      </c>
      <c r="R505" s="1" t="s">
        <v>223</v>
      </c>
      <c r="S505" s="1" t="s">
        <v>646</v>
      </c>
      <c r="T505" s="1">
        <v>1.00612055E8</v>
      </c>
      <c r="W505" s="1" t="s">
        <v>308</v>
      </c>
      <c r="X505" s="1" t="s">
        <v>1088</v>
      </c>
    </row>
    <row r="506">
      <c r="A506" s="1" t="s">
        <v>2094</v>
      </c>
      <c r="B506" s="1" t="s">
        <v>2095</v>
      </c>
      <c r="C506" s="1" t="s">
        <v>2096</v>
      </c>
      <c r="D506" s="1" t="s">
        <v>28</v>
      </c>
      <c r="E506" s="1" t="s">
        <v>29</v>
      </c>
      <c r="F506" s="5">
        <v>2000000.0</v>
      </c>
      <c r="G506" s="1" t="s">
        <v>1114</v>
      </c>
      <c r="H506" s="4">
        <v>44626.0</v>
      </c>
      <c r="I506" s="1" t="s">
        <v>80</v>
      </c>
      <c r="K506" s="1">
        <v>0.0</v>
      </c>
      <c r="L506" s="1" t="s">
        <v>2097</v>
      </c>
      <c r="M506" s="1" t="str">
        <f>VLOOKUP(L506,'Copy of PMD Workday Constants -'!B475:Y1161,22,false)</f>
        <v>#N/A</v>
      </c>
      <c r="N506" s="1" t="s">
        <v>32</v>
      </c>
      <c r="O506" s="1" t="s">
        <v>33</v>
      </c>
      <c r="P506" s="1" t="s">
        <v>82</v>
      </c>
      <c r="Q506" s="1" t="s">
        <v>82</v>
      </c>
      <c r="R506" s="1" t="s">
        <v>83</v>
      </c>
      <c r="S506" s="1" t="s">
        <v>180</v>
      </c>
      <c r="T506" s="1">
        <v>1.00619607E8</v>
      </c>
      <c r="W506" s="1" t="s">
        <v>2098</v>
      </c>
      <c r="X506" s="1" t="s">
        <v>2099</v>
      </c>
    </row>
    <row r="507">
      <c r="A507" s="1" t="s">
        <v>2100</v>
      </c>
      <c r="B507" s="1" t="s">
        <v>324</v>
      </c>
      <c r="C507" s="1" t="s">
        <v>2101</v>
      </c>
      <c r="D507" s="1" t="s">
        <v>103</v>
      </c>
      <c r="E507" s="1" t="s">
        <v>29</v>
      </c>
      <c r="F507" s="5">
        <v>2000000.0</v>
      </c>
      <c r="G507" s="1" t="s">
        <v>1114</v>
      </c>
      <c r="H507" s="1" t="s">
        <v>52</v>
      </c>
      <c r="I507" s="1" t="s">
        <v>80</v>
      </c>
      <c r="K507" s="1">
        <v>0.0</v>
      </c>
      <c r="L507" s="1" t="s">
        <v>1674</v>
      </c>
      <c r="M507" s="1" t="str">
        <f>VLOOKUP(L507,'Copy of PMD Workday Constants -'!B476:Y1162,22,false)</f>
        <v>#N/A</v>
      </c>
      <c r="N507" s="1" t="s">
        <v>32</v>
      </c>
      <c r="O507" s="1" t="s">
        <v>33</v>
      </c>
      <c r="P507" s="1" t="s">
        <v>210</v>
      </c>
      <c r="Q507" s="1" t="s">
        <v>210</v>
      </c>
      <c r="R507" s="1" t="s">
        <v>211</v>
      </c>
      <c r="S507" s="1" t="s">
        <v>212</v>
      </c>
      <c r="T507" s="1">
        <v>1.00648421E8</v>
      </c>
      <c r="W507" s="1" t="s">
        <v>56</v>
      </c>
      <c r="X507" s="1" t="s">
        <v>2102</v>
      </c>
    </row>
    <row r="508">
      <c r="A508" s="1" t="s">
        <v>2103</v>
      </c>
      <c r="B508" s="1" t="s">
        <v>1488</v>
      </c>
      <c r="C508" s="1" t="s">
        <v>2104</v>
      </c>
      <c r="D508" s="1" t="s">
        <v>51</v>
      </c>
      <c r="E508" s="1" t="s">
        <v>29</v>
      </c>
      <c r="F508" s="5">
        <v>2000000.0</v>
      </c>
      <c r="G508" s="1" t="s">
        <v>1114</v>
      </c>
      <c r="H508" s="1" t="s">
        <v>1134</v>
      </c>
      <c r="I508" s="1" t="s">
        <v>132</v>
      </c>
      <c r="K508" s="1">
        <v>0.0</v>
      </c>
      <c r="L508" s="1" t="s">
        <v>1748</v>
      </c>
      <c r="M508" s="1" t="str">
        <f>VLOOKUP(L508,'Copy of PMD Workday Constants -'!B477:Y1163,22,false)</f>
        <v>#N/A</v>
      </c>
      <c r="N508" s="1" t="s">
        <v>32</v>
      </c>
      <c r="O508" s="1" t="s">
        <v>33</v>
      </c>
      <c r="P508" s="1" t="s">
        <v>34</v>
      </c>
      <c r="Q508" s="1" t="s">
        <v>34</v>
      </c>
      <c r="R508" s="1" t="s">
        <v>35</v>
      </c>
      <c r="S508" s="1" t="s">
        <v>1166</v>
      </c>
      <c r="T508" s="1">
        <v>1.00610242E8</v>
      </c>
      <c r="W508" s="1" t="s">
        <v>456</v>
      </c>
      <c r="X508" s="1" t="s">
        <v>1490</v>
      </c>
    </row>
    <row r="509">
      <c r="A509" s="1" t="s">
        <v>2105</v>
      </c>
      <c r="B509" s="1" t="s">
        <v>40</v>
      </c>
      <c r="C509" s="1" t="s">
        <v>2106</v>
      </c>
      <c r="D509" s="1" t="s">
        <v>103</v>
      </c>
      <c r="E509" s="1" t="s">
        <v>29</v>
      </c>
      <c r="F509" s="5">
        <v>2000000.0</v>
      </c>
      <c r="G509" s="1" t="s">
        <v>1114</v>
      </c>
      <c r="H509" s="1" t="s">
        <v>1708</v>
      </c>
      <c r="I509" s="1" t="s">
        <v>104</v>
      </c>
      <c r="K509" s="1">
        <v>0.0</v>
      </c>
      <c r="L509" s="1" t="s">
        <v>607</v>
      </c>
      <c r="M509" s="1" t="str">
        <f>VLOOKUP(L509,'Copy of PMD Workday Constants -'!B478:Y1164,22,false)</f>
        <v>#N/A</v>
      </c>
      <c r="N509" s="1" t="s">
        <v>32</v>
      </c>
      <c r="O509" s="1" t="s">
        <v>33</v>
      </c>
      <c r="P509" s="1" t="s">
        <v>112</v>
      </c>
      <c r="Q509" s="1" t="s">
        <v>112</v>
      </c>
      <c r="R509" s="1" t="s">
        <v>113</v>
      </c>
      <c r="S509" s="1" t="s">
        <v>307</v>
      </c>
      <c r="T509" s="1">
        <v>1.00646427E8</v>
      </c>
      <c r="V509" s="1" t="s">
        <v>422</v>
      </c>
      <c r="W509" s="1" t="s">
        <v>47</v>
      </c>
      <c r="X509" s="1" t="s">
        <v>607</v>
      </c>
    </row>
    <row r="510">
      <c r="A510" s="1" t="s">
        <v>2107</v>
      </c>
      <c r="B510" s="1" t="s">
        <v>2108</v>
      </c>
      <c r="C510" s="1" t="s">
        <v>2109</v>
      </c>
      <c r="D510" s="1" t="s">
        <v>103</v>
      </c>
      <c r="E510" s="1" t="s">
        <v>29</v>
      </c>
      <c r="F510" s="5">
        <v>2000000.0</v>
      </c>
      <c r="G510" s="1" t="s">
        <v>1114</v>
      </c>
      <c r="H510" s="4">
        <v>44745.0</v>
      </c>
      <c r="I510" s="1" t="s">
        <v>2110</v>
      </c>
      <c r="K510" s="1">
        <v>0.0</v>
      </c>
      <c r="L510" s="1" t="s">
        <v>737</v>
      </c>
      <c r="M510" s="1" t="str">
        <f>VLOOKUP(L510,'Copy of PMD Workday Constants -'!B479:Y1165,22,false)</f>
        <v>Delivery</v>
      </c>
      <c r="N510" s="1" t="s">
        <v>32</v>
      </c>
      <c r="O510" s="1" t="s">
        <v>33</v>
      </c>
      <c r="P510" s="1" t="s">
        <v>112</v>
      </c>
      <c r="Q510" s="1" t="s">
        <v>112</v>
      </c>
      <c r="R510" s="1" t="s">
        <v>113</v>
      </c>
      <c r="S510" s="1" t="s">
        <v>455</v>
      </c>
      <c r="T510" s="1">
        <v>1.00629729E8</v>
      </c>
      <c r="W510" s="1" t="s">
        <v>456</v>
      </c>
      <c r="X510" s="1" t="s">
        <v>2111</v>
      </c>
    </row>
    <row r="511">
      <c r="A511" s="1" t="s">
        <v>2112</v>
      </c>
      <c r="B511" s="1" t="s">
        <v>665</v>
      </c>
      <c r="C511" s="1" t="s">
        <v>2113</v>
      </c>
      <c r="D511" s="1" t="s">
        <v>28</v>
      </c>
      <c r="E511" s="1" t="s">
        <v>29</v>
      </c>
      <c r="F511" s="1">
        <v>2000000.0</v>
      </c>
      <c r="G511" s="1" t="s">
        <v>1114</v>
      </c>
      <c r="H511" s="4">
        <v>44809.0</v>
      </c>
      <c r="I511" s="1" t="s">
        <v>633</v>
      </c>
      <c r="K511" s="1">
        <v>0.0</v>
      </c>
      <c r="L511" s="1" t="s">
        <v>667</v>
      </c>
      <c r="M511" s="1" t="str">
        <f>VLOOKUP(L511,'Copy of PMD Workday Constants -'!B510:W1196,22,false)</f>
        <v>Delivery</v>
      </c>
      <c r="N511" s="1" t="s">
        <v>32</v>
      </c>
      <c r="O511" s="1" t="s">
        <v>33</v>
      </c>
      <c r="P511" s="1" t="s">
        <v>112</v>
      </c>
      <c r="Q511" s="1" t="s">
        <v>112</v>
      </c>
      <c r="R511" s="1" t="s">
        <v>113</v>
      </c>
      <c r="S511" s="1" t="s">
        <v>307</v>
      </c>
      <c r="T511" s="1">
        <v>1.00616804E8</v>
      </c>
      <c r="W511" s="1" t="s">
        <v>115</v>
      </c>
      <c r="X511" s="1" t="s">
        <v>667</v>
      </c>
    </row>
    <row r="512">
      <c r="A512" s="1" t="s">
        <v>2114</v>
      </c>
      <c r="B512" s="1" t="s">
        <v>665</v>
      </c>
      <c r="C512" s="1" t="s">
        <v>2115</v>
      </c>
      <c r="D512" s="1" t="s">
        <v>28</v>
      </c>
      <c r="E512" s="1" t="s">
        <v>29</v>
      </c>
      <c r="F512" s="1">
        <v>2000000.0</v>
      </c>
      <c r="G512" s="1" t="s">
        <v>1114</v>
      </c>
      <c r="H512" s="4">
        <v>44809.0</v>
      </c>
      <c r="I512" s="1" t="s">
        <v>633</v>
      </c>
      <c r="K512" s="1">
        <v>0.0</v>
      </c>
      <c r="L512" s="1" t="s">
        <v>667</v>
      </c>
      <c r="M512" s="1" t="str">
        <f>VLOOKUP(L512,'Copy of PMD Workday Constants -'!B511:W1197,22,false)</f>
        <v>Delivery</v>
      </c>
      <c r="N512" s="1" t="s">
        <v>32</v>
      </c>
      <c r="O512" s="1" t="s">
        <v>33</v>
      </c>
      <c r="P512" s="1" t="s">
        <v>112</v>
      </c>
      <c r="Q512" s="1" t="s">
        <v>112</v>
      </c>
      <c r="R512" s="1" t="s">
        <v>113</v>
      </c>
      <c r="S512" s="1" t="s">
        <v>307</v>
      </c>
      <c r="T512" s="1">
        <v>1.00616804E8</v>
      </c>
      <c r="W512" s="1" t="s">
        <v>115</v>
      </c>
      <c r="X512" s="1" t="s">
        <v>667</v>
      </c>
    </row>
    <row r="513">
      <c r="A513" s="1" t="s">
        <v>2116</v>
      </c>
      <c r="B513" s="1" t="s">
        <v>101</v>
      </c>
      <c r="C513" s="1" t="s">
        <v>2117</v>
      </c>
      <c r="D513" s="1" t="s">
        <v>51</v>
      </c>
      <c r="E513" s="1" t="s">
        <v>29</v>
      </c>
      <c r="F513" s="5">
        <v>2000000.0</v>
      </c>
      <c r="G513" s="1" t="s">
        <v>1114</v>
      </c>
      <c r="H513" s="1" t="s">
        <v>110</v>
      </c>
      <c r="I513" s="4">
        <v>44902.0</v>
      </c>
      <c r="K513" s="1">
        <v>0.0</v>
      </c>
      <c r="L513" s="1" t="s">
        <v>1351</v>
      </c>
      <c r="M513" s="1" t="str">
        <f>VLOOKUP(L513,'Copy of PMD Workday Constants -'!B482:Y1168,22,false)</f>
        <v>#N/A</v>
      </c>
      <c r="N513" s="1" t="s">
        <v>32</v>
      </c>
      <c r="O513" s="1" t="s">
        <v>33</v>
      </c>
      <c r="P513" s="1" t="s">
        <v>34</v>
      </c>
      <c r="Q513" s="1" t="s">
        <v>34</v>
      </c>
      <c r="R513" s="1" t="s">
        <v>35</v>
      </c>
      <c r="T513" s="1">
        <v>1.00585872E8</v>
      </c>
      <c r="W513" s="1" t="s">
        <v>37</v>
      </c>
      <c r="X513" s="1" t="s">
        <v>1351</v>
      </c>
    </row>
    <row r="514">
      <c r="A514" s="1" t="s">
        <v>2118</v>
      </c>
      <c r="B514" s="1" t="s">
        <v>26</v>
      </c>
      <c r="C514" s="1" t="s">
        <v>2119</v>
      </c>
      <c r="D514" s="1" t="s">
        <v>28</v>
      </c>
      <c r="E514" s="1" t="s">
        <v>29</v>
      </c>
      <c r="F514" s="1">
        <v>2000000.0</v>
      </c>
      <c r="G514" s="1" t="s">
        <v>1114</v>
      </c>
      <c r="H514" s="1" t="s">
        <v>283</v>
      </c>
      <c r="I514" s="1" t="s">
        <v>96</v>
      </c>
      <c r="K514" s="1">
        <v>0.0</v>
      </c>
      <c r="L514" s="1" t="s">
        <v>986</v>
      </c>
      <c r="M514" s="1" t="str">
        <f>VLOOKUP(L514,'Copy of PMD Workday Constants -'!B513:W1199,22,false)</f>
        <v>Delivery</v>
      </c>
      <c r="N514" s="1" t="s">
        <v>32</v>
      </c>
      <c r="O514" s="1" t="s">
        <v>33</v>
      </c>
      <c r="P514" s="1" t="s">
        <v>64</v>
      </c>
      <c r="Q514" s="1" t="s">
        <v>64</v>
      </c>
      <c r="R514" s="1" t="s">
        <v>65</v>
      </c>
      <c r="S514" s="1" t="s">
        <v>36</v>
      </c>
      <c r="T514" s="1">
        <v>1.00651901E8</v>
      </c>
      <c r="W514" s="1" t="s">
        <v>37</v>
      </c>
      <c r="X514" s="1" t="s">
        <v>38</v>
      </c>
    </row>
    <row r="515">
      <c r="A515" s="1" t="s">
        <v>2120</v>
      </c>
      <c r="B515" s="1" t="s">
        <v>1132</v>
      </c>
      <c r="C515" s="1" t="s">
        <v>2121</v>
      </c>
      <c r="D515" s="1" t="s">
        <v>28</v>
      </c>
      <c r="E515" s="1" t="s">
        <v>29</v>
      </c>
      <c r="F515" s="5">
        <v>2000000.0</v>
      </c>
      <c r="G515" s="1" t="s">
        <v>1114</v>
      </c>
      <c r="H515" s="4">
        <v>44897.0</v>
      </c>
      <c r="I515" s="1" t="s">
        <v>810</v>
      </c>
      <c r="K515" s="1">
        <v>0.0</v>
      </c>
      <c r="L515" s="1" t="s">
        <v>2122</v>
      </c>
      <c r="M515" s="1" t="str">
        <f>VLOOKUP(L515,'Copy of PMD Workday Constants -'!B484:Y1170,22,false)</f>
        <v>#N/A</v>
      </c>
      <c r="N515" s="1" t="s">
        <v>32</v>
      </c>
      <c r="O515" s="1" t="s">
        <v>33</v>
      </c>
      <c r="P515" s="1" t="s">
        <v>54</v>
      </c>
      <c r="Q515" s="1" t="s">
        <v>54</v>
      </c>
      <c r="R515" s="1" t="s">
        <v>55</v>
      </c>
      <c r="T515" s="1">
        <v>1.00645538E8</v>
      </c>
      <c r="W515" s="1" t="s">
        <v>56</v>
      </c>
      <c r="X515" s="1" t="s">
        <v>1101</v>
      </c>
    </row>
    <row r="516">
      <c r="A516" s="1" t="s">
        <v>2123</v>
      </c>
      <c r="B516" s="1" t="s">
        <v>241</v>
      </c>
      <c r="C516" s="1" t="s">
        <v>2124</v>
      </c>
      <c r="D516" s="1" t="s">
        <v>103</v>
      </c>
      <c r="E516" s="1" t="s">
        <v>29</v>
      </c>
      <c r="F516" s="5">
        <v>2000000.0</v>
      </c>
      <c r="G516" s="1" t="s">
        <v>1114</v>
      </c>
      <c r="H516" s="1" t="s">
        <v>2125</v>
      </c>
      <c r="I516" s="1" t="s">
        <v>80</v>
      </c>
      <c r="K516" s="1">
        <v>0.0</v>
      </c>
      <c r="L516" s="1" t="s">
        <v>244</v>
      </c>
      <c r="M516" s="1" t="str">
        <f>VLOOKUP(L516,'Copy of PMD Workday Constants -'!B485:Y1171,22,false)</f>
        <v>#N/A</v>
      </c>
      <c r="N516" s="1" t="s">
        <v>32</v>
      </c>
      <c r="O516" s="1" t="s">
        <v>33</v>
      </c>
      <c r="P516" s="1" t="s">
        <v>34</v>
      </c>
      <c r="Q516" s="1" t="s">
        <v>34</v>
      </c>
      <c r="R516" s="1" t="s">
        <v>35</v>
      </c>
      <c r="S516" s="1" t="s">
        <v>36</v>
      </c>
      <c r="T516" s="1">
        <v>1.00617853E8</v>
      </c>
      <c r="W516" s="1" t="s">
        <v>37</v>
      </c>
      <c r="X516" s="1" t="s">
        <v>1019</v>
      </c>
    </row>
    <row r="517">
      <c r="A517" s="1" t="s">
        <v>2126</v>
      </c>
      <c r="B517" s="1" t="s">
        <v>1768</v>
      </c>
      <c r="C517" s="1" t="s">
        <v>2127</v>
      </c>
      <c r="D517" s="1" t="s">
        <v>51</v>
      </c>
      <c r="E517" s="1" t="s">
        <v>29</v>
      </c>
      <c r="F517" s="5">
        <v>2000000.0</v>
      </c>
      <c r="G517" s="1" t="s">
        <v>1114</v>
      </c>
      <c r="H517" s="1" t="s">
        <v>273</v>
      </c>
      <c r="I517" s="1" t="s">
        <v>80</v>
      </c>
      <c r="K517" s="1">
        <v>0.0</v>
      </c>
      <c r="L517" s="1" t="s">
        <v>1770</v>
      </c>
      <c r="M517" s="1" t="str">
        <f>VLOOKUP(L517,'Copy of PMD Workday Constants -'!B486:Y1172,22,false)</f>
        <v>#N/A</v>
      </c>
      <c r="N517" s="1" t="s">
        <v>32</v>
      </c>
      <c r="O517" s="1" t="s">
        <v>33</v>
      </c>
      <c r="P517" s="1" t="s">
        <v>210</v>
      </c>
      <c r="Q517" s="1" t="s">
        <v>210</v>
      </c>
      <c r="R517" s="1" t="s">
        <v>211</v>
      </c>
      <c r="S517" s="1" t="s">
        <v>1313</v>
      </c>
      <c r="T517" s="1">
        <v>1.00593918E8</v>
      </c>
      <c r="W517" s="1" t="s">
        <v>436</v>
      </c>
      <c r="X517" s="1" t="s">
        <v>1771</v>
      </c>
    </row>
    <row r="518">
      <c r="A518" s="1" t="s">
        <v>2128</v>
      </c>
      <c r="B518" s="1" t="s">
        <v>2129</v>
      </c>
      <c r="C518" s="1" t="s">
        <v>2130</v>
      </c>
      <c r="D518" s="1" t="s">
        <v>28</v>
      </c>
      <c r="E518" s="1" t="s">
        <v>29</v>
      </c>
      <c r="F518" s="1">
        <v>2000000.0</v>
      </c>
      <c r="G518" s="1" t="s">
        <v>1114</v>
      </c>
      <c r="H518" s="1" t="s">
        <v>2069</v>
      </c>
      <c r="I518" s="1" t="s">
        <v>302</v>
      </c>
      <c r="K518" s="1">
        <v>0.0</v>
      </c>
      <c r="L518" s="1" t="s">
        <v>338</v>
      </c>
      <c r="M518" s="1" t="str">
        <f>VLOOKUP(L518,'Copy of PMD Workday Constants -'!B517:W1203,22,false)</f>
        <v>Delivery</v>
      </c>
      <c r="N518" s="1" t="s">
        <v>32</v>
      </c>
      <c r="O518" s="1" t="s">
        <v>33</v>
      </c>
      <c r="P518" s="1" t="s">
        <v>34</v>
      </c>
      <c r="Q518" s="1" t="s">
        <v>34</v>
      </c>
      <c r="R518" s="1" t="s">
        <v>35</v>
      </c>
      <c r="T518" s="1">
        <v>1.00619817E8</v>
      </c>
      <c r="W518" s="1" t="s">
        <v>91</v>
      </c>
      <c r="X518" s="1" t="s">
        <v>338</v>
      </c>
    </row>
    <row r="519">
      <c r="A519" s="1" t="s">
        <v>2131</v>
      </c>
      <c r="B519" s="1" t="s">
        <v>311</v>
      </c>
      <c r="C519" s="1" t="s">
        <v>2132</v>
      </c>
      <c r="D519" s="1" t="s">
        <v>28</v>
      </c>
      <c r="E519" s="1" t="s">
        <v>29</v>
      </c>
      <c r="F519" s="1">
        <v>2000000.0</v>
      </c>
      <c r="G519" s="1" t="s">
        <v>1114</v>
      </c>
      <c r="H519" s="1" t="s">
        <v>1785</v>
      </c>
      <c r="I519" s="1" t="s">
        <v>248</v>
      </c>
      <c r="K519" s="1">
        <v>0.0</v>
      </c>
      <c r="L519" s="1" t="s">
        <v>2133</v>
      </c>
      <c r="M519" s="1" t="str">
        <f>VLOOKUP(L519,'Copy of PMD Workday Constants -'!B518:W1204,22,false)</f>
        <v>Delivery</v>
      </c>
      <c r="N519" s="1" t="s">
        <v>32</v>
      </c>
      <c r="O519" s="1" t="s">
        <v>33</v>
      </c>
      <c r="P519" s="1" t="s">
        <v>64</v>
      </c>
      <c r="Q519" s="1" t="s">
        <v>64</v>
      </c>
      <c r="R519" s="1" t="s">
        <v>65</v>
      </c>
      <c r="T519" s="1">
        <v>1.00653977E8</v>
      </c>
      <c r="W519" s="1" t="s">
        <v>140</v>
      </c>
      <c r="X519" s="1" t="s">
        <v>547</v>
      </c>
    </row>
    <row r="520">
      <c r="A520" s="1" t="s">
        <v>2134</v>
      </c>
      <c r="B520" s="1" t="s">
        <v>1085</v>
      </c>
      <c r="C520" s="1" t="s">
        <v>2135</v>
      </c>
      <c r="D520" s="1" t="s">
        <v>28</v>
      </c>
      <c r="E520" s="1" t="s">
        <v>29</v>
      </c>
      <c r="F520" s="5">
        <v>2000000.0</v>
      </c>
      <c r="G520" s="1" t="s">
        <v>1114</v>
      </c>
      <c r="H520" s="1" t="s">
        <v>569</v>
      </c>
      <c r="I520" s="1" t="s">
        <v>104</v>
      </c>
      <c r="K520" s="1">
        <v>0.0</v>
      </c>
      <c r="L520" s="1" t="s">
        <v>2136</v>
      </c>
      <c r="M520" s="1" t="str">
        <f>VLOOKUP(L520,'Copy of PMD Workday Constants -'!B489:Y1175,22,false)</f>
        <v>#N/A</v>
      </c>
      <c r="N520" s="1" t="s">
        <v>32</v>
      </c>
      <c r="O520" s="1" t="s">
        <v>33</v>
      </c>
      <c r="P520" s="1" t="s">
        <v>34</v>
      </c>
      <c r="Q520" s="1" t="s">
        <v>34</v>
      </c>
      <c r="R520" s="1" t="s">
        <v>35</v>
      </c>
      <c r="S520" s="1" t="s">
        <v>126</v>
      </c>
      <c r="T520" s="1">
        <v>1.00610903E8</v>
      </c>
      <c r="U520" s="1" t="s">
        <v>2137</v>
      </c>
      <c r="V520" s="1" t="s">
        <v>187</v>
      </c>
      <c r="W520" s="1" t="s">
        <v>308</v>
      </c>
      <c r="X520" s="1" t="s">
        <v>2136</v>
      </c>
    </row>
    <row r="521">
      <c r="A521" s="1" t="s">
        <v>2138</v>
      </c>
      <c r="B521" s="1" t="s">
        <v>1664</v>
      </c>
      <c r="C521" s="1" t="s">
        <v>2139</v>
      </c>
      <c r="D521" s="1" t="s">
        <v>51</v>
      </c>
      <c r="E521" s="1" t="s">
        <v>29</v>
      </c>
      <c r="F521" s="1">
        <v>2000000.0</v>
      </c>
      <c r="G521" s="1" t="s">
        <v>1114</v>
      </c>
      <c r="H521" s="4">
        <v>44538.0</v>
      </c>
      <c r="I521" s="1" t="s">
        <v>132</v>
      </c>
      <c r="K521" s="1">
        <v>0.0</v>
      </c>
      <c r="L521" s="1" t="s">
        <v>1242</v>
      </c>
      <c r="M521" s="1" t="str">
        <f>VLOOKUP(L521,'Copy of PMD Workday Constants -'!B520:W1206,22,false)</f>
        <v>Delivery</v>
      </c>
      <c r="N521" s="1" t="s">
        <v>32</v>
      </c>
      <c r="O521" s="1" t="s">
        <v>33</v>
      </c>
      <c r="P521" s="1" t="s">
        <v>34</v>
      </c>
      <c r="Q521" s="1" t="s">
        <v>34</v>
      </c>
      <c r="R521" s="1" t="s">
        <v>35</v>
      </c>
      <c r="S521" s="1" t="s">
        <v>383</v>
      </c>
      <c r="T521" s="1">
        <v>1.00626898E8</v>
      </c>
      <c r="W521" s="1" t="s">
        <v>147</v>
      </c>
      <c r="X521" s="1" t="s">
        <v>1242</v>
      </c>
    </row>
    <row r="522">
      <c r="A522" s="1" t="s">
        <v>2140</v>
      </c>
      <c r="B522" s="1" t="s">
        <v>317</v>
      </c>
      <c r="C522" s="1" t="s">
        <v>2141</v>
      </c>
      <c r="D522" s="1" t="s">
        <v>103</v>
      </c>
      <c r="E522" s="1" t="s">
        <v>29</v>
      </c>
      <c r="F522" s="5">
        <v>2000000.0</v>
      </c>
      <c r="G522" s="1" t="s">
        <v>1114</v>
      </c>
      <c r="H522" s="1" t="s">
        <v>2142</v>
      </c>
      <c r="I522" s="4">
        <v>44780.0</v>
      </c>
      <c r="K522" s="1">
        <v>0.0</v>
      </c>
      <c r="L522" s="1" t="s">
        <v>2143</v>
      </c>
      <c r="M522" s="1" t="str">
        <f>VLOOKUP(L522,'Copy of PMD Workday Constants -'!B491:Y1177,22,false)</f>
        <v>LCP</v>
      </c>
      <c r="N522" s="1" t="s">
        <v>32</v>
      </c>
      <c r="O522" s="1" t="s">
        <v>33</v>
      </c>
      <c r="P522" s="1" t="s">
        <v>82</v>
      </c>
      <c r="Q522" s="1" t="s">
        <v>82</v>
      </c>
      <c r="R522" s="1" t="s">
        <v>83</v>
      </c>
      <c r="S522" s="1" t="s">
        <v>84</v>
      </c>
      <c r="T522" s="1">
        <v>1.00612395E8</v>
      </c>
      <c r="W522" s="1" t="s">
        <v>85</v>
      </c>
      <c r="X522" s="1" t="s">
        <v>1697</v>
      </c>
    </row>
    <row r="523">
      <c r="A523" s="1" t="s">
        <v>2144</v>
      </c>
      <c r="B523" s="1" t="s">
        <v>2079</v>
      </c>
      <c r="C523" s="1" t="s">
        <v>2145</v>
      </c>
      <c r="D523" s="1" t="s">
        <v>51</v>
      </c>
      <c r="E523" s="1" t="s">
        <v>29</v>
      </c>
      <c r="F523" s="5">
        <v>2000000.0</v>
      </c>
      <c r="G523" s="1" t="s">
        <v>1114</v>
      </c>
      <c r="H523" s="1" t="s">
        <v>1785</v>
      </c>
      <c r="I523" s="1" t="s">
        <v>152</v>
      </c>
      <c r="K523" s="1">
        <v>0.0</v>
      </c>
      <c r="L523" s="1" t="s">
        <v>2146</v>
      </c>
      <c r="M523" s="1" t="str">
        <f>VLOOKUP(L523,'Copy of PMD Workday Constants -'!B492:Y1178,22,false)</f>
        <v>#N/A</v>
      </c>
      <c r="N523" s="1" t="s">
        <v>32</v>
      </c>
      <c r="O523" s="1" t="s">
        <v>33</v>
      </c>
      <c r="P523" s="1" t="s">
        <v>210</v>
      </c>
      <c r="Q523" s="1" t="s">
        <v>210</v>
      </c>
      <c r="R523" s="1" t="s">
        <v>211</v>
      </c>
      <c r="T523" s="1">
        <v>1.00649726E8</v>
      </c>
      <c r="W523" s="1" t="s">
        <v>258</v>
      </c>
      <c r="X523" s="1" t="s">
        <v>2147</v>
      </c>
    </row>
    <row r="524">
      <c r="A524" s="1" t="s">
        <v>2148</v>
      </c>
      <c r="B524" s="1" t="s">
        <v>973</v>
      </c>
      <c r="C524" s="1" t="s">
        <v>2149</v>
      </c>
      <c r="D524" s="1" t="s">
        <v>28</v>
      </c>
      <c r="E524" s="1" t="s">
        <v>29</v>
      </c>
      <c r="F524" s="5">
        <v>2000000.0</v>
      </c>
      <c r="G524" s="1" t="s">
        <v>1114</v>
      </c>
      <c r="H524" s="4">
        <v>44717.0</v>
      </c>
      <c r="I524" s="1" t="s">
        <v>2150</v>
      </c>
      <c r="K524" s="1">
        <v>0.0</v>
      </c>
      <c r="L524" s="1" t="s">
        <v>1505</v>
      </c>
      <c r="M524" s="1" t="str">
        <f>VLOOKUP(L524,'Copy of PMD Workday Constants -'!B493:Y1179,22,false)</f>
        <v>#N/A</v>
      </c>
      <c r="N524" s="1" t="s">
        <v>32</v>
      </c>
      <c r="O524" s="1" t="s">
        <v>33</v>
      </c>
      <c r="P524" s="1" t="s">
        <v>112</v>
      </c>
      <c r="Q524" s="1" t="s">
        <v>112</v>
      </c>
      <c r="R524" s="1" t="s">
        <v>113</v>
      </c>
      <c r="S524" s="1" t="s">
        <v>455</v>
      </c>
      <c r="T524" s="1">
        <v>1.00651554E8</v>
      </c>
      <c r="W524" s="1" t="s">
        <v>456</v>
      </c>
      <c r="X524" s="1" t="s">
        <v>977</v>
      </c>
    </row>
    <row r="525">
      <c r="A525" s="1" t="s">
        <v>2151</v>
      </c>
      <c r="B525" s="1" t="s">
        <v>2152</v>
      </c>
      <c r="C525" s="1" t="s">
        <v>2153</v>
      </c>
      <c r="D525" s="1" t="s">
        <v>28</v>
      </c>
      <c r="E525" s="1" t="s">
        <v>29</v>
      </c>
      <c r="F525" s="5">
        <v>2000000.0</v>
      </c>
      <c r="G525" s="1" t="s">
        <v>1114</v>
      </c>
      <c r="H525" s="1" t="s">
        <v>1541</v>
      </c>
      <c r="I525" s="1" t="s">
        <v>96</v>
      </c>
      <c r="K525" s="1">
        <v>0.0</v>
      </c>
      <c r="L525" s="1" t="s">
        <v>2154</v>
      </c>
      <c r="M525" s="1" t="str">
        <f>VLOOKUP(L525,'Copy of PMD Workday Constants -'!B494:Y1180,22,false)</f>
        <v>#N/A</v>
      </c>
      <c r="N525" s="1" t="s">
        <v>32</v>
      </c>
      <c r="O525" s="1" t="s">
        <v>33</v>
      </c>
      <c r="P525" s="1" t="s">
        <v>173</v>
      </c>
      <c r="Q525" s="1" t="s">
        <v>173</v>
      </c>
      <c r="R525" s="1" t="s">
        <v>174</v>
      </c>
      <c r="S525" s="1" t="s">
        <v>612</v>
      </c>
      <c r="T525" s="1">
        <v>1.00639477E8</v>
      </c>
      <c r="W525" s="1" t="s">
        <v>456</v>
      </c>
      <c r="X525" s="1" t="s">
        <v>2155</v>
      </c>
    </row>
    <row r="526">
      <c r="A526" s="1" t="s">
        <v>2156</v>
      </c>
      <c r="B526" s="1" t="s">
        <v>2152</v>
      </c>
      <c r="C526" s="1" t="s">
        <v>2157</v>
      </c>
      <c r="D526" s="1" t="s">
        <v>28</v>
      </c>
      <c r="E526" s="1" t="s">
        <v>29</v>
      </c>
      <c r="F526" s="5">
        <v>2000000.0</v>
      </c>
      <c r="G526" s="1" t="s">
        <v>1114</v>
      </c>
      <c r="H526" s="1" t="s">
        <v>1541</v>
      </c>
      <c r="I526" s="1" t="s">
        <v>692</v>
      </c>
      <c r="K526" s="1">
        <v>0.0</v>
      </c>
      <c r="L526" s="1" t="s">
        <v>2154</v>
      </c>
      <c r="M526" s="1" t="str">
        <f>VLOOKUP(L526,'Copy of PMD Workday Constants -'!B495:Y1181,22,false)</f>
        <v>#N/A</v>
      </c>
      <c r="N526" s="1" t="s">
        <v>32</v>
      </c>
      <c r="O526" s="1" t="s">
        <v>33</v>
      </c>
      <c r="P526" s="1" t="s">
        <v>173</v>
      </c>
      <c r="Q526" s="1" t="s">
        <v>173</v>
      </c>
      <c r="R526" s="1" t="s">
        <v>174</v>
      </c>
      <c r="S526" s="1" t="s">
        <v>612</v>
      </c>
      <c r="T526" s="1">
        <v>1.00639477E8</v>
      </c>
      <c r="W526" s="1" t="s">
        <v>456</v>
      </c>
      <c r="X526" s="1" t="s">
        <v>2155</v>
      </c>
    </row>
    <row r="527">
      <c r="A527" s="1" t="s">
        <v>2158</v>
      </c>
      <c r="B527" s="1" t="s">
        <v>747</v>
      </c>
      <c r="C527" s="1" t="s">
        <v>2159</v>
      </c>
      <c r="D527" s="1" t="s">
        <v>28</v>
      </c>
      <c r="E527" s="1" t="s">
        <v>29</v>
      </c>
      <c r="F527" s="5">
        <v>2000000.0</v>
      </c>
      <c r="G527" s="1" t="s">
        <v>1114</v>
      </c>
      <c r="H527" s="4">
        <v>44565.0</v>
      </c>
      <c r="I527" s="1" t="s">
        <v>248</v>
      </c>
      <c r="K527" s="1">
        <v>0.0</v>
      </c>
      <c r="L527" s="1" t="s">
        <v>2160</v>
      </c>
      <c r="M527" s="1" t="str">
        <f>VLOOKUP(L527,'Copy of PMD Workday Constants -'!B496:Y1182,22,false)</f>
        <v>#N/A</v>
      </c>
      <c r="N527" s="1" t="s">
        <v>32</v>
      </c>
      <c r="O527" s="1" t="s">
        <v>33</v>
      </c>
      <c r="P527" s="1" t="s">
        <v>54</v>
      </c>
      <c r="Q527" s="1" t="s">
        <v>54</v>
      </c>
      <c r="R527" s="1" t="s">
        <v>55</v>
      </c>
      <c r="S527" s="1" t="s">
        <v>285</v>
      </c>
      <c r="T527" s="1">
        <v>1.00600975E8</v>
      </c>
      <c r="W527" s="1" t="s">
        <v>37</v>
      </c>
      <c r="X527" s="1" t="s">
        <v>2043</v>
      </c>
    </row>
    <row r="528">
      <c r="A528" s="1" t="s">
        <v>2161</v>
      </c>
      <c r="B528" s="1" t="s">
        <v>744</v>
      </c>
      <c r="C528" s="1" t="s">
        <v>2162</v>
      </c>
      <c r="D528" s="1" t="s">
        <v>28</v>
      </c>
      <c r="E528" s="1" t="s">
        <v>29</v>
      </c>
      <c r="F528" s="5">
        <v>2000000.0</v>
      </c>
      <c r="G528" s="1" t="s">
        <v>1114</v>
      </c>
      <c r="H528" s="4">
        <v>44207.0</v>
      </c>
      <c r="I528" s="1" t="s">
        <v>302</v>
      </c>
      <c r="K528" s="1">
        <v>0.0</v>
      </c>
      <c r="L528" s="1" t="s">
        <v>2163</v>
      </c>
      <c r="M528" s="1" t="str">
        <f>VLOOKUP(L528,'Copy of PMD Workday Constants -'!B497:Y1183,22,false)</f>
        <v>#N/A</v>
      </c>
      <c r="N528" s="1" t="s">
        <v>32</v>
      </c>
      <c r="O528" s="1" t="s">
        <v>33</v>
      </c>
      <c r="P528" s="1" t="s">
        <v>210</v>
      </c>
      <c r="Q528" s="1" t="s">
        <v>210</v>
      </c>
      <c r="R528" s="1" t="s">
        <v>211</v>
      </c>
      <c r="S528" s="1" t="s">
        <v>297</v>
      </c>
      <c r="T528" s="1">
        <v>1.00608366E8</v>
      </c>
      <c r="W528" s="1" t="s">
        <v>258</v>
      </c>
      <c r="X528" s="1" t="s">
        <v>2163</v>
      </c>
    </row>
    <row r="529">
      <c r="A529" s="1" t="s">
        <v>2164</v>
      </c>
      <c r="B529" s="1" t="s">
        <v>219</v>
      </c>
      <c r="C529" s="1" t="s">
        <v>2165</v>
      </c>
      <c r="D529" s="1" t="s">
        <v>28</v>
      </c>
      <c r="E529" s="1" t="s">
        <v>29</v>
      </c>
      <c r="F529" s="5">
        <v>2000000.0</v>
      </c>
      <c r="G529" s="1" t="s">
        <v>1114</v>
      </c>
      <c r="H529" s="1" t="s">
        <v>509</v>
      </c>
      <c r="I529" s="1" t="s">
        <v>191</v>
      </c>
      <c r="K529" s="1">
        <v>0.0</v>
      </c>
      <c r="L529" s="1" t="s">
        <v>157</v>
      </c>
      <c r="M529" s="1" t="str">
        <f>VLOOKUP(L529,'Copy of PMD Workday Constants -'!B498:Y1184,22,false)</f>
        <v>#N/A</v>
      </c>
      <c r="N529" s="1" t="s">
        <v>32</v>
      </c>
      <c r="O529" s="1" t="s">
        <v>33</v>
      </c>
      <c r="P529" s="1" t="s">
        <v>112</v>
      </c>
      <c r="Q529" s="1" t="s">
        <v>112</v>
      </c>
      <c r="R529" s="1" t="s">
        <v>113</v>
      </c>
      <c r="S529" s="1" t="s">
        <v>204</v>
      </c>
      <c r="T529" s="1">
        <v>1.00658522E8</v>
      </c>
      <c r="W529" s="1" t="s">
        <v>91</v>
      </c>
      <c r="X529" s="1" t="s">
        <v>2166</v>
      </c>
    </row>
    <row r="530">
      <c r="A530" s="1" t="s">
        <v>2167</v>
      </c>
      <c r="B530" s="1" t="s">
        <v>458</v>
      </c>
      <c r="C530" s="1" t="s">
        <v>2168</v>
      </c>
      <c r="D530" s="1" t="s">
        <v>28</v>
      </c>
      <c r="E530" s="1" t="s">
        <v>29</v>
      </c>
      <c r="F530" s="5">
        <v>2000000.0</v>
      </c>
      <c r="G530" s="1" t="s">
        <v>1114</v>
      </c>
      <c r="H530" s="4">
        <v>44717.0</v>
      </c>
      <c r="I530" s="1" t="s">
        <v>80</v>
      </c>
      <c r="K530" s="1">
        <v>0.0</v>
      </c>
      <c r="L530" s="1" t="s">
        <v>2169</v>
      </c>
      <c r="M530" s="1" t="str">
        <f>VLOOKUP(L530,'Copy of PMD Workday Constants -'!B499:Y1185,22,false)</f>
        <v>#N/A</v>
      </c>
      <c r="N530" s="1" t="s">
        <v>32</v>
      </c>
      <c r="O530" s="1" t="s">
        <v>33</v>
      </c>
      <c r="P530" s="1" t="s">
        <v>64</v>
      </c>
      <c r="Q530" s="1" t="s">
        <v>64</v>
      </c>
      <c r="R530" s="1" t="s">
        <v>65</v>
      </c>
      <c r="S530" s="1" t="s">
        <v>98</v>
      </c>
      <c r="T530" s="1">
        <v>1.00886112E8</v>
      </c>
      <c r="W530" s="1" t="s">
        <v>56</v>
      </c>
      <c r="X530" s="1" t="s">
        <v>2170</v>
      </c>
    </row>
    <row r="531">
      <c r="A531" s="1" t="s">
        <v>2171</v>
      </c>
      <c r="B531" s="1" t="s">
        <v>2172</v>
      </c>
      <c r="C531" s="1" t="s">
        <v>2173</v>
      </c>
      <c r="D531" s="1" t="s">
        <v>28</v>
      </c>
      <c r="E531" s="1" t="s">
        <v>29</v>
      </c>
      <c r="F531" s="1">
        <v>2000000.0</v>
      </c>
      <c r="G531" s="1" t="s">
        <v>1114</v>
      </c>
      <c r="H531" s="4">
        <v>44871.0</v>
      </c>
      <c r="I531" s="1" t="s">
        <v>152</v>
      </c>
      <c r="K531" s="1">
        <v>0.0</v>
      </c>
      <c r="L531" s="1" t="s">
        <v>2174</v>
      </c>
      <c r="M531" s="1" t="str">
        <f>VLOOKUP(L531,'Copy of PMD Workday Constants -'!B530:W1216,22,false)</f>
        <v>Delivery</v>
      </c>
      <c r="N531" s="1" t="s">
        <v>32</v>
      </c>
      <c r="O531" s="1" t="s">
        <v>33</v>
      </c>
      <c r="P531" s="1" t="s">
        <v>112</v>
      </c>
      <c r="Q531" s="1" t="s">
        <v>112</v>
      </c>
      <c r="R531" s="1" t="s">
        <v>113</v>
      </c>
      <c r="S531" s="1" t="s">
        <v>134</v>
      </c>
      <c r="T531" s="1">
        <v>1.00631322E8</v>
      </c>
      <c r="W531" s="1" t="s">
        <v>74</v>
      </c>
      <c r="X531" s="1" t="s">
        <v>2174</v>
      </c>
    </row>
    <row r="532">
      <c r="A532" s="1" t="s">
        <v>2175</v>
      </c>
      <c r="B532" s="1" t="s">
        <v>2172</v>
      </c>
      <c r="C532" s="1" t="s">
        <v>2176</v>
      </c>
      <c r="D532" s="1" t="s">
        <v>28</v>
      </c>
      <c r="E532" s="1" t="s">
        <v>29</v>
      </c>
      <c r="F532" s="1">
        <v>2000000.0</v>
      </c>
      <c r="G532" s="1" t="s">
        <v>1114</v>
      </c>
      <c r="H532" s="4">
        <v>44871.0</v>
      </c>
      <c r="I532" s="1" t="s">
        <v>510</v>
      </c>
      <c r="K532" s="1">
        <v>0.0</v>
      </c>
      <c r="L532" s="1" t="s">
        <v>2174</v>
      </c>
      <c r="M532" s="1" t="str">
        <f>VLOOKUP(L532,'Copy of PMD Workday Constants -'!B531:W1217,22,false)</f>
        <v>Delivery</v>
      </c>
      <c r="N532" s="1" t="s">
        <v>32</v>
      </c>
      <c r="O532" s="1" t="s">
        <v>33</v>
      </c>
      <c r="P532" s="1" t="s">
        <v>112</v>
      </c>
      <c r="Q532" s="1" t="s">
        <v>112</v>
      </c>
      <c r="R532" s="1" t="s">
        <v>113</v>
      </c>
      <c r="S532" s="1" t="s">
        <v>134</v>
      </c>
      <c r="T532" s="1">
        <v>1.00631322E8</v>
      </c>
      <c r="W532" s="1" t="s">
        <v>74</v>
      </c>
      <c r="X532" s="1" t="s">
        <v>2174</v>
      </c>
    </row>
    <row r="533">
      <c r="A533" s="1" t="s">
        <v>2177</v>
      </c>
      <c r="B533" s="1" t="s">
        <v>507</v>
      </c>
      <c r="C533" s="1" t="s">
        <v>2178</v>
      </c>
      <c r="D533" s="1" t="s">
        <v>51</v>
      </c>
      <c r="E533" s="1" t="s">
        <v>29</v>
      </c>
      <c r="F533" s="5">
        <v>2000000.0</v>
      </c>
      <c r="G533" s="1" t="s">
        <v>1114</v>
      </c>
      <c r="H533" s="1" t="s">
        <v>1524</v>
      </c>
      <c r="I533" s="1" t="s">
        <v>264</v>
      </c>
      <c r="K533" s="1">
        <v>0.0</v>
      </c>
      <c r="L533" s="1" t="s">
        <v>582</v>
      </c>
      <c r="M533" s="1" t="str">
        <f>VLOOKUP(L533,'Copy of PMD Workday Constants -'!B502:Y1188,22,false)</f>
        <v>#N/A</v>
      </c>
      <c r="N533" s="1" t="s">
        <v>32</v>
      </c>
      <c r="O533" s="1" t="s">
        <v>33</v>
      </c>
      <c r="P533" s="1" t="s">
        <v>82</v>
      </c>
      <c r="Q533" s="1" t="s">
        <v>82</v>
      </c>
      <c r="R533" s="1" t="s">
        <v>83</v>
      </c>
      <c r="S533" s="1" t="s">
        <v>583</v>
      </c>
      <c r="T533" s="1">
        <v>1.00869732E8</v>
      </c>
      <c r="W533" s="1" t="s">
        <v>456</v>
      </c>
      <c r="X533" s="1" t="s">
        <v>1781</v>
      </c>
    </row>
    <row r="534">
      <c r="A534" s="1" t="s">
        <v>2179</v>
      </c>
      <c r="B534" s="1" t="s">
        <v>507</v>
      </c>
      <c r="C534" s="1" t="s">
        <v>2180</v>
      </c>
      <c r="D534" s="1" t="s">
        <v>28</v>
      </c>
      <c r="E534" s="1" t="s">
        <v>29</v>
      </c>
      <c r="F534" s="5">
        <v>2000000.0</v>
      </c>
      <c r="G534" s="1" t="s">
        <v>1114</v>
      </c>
      <c r="H534" s="1" t="s">
        <v>1524</v>
      </c>
      <c r="I534" s="1" t="s">
        <v>264</v>
      </c>
      <c r="K534" s="1">
        <v>0.0</v>
      </c>
      <c r="L534" s="1" t="s">
        <v>582</v>
      </c>
      <c r="M534" s="1" t="str">
        <f>VLOOKUP(L534,'Copy of PMD Workday Constants -'!B503:Y1189,22,false)</f>
        <v>#N/A</v>
      </c>
      <c r="N534" s="1" t="s">
        <v>32</v>
      </c>
      <c r="O534" s="1" t="s">
        <v>33</v>
      </c>
      <c r="P534" s="1" t="s">
        <v>82</v>
      </c>
      <c r="Q534" s="1" t="s">
        <v>82</v>
      </c>
      <c r="R534" s="1" t="s">
        <v>83</v>
      </c>
      <c r="S534" s="1" t="s">
        <v>583</v>
      </c>
      <c r="T534" s="1">
        <v>1.00869732E8</v>
      </c>
      <c r="W534" s="1" t="s">
        <v>456</v>
      </c>
      <c r="X534" s="1" t="s">
        <v>1781</v>
      </c>
    </row>
    <row r="535">
      <c r="A535" s="1" t="s">
        <v>2181</v>
      </c>
      <c r="B535" s="1" t="s">
        <v>1725</v>
      </c>
      <c r="C535" s="1" t="s">
        <v>2182</v>
      </c>
      <c r="D535" s="1" t="s">
        <v>28</v>
      </c>
      <c r="E535" s="1" t="s">
        <v>29</v>
      </c>
      <c r="F535" s="5">
        <v>2000000.0</v>
      </c>
      <c r="G535" s="1" t="s">
        <v>1114</v>
      </c>
      <c r="H535" s="4">
        <v>44837.0</v>
      </c>
      <c r="I535" s="1" t="s">
        <v>96</v>
      </c>
      <c r="K535" s="1">
        <v>0.0</v>
      </c>
      <c r="L535" s="1" t="s">
        <v>1973</v>
      </c>
      <c r="M535" s="1" t="str">
        <f>VLOOKUP(L535,'Copy of PMD Workday Constants -'!B504:Y1190,22,false)</f>
        <v>#N/A</v>
      </c>
      <c r="N535" s="1" t="s">
        <v>32</v>
      </c>
      <c r="O535" s="1" t="s">
        <v>33</v>
      </c>
      <c r="P535" s="1" t="s">
        <v>82</v>
      </c>
      <c r="Q535" s="1" t="s">
        <v>82</v>
      </c>
      <c r="R535" s="1" t="s">
        <v>83</v>
      </c>
      <c r="S535" s="1" t="s">
        <v>180</v>
      </c>
      <c r="T535" s="1">
        <v>1.00619692E8</v>
      </c>
      <c r="W535" s="1" t="s">
        <v>85</v>
      </c>
      <c r="X535" s="1" t="s">
        <v>1973</v>
      </c>
    </row>
    <row r="536">
      <c r="A536" s="1" t="s">
        <v>2183</v>
      </c>
      <c r="B536" s="1" t="s">
        <v>507</v>
      </c>
      <c r="C536" s="1" t="s">
        <v>2184</v>
      </c>
      <c r="D536" s="1" t="s">
        <v>28</v>
      </c>
      <c r="E536" s="1" t="s">
        <v>29</v>
      </c>
      <c r="F536" s="5">
        <v>2000000.0</v>
      </c>
      <c r="G536" s="1" t="s">
        <v>1114</v>
      </c>
      <c r="H536" s="1" t="s">
        <v>1575</v>
      </c>
      <c r="I536" s="1" t="s">
        <v>264</v>
      </c>
      <c r="K536" s="1">
        <v>0.0</v>
      </c>
      <c r="L536" s="1" t="s">
        <v>582</v>
      </c>
      <c r="M536" s="1" t="str">
        <f>VLOOKUP(L536,'Copy of PMD Workday Constants -'!B505:Y1191,22,false)</f>
        <v>#N/A</v>
      </c>
      <c r="N536" s="1" t="s">
        <v>32</v>
      </c>
      <c r="O536" s="1" t="s">
        <v>33</v>
      </c>
      <c r="P536" s="1" t="s">
        <v>82</v>
      </c>
      <c r="Q536" s="1" t="s">
        <v>82</v>
      </c>
      <c r="R536" s="1" t="s">
        <v>83</v>
      </c>
      <c r="S536" s="1" t="s">
        <v>583</v>
      </c>
      <c r="T536" s="1">
        <v>1.00869732E8</v>
      </c>
      <c r="W536" s="1" t="s">
        <v>456</v>
      </c>
      <c r="X536" s="1" t="s">
        <v>1781</v>
      </c>
    </row>
    <row r="537">
      <c r="A537" s="1" t="s">
        <v>2185</v>
      </c>
      <c r="B537" s="1" t="s">
        <v>507</v>
      </c>
      <c r="C537" s="1" t="s">
        <v>2186</v>
      </c>
      <c r="D537" s="1" t="s">
        <v>28</v>
      </c>
      <c r="E537" s="1" t="s">
        <v>29</v>
      </c>
      <c r="F537" s="5">
        <v>2000000.0</v>
      </c>
      <c r="G537" s="1" t="s">
        <v>1114</v>
      </c>
      <c r="H537" s="1" t="s">
        <v>1575</v>
      </c>
      <c r="I537" s="1" t="s">
        <v>264</v>
      </c>
      <c r="K537" s="1">
        <v>0.0</v>
      </c>
      <c r="L537" s="1" t="s">
        <v>582</v>
      </c>
      <c r="M537" s="1" t="str">
        <f>VLOOKUP(L537,'Copy of PMD Workday Constants -'!B506:Y1192,22,false)</f>
        <v>#N/A</v>
      </c>
      <c r="N537" s="1" t="s">
        <v>32</v>
      </c>
      <c r="O537" s="1" t="s">
        <v>33</v>
      </c>
      <c r="P537" s="1" t="s">
        <v>82</v>
      </c>
      <c r="Q537" s="1" t="s">
        <v>82</v>
      </c>
      <c r="R537" s="1" t="s">
        <v>83</v>
      </c>
      <c r="S537" s="1" t="s">
        <v>583</v>
      </c>
      <c r="T537" s="1">
        <v>1.00869732E8</v>
      </c>
      <c r="W537" s="1" t="s">
        <v>456</v>
      </c>
      <c r="X537" s="1" t="s">
        <v>1781</v>
      </c>
    </row>
    <row r="538">
      <c r="A538" s="1" t="s">
        <v>2187</v>
      </c>
      <c r="B538" s="1" t="s">
        <v>2152</v>
      </c>
      <c r="C538" s="1" t="s">
        <v>2188</v>
      </c>
      <c r="D538" s="1" t="s">
        <v>51</v>
      </c>
      <c r="E538" s="1" t="s">
        <v>29</v>
      </c>
      <c r="F538" s="1">
        <v>2000000.0</v>
      </c>
      <c r="G538" s="1" t="s">
        <v>1114</v>
      </c>
      <c r="H538" s="1" t="s">
        <v>1524</v>
      </c>
      <c r="I538" s="4">
        <v>44930.0</v>
      </c>
      <c r="K538" s="1">
        <v>0.0</v>
      </c>
      <c r="L538" s="1" t="s">
        <v>1165</v>
      </c>
      <c r="M538" s="1" t="str">
        <f>VLOOKUP(L538,'Copy of PMD Workday Constants -'!B537:W1223,22,false)</f>
        <v>Delivery</v>
      </c>
      <c r="N538" s="1" t="s">
        <v>32</v>
      </c>
      <c r="O538" s="1" t="s">
        <v>33</v>
      </c>
      <c r="P538" s="1" t="s">
        <v>34</v>
      </c>
      <c r="Q538" s="1" t="s">
        <v>34</v>
      </c>
      <c r="R538" s="1" t="s">
        <v>35</v>
      </c>
      <c r="S538" s="1" t="s">
        <v>1166</v>
      </c>
      <c r="T538" s="1">
        <v>1.00586863E8</v>
      </c>
      <c r="W538" s="1" t="s">
        <v>456</v>
      </c>
      <c r="X538" s="1" t="s">
        <v>1167</v>
      </c>
    </row>
    <row r="539">
      <c r="A539" s="1" t="s">
        <v>2189</v>
      </c>
      <c r="B539" s="1" t="s">
        <v>879</v>
      </c>
      <c r="C539" s="1" t="s">
        <v>2190</v>
      </c>
      <c r="D539" s="1" t="s">
        <v>51</v>
      </c>
      <c r="E539" s="1" t="s">
        <v>29</v>
      </c>
      <c r="F539" s="5">
        <v>2000000.0</v>
      </c>
      <c r="G539" s="1" t="s">
        <v>1114</v>
      </c>
      <c r="H539" s="4">
        <v>44897.0</v>
      </c>
      <c r="I539" s="4">
        <v>44570.0</v>
      </c>
      <c r="K539" s="1">
        <v>0.0</v>
      </c>
      <c r="L539" s="1" t="s">
        <v>415</v>
      </c>
      <c r="M539" s="1" t="str">
        <f>VLOOKUP(L539,'Copy of PMD Workday Constants -'!B508:Y1194,22,false)</f>
        <v>#N/A</v>
      </c>
      <c r="N539" s="1" t="s">
        <v>32</v>
      </c>
      <c r="O539" s="1" t="s">
        <v>33</v>
      </c>
      <c r="P539" s="1" t="s">
        <v>210</v>
      </c>
      <c r="Q539" s="1" t="s">
        <v>210</v>
      </c>
      <c r="R539" s="1" t="s">
        <v>211</v>
      </c>
      <c r="S539" s="1" t="s">
        <v>36</v>
      </c>
      <c r="T539" s="1">
        <v>1.00650375E8</v>
      </c>
      <c r="W539" s="1" t="s">
        <v>37</v>
      </c>
      <c r="X539" s="1" t="s">
        <v>2191</v>
      </c>
    </row>
    <row r="540">
      <c r="A540" s="1" t="s">
        <v>2192</v>
      </c>
      <c r="B540" s="1" t="s">
        <v>143</v>
      </c>
      <c r="C540" s="1" t="s">
        <v>2193</v>
      </c>
      <c r="D540" s="1" t="s">
        <v>51</v>
      </c>
      <c r="E540" s="1" t="s">
        <v>29</v>
      </c>
      <c r="F540" s="1">
        <v>2000000.0</v>
      </c>
      <c r="G540" s="1" t="s">
        <v>1114</v>
      </c>
      <c r="H540" s="1" t="s">
        <v>61</v>
      </c>
      <c r="I540" s="4">
        <v>44568.0</v>
      </c>
      <c r="K540" s="1">
        <v>0.0</v>
      </c>
      <c r="L540" s="1" t="s">
        <v>2133</v>
      </c>
      <c r="M540" s="1" t="str">
        <f>VLOOKUP(L540,'Copy of PMD Workday Constants -'!B539:W1225,22,false)</f>
        <v>Delivery</v>
      </c>
      <c r="N540" s="1" t="s">
        <v>32</v>
      </c>
      <c r="O540" s="1" t="s">
        <v>33</v>
      </c>
      <c r="P540" s="1" t="s">
        <v>64</v>
      </c>
      <c r="Q540" s="1" t="s">
        <v>64</v>
      </c>
      <c r="R540" s="1" t="s">
        <v>65</v>
      </c>
      <c r="S540" s="1" t="s">
        <v>66</v>
      </c>
      <c r="T540" s="1">
        <v>1.00653977E8</v>
      </c>
      <c r="W540" s="1" t="s">
        <v>147</v>
      </c>
      <c r="X540" s="1" t="s">
        <v>2194</v>
      </c>
    </row>
    <row r="541">
      <c r="A541" s="1" t="s">
        <v>2195</v>
      </c>
      <c r="B541" s="1" t="s">
        <v>970</v>
      </c>
      <c r="C541" s="1" t="s">
        <v>2196</v>
      </c>
      <c r="D541" s="1" t="s">
        <v>28</v>
      </c>
      <c r="E541" s="1" t="s">
        <v>29</v>
      </c>
      <c r="F541" s="5">
        <v>2000000.0</v>
      </c>
      <c r="G541" s="1" t="s">
        <v>1114</v>
      </c>
      <c r="H541" s="4">
        <v>44420.0</v>
      </c>
      <c r="I541" s="1" t="s">
        <v>406</v>
      </c>
      <c r="K541" s="1">
        <v>0.0</v>
      </c>
      <c r="L541" s="1" t="s">
        <v>448</v>
      </c>
      <c r="M541" s="1" t="str">
        <f>VLOOKUP(L541,'Copy of PMD Workday Constants -'!B510:Y1196,22,false)</f>
        <v>#N/A</v>
      </c>
      <c r="N541" s="1" t="s">
        <v>32</v>
      </c>
      <c r="O541" s="1" t="s">
        <v>33</v>
      </c>
      <c r="P541" s="1" t="s">
        <v>112</v>
      </c>
      <c r="Q541" s="1" t="s">
        <v>112</v>
      </c>
      <c r="R541" s="1" t="s">
        <v>113</v>
      </c>
      <c r="S541" s="1" t="s">
        <v>646</v>
      </c>
      <c r="T541" s="1">
        <v>1.00657929E8</v>
      </c>
      <c r="W541" s="1" t="s">
        <v>308</v>
      </c>
      <c r="X541" s="1" t="s">
        <v>2197</v>
      </c>
    </row>
    <row r="542">
      <c r="A542" s="1" t="s">
        <v>2198</v>
      </c>
      <c r="B542" s="1" t="s">
        <v>2199</v>
      </c>
      <c r="C542" s="1" t="s">
        <v>2200</v>
      </c>
      <c r="D542" s="1" t="s">
        <v>28</v>
      </c>
      <c r="E542" s="1" t="s">
        <v>29</v>
      </c>
      <c r="F542" s="5">
        <v>2000000.0</v>
      </c>
      <c r="G542" s="1" t="s">
        <v>1114</v>
      </c>
      <c r="H542" s="4">
        <v>44655.0</v>
      </c>
      <c r="I542" s="1" t="s">
        <v>302</v>
      </c>
      <c r="K542" s="1">
        <v>0.0</v>
      </c>
      <c r="L542" s="1" t="s">
        <v>2201</v>
      </c>
      <c r="M542" s="1" t="str">
        <f>VLOOKUP(L542,'Copy of PMD Workday Constants -'!B511:Y1197,22,false)</f>
        <v>#N/A</v>
      </c>
      <c r="N542" s="1" t="s">
        <v>32</v>
      </c>
      <c r="O542" s="1" t="s">
        <v>33</v>
      </c>
      <c r="P542" s="1" t="s">
        <v>64</v>
      </c>
      <c r="Q542" s="1" t="s">
        <v>64</v>
      </c>
      <c r="R542" s="1" t="s">
        <v>65</v>
      </c>
      <c r="S542" s="1" t="s">
        <v>1496</v>
      </c>
      <c r="T542" s="1">
        <v>1.00649936E8</v>
      </c>
      <c r="W542" s="1" t="s">
        <v>258</v>
      </c>
      <c r="X542" s="1" t="s">
        <v>2202</v>
      </c>
    </row>
    <row r="543">
      <c r="A543" s="1" t="s">
        <v>2203</v>
      </c>
      <c r="B543" s="1" t="s">
        <v>1721</v>
      </c>
      <c r="C543" s="1" t="s">
        <v>2204</v>
      </c>
      <c r="D543" s="1" t="s">
        <v>51</v>
      </c>
      <c r="E543" s="1" t="s">
        <v>29</v>
      </c>
      <c r="F543" s="5">
        <v>2000000.0</v>
      </c>
      <c r="G543" s="1" t="s">
        <v>1114</v>
      </c>
      <c r="H543" s="4">
        <v>44451.0</v>
      </c>
      <c r="I543" s="1" t="s">
        <v>217</v>
      </c>
      <c r="K543" s="1">
        <v>0.0</v>
      </c>
      <c r="L543" s="1" t="s">
        <v>2205</v>
      </c>
      <c r="M543" s="1" t="str">
        <f>VLOOKUP(L543,'Copy of PMD Workday Constants -'!B512:Y1198,22,false)</f>
        <v>#N/A</v>
      </c>
      <c r="N543" s="1" t="s">
        <v>32</v>
      </c>
      <c r="O543" s="1" t="s">
        <v>33</v>
      </c>
      <c r="P543" s="1" t="s">
        <v>112</v>
      </c>
      <c r="Q543" s="1" t="s">
        <v>112</v>
      </c>
      <c r="R543" s="1" t="s">
        <v>113</v>
      </c>
      <c r="S543" s="1" t="s">
        <v>307</v>
      </c>
      <c r="T543" s="1">
        <v>1.0059365E8</v>
      </c>
      <c r="W543" s="1" t="s">
        <v>391</v>
      </c>
      <c r="X543" s="1" t="s">
        <v>2205</v>
      </c>
    </row>
    <row r="544">
      <c r="A544" s="1" t="s">
        <v>2206</v>
      </c>
      <c r="B544" s="1" t="s">
        <v>1703</v>
      </c>
      <c r="C544" s="1" t="s">
        <v>2207</v>
      </c>
      <c r="D544" s="1" t="s">
        <v>28</v>
      </c>
      <c r="E544" s="1" t="s">
        <v>29</v>
      </c>
      <c r="F544" s="5">
        <v>2000000.0</v>
      </c>
      <c r="G544" s="1" t="s">
        <v>1114</v>
      </c>
      <c r="H544" s="1" t="s">
        <v>592</v>
      </c>
      <c r="I544" s="1" t="s">
        <v>1859</v>
      </c>
      <c r="K544" s="1">
        <v>0.0</v>
      </c>
      <c r="L544" s="1" t="s">
        <v>1486</v>
      </c>
      <c r="M544" s="1" t="str">
        <f>VLOOKUP(L544,'Copy of PMD Workday Constants -'!B513:Y1199,22,false)</f>
        <v>#N/A</v>
      </c>
      <c r="N544" s="1" t="s">
        <v>32</v>
      </c>
      <c r="O544" s="1" t="s">
        <v>33</v>
      </c>
      <c r="P544" s="1" t="s">
        <v>82</v>
      </c>
      <c r="Q544" s="1" t="s">
        <v>82</v>
      </c>
      <c r="R544" s="1" t="s">
        <v>83</v>
      </c>
      <c r="S544" s="1" t="s">
        <v>583</v>
      </c>
      <c r="T544" s="1">
        <v>1.006324E8</v>
      </c>
      <c r="W544" s="1" t="s">
        <v>456</v>
      </c>
      <c r="X544" s="1" t="s">
        <v>1486</v>
      </c>
    </row>
    <row r="545">
      <c r="A545" s="1" t="s">
        <v>2208</v>
      </c>
      <c r="B545" s="1" t="s">
        <v>40</v>
      </c>
      <c r="C545" s="1" t="s">
        <v>2209</v>
      </c>
      <c r="D545" s="1" t="s">
        <v>51</v>
      </c>
      <c r="E545" s="1" t="s">
        <v>29</v>
      </c>
      <c r="F545" s="5">
        <v>2000000.0</v>
      </c>
      <c r="G545" s="1" t="s">
        <v>1114</v>
      </c>
      <c r="H545" s="1" t="s">
        <v>2210</v>
      </c>
      <c r="I545" s="1" t="s">
        <v>421</v>
      </c>
      <c r="K545" s="1">
        <v>0.0</v>
      </c>
      <c r="L545" s="1" t="s">
        <v>825</v>
      </c>
      <c r="M545" s="1" t="str">
        <f>VLOOKUP(L545,'Copy of PMD Workday Constants -'!B514:Y1200,22,false)</f>
        <v>#N/A</v>
      </c>
      <c r="N545" s="1" t="s">
        <v>32</v>
      </c>
      <c r="O545" s="1" t="s">
        <v>33</v>
      </c>
      <c r="P545" s="1" t="s">
        <v>112</v>
      </c>
      <c r="Q545" s="1" t="s">
        <v>112</v>
      </c>
      <c r="R545" s="1" t="s">
        <v>113</v>
      </c>
      <c r="S545" s="1" t="s">
        <v>307</v>
      </c>
      <c r="T545" s="1">
        <v>1.00621664E8</v>
      </c>
      <c r="W545" s="1" t="s">
        <v>47</v>
      </c>
      <c r="X545" s="1" t="s">
        <v>1511</v>
      </c>
    </row>
    <row r="546">
      <c r="A546" s="1" t="s">
        <v>2211</v>
      </c>
      <c r="B546" s="1" t="s">
        <v>2212</v>
      </c>
      <c r="C546" s="1" t="s">
        <v>2213</v>
      </c>
      <c r="D546" s="1" t="s">
        <v>28</v>
      </c>
      <c r="E546" s="1" t="s">
        <v>29</v>
      </c>
      <c r="F546" s="5">
        <v>2000000.0</v>
      </c>
      <c r="G546" s="1" t="s">
        <v>1114</v>
      </c>
      <c r="H546" s="4">
        <v>44565.0</v>
      </c>
      <c r="I546" s="1" t="s">
        <v>96</v>
      </c>
      <c r="K546" s="1">
        <v>0.0</v>
      </c>
      <c r="L546" s="1" t="s">
        <v>866</v>
      </c>
      <c r="M546" s="1" t="str">
        <f>VLOOKUP(L546,'Copy of PMD Workday Constants -'!B515:Y1201,22,false)</f>
        <v>#N/A</v>
      </c>
      <c r="N546" s="1" t="s">
        <v>32</v>
      </c>
      <c r="O546" s="1" t="s">
        <v>33</v>
      </c>
      <c r="P546" s="1" t="s">
        <v>82</v>
      </c>
      <c r="Q546" s="1" t="s">
        <v>82</v>
      </c>
      <c r="R546" s="1" t="s">
        <v>83</v>
      </c>
      <c r="S546" s="1" t="s">
        <v>84</v>
      </c>
      <c r="T546" s="1">
        <v>1.00941744E8</v>
      </c>
      <c r="W546" s="1" t="s">
        <v>85</v>
      </c>
      <c r="X546" s="1" t="s">
        <v>2214</v>
      </c>
    </row>
    <row r="547">
      <c r="A547" s="1" t="s">
        <v>2215</v>
      </c>
      <c r="B547" s="1" t="s">
        <v>913</v>
      </c>
      <c r="C547" s="1" t="s">
        <v>2216</v>
      </c>
      <c r="D547" s="1" t="s">
        <v>28</v>
      </c>
      <c r="E547" s="1" t="s">
        <v>29</v>
      </c>
      <c r="F547" s="5">
        <v>2000000.0</v>
      </c>
      <c r="G547" s="1" t="s">
        <v>1114</v>
      </c>
      <c r="H547" s="1" t="s">
        <v>1514</v>
      </c>
      <c r="I547" s="4">
        <v>44568.0</v>
      </c>
      <c r="K547" s="1">
        <v>0.0</v>
      </c>
      <c r="L547" s="1" t="s">
        <v>1603</v>
      </c>
      <c r="M547" s="1" t="str">
        <f>VLOOKUP(L547,'Copy of PMD Workday Constants -'!B516:Y1202,22,false)</f>
        <v>#N/A</v>
      </c>
      <c r="N547" s="1" t="s">
        <v>32</v>
      </c>
      <c r="O547" s="1" t="s">
        <v>33</v>
      </c>
      <c r="P547" s="1" t="s">
        <v>82</v>
      </c>
      <c r="Q547" s="1" t="s">
        <v>82</v>
      </c>
      <c r="R547" s="1" t="s">
        <v>83</v>
      </c>
      <c r="S547" s="1" t="s">
        <v>84</v>
      </c>
      <c r="T547" s="1">
        <v>1.00646452E8</v>
      </c>
      <c r="W547" s="1" t="s">
        <v>85</v>
      </c>
      <c r="X547" s="1" t="s">
        <v>1604</v>
      </c>
    </row>
    <row r="548">
      <c r="A548" s="1" t="s">
        <v>2217</v>
      </c>
      <c r="B548" s="1" t="s">
        <v>776</v>
      </c>
      <c r="C548" s="1" t="s">
        <v>2218</v>
      </c>
      <c r="D548" s="1" t="s">
        <v>28</v>
      </c>
      <c r="E548" s="1" t="s">
        <v>29</v>
      </c>
      <c r="F548" s="1">
        <v>2000000.0</v>
      </c>
      <c r="G548" s="1" t="s">
        <v>1114</v>
      </c>
      <c r="H548" s="4">
        <v>44867.0</v>
      </c>
      <c r="I548" s="1" t="s">
        <v>152</v>
      </c>
      <c r="K548" s="1">
        <v>0.0</v>
      </c>
      <c r="L548" s="1" t="s">
        <v>1170</v>
      </c>
      <c r="M548" s="1" t="str">
        <f>VLOOKUP(L548,'Copy of PMD Workday Constants -'!B547:W1233,22,false)</f>
        <v>Delivery</v>
      </c>
      <c r="N548" s="1" t="s">
        <v>32</v>
      </c>
      <c r="O548" s="1" t="s">
        <v>33</v>
      </c>
      <c r="P548" s="1" t="s">
        <v>112</v>
      </c>
      <c r="Q548" s="1" t="s">
        <v>112</v>
      </c>
      <c r="R548" s="1" t="s">
        <v>113</v>
      </c>
      <c r="S548" s="1" t="s">
        <v>1336</v>
      </c>
      <c r="T548" s="1">
        <v>1.00595231E8</v>
      </c>
      <c r="W548" s="1" t="s">
        <v>74</v>
      </c>
      <c r="X548" s="1" t="s">
        <v>1170</v>
      </c>
    </row>
    <row r="549">
      <c r="A549" s="1" t="s">
        <v>2219</v>
      </c>
      <c r="B549" s="1" t="s">
        <v>2220</v>
      </c>
      <c r="C549" s="1" t="s">
        <v>2221</v>
      </c>
      <c r="D549" s="1" t="s">
        <v>103</v>
      </c>
      <c r="E549" s="1" t="s">
        <v>29</v>
      </c>
      <c r="F549" s="5">
        <v>2000000.0</v>
      </c>
      <c r="G549" s="1" t="s">
        <v>1114</v>
      </c>
      <c r="H549" s="1" t="s">
        <v>1765</v>
      </c>
      <c r="I549" s="1" t="s">
        <v>2222</v>
      </c>
      <c r="K549" s="1">
        <v>0.0</v>
      </c>
      <c r="L549" s="1" t="s">
        <v>2223</v>
      </c>
      <c r="M549" s="1" t="str">
        <f>VLOOKUP(L549,'Copy of PMD Workday Constants -'!B518:Y1204,22,false)</f>
        <v>#N/A</v>
      </c>
      <c r="N549" s="1" t="s">
        <v>32</v>
      </c>
      <c r="O549" s="1" t="s">
        <v>33</v>
      </c>
      <c r="P549" s="1" t="s">
        <v>222</v>
      </c>
      <c r="Q549" s="1" t="s">
        <v>222</v>
      </c>
      <c r="R549" s="1" t="s">
        <v>223</v>
      </c>
      <c r="S549" s="1" t="s">
        <v>482</v>
      </c>
      <c r="T549" s="1">
        <v>1.00587894E8</v>
      </c>
      <c r="W549" s="1" t="s">
        <v>2098</v>
      </c>
      <c r="X549" s="1" t="s">
        <v>2223</v>
      </c>
    </row>
    <row r="550">
      <c r="A550" s="1" t="s">
        <v>2224</v>
      </c>
      <c r="B550" s="1" t="s">
        <v>2220</v>
      </c>
      <c r="C550" s="1" t="s">
        <v>2225</v>
      </c>
      <c r="D550" s="1" t="s">
        <v>103</v>
      </c>
      <c r="E550" s="1" t="s">
        <v>29</v>
      </c>
      <c r="F550" s="5">
        <v>2000000.0</v>
      </c>
      <c r="G550" s="1" t="s">
        <v>1114</v>
      </c>
      <c r="H550" s="1" t="s">
        <v>1765</v>
      </c>
      <c r="I550" s="1" t="s">
        <v>2226</v>
      </c>
      <c r="K550" s="1">
        <v>0.0</v>
      </c>
      <c r="L550" s="1" t="s">
        <v>2223</v>
      </c>
      <c r="M550" s="1" t="str">
        <f>VLOOKUP(L550,'Copy of PMD Workday Constants -'!B519:Y1205,22,false)</f>
        <v>#N/A</v>
      </c>
      <c r="N550" s="1" t="s">
        <v>32</v>
      </c>
      <c r="O550" s="1" t="s">
        <v>33</v>
      </c>
      <c r="P550" s="1" t="s">
        <v>222</v>
      </c>
      <c r="Q550" s="1" t="s">
        <v>222</v>
      </c>
      <c r="R550" s="1" t="s">
        <v>223</v>
      </c>
      <c r="S550" s="1" t="s">
        <v>482</v>
      </c>
      <c r="T550" s="1">
        <v>1.00587894E8</v>
      </c>
      <c r="W550" s="1" t="s">
        <v>2098</v>
      </c>
      <c r="X550" s="1" t="s">
        <v>2223</v>
      </c>
    </row>
    <row r="551">
      <c r="A551" s="1" t="s">
        <v>2227</v>
      </c>
      <c r="B551" s="1" t="s">
        <v>1415</v>
      </c>
      <c r="C551" s="1" t="s">
        <v>2228</v>
      </c>
      <c r="D551" s="1" t="s">
        <v>28</v>
      </c>
      <c r="E551" s="1" t="s">
        <v>29</v>
      </c>
      <c r="F551" s="5">
        <v>2000000.0</v>
      </c>
      <c r="G551" s="1" t="s">
        <v>1114</v>
      </c>
      <c r="H551" s="1" t="s">
        <v>1005</v>
      </c>
      <c r="I551" s="1" t="s">
        <v>104</v>
      </c>
      <c r="K551" s="1">
        <v>0.0</v>
      </c>
      <c r="L551" s="1" t="s">
        <v>836</v>
      </c>
      <c r="M551" s="1" t="str">
        <f>VLOOKUP(L551,'Copy of PMD Workday Constants -'!B520:Y1206,22,false)</f>
        <v>#N/A</v>
      </c>
      <c r="N551" s="1" t="s">
        <v>32</v>
      </c>
      <c r="O551" s="1" t="s">
        <v>33</v>
      </c>
      <c r="P551" s="1" t="s">
        <v>173</v>
      </c>
      <c r="Q551" s="1" t="s">
        <v>173</v>
      </c>
      <c r="R551" s="1" t="s">
        <v>174</v>
      </c>
      <c r="S551" s="1" t="s">
        <v>612</v>
      </c>
      <c r="T551" s="1">
        <v>1.00648457E8</v>
      </c>
      <c r="W551" s="1" t="s">
        <v>1303</v>
      </c>
      <c r="X551" s="1" t="s">
        <v>1418</v>
      </c>
    </row>
    <row r="552">
      <c r="A552" s="1" t="s">
        <v>2229</v>
      </c>
      <c r="B552" s="1" t="s">
        <v>2220</v>
      </c>
      <c r="C552" s="1" t="s">
        <v>2230</v>
      </c>
      <c r="D552" s="1" t="s">
        <v>103</v>
      </c>
      <c r="E552" s="1" t="s">
        <v>29</v>
      </c>
      <c r="F552" s="5">
        <v>2000000.0</v>
      </c>
      <c r="G552" s="1" t="s">
        <v>1114</v>
      </c>
      <c r="H552" s="1" t="s">
        <v>1765</v>
      </c>
      <c r="I552" s="1" t="s">
        <v>2231</v>
      </c>
      <c r="K552" s="1">
        <v>0.0</v>
      </c>
      <c r="L552" s="1" t="s">
        <v>2223</v>
      </c>
      <c r="M552" s="1" t="str">
        <f>VLOOKUP(L552,'Copy of PMD Workday Constants -'!B521:Y1207,22,false)</f>
        <v>#N/A</v>
      </c>
      <c r="N552" s="1" t="s">
        <v>32</v>
      </c>
      <c r="O552" s="1" t="s">
        <v>33</v>
      </c>
      <c r="P552" s="1" t="s">
        <v>222</v>
      </c>
      <c r="Q552" s="1" t="s">
        <v>222</v>
      </c>
      <c r="R552" s="1" t="s">
        <v>223</v>
      </c>
      <c r="S552" s="1" t="s">
        <v>482</v>
      </c>
      <c r="T552" s="1">
        <v>1.00587894E8</v>
      </c>
      <c r="W552" s="1" t="s">
        <v>2098</v>
      </c>
      <c r="X552" s="1" t="s">
        <v>2223</v>
      </c>
    </row>
    <row r="553">
      <c r="A553" s="1" t="s">
        <v>2232</v>
      </c>
      <c r="B553" s="1" t="s">
        <v>2220</v>
      </c>
      <c r="C553" s="1" t="s">
        <v>2233</v>
      </c>
      <c r="D553" s="1" t="s">
        <v>103</v>
      </c>
      <c r="E553" s="1" t="s">
        <v>29</v>
      </c>
      <c r="F553" s="5">
        <v>2000000.0</v>
      </c>
      <c r="G553" s="1" t="s">
        <v>1114</v>
      </c>
      <c r="H553" s="1" t="s">
        <v>1765</v>
      </c>
      <c r="I553" s="1" t="s">
        <v>2234</v>
      </c>
      <c r="K553" s="1">
        <v>0.0</v>
      </c>
      <c r="L553" s="1" t="s">
        <v>2223</v>
      </c>
      <c r="M553" s="1" t="str">
        <f>VLOOKUP(L553,'Copy of PMD Workday Constants -'!B522:Y1208,22,false)</f>
        <v>#N/A</v>
      </c>
      <c r="N553" s="1" t="s">
        <v>32</v>
      </c>
      <c r="O553" s="1" t="s">
        <v>33</v>
      </c>
      <c r="P553" s="1" t="s">
        <v>222</v>
      </c>
      <c r="Q553" s="1" t="s">
        <v>222</v>
      </c>
      <c r="R553" s="1" t="s">
        <v>223</v>
      </c>
      <c r="S553" s="1" t="s">
        <v>482</v>
      </c>
      <c r="T553" s="1">
        <v>1.00587894E8</v>
      </c>
      <c r="W553" s="1" t="s">
        <v>2098</v>
      </c>
      <c r="X553" s="1" t="s">
        <v>2223</v>
      </c>
    </row>
    <row r="554">
      <c r="A554" s="1" t="s">
        <v>2235</v>
      </c>
      <c r="B554" s="1" t="s">
        <v>2236</v>
      </c>
      <c r="C554" s="1" t="s">
        <v>2237</v>
      </c>
      <c r="D554" s="1" t="s">
        <v>28</v>
      </c>
      <c r="E554" s="1" t="s">
        <v>29</v>
      </c>
      <c r="F554" s="5">
        <v>2000000.0</v>
      </c>
      <c r="G554" s="1" t="s">
        <v>1114</v>
      </c>
      <c r="H554" s="4">
        <v>44809.0</v>
      </c>
      <c r="I554" s="1" t="s">
        <v>191</v>
      </c>
      <c r="K554" s="1">
        <v>0.0</v>
      </c>
      <c r="L554" s="1" t="s">
        <v>255</v>
      </c>
      <c r="M554" s="1" t="str">
        <f>VLOOKUP(L554,'Copy of PMD Workday Constants -'!B523:Y1209,22,false)</f>
        <v>#N/A</v>
      </c>
      <c r="N554" s="1" t="s">
        <v>32</v>
      </c>
      <c r="O554" s="1" t="s">
        <v>33</v>
      </c>
      <c r="P554" s="1" t="s">
        <v>112</v>
      </c>
      <c r="Q554" s="1" t="s">
        <v>112</v>
      </c>
      <c r="R554" s="1" t="s">
        <v>113</v>
      </c>
      <c r="S554" s="1" t="s">
        <v>256</v>
      </c>
      <c r="T554" s="1">
        <v>1.00659114E8</v>
      </c>
      <c r="W554" s="1" t="s">
        <v>258</v>
      </c>
      <c r="X554" s="1" t="s">
        <v>2238</v>
      </c>
    </row>
    <row r="555">
      <c r="A555" s="1" t="s">
        <v>2239</v>
      </c>
      <c r="B555" s="1" t="s">
        <v>1316</v>
      </c>
      <c r="C555" s="1" t="s">
        <v>2240</v>
      </c>
      <c r="D555" s="1" t="s">
        <v>28</v>
      </c>
      <c r="E555" s="1" t="s">
        <v>29</v>
      </c>
      <c r="F555" s="5">
        <v>2000000.0</v>
      </c>
      <c r="G555" s="1" t="s">
        <v>1114</v>
      </c>
      <c r="H555" s="1" t="s">
        <v>2241</v>
      </c>
      <c r="I555" s="1" t="s">
        <v>302</v>
      </c>
      <c r="K555" s="1">
        <v>0.0</v>
      </c>
      <c r="L555" s="1" t="s">
        <v>1510</v>
      </c>
      <c r="M555" s="1" t="str">
        <f>VLOOKUP(L555,'Copy of PMD Workday Constants -'!B524:Y1210,22,false)</f>
        <v>#N/A</v>
      </c>
      <c r="N555" s="1" t="s">
        <v>32</v>
      </c>
      <c r="O555" s="1" t="s">
        <v>33</v>
      </c>
      <c r="P555" s="1" t="s">
        <v>222</v>
      </c>
      <c r="Q555" s="1" t="s">
        <v>222</v>
      </c>
      <c r="R555" s="1" t="s">
        <v>223</v>
      </c>
      <c r="S555" s="1" t="s">
        <v>601</v>
      </c>
      <c r="T555" s="1">
        <v>1.00711752E8</v>
      </c>
      <c r="W555" s="1" t="s">
        <v>436</v>
      </c>
      <c r="X555" s="1" t="s">
        <v>1511</v>
      </c>
    </row>
    <row r="556">
      <c r="A556" s="1" t="s">
        <v>2242</v>
      </c>
      <c r="B556" s="1" t="s">
        <v>1080</v>
      </c>
      <c r="C556" s="1" t="s">
        <v>2243</v>
      </c>
      <c r="D556" s="1" t="s">
        <v>51</v>
      </c>
      <c r="E556" s="1" t="s">
        <v>29</v>
      </c>
      <c r="F556" s="5">
        <v>2000000.0</v>
      </c>
      <c r="G556" s="1" t="s">
        <v>1114</v>
      </c>
      <c r="H556" s="4">
        <v>44748.0</v>
      </c>
      <c r="I556" s="1" t="s">
        <v>104</v>
      </c>
      <c r="K556" s="1">
        <v>0.0</v>
      </c>
      <c r="L556" s="1" t="s">
        <v>198</v>
      </c>
      <c r="M556" s="1" t="str">
        <f>VLOOKUP(L556,'Copy of PMD Workday Constants -'!B525:Y1211,22,false)</f>
        <v>#N/A</v>
      </c>
      <c r="N556" s="1" t="s">
        <v>32</v>
      </c>
      <c r="O556" s="1" t="s">
        <v>33</v>
      </c>
      <c r="P556" s="1" t="s">
        <v>82</v>
      </c>
      <c r="Q556" s="1" t="s">
        <v>82</v>
      </c>
      <c r="R556" s="1" t="s">
        <v>83</v>
      </c>
      <c r="S556" s="1" t="s">
        <v>180</v>
      </c>
      <c r="T556" s="1">
        <v>1.00590896E8</v>
      </c>
      <c r="W556" s="1" t="s">
        <v>85</v>
      </c>
      <c r="X556" s="1" t="s">
        <v>2244</v>
      </c>
    </row>
    <row r="557">
      <c r="A557" s="1" t="s">
        <v>2245</v>
      </c>
      <c r="B557" s="1" t="s">
        <v>1305</v>
      </c>
      <c r="C557" s="1" t="s">
        <v>2246</v>
      </c>
      <c r="D557" s="1" t="s">
        <v>28</v>
      </c>
      <c r="E557" s="1" t="s">
        <v>29</v>
      </c>
      <c r="F557" s="5">
        <v>2000000.0</v>
      </c>
      <c r="G557" s="1" t="s">
        <v>1114</v>
      </c>
      <c r="H557" s="4">
        <v>44868.0</v>
      </c>
      <c r="I557" s="1" t="s">
        <v>538</v>
      </c>
      <c r="K557" s="1">
        <v>0.0</v>
      </c>
      <c r="L557" s="1" t="s">
        <v>582</v>
      </c>
      <c r="M557" s="1" t="str">
        <f>VLOOKUP(L557,'Copy of PMD Workday Constants -'!B526:Y1212,22,false)</f>
        <v>#N/A</v>
      </c>
      <c r="N557" s="1" t="s">
        <v>32</v>
      </c>
      <c r="O557" s="1" t="s">
        <v>33</v>
      </c>
      <c r="P557" s="1" t="s">
        <v>82</v>
      </c>
      <c r="Q557" s="1" t="s">
        <v>82</v>
      </c>
      <c r="R557" s="1" t="s">
        <v>83</v>
      </c>
      <c r="S557" s="1" t="s">
        <v>583</v>
      </c>
      <c r="T557" s="1">
        <v>1.00869732E8</v>
      </c>
      <c r="W557" s="1" t="s">
        <v>456</v>
      </c>
      <c r="X557" s="1" t="s">
        <v>1781</v>
      </c>
    </row>
    <row r="558">
      <c r="A558" s="1" t="s">
        <v>2247</v>
      </c>
      <c r="B558" s="1" t="s">
        <v>1483</v>
      </c>
      <c r="C558" s="1" t="s">
        <v>2248</v>
      </c>
      <c r="D558" s="1" t="s">
        <v>51</v>
      </c>
      <c r="E558" s="1" t="s">
        <v>29</v>
      </c>
      <c r="F558" s="5">
        <v>2000000.0</v>
      </c>
      <c r="G558" s="1" t="s">
        <v>1114</v>
      </c>
      <c r="H558" s="4">
        <v>44868.0</v>
      </c>
      <c r="I558" s="1" t="s">
        <v>1599</v>
      </c>
      <c r="K558" s="1">
        <v>0.0</v>
      </c>
      <c r="L558" s="1" t="s">
        <v>582</v>
      </c>
      <c r="M558" s="1" t="str">
        <f>VLOOKUP(L558,'Copy of PMD Workday Constants -'!B527:Y1213,22,false)</f>
        <v>#N/A</v>
      </c>
      <c r="N558" s="1" t="s">
        <v>32</v>
      </c>
      <c r="O558" s="1" t="s">
        <v>33</v>
      </c>
      <c r="P558" s="1" t="s">
        <v>82</v>
      </c>
      <c r="Q558" s="1" t="s">
        <v>82</v>
      </c>
      <c r="R558" s="1" t="s">
        <v>83</v>
      </c>
      <c r="S558" s="1" t="s">
        <v>583</v>
      </c>
      <c r="T558" s="1">
        <v>1.00869732E8</v>
      </c>
      <c r="W558" s="1" t="s">
        <v>456</v>
      </c>
      <c r="X558" s="1" t="s">
        <v>1781</v>
      </c>
    </row>
    <row r="559">
      <c r="A559" s="1" t="s">
        <v>2249</v>
      </c>
      <c r="B559" s="1" t="s">
        <v>580</v>
      </c>
      <c r="C559" s="1" t="s">
        <v>2250</v>
      </c>
      <c r="D559" s="1" t="s">
        <v>28</v>
      </c>
      <c r="E559" s="1" t="s">
        <v>29</v>
      </c>
      <c r="F559" s="5">
        <v>2000000.0</v>
      </c>
      <c r="G559" s="1" t="s">
        <v>1114</v>
      </c>
      <c r="H559" s="4">
        <v>44868.0</v>
      </c>
      <c r="I559" s="4">
        <v>44662.0</v>
      </c>
      <c r="K559" s="1">
        <v>0.0</v>
      </c>
      <c r="L559" s="1" t="s">
        <v>582</v>
      </c>
      <c r="M559" s="1" t="str">
        <f>VLOOKUP(L559,'Copy of PMD Workday Constants -'!B528:Y1214,22,false)</f>
        <v>#N/A</v>
      </c>
      <c r="N559" s="1" t="s">
        <v>32</v>
      </c>
      <c r="O559" s="1" t="s">
        <v>33</v>
      </c>
      <c r="P559" s="1" t="s">
        <v>82</v>
      </c>
      <c r="Q559" s="1" t="s">
        <v>82</v>
      </c>
      <c r="R559" s="1" t="s">
        <v>83</v>
      </c>
      <c r="S559" s="1" t="s">
        <v>583</v>
      </c>
      <c r="T559" s="1">
        <v>1.00869732E8</v>
      </c>
      <c r="W559" s="1" t="s">
        <v>456</v>
      </c>
      <c r="X559" s="1" t="s">
        <v>1781</v>
      </c>
    </row>
    <row r="560">
      <c r="A560" s="1" t="s">
        <v>2251</v>
      </c>
      <c r="B560" s="1" t="s">
        <v>2152</v>
      </c>
      <c r="C560" s="1" t="s">
        <v>2252</v>
      </c>
      <c r="D560" s="1" t="s">
        <v>28</v>
      </c>
      <c r="E560" s="1" t="s">
        <v>29</v>
      </c>
      <c r="F560" s="5">
        <v>2000000.0</v>
      </c>
      <c r="G560" s="1" t="s">
        <v>1114</v>
      </c>
      <c r="H560" s="1" t="s">
        <v>498</v>
      </c>
      <c r="I560" s="1" t="s">
        <v>1859</v>
      </c>
      <c r="K560" s="1">
        <v>0.0</v>
      </c>
      <c r="L560" s="1" t="s">
        <v>2154</v>
      </c>
      <c r="M560" s="1" t="str">
        <f>VLOOKUP(L560,'Copy of PMD Workday Constants -'!B529:Y1215,22,false)</f>
        <v>#N/A</v>
      </c>
      <c r="N560" s="1" t="s">
        <v>32</v>
      </c>
      <c r="O560" s="1" t="s">
        <v>33</v>
      </c>
      <c r="P560" s="1" t="s">
        <v>173</v>
      </c>
      <c r="Q560" s="1" t="s">
        <v>173</v>
      </c>
      <c r="R560" s="1" t="s">
        <v>174</v>
      </c>
      <c r="S560" s="1" t="s">
        <v>612</v>
      </c>
      <c r="T560" s="1">
        <v>1.00639477E8</v>
      </c>
      <c r="W560" s="1" t="s">
        <v>456</v>
      </c>
      <c r="X560" s="1" t="s">
        <v>2155</v>
      </c>
    </row>
    <row r="561">
      <c r="A561" s="1" t="s">
        <v>2253</v>
      </c>
      <c r="B561" s="1" t="s">
        <v>2254</v>
      </c>
      <c r="C561" s="1" t="s">
        <v>2248</v>
      </c>
      <c r="D561" s="1" t="s">
        <v>28</v>
      </c>
      <c r="E561" s="1" t="s">
        <v>29</v>
      </c>
      <c r="F561" s="5">
        <v>2000000.0</v>
      </c>
      <c r="G561" s="1" t="s">
        <v>1114</v>
      </c>
      <c r="H561" s="4">
        <v>44868.0</v>
      </c>
      <c r="I561" s="4">
        <v>44816.0</v>
      </c>
      <c r="K561" s="1">
        <v>0.0</v>
      </c>
      <c r="L561" s="1" t="s">
        <v>582</v>
      </c>
      <c r="M561" s="1" t="str">
        <f>VLOOKUP(L561,'Copy of PMD Workday Constants -'!B530:Y1216,22,false)</f>
        <v>#N/A</v>
      </c>
      <c r="N561" s="1" t="s">
        <v>32</v>
      </c>
      <c r="O561" s="1" t="s">
        <v>33</v>
      </c>
      <c r="P561" s="1" t="s">
        <v>82</v>
      </c>
      <c r="Q561" s="1" t="s">
        <v>82</v>
      </c>
      <c r="R561" s="1" t="s">
        <v>83</v>
      </c>
      <c r="S561" s="1" t="s">
        <v>583</v>
      </c>
      <c r="T561" s="1">
        <v>1.00869732E8</v>
      </c>
      <c r="W561" s="1" t="s">
        <v>456</v>
      </c>
      <c r="X561" s="1" t="s">
        <v>1781</v>
      </c>
    </row>
    <row r="562">
      <c r="A562" s="1" t="s">
        <v>2255</v>
      </c>
      <c r="B562" s="1" t="s">
        <v>1703</v>
      </c>
      <c r="C562" s="1" t="s">
        <v>2248</v>
      </c>
      <c r="D562" s="1" t="s">
        <v>28</v>
      </c>
      <c r="E562" s="1" t="s">
        <v>29</v>
      </c>
      <c r="F562" s="5">
        <v>2000000.0</v>
      </c>
      <c r="G562" s="1" t="s">
        <v>1114</v>
      </c>
      <c r="H562" s="4">
        <v>44868.0</v>
      </c>
      <c r="I562" s="1" t="s">
        <v>43</v>
      </c>
      <c r="K562" s="1">
        <v>0.0</v>
      </c>
      <c r="L562" s="1" t="s">
        <v>582</v>
      </c>
      <c r="M562" s="1" t="str">
        <f>VLOOKUP(L562,'Copy of PMD Workday Constants -'!B531:Y1217,22,false)</f>
        <v>#N/A</v>
      </c>
      <c r="N562" s="1" t="s">
        <v>32</v>
      </c>
      <c r="O562" s="1" t="s">
        <v>33</v>
      </c>
      <c r="P562" s="1" t="s">
        <v>82</v>
      </c>
      <c r="Q562" s="1" t="s">
        <v>82</v>
      </c>
      <c r="R562" s="1" t="s">
        <v>83</v>
      </c>
      <c r="S562" s="1" t="s">
        <v>583</v>
      </c>
      <c r="T562" s="1">
        <v>1.00869732E8</v>
      </c>
      <c r="W562" s="1" t="s">
        <v>456</v>
      </c>
      <c r="X562" s="1" t="s">
        <v>1781</v>
      </c>
    </row>
    <row r="563">
      <c r="A563" s="1" t="s">
        <v>2256</v>
      </c>
      <c r="B563" s="1" t="s">
        <v>2257</v>
      </c>
      <c r="C563" s="1" t="s">
        <v>2248</v>
      </c>
      <c r="D563" s="1" t="s">
        <v>28</v>
      </c>
      <c r="E563" s="1" t="s">
        <v>29</v>
      </c>
      <c r="F563" s="5">
        <v>2000000.0</v>
      </c>
      <c r="G563" s="1" t="s">
        <v>1114</v>
      </c>
      <c r="H563" s="4">
        <v>44868.0</v>
      </c>
      <c r="I563" s="1" t="s">
        <v>166</v>
      </c>
      <c r="K563" s="1">
        <v>0.0</v>
      </c>
      <c r="L563" s="1" t="s">
        <v>582</v>
      </c>
      <c r="M563" s="1" t="str">
        <f>VLOOKUP(L563,'Copy of PMD Workday Constants -'!B532:Y1218,22,false)</f>
        <v>#N/A</v>
      </c>
      <c r="N563" s="1" t="s">
        <v>32</v>
      </c>
      <c r="O563" s="1" t="s">
        <v>33</v>
      </c>
      <c r="P563" s="1" t="s">
        <v>82</v>
      </c>
      <c r="Q563" s="1" t="s">
        <v>82</v>
      </c>
      <c r="R563" s="1" t="s">
        <v>83</v>
      </c>
      <c r="S563" s="1" t="s">
        <v>583</v>
      </c>
      <c r="T563" s="1">
        <v>1.00869732E8</v>
      </c>
      <c r="W563" s="1" t="s">
        <v>456</v>
      </c>
      <c r="X563" s="1" t="s">
        <v>1781</v>
      </c>
    </row>
    <row r="564">
      <c r="A564" s="1" t="s">
        <v>2258</v>
      </c>
      <c r="B564" s="1" t="s">
        <v>585</v>
      </c>
      <c r="C564" s="1" t="s">
        <v>1581</v>
      </c>
      <c r="D564" s="1" t="s">
        <v>28</v>
      </c>
      <c r="E564" s="1" t="s">
        <v>29</v>
      </c>
      <c r="F564" s="5">
        <v>2000000.0</v>
      </c>
      <c r="G564" s="1" t="s">
        <v>1114</v>
      </c>
      <c r="H564" s="4">
        <v>44563.0</v>
      </c>
      <c r="I564" s="1" t="s">
        <v>2259</v>
      </c>
      <c r="K564" s="1">
        <v>0.0</v>
      </c>
      <c r="L564" s="1" t="s">
        <v>1389</v>
      </c>
      <c r="M564" s="1" t="str">
        <f>VLOOKUP(L564,'Copy of PMD Workday Constants -'!B533:Y1219,22,false)</f>
        <v>LCP</v>
      </c>
      <c r="N564" s="1" t="s">
        <v>32</v>
      </c>
      <c r="O564" s="1" t="s">
        <v>33</v>
      </c>
      <c r="P564" s="1" t="s">
        <v>64</v>
      </c>
      <c r="Q564" s="1" t="s">
        <v>64</v>
      </c>
      <c r="R564" s="1" t="s">
        <v>65</v>
      </c>
      <c r="S564" s="1" t="s">
        <v>1336</v>
      </c>
      <c r="T564" s="1">
        <v>1.00610014E8</v>
      </c>
      <c r="W564" s="1" t="s">
        <v>91</v>
      </c>
      <c r="X564" s="1" t="s">
        <v>1337</v>
      </c>
    </row>
    <row r="565">
      <c r="A565" s="1" t="s">
        <v>2260</v>
      </c>
      <c r="B565" s="1" t="s">
        <v>87</v>
      </c>
      <c r="C565" s="1" t="s">
        <v>2261</v>
      </c>
      <c r="D565" s="1" t="s">
        <v>28</v>
      </c>
      <c r="E565" s="1" t="s">
        <v>29</v>
      </c>
      <c r="F565" s="1">
        <v>2000000.0</v>
      </c>
      <c r="G565" s="1" t="s">
        <v>1114</v>
      </c>
      <c r="H565" s="4">
        <v>44563.0</v>
      </c>
      <c r="I565" s="4">
        <v>44958.0</v>
      </c>
      <c r="K565" s="1">
        <v>0.0</v>
      </c>
      <c r="L565" s="1" t="s">
        <v>1587</v>
      </c>
      <c r="M565" s="1" t="str">
        <f>VLOOKUP(L565,'Copy of PMD Workday Constants -'!B564:W1250,22,false)</f>
        <v>Catalyst</v>
      </c>
      <c r="N565" s="1" t="s">
        <v>32</v>
      </c>
      <c r="O565" s="1" t="s">
        <v>33</v>
      </c>
      <c r="P565" s="1" t="s">
        <v>64</v>
      </c>
      <c r="Q565" s="1" t="s">
        <v>64</v>
      </c>
      <c r="R565" s="1" t="s">
        <v>65</v>
      </c>
      <c r="S565" s="1" t="s">
        <v>1336</v>
      </c>
      <c r="T565" s="1">
        <v>1.01141441E8</v>
      </c>
      <c r="W565" s="1" t="s">
        <v>91</v>
      </c>
      <c r="X565" s="1" t="s">
        <v>1337</v>
      </c>
    </row>
    <row r="566">
      <c r="A566" s="1" t="s">
        <v>2262</v>
      </c>
      <c r="B566" s="1" t="s">
        <v>2263</v>
      </c>
      <c r="C566" s="1" t="s">
        <v>2264</v>
      </c>
      <c r="D566" s="1" t="s">
        <v>28</v>
      </c>
      <c r="E566" s="1" t="s">
        <v>29</v>
      </c>
      <c r="F566" s="5">
        <v>2000000.0</v>
      </c>
      <c r="G566" s="1" t="s">
        <v>1114</v>
      </c>
      <c r="H566" s="4">
        <v>44383.0</v>
      </c>
      <c r="I566" s="4">
        <v>44568.0</v>
      </c>
      <c r="K566" s="1">
        <v>0.0</v>
      </c>
      <c r="L566" s="1" t="s">
        <v>1075</v>
      </c>
      <c r="M566" s="1" t="str">
        <f>VLOOKUP(L566,'Copy of PMD Workday Constants -'!B535:Y1221,22,false)</f>
        <v>#N/A</v>
      </c>
      <c r="N566" s="1" t="s">
        <v>32</v>
      </c>
      <c r="O566" s="1" t="s">
        <v>33</v>
      </c>
      <c r="P566" s="1" t="s">
        <v>34</v>
      </c>
      <c r="Q566" s="1" t="s">
        <v>34</v>
      </c>
      <c r="R566" s="1" t="s">
        <v>35</v>
      </c>
      <c r="S566" s="1" t="s">
        <v>36</v>
      </c>
      <c r="T566" s="1">
        <v>1.00601386E8</v>
      </c>
      <c r="U566" s="1" t="s">
        <v>2265</v>
      </c>
      <c r="V566" s="1" t="s">
        <v>187</v>
      </c>
      <c r="W566" s="1" t="s">
        <v>91</v>
      </c>
      <c r="X566" s="1" t="s">
        <v>1075</v>
      </c>
    </row>
    <row r="567">
      <c r="A567" s="1" t="s">
        <v>2266</v>
      </c>
      <c r="B567" s="1" t="s">
        <v>2267</v>
      </c>
      <c r="C567" s="1" t="s">
        <v>2268</v>
      </c>
      <c r="D567" s="1" t="s">
        <v>51</v>
      </c>
      <c r="E567" s="1" t="s">
        <v>29</v>
      </c>
      <c r="F567" s="1">
        <v>2000000.0</v>
      </c>
      <c r="G567" s="1" t="s">
        <v>1114</v>
      </c>
      <c r="H567" s="1" t="s">
        <v>526</v>
      </c>
      <c r="I567" s="4">
        <v>44568.0</v>
      </c>
      <c r="K567" s="1">
        <v>0.0</v>
      </c>
      <c r="L567" s="1" t="s">
        <v>2269</v>
      </c>
      <c r="M567" s="1" t="str">
        <f>VLOOKUP(L567,'Copy of PMD Workday Constants -'!B566:W1252,22,false)</f>
        <v>Delivery</v>
      </c>
      <c r="N567" s="1" t="s">
        <v>32</v>
      </c>
      <c r="O567" s="1" t="s">
        <v>33</v>
      </c>
      <c r="P567" s="1" t="s">
        <v>54</v>
      </c>
      <c r="Q567" s="1" t="s">
        <v>54</v>
      </c>
      <c r="R567" s="1" t="s">
        <v>55</v>
      </c>
      <c r="S567" s="1" t="s">
        <v>1457</v>
      </c>
      <c r="T567" s="1">
        <v>1.00635485E8</v>
      </c>
      <c r="W567" s="1" t="s">
        <v>85</v>
      </c>
      <c r="X567" s="1" t="s">
        <v>2270</v>
      </c>
    </row>
    <row r="568">
      <c r="A568" s="1" t="s">
        <v>2271</v>
      </c>
      <c r="B568" s="1" t="s">
        <v>913</v>
      </c>
      <c r="C568" s="1" t="s">
        <v>2272</v>
      </c>
      <c r="D568" s="1" t="s">
        <v>28</v>
      </c>
      <c r="E568" s="1" t="s">
        <v>29</v>
      </c>
      <c r="F568" s="5">
        <v>2000000.0</v>
      </c>
      <c r="G568" s="1" t="s">
        <v>1114</v>
      </c>
      <c r="H568" s="4">
        <v>44656.0</v>
      </c>
      <c r="I568" s="1" t="s">
        <v>80</v>
      </c>
      <c r="K568" s="1">
        <v>0.0</v>
      </c>
      <c r="L568" s="1" t="s">
        <v>428</v>
      </c>
      <c r="M568" s="1" t="str">
        <f>VLOOKUP(L568,'Copy of PMD Workday Constants -'!B537:Y1223,22,false)</f>
        <v>#N/A</v>
      </c>
      <c r="N568" s="1" t="s">
        <v>32</v>
      </c>
      <c r="O568" s="1" t="s">
        <v>33</v>
      </c>
      <c r="P568" s="1" t="s">
        <v>173</v>
      </c>
      <c r="Q568" s="1" t="s">
        <v>173</v>
      </c>
      <c r="R568" s="1" t="s">
        <v>174</v>
      </c>
      <c r="S568" s="1" t="s">
        <v>153</v>
      </c>
      <c r="T568" s="1">
        <v>1.00654085E8</v>
      </c>
      <c r="W568" s="1" t="s">
        <v>85</v>
      </c>
      <c r="X568" s="1" t="s">
        <v>428</v>
      </c>
    </row>
    <row r="569">
      <c r="A569" s="1" t="s">
        <v>2273</v>
      </c>
      <c r="B569" s="1" t="s">
        <v>1305</v>
      </c>
      <c r="C569" s="1" t="s">
        <v>2274</v>
      </c>
      <c r="D569" s="1" t="s">
        <v>103</v>
      </c>
      <c r="E569" s="1" t="s">
        <v>29</v>
      </c>
      <c r="F569" s="1">
        <v>2000000.0</v>
      </c>
      <c r="G569" s="1" t="s">
        <v>1114</v>
      </c>
      <c r="H569" s="1" t="s">
        <v>1015</v>
      </c>
      <c r="I569" s="1" t="s">
        <v>104</v>
      </c>
      <c r="K569" s="1">
        <v>0.0</v>
      </c>
      <c r="L569" s="1" t="s">
        <v>2275</v>
      </c>
      <c r="M569" s="1" t="str">
        <f>VLOOKUP(L569,'Copy of PMD Workday Constants -'!B568:W1254,22,false)</f>
        <v>Delivery</v>
      </c>
      <c r="N569" s="1" t="s">
        <v>32</v>
      </c>
      <c r="O569" s="1" t="s">
        <v>33</v>
      </c>
      <c r="P569" s="1" t="s">
        <v>173</v>
      </c>
      <c r="Q569" s="1" t="s">
        <v>173</v>
      </c>
      <c r="R569" s="1" t="s">
        <v>174</v>
      </c>
      <c r="S569" s="1" t="s">
        <v>153</v>
      </c>
      <c r="T569" s="1">
        <v>1.00650783E8</v>
      </c>
      <c r="W569" s="1" t="s">
        <v>456</v>
      </c>
      <c r="X569" s="1" t="s">
        <v>106</v>
      </c>
    </row>
    <row r="570">
      <c r="A570" s="1" t="s">
        <v>2276</v>
      </c>
      <c r="B570" s="1" t="s">
        <v>2277</v>
      </c>
      <c r="C570" s="1" t="s">
        <v>2278</v>
      </c>
      <c r="D570" s="1" t="s">
        <v>28</v>
      </c>
      <c r="E570" s="1" t="s">
        <v>29</v>
      </c>
      <c r="F570" s="5">
        <v>2000000.0</v>
      </c>
      <c r="G570" s="1" t="s">
        <v>1114</v>
      </c>
      <c r="H570" s="4">
        <v>44656.0</v>
      </c>
      <c r="I570" s="1" t="s">
        <v>302</v>
      </c>
      <c r="K570" s="1">
        <v>0.0</v>
      </c>
      <c r="L570" s="1" t="s">
        <v>1049</v>
      </c>
      <c r="M570" s="1" t="str">
        <f>VLOOKUP(L570,'Copy of PMD Workday Constants -'!B539:Y1225,22,false)</f>
        <v>#N/A</v>
      </c>
      <c r="N570" s="1" t="s">
        <v>32</v>
      </c>
      <c r="O570" s="1" t="s">
        <v>33</v>
      </c>
      <c r="P570" s="1" t="s">
        <v>210</v>
      </c>
      <c r="Q570" s="1" t="s">
        <v>210</v>
      </c>
      <c r="R570" s="1" t="s">
        <v>211</v>
      </c>
      <c r="T570" s="1">
        <v>1.00650344E8</v>
      </c>
      <c r="W570" s="1" t="s">
        <v>258</v>
      </c>
      <c r="X570" s="1" t="s">
        <v>1050</v>
      </c>
    </row>
    <row r="571">
      <c r="A571" s="1" t="s">
        <v>2279</v>
      </c>
      <c r="B571" s="1" t="s">
        <v>2280</v>
      </c>
      <c r="C571" s="1" t="s">
        <v>2281</v>
      </c>
      <c r="D571" s="1" t="s">
        <v>28</v>
      </c>
      <c r="E571" s="1" t="s">
        <v>29</v>
      </c>
      <c r="F571" s="5">
        <v>2000000.0</v>
      </c>
      <c r="G571" s="1" t="s">
        <v>1114</v>
      </c>
      <c r="H571" s="1" t="s">
        <v>795</v>
      </c>
      <c r="I571" s="1" t="s">
        <v>104</v>
      </c>
      <c r="K571" s="1">
        <v>0.0</v>
      </c>
      <c r="L571" s="1" t="s">
        <v>1206</v>
      </c>
      <c r="M571" s="1" t="str">
        <f>VLOOKUP(L571,'Copy of PMD Workday Constants -'!B540:Y1226,22,false)</f>
        <v>#N/A</v>
      </c>
      <c r="N571" s="1" t="s">
        <v>32</v>
      </c>
      <c r="O571" s="1" t="s">
        <v>33</v>
      </c>
      <c r="P571" s="1" t="s">
        <v>82</v>
      </c>
      <c r="Q571" s="1" t="s">
        <v>82</v>
      </c>
      <c r="R571" s="1" t="s">
        <v>83</v>
      </c>
      <c r="S571" s="1" t="s">
        <v>180</v>
      </c>
      <c r="T571" s="1">
        <v>1.00943277E8</v>
      </c>
      <c r="W571" s="1" t="s">
        <v>85</v>
      </c>
      <c r="X571" s="1" t="s">
        <v>1206</v>
      </c>
    </row>
    <row r="572">
      <c r="A572" s="1" t="s">
        <v>2282</v>
      </c>
      <c r="B572" s="1" t="s">
        <v>143</v>
      </c>
      <c r="C572" s="1" t="s">
        <v>2283</v>
      </c>
      <c r="D572" s="1" t="s">
        <v>28</v>
      </c>
      <c r="E572" s="1" t="s">
        <v>29</v>
      </c>
      <c r="F572" s="1">
        <v>2000000.0</v>
      </c>
      <c r="G572" s="1" t="s">
        <v>1114</v>
      </c>
      <c r="H572" s="4">
        <v>44748.0</v>
      </c>
      <c r="I572" s="1" t="s">
        <v>104</v>
      </c>
      <c r="K572" s="1">
        <v>0.0</v>
      </c>
      <c r="L572" s="1" t="s">
        <v>2284</v>
      </c>
      <c r="M572" s="1" t="str">
        <f>VLOOKUP(L572,'Copy of PMD Workday Constants -'!B571:W1257,22,false)</f>
        <v>Delivery</v>
      </c>
      <c r="N572" s="1" t="s">
        <v>32</v>
      </c>
      <c r="O572" s="1" t="s">
        <v>33</v>
      </c>
      <c r="P572" s="1" t="s">
        <v>173</v>
      </c>
      <c r="Q572" s="1" t="s">
        <v>173</v>
      </c>
      <c r="R572" s="1" t="s">
        <v>174</v>
      </c>
      <c r="T572" s="1">
        <v>1.00650678E8</v>
      </c>
      <c r="W572" s="1" t="s">
        <v>147</v>
      </c>
      <c r="X572" s="1" t="s">
        <v>2194</v>
      </c>
    </row>
    <row r="573">
      <c r="A573" s="1" t="s">
        <v>2285</v>
      </c>
      <c r="B573" s="1" t="s">
        <v>2220</v>
      </c>
      <c r="C573" s="1" t="s">
        <v>2286</v>
      </c>
      <c r="D573" s="1" t="s">
        <v>103</v>
      </c>
      <c r="E573" s="1" t="s">
        <v>29</v>
      </c>
      <c r="F573" s="5">
        <v>2000000.0</v>
      </c>
      <c r="G573" s="1" t="s">
        <v>1114</v>
      </c>
      <c r="H573" s="1" t="s">
        <v>1765</v>
      </c>
      <c r="I573" s="1" t="s">
        <v>2287</v>
      </c>
      <c r="K573" s="1">
        <v>0.0</v>
      </c>
      <c r="L573" s="1" t="s">
        <v>2223</v>
      </c>
      <c r="M573" s="1" t="str">
        <f>VLOOKUP(L573,'Copy of PMD Workday Constants -'!B542:Y1228,22,false)</f>
        <v>#N/A</v>
      </c>
      <c r="N573" s="1" t="s">
        <v>32</v>
      </c>
      <c r="O573" s="1" t="s">
        <v>33</v>
      </c>
      <c r="P573" s="1" t="s">
        <v>222</v>
      </c>
      <c r="Q573" s="1" t="s">
        <v>222</v>
      </c>
      <c r="R573" s="1" t="s">
        <v>223</v>
      </c>
      <c r="S573" s="1" t="s">
        <v>482</v>
      </c>
      <c r="T573" s="1">
        <v>1.00587894E8</v>
      </c>
      <c r="W573" s="1" t="s">
        <v>2098</v>
      </c>
      <c r="X573" s="1" t="s">
        <v>2223</v>
      </c>
    </row>
    <row r="574">
      <c r="A574" s="1" t="s">
        <v>2288</v>
      </c>
      <c r="B574" s="1" t="s">
        <v>1725</v>
      </c>
      <c r="C574" s="1" t="s">
        <v>2289</v>
      </c>
      <c r="D574" s="1" t="s">
        <v>28</v>
      </c>
      <c r="E574" s="1" t="s">
        <v>29</v>
      </c>
      <c r="F574" s="5">
        <v>2000000.0</v>
      </c>
      <c r="G574" s="1" t="s">
        <v>1114</v>
      </c>
      <c r="H574" s="1" t="s">
        <v>2290</v>
      </c>
      <c r="I574" s="4">
        <v>44567.0</v>
      </c>
      <c r="K574" s="1">
        <v>0.0</v>
      </c>
      <c r="L574" s="1" t="s">
        <v>1973</v>
      </c>
      <c r="M574" s="1" t="str">
        <f>VLOOKUP(L574,'Copy of PMD Workday Constants -'!B543:Y1229,22,false)</f>
        <v>#N/A</v>
      </c>
      <c r="N574" s="1" t="s">
        <v>32</v>
      </c>
      <c r="O574" s="1" t="s">
        <v>33</v>
      </c>
      <c r="P574" s="1" t="s">
        <v>82</v>
      </c>
      <c r="Q574" s="1" t="s">
        <v>82</v>
      </c>
      <c r="R574" s="1" t="s">
        <v>83</v>
      </c>
      <c r="S574" s="1" t="s">
        <v>180</v>
      </c>
      <c r="T574" s="1">
        <v>1.00619692E8</v>
      </c>
      <c r="W574" s="1" t="s">
        <v>85</v>
      </c>
      <c r="X574" s="1" t="s">
        <v>2291</v>
      </c>
    </row>
    <row r="575">
      <c r="A575" s="1" t="s">
        <v>2292</v>
      </c>
      <c r="B575" s="1" t="s">
        <v>149</v>
      </c>
      <c r="C575" s="1" t="s">
        <v>2293</v>
      </c>
      <c r="D575" s="1" t="s">
        <v>28</v>
      </c>
      <c r="E575" s="1" t="s">
        <v>29</v>
      </c>
      <c r="F575" s="5">
        <v>2000000.0</v>
      </c>
      <c r="G575" s="1" t="s">
        <v>1114</v>
      </c>
      <c r="H575" s="4">
        <v>44747.0</v>
      </c>
      <c r="I575" s="1" t="s">
        <v>132</v>
      </c>
      <c r="K575" s="1">
        <v>0.0</v>
      </c>
      <c r="L575" s="1" t="s">
        <v>2294</v>
      </c>
      <c r="M575" s="1" t="str">
        <f>VLOOKUP(L575,'Copy of PMD Workday Constants -'!B544:Y1230,22,false)</f>
        <v>#N/A</v>
      </c>
      <c r="N575" s="1" t="s">
        <v>32</v>
      </c>
      <c r="O575" s="1" t="s">
        <v>33</v>
      </c>
      <c r="P575" s="1" t="s">
        <v>173</v>
      </c>
      <c r="Q575" s="1" t="s">
        <v>173</v>
      </c>
      <c r="R575" s="1" t="s">
        <v>174</v>
      </c>
      <c r="T575" s="1">
        <v>1.00656722E8</v>
      </c>
      <c r="W575" s="1" t="s">
        <v>91</v>
      </c>
      <c r="X575" s="1" t="s">
        <v>589</v>
      </c>
    </row>
    <row r="576">
      <c r="A576" s="1" t="s">
        <v>2295</v>
      </c>
      <c r="B576" s="1" t="s">
        <v>996</v>
      </c>
      <c r="C576" s="1" t="s">
        <v>2296</v>
      </c>
      <c r="D576" s="1" t="s">
        <v>28</v>
      </c>
      <c r="E576" s="1" t="s">
        <v>29</v>
      </c>
      <c r="F576" s="1">
        <v>2000000.0</v>
      </c>
      <c r="G576" s="1" t="s">
        <v>1114</v>
      </c>
      <c r="H576" s="4">
        <v>44747.0</v>
      </c>
      <c r="I576" s="1" t="s">
        <v>861</v>
      </c>
      <c r="K576" s="1">
        <v>0.0</v>
      </c>
      <c r="L576" s="1" t="s">
        <v>2050</v>
      </c>
      <c r="M576" s="1" t="str">
        <f>VLOOKUP(L576,'Copy of PMD Workday Constants -'!B575:W1261,22,false)</f>
        <v>Delivery</v>
      </c>
      <c r="N576" s="1" t="s">
        <v>32</v>
      </c>
      <c r="O576" s="1" t="s">
        <v>33</v>
      </c>
      <c r="P576" s="1" t="s">
        <v>64</v>
      </c>
      <c r="Q576" s="1" t="s">
        <v>64</v>
      </c>
      <c r="R576" s="1" t="s">
        <v>65</v>
      </c>
      <c r="T576" s="1">
        <v>1.00624533E8</v>
      </c>
      <c r="W576" s="1" t="s">
        <v>391</v>
      </c>
      <c r="X576" s="1" t="s">
        <v>2297</v>
      </c>
    </row>
    <row r="577">
      <c r="A577" s="1" t="s">
        <v>2298</v>
      </c>
      <c r="B577" s="1" t="s">
        <v>996</v>
      </c>
      <c r="C577" s="1" t="s">
        <v>2299</v>
      </c>
      <c r="D577" s="1" t="s">
        <v>28</v>
      </c>
      <c r="E577" s="1" t="s">
        <v>29</v>
      </c>
      <c r="F577" s="1">
        <v>2000000.0</v>
      </c>
      <c r="G577" s="1" t="s">
        <v>1114</v>
      </c>
      <c r="H577" s="4">
        <v>44747.0</v>
      </c>
      <c r="I577" s="1" t="s">
        <v>1281</v>
      </c>
      <c r="K577" s="1">
        <v>0.0</v>
      </c>
      <c r="L577" s="1" t="s">
        <v>2050</v>
      </c>
      <c r="M577" s="1" t="str">
        <f>VLOOKUP(L577,'Copy of PMD Workday Constants -'!B576:W1262,22,false)</f>
        <v>Delivery</v>
      </c>
      <c r="N577" s="1" t="s">
        <v>32</v>
      </c>
      <c r="O577" s="1" t="s">
        <v>33</v>
      </c>
      <c r="P577" s="1" t="s">
        <v>64</v>
      </c>
      <c r="Q577" s="1" t="s">
        <v>64</v>
      </c>
      <c r="R577" s="1" t="s">
        <v>65</v>
      </c>
      <c r="T577" s="1">
        <v>1.00624533E8</v>
      </c>
      <c r="W577" s="1" t="s">
        <v>391</v>
      </c>
      <c r="X577" s="1" t="s">
        <v>2297</v>
      </c>
    </row>
    <row r="578">
      <c r="A578" s="1" t="s">
        <v>2300</v>
      </c>
      <c r="B578" s="1" t="s">
        <v>1257</v>
      </c>
      <c r="C578" s="1" t="s">
        <v>2301</v>
      </c>
      <c r="D578" s="1" t="s">
        <v>28</v>
      </c>
      <c r="E578" s="1" t="s">
        <v>29</v>
      </c>
      <c r="F578" s="5">
        <v>2000000.0</v>
      </c>
      <c r="G578" s="1" t="s">
        <v>1114</v>
      </c>
      <c r="H578" s="4">
        <v>44777.0</v>
      </c>
      <c r="I578" s="1" t="s">
        <v>191</v>
      </c>
      <c r="K578" s="1">
        <v>0.0</v>
      </c>
      <c r="L578" s="1" t="s">
        <v>461</v>
      </c>
      <c r="M578" s="1" t="str">
        <f>VLOOKUP(L578,'Copy of PMD Workday Constants -'!B547:Y1233,22,false)</f>
        <v>#N/A</v>
      </c>
      <c r="N578" s="1" t="s">
        <v>32</v>
      </c>
      <c r="O578" s="1" t="s">
        <v>33</v>
      </c>
      <c r="P578" s="1" t="s">
        <v>210</v>
      </c>
      <c r="Q578" s="1" t="s">
        <v>210</v>
      </c>
      <c r="R578" s="1" t="s">
        <v>211</v>
      </c>
      <c r="S578" s="1" t="s">
        <v>416</v>
      </c>
      <c r="T578" s="1">
        <v>1.00652846E8</v>
      </c>
      <c r="W578" s="1" t="s">
        <v>56</v>
      </c>
      <c r="X578" s="1" t="s">
        <v>462</v>
      </c>
    </row>
    <row r="579">
      <c r="A579" s="1" t="s">
        <v>2302</v>
      </c>
      <c r="B579" s="1" t="s">
        <v>149</v>
      </c>
      <c r="C579" s="1" t="s">
        <v>2303</v>
      </c>
      <c r="D579" s="1" t="s">
        <v>28</v>
      </c>
      <c r="E579" s="1" t="s">
        <v>29</v>
      </c>
      <c r="F579" s="5">
        <v>2000000.0</v>
      </c>
      <c r="G579" s="1" t="s">
        <v>1114</v>
      </c>
      <c r="H579" s="4">
        <v>44747.0</v>
      </c>
      <c r="I579" s="1" t="s">
        <v>302</v>
      </c>
      <c r="K579" s="1">
        <v>0.0</v>
      </c>
      <c r="L579" s="1" t="s">
        <v>2294</v>
      </c>
      <c r="M579" s="1" t="str">
        <f>VLOOKUP(L579,'Copy of PMD Workday Constants -'!B548:Y1234,22,false)</f>
        <v>#N/A</v>
      </c>
      <c r="N579" s="1" t="s">
        <v>32</v>
      </c>
      <c r="O579" s="1" t="s">
        <v>33</v>
      </c>
      <c r="P579" s="1" t="s">
        <v>173</v>
      </c>
      <c r="Q579" s="1" t="s">
        <v>173</v>
      </c>
      <c r="R579" s="1" t="s">
        <v>174</v>
      </c>
      <c r="T579" s="1">
        <v>1.00656722E8</v>
      </c>
      <c r="W579" s="1" t="s">
        <v>91</v>
      </c>
      <c r="X579" s="1" t="s">
        <v>589</v>
      </c>
    </row>
    <row r="580">
      <c r="A580" s="1" t="s">
        <v>2304</v>
      </c>
      <c r="B580" s="1" t="s">
        <v>549</v>
      </c>
      <c r="C580" s="1" t="s">
        <v>2305</v>
      </c>
      <c r="D580" s="1" t="s">
        <v>28</v>
      </c>
      <c r="E580" s="1" t="s">
        <v>29</v>
      </c>
      <c r="F580" s="5">
        <v>2000000.0</v>
      </c>
      <c r="G580" s="1" t="s">
        <v>1114</v>
      </c>
      <c r="H580" s="4">
        <v>44292.0</v>
      </c>
      <c r="I580" s="4">
        <v>44571.0</v>
      </c>
      <c r="K580" s="1">
        <v>0.0</v>
      </c>
      <c r="L580" s="1" t="s">
        <v>1075</v>
      </c>
      <c r="M580" s="1" t="str">
        <f>VLOOKUP(L580,'Copy of PMD Workday Constants -'!B549:Y1235,22,false)</f>
        <v>#N/A</v>
      </c>
      <c r="N580" s="1" t="s">
        <v>32</v>
      </c>
      <c r="O580" s="1" t="s">
        <v>33</v>
      </c>
      <c r="P580" s="1" t="s">
        <v>34</v>
      </c>
      <c r="Q580" s="1" t="s">
        <v>34</v>
      </c>
      <c r="R580" s="1" t="s">
        <v>35</v>
      </c>
      <c r="S580" s="1" t="s">
        <v>36</v>
      </c>
      <c r="T580" s="1">
        <v>1.00601386E8</v>
      </c>
      <c r="U580" s="1" t="s">
        <v>2306</v>
      </c>
      <c r="V580" s="1" t="s">
        <v>187</v>
      </c>
      <c r="W580" s="1" t="s">
        <v>91</v>
      </c>
      <c r="X580" s="1" t="s">
        <v>1075</v>
      </c>
    </row>
    <row r="581">
      <c r="A581" s="1" t="s">
        <v>2307</v>
      </c>
      <c r="B581" s="1" t="s">
        <v>1583</v>
      </c>
      <c r="C581" s="1" t="s">
        <v>2308</v>
      </c>
      <c r="D581" s="1" t="s">
        <v>79</v>
      </c>
      <c r="E581" s="1" t="s">
        <v>29</v>
      </c>
      <c r="F581" s="5">
        <v>2000000.0</v>
      </c>
      <c r="G581" s="1" t="s">
        <v>1114</v>
      </c>
      <c r="H581" s="1" t="s">
        <v>1919</v>
      </c>
      <c r="I581" s="4">
        <v>44937.0</v>
      </c>
      <c r="J581" s="1" t="s">
        <v>2309</v>
      </c>
      <c r="K581" s="1">
        <v>0.0</v>
      </c>
      <c r="L581" s="1" t="s">
        <v>2310</v>
      </c>
      <c r="M581" s="1" t="str">
        <f>VLOOKUP(L581,'Copy of PMD Workday Constants -'!B550:Y1236,22,false)</f>
        <v>#N/A</v>
      </c>
      <c r="N581" s="1" t="s">
        <v>32</v>
      </c>
      <c r="O581" s="1" t="s">
        <v>33</v>
      </c>
      <c r="P581" s="1" t="s">
        <v>82</v>
      </c>
      <c r="Q581" s="1" t="s">
        <v>82</v>
      </c>
      <c r="R581" s="1" t="s">
        <v>83</v>
      </c>
      <c r="S581" s="1" t="s">
        <v>180</v>
      </c>
      <c r="T581" s="1">
        <v>1.01078216E8</v>
      </c>
      <c r="W581" s="1" t="s">
        <v>85</v>
      </c>
      <c r="X581" s="1" t="s">
        <v>2311</v>
      </c>
    </row>
    <row r="582">
      <c r="A582" s="1" t="s">
        <v>2312</v>
      </c>
      <c r="B582" s="1" t="s">
        <v>1864</v>
      </c>
      <c r="C582" s="1" t="s">
        <v>2313</v>
      </c>
      <c r="D582" s="1" t="s">
        <v>28</v>
      </c>
      <c r="E582" s="1" t="s">
        <v>29</v>
      </c>
      <c r="F582" s="5">
        <v>2000000.0</v>
      </c>
      <c r="G582" s="1" t="s">
        <v>1114</v>
      </c>
      <c r="H582" s="1" t="s">
        <v>2314</v>
      </c>
      <c r="I582" s="1" t="s">
        <v>104</v>
      </c>
      <c r="K582" s="1">
        <v>0.0</v>
      </c>
      <c r="L582" s="1" t="s">
        <v>728</v>
      </c>
      <c r="M582" s="1" t="str">
        <f>VLOOKUP(L582,'Copy of PMD Workday Constants -'!B551:Y1237,22,false)</f>
        <v>#N/A</v>
      </c>
      <c r="N582" s="1" t="s">
        <v>32</v>
      </c>
      <c r="O582" s="1" t="s">
        <v>33</v>
      </c>
      <c r="P582" s="1" t="s">
        <v>210</v>
      </c>
      <c r="Q582" s="1" t="s">
        <v>210</v>
      </c>
      <c r="R582" s="1" t="s">
        <v>211</v>
      </c>
      <c r="S582" s="1" t="s">
        <v>212</v>
      </c>
      <c r="T582" s="1">
        <v>1.00899005E8</v>
      </c>
      <c r="W582" s="1" t="s">
        <v>115</v>
      </c>
      <c r="X582" s="1" t="s">
        <v>2315</v>
      </c>
    </row>
    <row r="583">
      <c r="A583" s="1" t="s">
        <v>2316</v>
      </c>
      <c r="B583" s="1" t="s">
        <v>489</v>
      </c>
      <c r="C583" s="1" t="s">
        <v>2317</v>
      </c>
      <c r="D583" s="1" t="s">
        <v>51</v>
      </c>
      <c r="E583" s="1" t="s">
        <v>29</v>
      </c>
      <c r="F583" s="5">
        <v>2000000.0</v>
      </c>
      <c r="G583" s="1" t="s">
        <v>1114</v>
      </c>
      <c r="H583" s="1" t="s">
        <v>2318</v>
      </c>
      <c r="I583" s="1" t="s">
        <v>104</v>
      </c>
      <c r="K583" s="1">
        <v>0.0</v>
      </c>
      <c r="L583" s="1" t="s">
        <v>847</v>
      </c>
      <c r="M583" s="1" t="str">
        <f>VLOOKUP(L583,'Copy of PMD Workday Constants -'!B552:Y1238,22,false)</f>
        <v>#N/A</v>
      </c>
      <c r="N583" s="1" t="s">
        <v>32</v>
      </c>
      <c r="O583" s="1" t="s">
        <v>33</v>
      </c>
      <c r="P583" s="1" t="s">
        <v>173</v>
      </c>
      <c r="Q583" s="1" t="s">
        <v>173</v>
      </c>
      <c r="R583" s="1" t="s">
        <v>174</v>
      </c>
      <c r="T583" s="1">
        <v>1.00586701E8</v>
      </c>
      <c r="W583" s="1" t="s">
        <v>493</v>
      </c>
      <c r="X583" s="1" t="s">
        <v>848</v>
      </c>
    </row>
    <row r="584">
      <c r="A584" s="1" t="s">
        <v>2319</v>
      </c>
      <c r="B584" s="1" t="s">
        <v>1373</v>
      </c>
      <c r="C584" s="1" t="s">
        <v>2320</v>
      </c>
      <c r="D584" s="1" t="s">
        <v>28</v>
      </c>
      <c r="E584" s="1" t="s">
        <v>29</v>
      </c>
      <c r="F584" s="1">
        <v>2000000.0</v>
      </c>
      <c r="G584" s="1" t="s">
        <v>1114</v>
      </c>
      <c r="H584" s="4">
        <v>44656.0</v>
      </c>
      <c r="I584" s="4">
        <v>44568.0</v>
      </c>
      <c r="K584" s="1">
        <v>0.0</v>
      </c>
      <c r="L584" s="1" t="s">
        <v>2174</v>
      </c>
      <c r="M584" s="1" t="str">
        <f>VLOOKUP(L584,'Copy of PMD Workday Constants -'!B583:W1269,22,false)</f>
        <v>Delivery</v>
      </c>
      <c r="N584" s="1" t="s">
        <v>32</v>
      </c>
      <c r="O584" s="1" t="s">
        <v>33</v>
      </c>
      <c r="P584" s="1" t="s">
        <v>112</v>
      </c>
      <c r="Q584" s="1" t="s">
        <v>112</v>
      </c>
      <c r="R584" s="1" t="s">
        <v>113</v>
      </c>
      <c r="S584" s="1" t="s">
        <v>134</v>
      </c>
      <c r="T584" s="1">
        <v>1.00631322E8</v>
      </c>
      <c r="W584" s="1" t="s">
        <v>74</v>
      </c>
      <c r="X584" s="1" t="s">
        <v>2321</v>
      </c>
    </row>
    <row r="585">
      <c r="A585" s="1" t="s">
        <v>2322</v>
      </c>
      <c r="B585" s="1" t="s">
        <v>2323</v>
      </c>
      <c r="C585" s="1" t="s">
        <v>2324</v>
      </c>
      <c r="D585" s="1" t="s">
        <v>28</v>
      </c>
      <c r="E585" s="1" t="s">
        <v>29</v>
      </c>
      <c r="F585" s="5">
        <v>2000000.0</v>
      </c>
      <c r="G585" s="1" t="s">
        <v>1114</v>
      </c>
      <c r="H585" s="4">
        <v>44900.0</v>
      </c>
      <c r="I585" s="1" t="s">
        <v>302</v>
      </c>
      <c r="K585" s="1">
        <v>0.0</v>
      </c>
      <c r="L585" s="1" t="s">
        <v>2325</v>
      </c>
      <c r="M585" s="1" t="str">
        <f>VLOOKUP(L585,'Copy of PMD Workday Constants -'!B554:Y1240,22,false)</f>
        <v>#N/A</v>
      </c>
      <c r="N585" s="1" t="s">
        <v>32</v>
      </c>
      <c r="O585" s="1" t="s">
        <v>33</v>
      </c>
      <c r="P585" s="1" t="s">
        <v>82</v>
      </c>
      <c r="Q585" s="1" t="s">
        <v>82</v>
      </c>
      <c r="R585" s="1" t="s">
        <v>83</v>
      </c>
      <c r="S585" s="1" t="s">
        <v>180</v>
      </c>
      <c r="T585" s="1">
        <v>1.00628181E8</v>
      </c>
      <c r="W585" s="1" t="s">
        <v>85</v>
      </c>
      <c r="X585" s="1" t="s">
        <v>2325</v>
      </c>
    </row>
    <row r="586">
      <c r="A586" s="1" t="s">
        <v>2326</v>
      </c>
      <c r="B586" s="1" t="s">
        <v>2327</v>
      </c>
      <c r="C586" s="1" t="s">
        <v>1581</v>
      </c>
      <c r="D586" s="1" t="s">
        <v>28</v>
      </c>
      <c r="E586" s="1" t="s">
        <v>29</v>
      </c>
      <c r="F586" s="5">
        <v>2000000.0</v>
      </c>
      <c r="G586" s="1" t="s">
        <v>1114</v>
      </c>
      <c r="H586" s="4">
        <v>44867.0</v>
      </c>
      <c r="I586" s="4">
        <v>44570.0</v>
      </c>
      <c r="K586" s="1">
        <v>0.0</v>
      </c>
      <c r="L586" s="1" t="s">
        <v>491</v>
      </c>
      <c r="M586" s="1" t="str">
        <f>VLOOKUP(L586,'Copy of PMD Workday Constants -'!B555:Y1241,22,false)</f>
        <v>#N/A</v>
      </c>
      <c r="N586" s="1" t="s">
        <v>32</v>
      </c>
      <c r="O586" s="1" t="s">
        <v>33</v>
      </c>
      <c r="P586" s="1" t="s">
        <v>112</v>
      </c>
      <c r="Q586" s="1" t="s">
        <v>112</v>
      </c>
      <c r="R586" s="1" t="s">
        <v>113</v>
      </c>
      <c r="S586" s="1" t="s">
        <v>1336</v>
      </c>
      <c r="T586" s="1">
        <v>1.00623914E8</v>
      </c>
      <c r="W586" s="1" t="s">
        <v>91</v>
      </c>
      <c r="X586" s="1" t="s">
        <v>1337</v>
      </c>
    </row>
    <row r="587">
      <c r="A587" s="1" t="s">
        <v>2328</v>
      </c>
      <c r="B587" s="1" t="s">
        <v>521</v>
      </c>
      <c r="C587" s="1" t="s">
        <v>2329</v>
      </c>
      <c r="D587" s="1" t="s">
        <v>28</v>
      </c>
      <c r="E587" s="1" t="s">
        <v>29</v>
      </c>
      <c r="F587" s="5">
        <v>2000000.0</v>
      </c>
      <c r="G587" s="1" t="s">
        <v>1114</v>
      </c>
      <c r="H587" s="1" t="s">
        <v>1842</v>
      </c>
      <c r="I587" s="1" t="s">
        <v>152</v>
      </c>
      <c r="K587" s="1">
        <v>0.0</v>
      </c>
      <c r="L587" s="1" t="s">
        <v>2330</v>
      </c>
      <c r="M587" s="1" t="str">
        <f>VLOOKUP(L587,'Copy of PMD Workday Constants -'!B556:Y1242,22,false)</f>
        <v>#N/A</v>
      </c>
      <c r="N587" s="1" t="s">
        <v>32</v>
      </c>
      <c r="O587" s="1" t="s">
        <v>33</v>
      </c>
      <c r="P587" s="1" t="s">
        <v>82</v>
      </c>
      <c r="Q587" s="1" t="s">
        <v>82</v>
      </c>
      <c r="R587" s="1" t="s">
        <v>83</v>
      </c>
      <c r="S587" s="1" t="s">
        <v>84</v>
      </c>
      <c r="T587" s="1">
        <v>1.00613761E8</v>
      </c>
      <c r="U587" s="1" t="s">
        <v>2331</v>
      </c>
      <c r="V587" s="1" t="s">
        <v>46</v>
      </c>
      <c r="W587" s="1" t="s">
        <v>85</v>
      </c>
      <c r="X587" s="1" t="s">
        <v>2330</v>
      </c>
    </row>
    <row r="588">
      <c r="A588" s="1" t="s">
        <v>2332</v>
      </c>
      <c r="B588" s="1" t="s">
        <v>2333</v>
      </c>
      <c r="C588" s="1" t="s">
        <v>2334</v>
      </c>
      <c r="D588" s="1" t="s">
        <v>28</v>
      </c>
      <c r="E588" s="1" t="s">
        <v>29</v>
      </c>
      <c r="F588" s="5">
        <v>2000000.0</v>
      </c>
      <c r="G588" s="1" t="s">
        <v>1114</v>
      </c>
      <c r="H588" s="1" t="s">
        <v>208</v>
      </c>
      <c r="I588" s="1" t="s">
        <v>80</v>
      </c>
      <c r="K588" s="1">
        <v>0.0</v>
      </c>
      <c r="L588" s="1" t="s">
        <v>370</v>
      </c>
      <c r="M588" s="1" t="str">
        <f>VLOOKUP(L588,'Copy of PMD Workday Constants -'!B557:Y1243,22,false)</f>
        <v>#N/A</v>
      </c>
      <c r="N588" s="1" t="s">
        <v>32</v>
      </c>
      <c r="O588" s="1" t="s">
        <v>33</v>
      </c>
      <c r="P588" s="1" t="s">
        <v>210</v>
      </c>
      <c r="Q588" s="1" t="s">
        <v>210</v>
      </c>
      <c r="R588" s="1" t="s">
        <v>211</v>
      </c>
      <c r="S588" s="1" t="s">
        <v>297</v>
      </c>
      <c r="T588" s="1">
        <v>1.00658132E8</v>
      </c>
      <c r="W588" s="1" t="s">
        <v>258</v>
      </c>
      <c r="X588" s="1" t="s">
        <v>370</v>
      </c>
    </row>
    <row r="589">
      <c r="A589" s="1" t="s">
        <v>2335</v>
      </c>
      <c r="B589" s="1" t="s">
        <v>756</v>
      </c>
      <c r="C589" s="1" t="s">
        <v>2336</v>
      </c>
      <c r="D589" s="1" t="s">
        <v>28</v>
      </c>
      <c r="E589" s="1" t="s">
        <v>29</v>
      </c>
      <c r="F589" s="5">
        <v>2000000.0</v>
      </c>
      <c r="G589" s="1" t="s">
        <v>1114</v>
      </c>
      <c r="H589" s="1" t="s">
        <v>644</v>
      </c>
      <c r="I589" s="1" t="s">
        <v>302</v>
      </c>
      <c r="K589" s="1">
        <v>0.0</v>
      </c>
      <c r="L589" s="1" t="s">
        <v>1344</v>
      </c>
      <c r="M589" s="1" t="str">
        <f>VLOOKUP(L589,'Copy of PMD Workday Constants -'!B558:Y1244,22,false)</f>
        <v>#N/A</v>
      </c>
      <c r="N589" s="1" t="s">
        <v>32</v>
      </c>
      <c r="O589" s="1" t="s">
        <v>33</v>
      </c>
      <c r="P589" s="1" t="s">
        <v>112</v>
      </c>
      <c r="Q589" s="1" t="s">
        <v>112</v>
      </c>
      <c r="R589" s="1" t="s">
        <v>113</v>
      </c>
      <c r="S589" s="1" t="s">
        <v>134</v>
      </c>
      <c r="T589" s="1">
        <v>1.0061941E8</v>
      </c>
      <c r="W589" s="1" t="s">
        <v>74</v>
      </c>
      <c r="X589" s="1" t="s">
        <v>2238</v>
      </c>
    </row>
    <row r="590">
      <c r="A590" s="1" t="s">
        <v>2337</v>
      </c>
      <c r="B590" s="1" t="s">
        <v>2333</v>
      </c>
      <c r="C590" s="1" t="s">
        <v>2338</v>
      </c>
      <c r="D590" s="1" t="s">
        <v>28</v>
      </c>
      <c r="E590" s="1" t="s">
        <v>29</v>
      </c>
      <c r="F590" s="5">
        <v>2000000.0</v>
      </c>
      <c r="G590" s="1" t="s">
        <v>1114</v>
      </c>
      <c r="H590" s="1" t="s">
        <v>208</v>
      </c>
      <c r="I590" s="1" t="s">
        <v>302</v>
      </c>
      <c r="K590" s="1">
        <v>0.0</v>
      </c>
      <c r="L590" s="1" t="s">
        <v>2339</v>
      </c>
      <c r="M590" s="1" t="str">
        <f>VLOOKUP(L590,'Copy of PMD Workday Constants -'!B559:Y1245,22,false)</f>
        <v>#N/A</v>
      </c>
      <c r="N590" s="1" t="s">
        <v>32</v>
      </c>
      <c r="O590" s="1" t="s">
        <v>33</v>
      </c>
      <c r="P590" s="1" t="s">
        <v>210</v>
      </c>
      <c r="Q590" s="1" t="s">
        <v>210</v>
      </c>
      <c r="R590" s="1" t="s">
        <v>211</v>
      </c>
      <c r="S590" s="1" t="s">
        <v>297</v>
      </c>
      <c r="T590" s="1">
        <v>1.00647488E8</v>
      </c>
      <c r="W590" s="1" t="s">
        <v>258</v>
      </c>
      <c r="X590" s="1" t="s">
        <v>370</v>
      </c>
    </row>
    <row r="591">
      <c r="A591" s="1" t="s">
        <v>2340</v>
      </c>
      <c r="B591" s="1" t="s">
        <v>2341</v>
      </c>
      <c r="C591" s="1" t="s">
        <v>2342</v>
      </c>
      <c r="D591" s="1" t="s">
        <v>79</v>
      </c>
      <c r="E591" s="1" t="s">
        <v>29</v>
      </c>
      <c r="F591" s="5">
        <v>2000000.0</v>
      </c>
      <c r="G591" s="1" t="s">
        <v>1114</v>
      </c>
      <c r="H591" s="4">
        <v>44717.0</v>
      </c>
      <c r="I591" s="1" t="s">
        <v>80</v>
      </c>
      <c r="K591" s="1">
        <v>0.0</v>
      </c>
      <c r="L591" s="1" t="s">
        <v>2343</v>
      </c>
      <c r="M591" s="1" t="str">
        <f>VLOOKUP(L591,'Copy of PMD Workday Constants -'!B560:Y1246,22,false)</f>
        <v>#N/A</v>
      </c>
      <c r="N591" s="1" t="s">
        <v>32</v>
      </c>
      <c r="O591" s="1" t="s">
        <v>33</v>
      </c>
      <c r="P591" s="1" t="s">
        <v>222</v>
      </c>
      <c r="Q591" s="1" t="s">
        <v>222</v>
      </c>
      <c r="R591" s="1" t="s">
        <v>223</v>
      </c>
      <c r="S591" s="1" t="s">
        <v>601</v>
      </c>
      <c r="T591" s="1">
        <v>1.00619128E8</v>
      </c>
      <c r="U591" s="1" t="s">
        <v>2344</v>
      </c>
      <c r="V591" s="1" t="s">
        <v>46</v>
      </c>
      <c r="W591" s="1" t="s">
        <v>47</v>
      </c>
      <c r="X591" s="1" t="s">
        <v>2343</v>
      </c>
    </row>
    <row r="592">
      <c r="A592" s="1" t="s">
        <v>2345</v>
      </c>
      <c r="B592" s="1" t="s">
        <v>2346</v>
      </c>
      <c r="C592" s="1" t="s">
        <v>2347</v>
      </c>
      <c r="D592" s="1" t="s">
        <v>51</v>
      </c>
      <c r="E592" s="1" t="s">
        <v>29</v>
      </c>
      <c r="F592" s="5">
        <v>2000000.0</v>
      </c>
      <c r="G592" s="1" t="s">
        <v>1114</v>
      </c>
      <c r="H592" s="1" t="s">
        <v>2348</v>
      </c>
      <c r="I592" s="1" t="s">
        <v>2349</v>
      </c>
      <c r="K592" s="1">
        <v>0.0</v>
      </c>
      <c r="L592" s="1" t="s">
        <v>1659</v>
      </c>
      <c r="M592" s="1" t="str">
        <f>VLOOKUP(L592,'Copy of PMD Workday Constants -'!B561:Y1247,22,false)</f>
        <v>#N/A</v>
      </c>
      <c r="N592" s="1" t="s">
        <v>32</v>
      </c>
      <c r="O592" s="1" t="s">
        <v>33</v>
      </c>
      <c r="P592" s="1" t="s">
        <v>173</v>
      </c>
      <c r="Q592" s="1" t="s">
        <v>173</v>
      </c>
      <c r="R592" s="1" t="s">
        <v>174</v>
      </c>
      <c r="S592" s="1" t="s">
        <v>612</v>
      </c>
      <c r="T592" s="1">
        <v>1.00650786E8</v>
      </c>
      <c r="W592" s="1" t="s">
        <v>147</v>
      </c>
      <c r="X592" s="1" t="s">
        <v>831</v>
      </c>
    </row>
    <row r="593">
      <c r="A593" s="1" t="s">
        <v>2350</v>
      </c>
      <c r="B593" s="1" t="s">
        <v>521</v>
      </c>
      <c r="C593" s="1" t="s">
        <v>2351</v>
      </c>
      <c r="D593" s="1" t="s">
        <v>51</v>
      </c>
      <c r="E593" s="1" t="s">
        <v>29</v>
      </c>
      <c r="F593" s="5">
        <v>2000000.0</v>
      </c>
      <c r="G593" s="1" t="s">
        <v>1114</v>
      </c>
      <c r="H593" s="1" t="s">
        <v>2352</v>
      </c>
      <c r="I593" s="1" t="s">
        <v>132</v>
      </c>
      <c r="K593" s="1">
        <v>0.0</v>
      </c>
      <c r="L593" s="1" t="s">
        <v>2353</v>
      </c>
      <c r="M593" s="1" t="str">
        <f>VLOOKUP(L593,'Copy of PMD Workday Constants -'!B562:Y1248,22,false)</f>
        <v>#N/A</v>
      </c>
      <c r="N593" s="1" t="s">
        <v>32</v>
      </c>
      <c r="O593" s="1" t="s">
        <v>33</v>
      </c>
      <c r="P593" s="1" t="s">
        <v>82</v>
      </c>
      <c r="Q593" s="1" t="s">
        <v>82</v>
      </c>
      <c r="R593" s="1" t="s">
        <v>83</v>
      </c>
      <c r="S593" s="1" t="s">
        <v>84</v>
      </c>
      <c r="T593" s="1">
        <v>1.0061108E8</v>
      </c>
      <c r="W593" s="1" t="s">
        <v>85</v>
      </c>
      <c r="X593" s="1" t="s">
        <v>2086</v>
      </c>
    </row>
    <row r="594">
      <c r="A594" s="1" t="s">
        <v>2354</v>
      </c>
      <c r="B594" s="1" t="s">
        <v>489</v>
      </c>
      <c r="C594" s="1" t="s">
        <v>2355</v>
      </c>
      <c r="D594" s="1" t="s">
        <v>51</v>
      </c>
      <c r="E594" s="1" t="s">
        <v>29</v>
      </c>
      <c r="F594" s="5">
        <v>2000000.0</v>
      </c>
      <c r="G594" s="1" t="s">
        <v>1114</v>
      </c>
      <c r="H594" s="1" t="s">
        <v>706</v>
      </c>
      <c r="I594" s="1" t="s">
        <v>1859</v>
      </c>
      <c r="K594" s="1">
        <v>0.0</v>
      </c>
      <c r="L594" s="1" t="s">
        <v>2356</v>
      </c>
      <c r="M594" s="1" t="str">
        <f>VLOOKUP(L594,'Copy of PMD Workday Constants -'!B563:Y1249,22,false)</f>
        <v>#N/A</v>
      </c>
      <c r="N594" s="1" t="s">
        <v>32</v>
      </c>
      <c r="O594" s="1" t="s">
        <v>33</v>
      </c>
      <c r="P594" s="1" t="s">
        <v>173</v>
      </c>
      <c r="Q594" s="1" t="s">
        <v>173</v>
      </c>
      <c r="R594" s="1" t="s">
        <v>174</v>
      </c>
      <c r="S594" s="1" t="s">
        <v>540</v>
      </c>
      <c r="T594" s="1">
        <v>1.00620162E8</v>
      </c>
      <c r="W594" s="1" t="s">
        <v>493</v>
      </c>
      <c r="X594" s="1" t="s">
        <v>2357</v>
      </c>
    </row>
    <row r="595">
      <c r="A595" s="1" t="s">
        <v>2358</v>
      </c>
      <c r="B595" s="1" t="s">
        <v>1062</v>
      </c>
      <c r="C595" s="1" t="s">
        <v>2359</v>
      </c>
      <c r="D595" s="1" t="s">
        <v>28</v>
      </c>
      <c r="E595" s="1" t="s">
        <v>29</v>
      </c>
      <c r="F595" s="5">
        <v>2000000.0</v>
      </c>
      <c r="G595" s="1" t="s">
        <v>1114</v>
      </c>
      <c r="H595" s="1" t="s">
        <v>2360</v>
      </c>
      <c r="I595" s="1" t="s">
        <v>692</v>
      </c>
      <c r="K595" s="1">
        <v>0.0</v>
      </c>
      <c r="L595" s="1" t="s">
        <v>1151</v>
      </c>
      <c r="M595" s="1" t="str">
        <f>VLOOKUP(L595,'Copy of PMD Workday Constants -'!B564:Y1250,22,false)</f>
        <v>#N/A</v>
      </c>
      <c r="N595" s="1" t="s">
        <v>32</v>
      </c>
      <c r="O595" s="1" t="s">
        <v>33</v>
      </c>
      <c r="P595" s="1" t="s">
        <v>173</v>
      </c>
      <c r="Q595" s="1" t="s">
        <v>173</v>
      </c>
      <c r="R595" s="1" t="s">
        <v>174</v>
      </c>
      <c r="T595" s="1">
        <v>1.00654991E8</v>
      </c>
      <c r="W595" s="1" t="s">
        <v>493</v>
      </c>
      <c r="X595" s="1" t="s">
        <v>1065</v>
      </c>
    </row>
    <row r="596">
      <c r="A596" s="1" t="s">
        <v>2361</v>
      </c>
      <c r="B596" s="1" t="s">
        <v>913</v>
      </c>
      <c r="C596" s="1" t="s">
        <v>2362</v>
      </c>
      <c r="D596" s="1" t="s">
        <v>28</v>
      </c>
      <c r="E596" s="1" t="s">
        <v>29</v>
      </c>
      <c r="F596" s="1">
        <v>2000000.0</v>
      </c>
      <c r="G596" s="1" t="s">
        <v>1114</v>
      </c>
      <c r="H596" s="4">
        <v>44777.0</v>
      </c>
      <c r="I596" s="1" t="s">
        <v>80</v>
      </c>
      <c r="K596" s="1">
        <v>0.0</v>
      </c>
      <c r="L596" s="1" t="s">
        <v>1456</v>
      </c>
      <c r="M596" s="1" t="str">
        <f>VLOOKUP(L596,'Copy of PMD Workday Constants -'!B595:W1281,22,false)</f>
        <v>Delivery</v>
      </c>
      <c r="N596" s="1" t="s">
        <v>32</v>
      </c>
      <c r="O596" s="1" t="s">
        <v>33</v>
      </c>
      <c r="P596" s="1" t="s">
        <v>82</v>
      </c>
      <c r="Q596" s="1" t="s">
        <v>82</v>
      </c>
      <c r="R596" s="1" t="s">
        <v>83</v>
      </c>
      <c r="S596" s="1" t="s">
        <v>84</v>
      </c>
      <c r="T596" s="1">
        <v>1.00649673E8</v>
      </c>
      <c r="W596" s="1" t="s">
        <v>85</v>
      </c>
      <c r="X596" s="1" t="s">
        <v>916</v>
      </c>
    </row>
    <row r="597">
      <c r="A597" s="1" t="s">
        <v>2363</v>
      </c>
      <c r="B597" s="1" t="s">
        <v>1589</v>
      </c>
      <c r="C597" s="1" t="s">
        <v>2364</v>
      </c>
      <c r="D597" s="1" t="s">
        <v>28</v>
      </c>
      <c r="E597" s="1" t="s">
        <v>29</v>
      </c>
      <c r="F597" s="1">
        <v>2000000.0</v>
      </c>
      <c r="G597" s="1" t="s">
        <v>1114</v>
      </c>
      <c r="H597" s="1" t="s">
        <v>2365</v>
      </c>
      <c r="I597" s="4">
        <v>44569.0</v>
      </c>
      <c r="K597" s="1">
        <v>0.0</v>
      </c>
      <c r="L597" s="1" t="s">
        <v>1242</v>
      </c>
      <c r="M597" s="1" t="str">
        <f>VLOOKUP(L597,'Copy of PMD Workday Constants -'!B596:W1282,22,false)</f>
        <v>Delivery</v>
      </c>
      <c r="N597" s="1" t="s">
        <v>32</v>
      </c>
      <c r="O597" s="1" t="s">
        <v>33</v>
      </c>
      <c r="P597" s="1" t="s">
        <v>34</v>
      </c>
      <c r="Q597" s="1" t="s">
        <v>34</v>
      </c>
      <c r="R597" s="1" t="s">
        <v>35</v>
      </c>
      <c r="S597" s="1" t="s">
        <v>383</v>
      </c>
      <c r="T597" s="1">
        <v>1.00626898E8</v>
      </c>
      <c r="W597" s="1" t="s">
        <v>140</v>
      </c>
      <c r="X597" s="1" t="s">
        <v>1242</v>
      </c>
    </row>
    <row r="598">
      <c r="A598" s="1" t="s">
        <v>2366</v>
      </c>
      <c r="B598" s="1" t="s">
        <v>1364</v>
      </c>
      <c r="C598" s="1" t="s">
        <v>2367</v>
      </c>
      <c r="D598" s="1" t="s">
        <v>28</v>
      </c>
      <c r="E598" s="1" t="s">
        <v>29</v>
      </c>
      <c r="F598" s="5">
        <v>2000000.0</v>
      </c>
      <c r="G598" s="1" t="s">
        <v>1114</v>
      </c>
      <c r="H598" s="4">
        <v>44900.0</v>
      </c>
      <c r="I598" s="1" t="s">
        <v>96</v>
      </c>
      <c r="K598" s="1">
        <v>0.0</v>
      </c>
      <c r="L598" s="1" t="s">
        <v>2368</v>
      </c>
      <c r="M598" s="1" t="str">
        <f>VLOOKUP(L598,'Copy of PMD Workday Constants -'!B567:Y1253,22,false)</f>
        <v>#N/A</v>
      </c>
      <c r="N598" s="1" t="s">
        <v>32</v>
      </c>
      <c r="O598" s="1" t="s">
        <v>33</v>
      </c>
      <c r="P598" s="1" t="s">
        <v>64</v>
      </c>
      <c r="Q598" s="1" t="s">
        <v>64</v>
      </c>
      <c r="R598" s="1" t="s">
        <v>65</v>
      </c>
      <c r="S598" s="1" t="s">
        <v>229</v>
      </c>
      <c r="T598" s="1">
        <v>1.00648136E8</v>
      </c>
      <c r="W598" s="1" t="s">
        <v>85</v>
      </c>
      <c r="X598" s="1" t="s">
        <v>2368</v>
      </c>
    </row>
    <row r="599">
      <c r="A599" s="1" t="s">
        <v>2369</v>
      </c>
      <c r="B599" s="1" t="s">
        <v>1347</v>
      </c>
      <c r="C599" s="1" t="s">
        <v>2370</v>
      </c>
      <c r="D599" s="1" t="s">
        <v>28</v>
      </c>
      <c r="E599" s="1" t="s">
        <v>29</v>
      </c>
      <c r="F599" s="5">
        <v>2000000.0</v>
      </c>
      <c r="G599" s="1" t="s">
        <v>1114</v>
      </c>
      <c r="H599" s="4">
        <v>44657.0</v>
      </c>
      <c r="I599" s="4">
        <v>44872.0</v>
      </c>
      <c r="K599" s="1">
        <v>0.0</v>
      </c>
      <c r="L599" s="1" t="s">
        <v>1413</v>
      </c>
      <c r="M599" s="1" t="str">
        <f>VLOOKUP(L599,'Copy of PMD Workday Constants -'!B568:Y1254,22,false)</f>
        <v>#N/A</v>
      </c>
      <c r="N599" s="1" t="s">
        <v>32</v>
      </c>
      <c r="O599" s="1" t="s">
        <v>33</v>
      </c>
      <c r="P599" s="1" t="s">
        <v>34</v>
      </c>
      <c r="Q599" s="1" t="s">
        <v>34</v>
      </c>
      <c r="R599" s="1" t="s">
        <v>35</v>
      </c>
      <c r="S599" s="1" t="s">
        <v>126</v>
      </c>
      <c r="T599" s="1">
        <v>1.00643044E8</v>
      </c>
      <c r="W599" s="1" t="s">
        <v>391</v>
      </c>
      <c r="X599" s="1" t="s">
        <v>1413</v>
      </c>
    </row>
    <row r="600">
      <c r="A600" s="1" t="s">
        <v>2371</v>
      </c>
      <c r="B600" s="1" t="s">
        <v>2372</v>
      </c>
      <c r="C600" s="1" t="s">
        <v>2373</v>
      </c>
      <c r="D600" s="1" t="s">
        <v>51</v>
      </c>
      <c r="E600" s="1" t="s">
        <v>29</v>
      </c>
      <c r="F600" s="5">
        <v>2000000.0</v>
      </c>
      <c r="G600" s="1" t="s">
        <v>1114</v>
      </c>
      <c r="H600" s="4">
        <v>44839.0</v>
      </c>
      <c r="I600" s="1" t="s">
        <v>104</v>
      </c>
      <c r="K600" s="1">
        <v>0.0</v>
      </c>
      <c r="L600" s="1" t="s">
        <v>1238</v>
      </c>
      <c r="M600" s="1" t="str">
        <f>VLOOKUP(L600,'Copy of PMD Workday Constants -'!B569:Y1255,22,false)</f>
        <v>#N/A</v>
      </c>
      <c r="N600" s="1" t="s">
        <v>32</v>
      </c>
      <c r="O600" s="1" t="s">
        <v>33</v>
      </c>
      <c r="P600" s="1" t="s">
        <v>210</v>
      </c>
      <c r="Q600" s="1" t="s">
        <v>210</v>
      </c>
      <c r="R600" s="1" t="s">
        <v>211</v>
      </c>
      <c r="S600" s="1" t="s">
        <v>416</v>
      </c>
      <c r="T600" s="1">
        <v>1.00586959E8</v>
      </c>
      <c r="W600" s="1" t="s">
        <v>56</v>
      </c>
      <c r="X600" s="1" t="s">
        <v>968</v>
      </c>
    </row>
    <row r="601">
      <c r="A601" s="1" t="s">
        <v>2374</v>
      </c>
      <c r="B601" s="1" t="s">
        <v>2375</v>
      </c>
      <c r="C601" s="1" t="s">
        <v>2376</v>
      </c>
      <c r="D601" s="1" t="s">
        <v>28</v>
      </c>
      <c r="E601" s="1" t="s">
        <v>29</v>
      </c>
      <c r="F601" s="5">
        <v>2000000.0</v>
      </c>
      <c r="G601" s="1" t="s">
        <v>1114</v>
      </c>
      <c r="H601" s="1" t="s">
        <v>842</v>
      </c>
      <c r="I601" s="1" t="s">
        <v>302</v>
      </c>
      <c r="K601" s="1">
        <v>0.0</v>
      </c>
      <c r="L601" s="1" t="s">
        <v>1757</v>
      </c>
      <c r="M601" s="1" t="str">
        <f>VLOOKUP(L601,'Copy of PMD Workday Constants -'!B570:Y1256,22,false)</f>
        <v>#N/A</v>
      </c>
      <c r="N601" s="1" t="s">
        <v>32</v>
      </c>
      <c r="O601" s="1" t="s">
        <v>33</v>
      </c>
      <c r="P601" s="1" t="s">
        <v>112</v>
      </c>
      <c r="Q601" s="1" t="s">
        <v>112</v>
      </c>
      <c r="R601" s="1" t="s">
        <v>113</v>
      </c>
      <c r="S601" s="1" t="s">
        <v>256</v>
      </c>
      <c r="T601" s="1">
        <v>1.00597983E8</v>
      </c>
      <c r="W601" s="1" t="s">
        <v>258</v>
      </c>
      <c r="X601" s="1" t="s">
        <v>2377</v>
      </c>
    </row>
    <row r="602">
      <c r="A602" s="1" t="s">
        <v>2378</v>
      </c>
      <c r="B602" s="1" t="s">
        <v>1449</v>
      </c>
      <c r="C602" s="1" t="s">
        <v>2379</v>
      </c>
      <c r="D602" s="1" t="s">
        <v>28</v>
      </c>
      <c r="E602" s="1" t="s">
        <v>29</v>
      </c>
      <c r="F602" s="5">
        <v>2000000.0</v>
      </c>
      <c r="G602" s="1" t="s">
        <v>1114</v>
      </c>
      <c r="H602" s="4">
        <v>44264.0</v>
      </c>
      <c r="I602" s="1" t="s">
        <v>2380</v>
      </c>
      <c r="K602" s="1">
        <v>0.0</v>
      </c>
      <c r="L602" s="1" t="s">
        <v>2381</v>
      </c>
      <c r="M602" s="1" t="str">
        <f>VLOOKUP(L602,'Copy of PMD Workday Constants -'!B571:Y1257,22,false)</f>
        <v>#N/A</v>
      </c>
      <c r="N602" s="1" t="s">
        <v>32</v>
      </c>
      <c r="O602" s="1" t="s">
        <v>33</v>
      </c>
      <c r="P602" s="1" t="s">
        <v>112</v>
      </c>
      <c r="Q602" s="1" t="s">
        <v>112</v>
      </c>
      <c r="R602" s="1" t="s">
        <v>113</v>
      </c>
      <c r="S602" s="1" t="s">
        <v>134</v>
      </c>
      <c r="T602" s="1">
        <v>1.00625755E8</v>
      </c>
      <c r="W602" s="1" t="s">
        <v>493</v>
      </c>
      <c r="X602" s="1" t="s">
        <v>2381</v>
      </c>
    </row>
    <row r="603">
      <c r="A603" s="1" t="s">
        <v>2382</v>
      </c>
      <c r="B603" s="1" t="s">
        <v>1449</v>
      </c>
      <c r="C603" s="1" t="s">
        <v>2383</v>
      </c>
      <c r="D603" s="1" t="s">
        <v>28</v>
      </c>
      <c r="E603" s="1" t="s">
        <v>29</v>
      </c>
      <c r="F603" s="5">
        <v>2000000.0</v>
      </c>
      <c r="G603" s="1" t="s">
        <v>1114</v>
      </c>
      <c r="H603" s="4">
        <v>44264.0</v>
      </c>
      <c r="I603" s="1" t="s">
        <v>43</v>
      </c>
      <c r="K603" s="1">
        <v>0.0</v>
      </c>
      <c r="L603" s="1" t="s">
        <v>2381</v>
      </c>
      <c r="M603" s="1" t="str">
        <f>VLOOKUP(L603,'Copy of PMD Workday Constants -'!B572:Y1258,22,false)</f>
        <v>#N/A</v>
      </c>
      <c r="N603" s="1" t="s">
        <v>32</v>
      </c>
      <c r="O603" s="1" t="s">
        <v>33</v>
      </c>
      <c r="P603" s="1" t="s">
        <v>112</v>
      </c>
      <c r="Q603" s="1" t="s">
        <v>112</v>
      </c>
      <c r="R603" s="1" t="s">
        <v>113</v>
      </c>
      <c r="S603" s="1" t="s">
        <v>134</v>
      </c>
      <c r="T603" s="1">
        <v>1.00625755E8</v>
      </c>
      <c r="W603" s="1" t="s">
        <v>493</v>
      </c>
      <c r="X603" s="1" t="s">
        <v>2381</v>
      </c>
    </row>
    <row r="604">
      <c r="A604" s="1" t="s">
        <v>2384</v>
      </c>
      <c r="B604" s="1" t="s">
        <v>776</v>
      </c>
      <c r="C604" s="1" t="s">
        <v>2385</v>
      </c>
      <c r="D604" s="1" t="s">
        <v>28</v>
      </c>
      <c r="E604" s="1" t="s">
        <v>29</v>
      </c>
      <c r="F604" s="5">
        <v>1988763.0</v>
      </c>
      <c r="G604" s="1" t="s">
        <v>1114</v>
      </c>
      <c r="H604" s="1" t="s">
        <v>2386</v>
      </c>
      <c r="I604" s="1" t="s">
        <v>2387</v>
      </c>
      <c r="K604" s="1">
        <v>0.0</v>
      </c>
      <c r="L604" s="1" t="s">
        <v>1170</v>
      </c>
      <c r="M604" s="1" t="str">
        <f>VLOOKUP(L604,'Copy of PMD Workday Constants -'!B573:Y1259,22,false)</f>
        <v>#N/A</v>
      </c>
      <c r="N604" s="1" t="s">
        <v>32</v>
      </c>
      <c r="O604" s="1" t="s">
        <v>33</v>
      </c>
      <c r="P604" s="1" t="s">
        <v>112</v>
      </c>
      <c r="Q604" s="1" t="s">
        <v>112</v>
      </c>
      <c r="R604" s="1" t="s">
        <v>113</v>
      </c>
      <c r="S604" s="1" t="s">
        <v>134</v>
      </c>
      <c r="T604" s="1">
        <v>1.00595231E8</v>
      </c>
      <c r="U604" s="1" t="s">
        <v>2388</v>
      </c>
      <c r="W604" s="1" t="s">
        <v>74</v>
      </c>
      <c r="X604" s="1" t="s">
        <v>2389</v>
      </c>
    </row>
    <row r="605">
      <c r="A605" s="1" t="s">
        <v>2390</v>
      </c>
      <c r="B605" s="1" t="s">
        <v>93</v>
      </c>
      <c r="C605" s="1" t="s">
        <v>2391</v>
      </c>
      <c r="D605" s="1" t="s">
        <v>28</v>
      </c>
      <c r="E605" s="1" t="s">
        <v>29</v>
      </c>
      <c r="F605" s="5">
        <v>1966602.0</v>
      </c>
      <c r="G605" s="1" t="s">
        <v>1114</v>
      </c>
      <c r="H605" s="1" t="s">
        <v>1134</v>
      </c>
      <c r="I605" s="1" t="s">
        <v>104</v>
      </c>
      <c r="K605" s="1">
        <v>0.0</v>
      </c>
      <c r="L605" s="1" t="s">
        <v>209</v>
      </c>
      <c r="M605" s="1" t="str">
        <f>VLOOKUP(L605,'Copy of PMD Workday Constants -'!B574:Y1260,22,false)</f>
        <v>#N/A</v>
      </c>
      <c r="N605" s="1" t="s">
        <v>32</v>
      </c>
      <c r="O605" s="1" t="s">
        <v>33</v>
      </c>
      <c r="P605" s="1" t="s">
        <v>210</v>
      </c>
      <c r="Q605" s="1" t="s">
        <v>210</v>
      </c>
      <c r="R605" s="1" t="s">
        <v>211</v>
      </c>
      <c r="S605" s="1" t="s">
        <v>212</v>
      </c>
      <c r="T605" s="1">
        <v>1.00628186E8</v>
      </c>
      <c r="W605" s="1" t="s">
        <v>56</v>
      </c>
      <c r="X605" s="1" t="s">
        <v>2392</v>
      </c>
    </row>
    <row r="606">
      <c r="A606" s="1" t="s">
        <v>2393</v>
      </c>
      <c r="B606" s="1" t="s">
        <v>2394</v>
      </c>
      <c r="C606" s="1" t="s">
        <v>2395</v>
      </c>
      <c r="D606" s="1" t="s">
        <v>51</v>
      </c>
      <c r="E606" s="1" t="s">
        <v>29</v>
      </c>
      <c r="F606" s="5">
        <v>1950000.0</v>
      </c>
      <c r="G606" s="1" t="s">
        <v>1114</v>
      </c>
      <c r="H606" s="4">
        <v>44868.0</v>
      </c>
      <c r="I606" s="1" t="s">
        <v>302</v>
      </c>
      <c r="K606" s="1">
        <v>0.0</v>
      </c>
      <c r="L606" s="1" t="s">
        <v>238</v>
      </c>
      <c r="M606" s="1" t="str">
        <f>VLOOKUP(L606,'Copy of PMD Workday Constants -'!B575:Y1261,22,false)</f>
        <v>#N/A</v>
      </c>
      <c r="N606" s="1" t="s">
        <v>32</v>
      </c>
      <c r="O606" s="1" t="s">
        <v>33</v>
      </c>
      <c r="P606" s="1" t="s">
        <v>112</v>
      </c>
      <c r="Q606" s="1" t="s">
        <v>112</v>
      </c>
      <c r="R606" s="1" t="s">
        <v>113</v>
      </c>
      <c r="S606" s="1" t="s">
        <v>114</v>
      </c>
      <c r="T606" s="1">
        <v>1.00658519E8</v>
      </c>
      <c r="W606" s="1" t="s">
        <v>250</v>
      </c>
      <c r="X606" s="1" t="s">
        <v>2396</v>
      </c>
    </row>
    <row r="607">
      <c r="A607" s="1" t="s">
        <v>2397</v>
      </c>
      <c r="B607" s="1" t="s">
        <v>317</v>
      </c>
      <c r="C607" s="1" t="s">
        <v>2398</v>
      </c>
      <c r="D607" s="1" t="s">
        <v>103</v>
      </c>
      <c r="E607" s="1" t="s">
        <v>29</v>
      </c>
      <c r="F607" s="5">
        <v>1950000.0</v>
      </c>
      <c r="G607" s="1" t="s">
        <v>1114</v>
      </c>
      <c r="H607" s="1" t="s">
        <v>537</v>
      </c>
      <c r="I607" s="1" t="s">
        <v>80</v>
      </c>
      <c r="K607" s="1">
        <v>0.0</v>
      </c>
      <c r="L607" s="1" t="s">
        <v>2143</v>
      </c>
      <c r="M607" s="1" t="str">
        <f>VLOOKUP(L607,'Copy of PMD Workday Constants -'!B576:Y1262,22,false)</f>
        <v>#N/A</v>
      </c>
      <c r="N607" s="1" t="s">
        <v>32</v>
      </c>
      <c r="O607" s="1" t="s">
        <v>33</v>
      </c>
      <c r="P607" s="1" t="s">
        <v>82</v>
      </c>
      <c r="Q607" s="1" t="s">
        <v>82</v>
      </c>
      <c r="R607" s="1" t="s">
        <v>83</v>
      </c>
      <c r="S607" s="1" t="s">
        <v>84</v>
      </c>
      <c r="T607" s="1">
        <v>1.00612395E8</v>
      </c>
      <c r="W607" s="1" t="s">
        <v>85</v>
      </c>
      <c r="X607" s="1" t="s">
        <v>2399</v>
      </c>
    </row>
    <row r="608">
      <c r="A608" s="1" t="s">
        <v>2400</v>
      </c>
      <c r="B608" s="1" t="s">
        <v>1373</v>
      </c>
      <c r="C608" s="1" t="s">
        <v>2401</v>
      </c>
      <c r="D608" s="1" t="s">
        <v>103</v>
      </c>
      <c r="E608" s="1" t="s">
        <v>29</v>
      </c>
      <c r="F608" s="5">
        <v>1900000.0</v>
      </c>
      <c r="G608" s="1" t="s">
        <v>1114</v>
      </c>
      <c r="H608" s="1" t="s">
        <v>509</v>
      </c>
      <c r="I608" s="4">
        <v>44840.0</v>
      </c>
      <c r="K608" s="1">
        <v>0.0</v>
      </c>
      <c r="L608" s="1" t="s">
        <v>1380</v>
      </c>
      <c r="M608" s="1" t="str">
        <f>VLOOKUP(L608,'Copy of PMD Workday Constants -'!B577:Y1263,22,false)</f>
        <v>#N/A</v>
      </c>
      <c r="N608" s="1" t="s">
        <v>32</v>
      </c>
      <c r="O608" s="1" t="s">
        <v>33</v>
      </c>
      <c r="P608" s="1" t="s">
        <v>34</v>
      </c>
      <c r="Q608" s="1" t="s">
        <v>34</v>
      </c>
      <c r="R608" s="1" t="s">
        <v>35</v>
      </c>
      <c r="S608" s="1" t="s">
        <v>126</v>
      </c>
      <c r="T608" s="1">
        <v>1.00587434E8</v>
      </c>
      <c r="W608" s="1" t="s">
        <v>74</v>
      </c>
      <c r="X608" s="1" t="s">
        <v>1375</v>
      </c>
    </row>
    <row r="609">
      <c r="A609" s="1" t="s">
        <v>2402</v>
      </c>
      <c r="B609" s="1" t="s">
        <v>744</v>
      </c>
      <c r="C609" s="1" t="s">
        <v>2403</v>
      </c>
      <c r="D609" s="1" t="s">
        <v>103</v>
      </c>
      <c r="E609" s="1" t="s">
        <v>29</v>
      </c>
      <c r="F609" s="5">
        <v>1900000.0</v>
      </c>
      <c r="G609" s="1" t="s">
        <v>1114</v>
      </c>
      <c r="H609" s="4">
        <v>44775.0</v>
      </c>
      <c r="I609" s="1" t="s">
        <v>104</v>
      </c>
      <c r="J609" s="1" t="s">
        <v>2404</v>
      </c>
      <c r="K609" s="1">
        <v>0.0</v>
      </c>
      <c r="L609" s="1" t="s">
        <v>2163</v>
      </c>
      <c r="M609" s="1" t="str">
        <f>VLOOKUP(L609,'Copy of PMD Workday Constants -'!B578:Y1264,22,false)</f>
        <v>#N/A</v>
      </c>
      <c r="N609" s="1" t="s">
        <v>32</v>
      </c>
      <c r="O609" s="1" t="s">
        <v>33</v>
      </c>
      <c r="P609" s="1" t="s">
        <v>210</v>
      </c>
      <c r="Q609" s="1" t="s">
        <v>210</v>
      </c>
      <c r="R609" s="1" t="s">
        <v>211</v>
      </c>
      <c r="S609" s="1" t="s">
        <v>297</v>
      </c>
      <c r="T609" s="1">
        <v>1.00608366E8</v>
      </c>
      <c r="U609" s="1" t="s">
        <v>2405</v>
      </c>
      <c r="V609" s="1" t="s">
        <v>187</v>
      </c>
      <c r="W609" s="1" t="s">
        <v>258</v>
      </c>
      <c r="X609" s="1" t="s">
        <v>2163</v>
      </c>
    </row>
    <row r="610">
      <c r="A610" s="1" t="s">
        <v>2406</v>
      </c>
      <c r="B610" s="1" t="s">
        <v>1488</v>
      </c>
      <c r="C610" s="1" t="s">
        <v>2407</v>
      </c>
      <c r="D610" s="1" t="s">
        <v>103</v>
      </c>
      <c r="E610" s="1" t="s">
        <v>29</v>
      </c>
      <c r="F610" s="5">
        <v>1900000.0</v>
      </c>
      <c r="G610" s="1" t="s">
        <v>1114</v>
      </c>
      <c r="H610" s="4">
        <v>44900.0</v>
      </c>
      <c r="I610" s="4">
        <v>44719.0</v>
      </c>
      <c r="K610" s="1">
        <v>0.0</v>
      </c>
      <c r="L610" s="1" t="s">
        <v>1165</v>
      </c>
      <c r="M610" s="1" t="str">
        <f>VLOOKUP(L610,'Copy of PMD Workday Constants -'!B579:Y1265,22,false)</f>
        <v>Delivery</v>
      </c>
      <c r="N610" s="1" t="s">
        <v>32</v>
      </c>
      <c r="O610" s="1" t="s">
        <v>33</v>
      </c>
      <c r="P610" s="1" t="s">
        <v>34</v>
      </c>
      <c r="Q610" s="1" t="s">
        <v>34</v>
      </c>
      <c r="R610" s="1" t="s">
        <v>35</v>
      </c>
      <c r="S610" s="1" t="s">
        <v>1166</v>
      </c>
      <c r="T610" s="1">
        <v>1.00586863E8</v>
      </c>
      <c r="W610" s="1" t="s">
        <v>456</v>
      </c>
      <c r="X610" s="1" t="s">
        <v>1490</v>
      </c>
    </row>
    <row r="611">
      <c r="A611" s="1" t="s">
        <v>2408</v>
      </c>
      <c r="B611" s="1" t="s">
        <v>311</v>
      </c>
      <c r="C611" s="1" t="s">
        <v>2409</v>
      </c>
      <c r="D611" s="1" t="s">
        <v>103</v>
      </c>
      <c r="E611" s="1" t="s">
        <v>29</v>
      </c>
      <c r="F611" s="5">
        <v>1870000.0</v>
      </c>
      <c r="G611" s="1" t="s">
        <v>1114</v>
      </c>
      <c r="H611" s="4">
        <v>44748.0</v>
      </c>
      <c r="I611" s="4">
        <v>44780.0</v>
      </c>
      <c r="K611" s="1">
        <v>0.0</v>
      </c>
      <c r="L611" s="1" t="s">
        <v>546</v>
      </c>
      <c r="M611" s="1" t="str">
        <f>VLOOKUP(L611,'Copy of PMD Workday Constants -'!B580:Y1266,22,false)</f>
        <v>#N/A</v>
      </c>
      <c r="N611" s="1" t="s">
        <v>32</v>
      </c>
      <c r="O611" s="1" t="s">
        <v>33</v>
      </c>
      <c r="P611" s="1" t="s">
        <v>64</v>
      </c>
      <c r="Q611" s="1" t="s">
        <v>64</v>
      </c>
      <c r="R611" s="1" t="s">
        <v>65</v>
      </c>
      <c r="S611" s="1" t="s">
        <v>2410</v>
      </c>
      <c r="T611" s="1">
        <v>1.00579505E8</v>
      </c>
      <c r="W611" s="1" t="s">
        <v>140</v>
      </c>
      <c r="X611" s="1" t="s">
        <v>2411</v>
      </c>
    </row>
    <row r="612">
      <c r="A612" s="1" t="s">
        <v>2412</v>
      </c>
      <c r="B612" s="1" t="s">
        <v>1778</v>
      </c>
      <c r="C612" s="1" t="s">
        <v>2413</v>
      </c>
      <c r="D612" s="1" t="s">
        <v>28</v>
      </c>
      <c r="E612" s="1" t="s">
        <v>29</v>
      </c>
      <c r="F612" s="5">
        <v>1860000.0</v>
      </c>
      <c r="G612" s="1" t="s">
        <v>1114</v>
      </c>
      <c r="H612" s="4">
        <v>44810.0</v>
      </c>
      <c r="I612" s="1" t="s">
        <v>816</v>
      </c>
      <c r="K612" s="1">
        <v>0.0</v>
      </c>
      <c r="L612" s="1" t="s">
        <v>1500</v>
      </c>
      <c r="M612" s="1" t="str">
        <f>VLOOKUP(L612,'Copy of PMD Workday Constants -'!B581:Y1267,22,false)</f>
        <v>#N/A</v>
      </c>
      <c r="N612" s="1" t="s">
        <v>32</v>
      </c>
      <c r="O612" s="1" t="s">
        <v>33</v>
      </c>
      <c r="P612" s="1" t="s">
        <v>222</v>
      </c>
      <c r="Q612" s="1" t="s">
        <v>222</v>
      </c>
      <c r="R612" s="1" t="s">
        <v>223</v>
      </c>
      <c r="T612" s="1">
        <v>1.00630016E8</v>
      </c>
      <c r="W612" s="1" t="s">
        <v>456</v>
      </c>
      <c r="X612" s="1" t="s">
        <v>1500</v>
      </c>
    </row>
    <row r="613">
      <c r="A613" s="1" t="s">
        <v>2414</v>
      </c>
      <c r="B613" s="1" t="s">
        <v>2415</v>
      </c>
      <c r="C613" s="1" t="s">
        <v>2416</v>
      </c>
      <c r="D613" s="1" t="s">
        <v>28</v>
      </c>
      <c r="E613" s="1" t="s">
        <v>29</v>
      </c>
      <c r="F613" s="5">
        <v>1850000.0</v>
      </c>
      <c r="G613" s="1" t="s">
        <v>1114</v>
      </c>
      <c r="H613" s="1" t="s">
        <v>1134</v>
      </c>
      <c r="I613" s="1" t="s">
        <v>80</v>
      </c>
      <c r="K613" s="1">
        <v>0.0</v>
      </c>
      <c r="L613" s="1" t="s">
        <v>2417</v>
      </c>
      <c r="M613" s="1" t="str">
        <f>VLOOKUP(L613,'Copy of PMD Workday Constants -'!B582:Y1268,22,false)</f>
        <v>Delivery</v>
      </c>
      <c r="N613" s="1" t="s">
        <v>32</v>
      </c>
      <c r="O613" s="1" t="s">
        <v>33</v>
      </c>
      <c r="P613" s="1" t="s">
        <v>34</v>
      </c>
      <c r="Q613" s="1" t="s">
        <v>34</v>
      </c>
      <c r="R613" s="1" t="s">
        <v>35</v>
      </c>
      <c r="S613" s="1" t="s">
        <v>297</v>
      </c>
      <c r="T613" s="1">
        <v>1.00642238E8</v>
      </c>
      <c r="W613" s="1" t="s">
        <v>258</v>
      </c>
      <c r="X613" s="1" t="s">
        <v>2418</v>
      </c>
    </row>
    <row r="614">
      <c r="A614" s="1" t="s">
        <v>2419</v>
      </c>
      <c r="B614" s="1" t="s">
        <v>1817</v>
      </c>
      <c r="C614" s="1" t="s">
        <v>2420</v>
      </c>
      <c r="D614" s="1" t="s">
        <v>103</v>
      </c>
      <c r="E614" s="1" t="s">
        <v>29</v>
      </c>
      <c r="F614" s="5">
        <v>1800750.0</v>
      </c>
      <c r="G614" s="1" t="s">
        <v>1114</v>
      </c>
      <c r="H614" s="4">
        <v>44564.0</v>
      </c>
      <c r="I614" s="1" t="s">
        <v>302</v>
      </c>
      <c r="K614" s="1">
        <v>0.0</v>
      </c>
      <c r="L614" s="1" t="s">
        <v>2325</v>
      </c>
      <c r="M614" s="1" t="str">
        <f>VLOOKUP(L614,'Copy of PMD Workday Constants -'!B583:Y1269,22,false)</f>
        <v>#N/A</v>
      </c>
      <c r="N614" s="1" t="s">
        <v>32</v>
      </c>
      <c r="O614" s="1" t="s">
        <v>33</v>
      </c>
      <c r="P614" s="1" t="s">
        <v>82</v>
      </c>
      <c r="Q614" s="1" t="s">
        <v>82</v>
      </c>
      <c r="R614" s="1" t="s">
        <v>83</v>
      </c>
      <c r="S614" s="1" t="s">
        <v>180</v>
      </c>
      <c r="T614" s="1">
        <v>1.00628181E8</v>
      </c>
      <c r="W614" s="1" t="s">
        <v>85</v>
      </c>
      <c r="X614" s="1" t="s">
        <v>1820</v>
      </c>
    </row>
    <row r="615">
      <c r="A615" s="1" t="s">
        <v>2421</v>
      </c>
      <c r="B615" s="1" t="s">
        <v>2422</v>
      </c>
      <c r="C615" s="1" t="s">
        <v>2423</v>
      </c>
      <c r="D615" s="1" t="s">
        <v>103</v>
      </c>
      <c r="E615" s="1" t="s">
        <v>29</v>
      </c>
      <c r="F615" s="5">
        <v>1800000.0</v>
      </c>
      <c r="G615" s="1" t="s">
        <v>1114</v>
      </c>
      <c r="H615" s="1" t="s">
        <v>2424</v>
      </c>
      <c r="I615" s="1" t="s">
        <v>302</v>
      </c>
      <c r="J615" s="1" t="s">
        <v>2425</v>
      </c>
      <c r="K615" s="1">
        <v>0.0</v>
      </c>
      <c r="L615" s="1" t="s">
        <v>1075</v>
      </c>
      <c r="M615" s="1" t="str">
        <f>VLOOKUP(L615,'Copy of PMD Workday Constants -'!B584:Y1270,22,false)</f>
        <v>#N/A</v>
      </c>
      <c r="N615" s="1" t="s">
        <v>32</v>
      </c>
      <c r="O615" s="1" t="s">
        <v>33</v>
      </c>
      <c r="P615" s="1" t="s">
        <v>34</v>
      </c>
      <c r="Q615" s="1" t="s">
        <v>34</v>
      </c>
      <c r="R615" s="1" t="s">
        <v>35</v>
      </c>
      <c r="S615" s="1" t="s">
        <v>36</v>
      </c>
      <c r="T615" s="1">
        <v>1.00601386E8</v>
      </c>
      <c r="W615" s="1" t="s">
        <v>91</v>
      </c>
      <c r="X615" s="1" t="s">
        <v>338</v>
      </c>
    </row>
    <row r="616">
      <c r="A616" s="1" t="s">
        <v>2426</v>
      </c>
      <c r="B616" s="1" t="s">
        <v>521</v>
      </c>
      <c r="C616" s="1" t="s">
        <v>2427</v>
      </c>
      <c r="D616" s="1" t="s">
        <v>103</v>
      </c>
      <c r="E616" s="1" t="s">
        <v>29</v>
      </c>
      <c r="F616" s="5">
        <v>1800000.0</v>
      </c>
      <c r="G616" s="1" t="s">
        <v>1114</v>
      </c>
      <c r="H616" s="4">
        <v>44625.0</v>
      </c>
      <c r="I616" s="1" t="s">
        <v>104</v>
      </c>
      <c r="K616" s="1">
        <v>0.0</v>
      </c>
      <c r="L616" s="1" t="s">
        <v>319</v>
      </c>
      <c r="M616" s="1" t="str">
        <f>VLOOKUP(L616,'Copy of PMD Workday Constants -'!B585:Y1271,22,false)</f>
        <v>#N/A</v>
      </c>
      <c r="N616" s="1" t="s">
        <v>32</v>
      </c>
      <c r="O616" s="1" t="s">
        <v>33</v>
      </c>
      <c r="P616" s="1" t="s">
        <v>82</v>
      </c>
      <c r="Q616" s="1" t="s">
        <v>82</v>
      </c>
      <c r="R616" s="1" t="s">
        <v>83</v>
      </c>
      <c r="S616" s="1" t="s">
        <v>84</v>
      </c>
      <c r="T616" s="1">
        <v>1.00654705E8</v>
      </c>
      <c r="W616" s="1" t="s">
        <v>85</v>
      </c>
      <c r="X616" s="1" t="s">
        <v>319</v>
      </c>
    </row>
    <row r="617">
      <c r="A617" s="1" t="s">
        <v>2428</v>
      </c>
      <c r="B617" s="1" t="s">
        <v>2429</v>
      </c>
      <c r="C617" s="1" t="s">
        <v>2430</v>
      </c>
      <c r="D617" s="1" t="s">
        <v>51</v>
      </c>
      <c r="E617" s="1" t="s">
        <v>29</v>
      </c>
      <c r="F617" s="1">
        <v>1800000.0</v>
      </c>
      <c r="G617" s="1" t="s">
        <v>1114</v>
      </c>
      <c r="H617" s="4">
        <v>44298.0</v>
      </c>
      <c r="I617" s="1" t="s">
        <v>264</v>
      </c>
      <c r="K617" s="1">
        <v>0.0</v>
      </c>
      <c r="L617" s="1" t="s">
        <v>2431</v>
      </c>
      <c r="M617" s="1" t="str">
        <f>VLOOKUP(L617,'Copy of PMD Workday Constants -'!B616:W1302,22,false)</f>
        <v>Delivery</v>
      </c>
      <c r="N617" s="1" t="s">
        <v>32</v>
      </c>
      <c r="O617" s="1" t="s">
        <v>33</v>
      </c>
      <c r="P617" s="1" t="s">
        <v>34</v>
      </c>
      <c r="Q617" s="1" t="s">
        <v>34</v>
      </c>
      <c r="R617" s="1" t="s">
        <v>35</v>
      </c>
      <c r="S617" s="1" t="s">
        <v>1166</v>
      </c>
      <c r="T617" s="1">
        <v>1.00610419E8</v>
      </c>
      <c r="W617" s="1" t="s">
        <v>456</v>
      </c>
      <c r="X617" s="1" t="s">
        <v>2432</v>
      </c>
    </row>
    <row r="618">
      <c r="A618" s="1" t="s">
        <v>2433</v>
      </c>
      <c r="B618" s="1" t="s">
        <v>1247</v>
      </c>
      <c r="C618" s="1" t="s">
        <v>2434</v>
      </c>
      <c r="D618" s="1" t="s">
        <v>51</v>
      </c>
      <c r="E618" s="1" t="s">
        <v>29</v>
      </c>
      <c r="F618" s="5">
        <v>1800000.0</v>
      </c>
      <c r="G618" s="1" t="s">
        <v>1114</v>
      </c>
      <c r="H618" s="1" t="s">
        <v>2318</v>
      </c>
      <c r="I618" s="1" t="s">
        <v>1327</v>
      </c>
      <c r="K618" s="1">
        <v>0.0</v>
      </c>
      <c r="L618" s="1" t="s">
        <v>2435</v>
      </c>
      <c r="M618" s="1" t="str">
        <f>VLOOKUP(L618,'Copy of PMD Workday Constants -'!B587:Y1273,22,false)</f>
        <v>#N/A</v>
      </c>
      <c r="N618" s="1" t="s">
        <v>32</v>
      </c>
      <c r="O618" s="1" t="s">
        <v>33</v>
      </c>
      <c r="P618" s="1" t="s">
        <v>173</v>
      </c>
      <c r="Q618" s="1" t="s">
        <v>173</v>
      </c>
      <c r="R618" s="1" t="s">
        <v>174</v>
      </c>
      <c r="S618" s="1" t="s">
        <v>612</v>
      </c>
      <c r="T618" s="1">
        <v>1.00634919E8</v>
      </c>
      <c r="W618" s="1" t="s">
        <v>140</v>
      </c>
      <c r="X618" s="1" t="s">
        <v>2435</v>
      </c>
    </row>
    <row r="619">
      <c r="A619" s="1" t="s">
        <v>2436</v>
      </c>
      <c r="B619" s="1" t="s">
        <v>2394</v>
      </c>
      <c r="C619" s="1" t="s">
        <v>2437</v>
      </c>
      <c r="D619" s="1" t="s">
        <v>51</v>
      </c>
      <c r="E619" s="1" t="s">
        <v>29</v>
      </c>
      <c r="F619" s="5">
        <v>1800000.0</v>
      </c>
      <c r="G619" s="1" t="s">
        <v>1114</v>
      </c>
      <c r="H619" s="4">
        <v>44146.0</v>
      </c>
      <c r="I619" s="1" t="s">
        <v>2438</v>
      </c>
      <c r="K619" s="1">
        <v>0.0</v>
      </c>
      <c r="L619" s="1" t="s">
        <v>238</v>
      </c>
      <c r="M619" s="1" t="str">
        <f>VLOOKUP(L619,'Copy of PMD Workday Constants -'!B588:Y1274,22,false)</f>
        <v>#N/A</v>
      </c>
      <c r="N619" s="1" t="s">
        <v>32</v>
      </c>
      <c r="O619" s="1" t="s">
        <v>33</v>
      </c>
      <c r="P619" s="1" t="s">
        <v>112</v>
      </c>
      <c r="Q619" s="1" t="s">
        <v>112</v>
      </c>
      <c r="R619" s="1" t="s">
        <v>113</v>
      </c>
      <c r="S619" s="1" t="s">
        <v>307</v>
      </c>
      <c r="T619" s="1">
        <v>1.00658519E8</v>
      </c>
      <c r="W619" s="1" t="s">
        <v>250</v>
      </c>
      <c r="X619" s="1" t="s">
        <v>667</v>
      </c>
    </row>
    <row r="620">
      <c r="A620" s="1" t="s">
        <v>2439</v>
      </c>
      <c r="B620" s="1" t="s">
        <v>2440</v>
      </c>
      <c r="C620" s="1" t="s">
        <v>2441</v>
      </c>
      <c r="D620" s="1" t="s">
        <v>79</v>
      </c>
      <c r="E620" s="1" t="s">
        <v>29</v>
      </c>
      <c r="F620" s="5">
        <v>1800000.0</v>
      </c>
      <c r="G620" s="1" t="s">
        <v>1114</v>
      </c>
      <c r="H620" s="1" t="s">
        <v>301</v>
      </c>
      <c r="I620" s="4">
        <v>44780.0</v>
      </c>
      <c r="K620" s="1">
        <v>0.0</v>
      </c>
      <c r="L620" s="1" t="s">
        <v>2442</v>
      </c>
      <c r="M620" s="1" t="str">
        <f>VLOOKUP(L620,'Copy of PMD Workday Constants -'!B589:Y1275,22,false)</f>
        <v>#N/A</v>
      </c>
      <c r="N620" s="1" t="s">
        <v>32</v>
      </c>
      <c r="O620" s="1" t="s">
        <v>33</v>
      </c>
      <c r="P620" s="1" t="s">
        <v>64</v>
      </c>
      <c r="Q620" s="1" t="s">
        <v>64</v>
      </c>
      <c r="R620" s="1" t="s">
        <v>65</v>
      </c>
      <c r="S620" s="1" t="s">
        <v>185</v>
      </c>
      <c r="T620" s="1">
        <v>1.00652454E8</v>
      </c>
      <c r="W620" s="1" t="s">
        <v>2098</v>
      </c>
      <c r="X620" s="1" t="s">
        <v>2443</v>
      </c>
    </row>
    <row r="621">
      <c r="A621" s="1" t="s">
        <v>2444</v>
      </c>
      <c r="B621" s="1" t="s">
        <v>1979</v>
      </c>
      <c r="C621" s="1" t="s">
        <v>2445</v>
      </c>
      <c r="D621" s="1" t="s">
        <v>79</v>
      </c>
      <c r="E621" s="1" t="s">
        <v>29</v>
      </c>
      <c r="F621" s="5">
        <v>1800000.0</v>
      </c>
      <c r="G621" s="1" t="s">
        <v>1114</v>
      </c>
      <c r="H621" s="1" t="s">
        <v>870</v>
      </c>
      <c r="I621" s="1" t="s">
        <v>80</v>
      </c>
      <c r="K621" s="1">
        <v>0.0</v>
      </c>
      <c r="L621" s="1" t="s">
        <v>1981</v>
      </c>
      <c r="M621" s="1" t="str">
        <f>VLOOKUP(L621,'Copy of PMD Workday Constants -'!B590:Y1276,22,false)</f>
        <v>#N/A</v>
      </c>
      <c r="N621" s="1" t="s">
        <v>32</v>
      </c>
      <c r="O621" s="1" t="s">
        <v>33</v>
      </c>
      <c r="P621" s="1" t="s">
        <v>64</v>
      </c>
      <c r="Q621" s="1" t="s">
        <v>64</v>
      </c>
      <c r="R621" s="1" t="s">
        <v>65</v>
      </c>
      <c r="S621" s="1" t="s">
        <v>1336</v>
      </c>
      <c r="T621" s="1">
        <v>1.00638494E8</v>
      </c>
      <c r="W621" s="1" t="s">
        <v>436</v>
      </c>
      <c r="X621" s="1" t="s">
        <v>1981</v>
      </c>
    </row>
    <row r="622">
      <c r="A622" s="1" t="s">
        <v>2446</v>
      </c>
      <c r="B622" s="1" t="s">
        <v>1252</v>
      </c>
      <c r="C622" s="1" t="s">
        <v>2447</v>
      </c>
      <c r="D622" s="1" t="s">
        <v>103</v>
      </c>
      <c r="E622" s="1" t="s">
        <v>29</v>
      </c>
      <c r="F622" s="5">
        <v>1800000.0</v>
      </c>
      <c r="G622" s="1" t="s">
        <v>1114</v>
      </c>
      <c r="H622" s="1" t="s">
        <v>165</v>
      </c>
      <c r="I622" s="1" t="s">
        <v>1470</v>
      </c>
      <c r="K622" s="1">
        <v>0.0</v>
      </c>
      <c r="L622" s="1" t="s">
        <v>678</v>
      </c>
      <c r="M622" s="1" t="str">
        <f>VLOOKUP(L622,'Copy of PMD Workday Constants -'!B591:Y1277,22,false)</f>
        <v>#N/A</v>
      </c>
      <c r="N622" s="1" t="s">
        <v>32</v>
      </c>
      <c r="O622" s="1" t="s">
        <v>33</v>
      </c>
      <c r="P622" s="1" t="s">
        <v>210</v>
      </c>
      <c r="Q622" s="1" t="s">
        <v>210</v>
      </c>
      <c r="R622" s="1" t="s">
        <v>211</v>
      </c>
      <c r="S622" s="1" t="s">
        <v>1385</v>
      </c>
      <c r="T622" s="1">
        <v>1.00609073E8</v>
      </c>
      <c r="W622" s="1" t="s">
        <v>56</v>
      </c>
      <c r="X622" s="1" t="s">
        <v>1255</v>
      </c>
    </row>
    <row r="623">
      <c r="A623" s="1" t="s">
        <v>2448</v>
      </c>
      <c r="B623" s="1" t="s">
        <v>585</v>
      </c>
      <c r="C623" s="1" t="s">
        <v>2449</v>
      </c>
      <c r="D623" s="1" t="s">
        <v>51</v>
      </c>
      <c r="E623" s="1" t="s">
        <v>29</v>
      </c>
      <c r="F623" s="5">
        <v>1800000.0</v>
      </c>
      <c r="G623" s="1" t="s">
        <v>1114</v>
      </c>
      <c r="H623" s="4">
        <v>44327.0</v>
      </c>
      <c r="I623" s="4">
        <v>44903.0</v>
      </c>
      <c r="K623" s="1">
        <v>0.0</v>
      </c>
      <c r="L623" s="1" t="s">
        <v>89</v>
      </c>
      <c r="M623" s="1" t="str">
        <f>VLOOKUP(L623,'Copy of PMD Workday Constants -'!B592:Y1278,22,false)</f>
        <v>#N/A</v>
      </c>
      <c r="N623" s="1" t="s">
        <v>32</v>
      </c>
      <c r="O623" s="1" t="s">
        <v>33</v>
      </c>
      <c r="P623" s="1" t="s">
        <v>34</v>
      </c>
      <c r="Q623" s="1" t="s">
        <v>34</v>
      </c>
      <c r="R623" s="1" t="s">
        <v>35</v>
      </c>
      <c r="S623" s="1" t="s">
        <v>2450</v>
      </c>
      <c r="T623" s="1">
        <v>1.00609569E8</v>
      </c>
      <c r="W623" s="1" t="s">
        <v>91</v>
      </c>
      <c r="X623" s="1" t="s">
        <v>1879</v>
      </c>
    </row>
    <row r="624">
      <c r="A624" s="1" t="s">
        <v>2451</v>
      </c>
      <c r="B624" s="1" t="s">
        <v>324</v>
      </c>
      <c r="C624" s="1" t="s">
        <v>2452</v>
      </c>
      <c r="D624" s="1" t="s">
        <v>28</v>
      </c>
      <c r="E624" s="1" t="s">
        <v>29</v>
      </c>
      <c r="F624" s="5">
        <v>1800000.0</v>
      </c>
      <c r="G624" s="1" t="s">
        <v>1114</v>
      </c>
      <c r="H624" s="4">
        <v>44656.0</v>
      </c>
      <c r="I624" s="1" t="s">
        <v>191</v>
      </c>
      <c r="K624" s="1">
        <v>0.0</v>
      </c>
      <c r="L624" s="1" t="s">
        <v>327</v>
      </c>
      <c r="M624" s="1" t="str">
        <f>VLOOKUP(L624,'Copy of PMD Workday Constants -'!B593:Y1279,22,false)</f>
        <v>#N/A</v>
      </c>
      <c r="N624" s="1" t="s">
        <v>32</v>
      </c>
      <c r="O624" s="1" t="s">
        <v>33</v>
      </c>
      <c r="P624" s="1" t="s">
        <v>112</v>
      </c>
      <c r="Q624" s="1" t="s">
        <v>112</v>
      </c>
      <c r="R624" s="1" t="s">
        <v>113</v>
      </c>
      <c r="T624" s="1">
        <v>1.00646485E8</v>
      </c>
      <c r="W624" s="1" t="s">
        <v>56</v>
      </c>
      <c r="X624" s="1" t="s">
        <v>2453</v>
      </c>
    </row>
    <row r="625">
      <c r="A625" s="1" t="s">
        <v>2454</v>
      </c>
      <c r="B625" s="1" t="s">
        <v>1305</v>
      </c>
      <c r="C625" s="1" t="s">
        <v>2455</v>
      </c>
      <c r="D625" s="1" t="s">
        <v>79</v>
      </c>
      <c r="E625" s="1" t="s">
        <v>29</v>
      </c>
      <c r="F625" s="5">
        <v>1795000.0</v>
      </c>
      <c r="G625" s="1" t="s">
        <v>1114</v>
      </c>
      <c r="H625" s="4">
        <v>44654.0</v>
      </c>
      <c r="I625" s="1" t="s">
        <v>80</v>
      </c>
      <c r="K625" s="1">
        <v>0.0</v>
      </c>
      <c r="L625" s="1" t="s">
        <v>1747</v>
      </c>
      <c r="M625" s="1" t="str">
        <f>VLOOKUP(L625,'Copy of PMD Workday Constants -'!B594:Y1280,22,false)</f>
        <v>#N/A</v>
      </c>
      <c r="N625" s="1" t="s">
        <v>32</v>
      </c>
      <c r="O625" s="1" t="s">
        <v>33</v>
      </c>
      <c r="P625" s="1" t="s">
        <v>173</v>
      </c>
      <c r="Q625" s="1" t="s">
        <v>173</v>
      </c>
      <c r="R625" s="1" t="s">
        <v>174</v>
      </c>
      <c r="S625" s="1" t="s">
        <v>153</v>
      </c>
      <c r="T625" s="1">
        <v>1.00639495E8</v>
      </c>
      <c r="W625" s="1" t="s">
        <v>456</v>
      </c>
      <c r="X625" s="1" t="s">
        <v>2456</v>
      </c>
    </row>
    <row r="626">
      <c r="A626" s="1" t="s">
        <v>2457</v>
      </c>
      <c r="B626" s="1" t="s">
        <v>756</v>
      </c>
      <c r="C626" s="1" t="s">
        <v>2458</v>
      </c>
      <c r="D626" s="1" t="s">
        <v>103</v>
      </c>
      <c r="E626" s="1" t="s">
        <v>29</v>
      </c>
      <c r="F626" s="5">
        <v>1781281.0</v>
      </c>
      <c r="G626" s="1" t="s">
        <v>1114</v>
      </c>
      <c r="H626" s="4">
        <v>44567.0</v>
      </c>
      <c r="I626" s="1" t="s">
        <v>104</v>
      </c>
      <c r="K626" s="1">
        <v>0.0</v>
      </c>
      <c r="L626" s="1" t="s">
        <v>570</v>
      </c>
      <c r="M626" s="1" t="str">
        <f>VLOOKUP(L626,'Copy of PMD Workday Constants -'!B595:Y1281,22,false)</f>
        <v>#N/A</v>
      </c>
      <c r="N626" s="1" t="s">
        <v>32</v>
      </c>
      <c r="O626" s="1" t="s">
        <v>33</v>
      </c>
      <c r="P626" s="1" t="s">
        <v>112</v>
      </c>
      <c r="Q626" s="1" t="s">
        <v>112</v>
      </c>
      <c r="R626" s="1" t="s">
        <v>113</v>
      </c>
      <c r="S626" s="1" t="s">
        <v>134</v>
      </c>
      <c r="T626" s="1">
        <v>1.00625415E8</v>
      </c>
      <c r="W626" s="1" t="s">
        <v>74</v>
      </c>
      <c r="X626" s="1" t="s">
        <v>2459</v>
      </c>
    </row>
    <row r="627">
      <c r="A627" s="1" t="s">
        <v>2460</v>
      </c>
      <c r="B627" s="1" t="s">
        <v>2461</v>
      </c>
      <c r="C627" s="1" t="s">
        <v>2462</v>
      </c>
      <c r="D627" s="1" t="s">
        <v>28</v>
      </c>
      <c r="E627" s="1" t="s">
        <v>29</v>
      </c>
      <c r="F627" s="5">
        <v>1750000.0</v>
      </c>
      <c r="G627" s="1" t="s">
        <v>1114</v>
      </c>
      <c r="H627" s="1" t="s">
        <v>2463</v>
      </c>
      <c r="I627" s="1" t="s">
        <v>1528</v>
      </c>
      <c r="K627" s="1">
        <v>0.0</v>
      </c>
      <c r="L627" s="1" t="s">
        <v>1770</v>
      </c>
      <c r="M627" s="1" t="str">
        <f>VLOOKUP(L627,'Copy of PMD Workday Constants -'!B596:Y1282,22,false)</f>
        <v>#N/A</v>
      </c>
      <c r="N627" s="1" t="s">
        <v>32</v>
      </c>
      <c r="O627" s="1" t="s">
        <v>33</v>
      </c>
      <c r="P627" s="1" t="s">
        <v>210</v>
      </c>
      <c r="Q627" s="1" t="s">
        <v>210</v>
      </c>
      <c r="R627" s="1" t="s">
        <v>211</v>
      </c>
      <c r="S627" s="1" t="s">
        <v>1313</v>
      </c>
      <c r="T627" s="1">
        <v>1.00593918E8</v>
      </c>
      <c r="W627" s="1" t="s">
        <v>436</v>
      </c>
      <c r="X627" s="1" t="s">
        <v>1771</v>
      </c>
    </row>
    <row r="628">
      <c r="A628" s="1" t="s">
        <v>2464</v>
      </c>
      <c r="B628" s="1" t="s">
        <v>2152</v>
      </c>
      <c r="C628" s="1" t="s">
        <v>2465</v>
      </c>
      <c r="D628" s="1" t="s">
        <v>51</v>
      </c>
      <c r="E628" s="1" t="s">
        <v>29</v>
      </c>
      <c r="F628" s="5">
        <v>1750000.0</v>
      </c>
      <c r="G628" s="1" t="s">
        <v>1114</v>
      </c>
      <c r="H628" s="1" t="s">
        <v>644</v>
      </c>
      <c r="I628" s="1" t="s">
        <v>96</v>
      </c>
      <c r="K628" s="1">
        <v>0.0</v>
      </c>
      <c r="L628" s="1" t="s">
        <v>2154</v>
      </c>
      <c r="M628" s="1" t="str">
        <f>VLOOKUP(L628,'Copy of PMD Workday Constants -'!B597:Y1283,22,false)</f>
        <v>#N/A</v>
      </c>
      <c r="N628" s="1" t="s">
        <v>32</v>
      </c>
      <c r="O628" s="1" t="s">
        <v>33</v>
      </c>
      <c r="P628" s="1" t="s">
        <v>173</v>
      </c>
      <c r="Q628" s="1" t="s">
        <v>173</v>
      </c>
      <c r="R628" s="1" t="s">
        <v>174</v>
      </c>
      <c r="S628" s="1" t="s">
        <v>612</v>
      </c>
      <c r="T628" s="1">
        <v>1.00639477E8</v>
      </c>
      <c r="W628" s="1" t="s">
        <v>456</v>
      </c>
      <c r="X628" s="1" t="s">
        <v>2155</v>
      </c>
    </row>
    <row r="629">
      <c r="A629" s="1" t="s">
        <v>2466</v>
      </c>
      <c r="B629" s="1" t="s">
        <v>403</v>
      </c>
      <c r="C629" s="1" t="s">
        <v>2467</v>
      </c>
      <c r="D629" s="1" t="s">
        <v>103</v>
      </c>
      <c r="E629" s="1" t="s">
        <v>29</v>
      </c>
      <c r="F629" s="5">
        <v>1750000.0</v>
      </c>
      <c r="G629" s="1" t="s">
        <v>1114</v>
      </c>
      <c r="H629" s="4">
        <v>44837.0</v>
      </c>
      <c r="I629" s="1" t="s">
        <v>2468</v>
      </c>
      <c r="K629" s="1">
        <v>0.0</v>
      </c>
      <c r="L629" s="1" t="s">
        <v>407</v>
      </c>
      <c r="M629" s="1" t="str">
        <f>VLOOKUP(L629,'Copy of PMD Workday Constants -'!B598:Y1284,22,false)</f>
        <v>#N/A</v>
      </c>
      <c r="N629" s="1" t="s">
        <v>32</v>
      </c>
      <c r="O629" s="1" t="s">
        <v>33</v>
      </c>
      <c r="P629" s="1" t="s">
        <v>34</v>
      </c>
      <c r="Q629" s="1" t="s">
        <v>34</v>
      </c>
      <c r="R629" s="1" t="s">
        <v>35</v>
      </c>
      <c r="S629" s="1" t="s">
        <v>36</v>
      </c>
      <c r="T629" s="1">
        <v>1.0064407E8</v>
      </c>
      <c r="W629" s="1" t="s">
        <v>37</v>
      </c>
      <c r="X629" s="1" t="s">
        <v>2469</v>
      </c>
    </row>
    <row r="630">
      <c r="A630" s="1" t="s">
        <v>2470</v>
      </c>
      <c r="B630" s="1" t="s">
        <v>129</v>
      </c>
      <c r="C630" s="1" t="s">
        <v>2471</v>
      </c>
      <c r="D630" s="1" t="s">
        <v>28</v>
      </c>
      <c r="E630" s="1" t="s">
        <v>29</v>
      </c>
      <c r="F630" s="5">
        <v>1750000.0</v>
      </c>
      <c r="G630" s="1" t="s">
        <v>1114</v>
      </c>
      <c r="H630" s="4">
        <v>44565.0</v>
      </c>
      <c r="I630" s="1" t="s">
        <v>96</v>
      </c>
      <c r="K630" s="1">
        <v>0.0</v>
      </c>
      <c r="L630" s="1" t="s">
        <v>2472</v>
      </c>
      <c r="M630" s="1" t="str">
        <f>VLOOKUP(L630,'Copy of PMD Workday Constants -'!B599:Y1285,22,false)</f>
        <v>#N/A</v>
      </c>
      <c r="N630" s="1" t="s">
        <v>32</v>
      </c>
      <c r="O630" s="1" t="s">
        <v>33</v>
      </c>
      <c r="P630" s="1" t="s">
        <v>222</v>
      </c>
      <c r="Q630" s="1" t="s">
        <v>222</v>
      </c>
      <c r="R630" s="1" t="s">
        <v>223</v>
      </c>
      <c r="S630" s="1" t="s">
        <v>646</v>
      </c>
      <c r="T630" s="1">
        <v>1.00892076E8</v>
      </c>
      <c r="U630" s="1" t="s">
        <v>2473</v>
      </c>
      <c r="V630" s="1" t="s">
        <v>187</v>
      </c>
      <c r="W630" s="1" t="s">
        <v>74</v>
      </c>
      <c r="X630" s="1" t="s">
        <v>2474</v>
      </c>
    </row>
    <row r="631">
      <c r="A631" s="1" t="s">
        <v>2475</v>
      </c>
      <c r="B631" s="1" t="s">
        <v>1373</v>
      </c>
      <c r="C631" s="1" t="s">
        <v>2476</v>
      </c>
      <c r="D631" s="1" t="s">
        <v>28</v>
      </c>
      <c r="E631" s="1" t="s">
        <v>29</v>
      </c>
      <c r="F631" s="5">
        <v>1750000.0</v>
      </c>
      <c r="G631" s="1" t="s">
        <v>1114</v>
      </c>
      <c r="H631" s="4">
        <v>44208.0</v>
      </c>
      <c r="I631" s="4">
        <v>44780.0</v>
      </c>
      <c r="K631" s="1">
        <v>0.0</v>
      </c>
      <c r="L631" s="1" t="s">
        <v>2477</v>
      </c>
      <c r="M631" s="1" t="str">
        <f>VLOOKUP(L631,'Copy of PMD Workday Constants -'!B600:Y1286,22,false)</f>
        <v>#N/A</v>
      </c>
      <c r="N631" s="1" t="s">
        <v>32</v>
      </c>
      <c r="O631" s="1" t="s">
        <v>33</v>
      </c>
      <c r="P631" s="1" t="s">
        <v>112</v>
      </c>
      <c r="Q631" s="1" t="s">
        <v>112</v>
      </c>
      <c r="R631" s="1" t="s">
        <v>113</v>
      </c>
      <c r="S631" s="1" t="s">
        <v>134</v>
      </c>
      <c r="T631" s="1">
        <v>1.00660092E8</v>
      </c>
      <c r="W631" s="1" t="s">
        <v>74</v>
      </c>
      <c r="X631" s="1" t="s">
        <v>2478</v>
      </c>
    </row>
    <row r="632">
      <c r="A632" s="1" t="s">
        <v>2479</v>
      </c>
      <c r="B632" s="1" t="s">
        <v>1184</v>
      </c>
      <c r="C632" s="1" t="s">
        <v>2480</v>
      </c>
      <c r="D632" s="1" t="s">
        <v>103</v>
      </c>
      <c r="E632" s="1" t="s">
        <v>29</v>
      </c>
      <c r="F632" s="5">
        <v>1750000.0</v>
      </c>
      <c r="G632" s="1" t="s">
        <v>1114</v>
      </c>
      <c r="H632" s="4">
        <v>44900.0</v>
      </c>
      <c r="I632" s="1" t="s">
        <v>80</v>
      </c>
      <c r="K632" s="1">
        <v>0.0</v>
      </c>
      <c r="L632" s="1" t="s">
        <v>2481</v>
      </c>
      <c r="M632" s="1" t="str">
        <f>VLOOKUP(L632,'Copy of PMD Workday Constants -'!B601:Y1287,22,false)</f>
        <v>#N/A</v>
      </c>
      <c r="N632" s="1" t="s">
        <v>32</v>
      </c>
      <c r="O632" s="1" t="s">
        <v>33</v>
      </c>
      <c r="P632" s="1" t="s">
        <v>210</v>
      </c>
      <c r="Q632" s="1" t="s">
        <v>210</v>
      </c>
      <c r="R632" s="1" t="s">
        <v>211</v>
      </c>
      <c r="S632" s="1" t="s">
        <v>120</v>
      </c>
      <c r="T632" s="1">
        <v>1.00660029E8</v>
      </c>
      <c r="W632" s="1" t="s">
        <v>56</v>
      </c>
      <c r="X632" s="1" t="s">
        <v>2481</v>
      </c>
    </row>
    <row r="633">
      <c r="A633" s="1" t="s">
        <v>2482</v>
      </c>
      <c r="B633" s="1" t="s">
        <v>324</v>
      </c>
      <c r="C633" s="1" t="s">
        <v>2483</v>
      </c>
      <c r="D633" s="1" t="s">
        <v>103</v>
      </c>
      <c r="E633" s="1" t="s">
        <v>29</v>
      </c>
      <c r="F633" s="5">
        <v>1730014.0</v>
      </c>
      <c r="G633" s="1" t="s">
        <v>1114</v>
      </c>
      <c r="H633" s="1" t="s">
        <v>2484</v>
      </c>
      <c r="I633" s="1" t="s">
        <v>2485</v>
      </c>
      <c r="K633" s="1">
        <v>0.0</v>
      </c>
      <c r="L633" s="1" t="s">
        <v>2486</v>
      </c>
      <c r="M633" s="1" t="str">
        <f>VLOOKUP(L633,'Copy of PMD Workday Constants -'!B602:Y1288,22,false)</f>
        <v>#N/A</v>
      </c>
      <c r="N633" s="1" t="s">
        <v>32</v>
      </c>
      <c r="O633" s="1" t="s">
        <v>33</v>
      </c>
      <c r="P633" s="1" t="s">
        <v>222</v>
      </c>
      <c r="Q633" s="1" t="s">
        <v>222</v>
      </c>
      <c r="R633" s="1" t="s">
        <v>223</v>
      </c>
      <c r="S633" s="1" t="s">
        <v>601</v>
      </c>
      <c r="T633" s="1">
        <v>1.01051394E8</v>
      </c>
      <c r="W633" s="1" t="s">
        <v>56</v>
      </c>
      <c r="X633" s="1" t="s">
        <v>2487</v>
      </c>
    </row>
    <row r="634">
      <c r="A634" s="1" t="s">
        <v>2488</v>
      </c>
      <c r="B634" s="1" t="s">
        <v>348</v>
      </c>
      <c r="C634" s="1" t="s">
        <v>2489</v>
      </c>
      <c r="D634" s="1" t="s">
        <v>79</v>
      </c>
      <c r="E634" s="1" t="s">
        <v>29</v>
      </c>
      <c r="F634" s="5">
        <v>1730000.0</v>
      </c>
      <c r="G634" s="1" t="s">
        <v>1114</v>
      </c>
      <c r="H634" s="4">
        <v>44258.0</v>
      </c>
      <c r="I634" s="4">
        <v>44933.0</v>
      </c>
      <c r="K634" s="1">
        <v>0.0</v>
      </c>
      <c r="L634" s="1" t="s">
        <v>350</v>
      </c>
      <c r="M634" s="1" t="str">
        <f>VLOOKUP(L634,'Copy of PMD Workday Constants -'!B603:Y1289,22,false)</f>
        <v>#N/A</v>
      </c>
      <c r="N634" s="1" t="s">
        <v>32</v>
      </c>
      <c r="O634" s="1" t="s">
        <v>33</v>
      </c>
      <c r="P634" s="1" t="s">
        <v>82</v>
      </c>
      <c r="Q634" s="1" t="s">
        <v>82</v>
      </c>
      <c r="R634" s="1" t="s">
        <v>83</v>
      </c>
      <c r="S634" s="1" t="s">
        <v>180</v>
      </c>
      <c r="T634" s="1">
        <v>1.00582847E8</v>
      </c>
      <c r="U634" s="1" t="s">
        <v>2490</v>
      </c>
      <c r="V634" s="1" t="s">
        <v>346</v>
      </c>
      <c r="W634" s="1" t="s">
        <v>85</v>
      </c>
      <c r="X634" s="1" t="s">
        <v>350</v>
      </c>
    </row>
    <row r="635">
      <c r="A635" s="1" t="s">
        <v>2491</v>
      </c>
      <c r="B635" s="1" t="s">
        <v>756</v>
      </c>
      <c r="C635" s="1" t="s">
        <v>2492</v>
      </c>
      <c r="D635" s="1" t="s">
        <v>79</v>
      </c>
      <c r="E635" s="1" t="s">
        <v>29</v>
      </c>
      <c r="F635" s="5">
        <v>1729684.0</v>
      </c>
      <c r="G635" s="1" t="s">
        <v>1114</v>
      </c>
      <c r="H635" s="4">
        <v>44896.0</v>
      </c>
      <c r="I635" s="1" t="s">
        <v>104</v>
      </c>
      <c r="K635" s="1">
        <v>0.0</v>
      </c>
      <c r="L635" s="1" t="s">
        <v>1344</v>
      </c>
      <c r="M635" s="1" t="str">
        <f>VLOOKUP(L635,'Copy of PMD Workday Constants -'!B604:Y1290,22,false)</f>
        <v>#N/A</v>
      </c>
      <c r="N635" s="1" t="s">
        <v>32</v>
      </c>
      <c r="O635" s="1" t="s">
        <v>33</v>
      </c>
      <c r="P635" s="1" t="s">
        <v>112</v>
      </c>
      <c r="Q635" s="1" t="s">
        <v>112</v>
      </c>
      <c r="R635" s="1" t="s">
        <v>113</v>
      </c>
      <c r="S635" s="1" t="s">
        <v>134</v>
      </c>
      <c r="T635" s="1">
        <v>1.0061941E8</v>
      </c>
      <c r="U635" s="1" t="s">
        <v>2493</v>
      </c>
      <c r="V635" s="1" t="s">
        <v>187</v>
      </c>
      <c r="W635" s="1" t="s">
        <v>74</v>
      </c>
      <c r="X635" s="1" t="s">
        <v>1344</v>
      </c>
    </row>
    <row r="636">
      <c r="A636" s="1" t="s">
        <v>2494</v>
      </c>
      <c r="B636" s="1" t="s">
        <v>2495</v>
      </c>
      <c r="C636" s="1" t="s">
        <v>2496</v>
      </c>
      <c r="D636" s="1" t="s">
        <v>51</v>
      </c>
      <c r="E636" s="1" t="s">
        <v>29</v>
      </c>
      <c r="F636" s="5">
        <v>1725000.0</v>
      </c>
      <c r="G636" s="1" t="s">
        <v>1114</v>
      </c>
      <c r="H636" s="4">
        <v>44716.0</v>
      </c>
      <c r="I636" s="1" t="s">
        <v>104</v>
      </c>
      <c r="K636" s="1">
        <v>0.0</v>
      </c>
      <c r="L636" s="1" t="s">
        <v>198</v>
      </c>
      <c r="M636" s="1" t="str">
        <f>VLOOKUP(L636,'Copy of PMD Workday Constants -'!B605:Y1291,22,false)</f>
        <v>#N/A</v>
      </c>
      <c r="N636" s="1" t="s">
        <v>32</v>
      </c>
      <c r="O636" s="1" t="s">
        <v>33</v>
      </c>
      <c r="P636" s="1" t="s">
        <v>82</v>
      </c>
      <c r="Q636" s="1" t="s">
        <v>82</v>
      </c>
      <c r="R636" s="1" t="s">
        <v>83</v>
      </c>
      <c r="S636" s="1" t="s">
        <v>180</v>
      </c>
      <c r="T636" s="1">
        <v>1.00590896E8</v>
      </c>
      <c r="W636" s="1" t="s">
        <v>85</v>
      </c>
      <c r="X636" s="1" t="s">
        <v>2497</v>
      </c>
    </row>
    <row r="637">
      <c r="A637" s="1" t="s">
        <v>2498</v>
      </c>
      <c r="B637" s="1" t="s">
        <v>2108</v>
      </c>
      <c r="C637" s="1" t="s">
        <v>2499</v>
      </c>
      <c r="D637" s="1" t="s">
        <v>103</v>
      </c>
      <c r="E637" s="1" t="s">
        <v>29</v>
      </c>
      <c r="F637" s="5">
        <v>1700000.0</v>
      </c>
      <c r="G637" s="1" t="s">
        <v>1114</v>
      </c>
      <c r="H637" s="4">
        <v>44869.0</v>
      </c>
      <c r="I637" s="1" t="s">
        <v>104</v>
      </c>
      <c r="K637" s="1">
        <v>0.0</v>
      </c>
      <c r="L637" s="1" t="s">
        <v>2500</v>
      </c>
      <c r="M637" s="1" t="str">
        <f>VLOOKUP(L637,'Copy of PMD Workday Constants -'!B606:Y1292,22,false)</f>
        <v>#N/A</v>
      </c>
      <c r="N637" s="1" t="s">
        <v>32</v>
      </c>
      <c r="O637" s="1" t="s">
        <v>33</v>
      </c>
      <c r="P637" s="1" t="s">
        <v>54</v>
      </c>
      <c r="Q637" s="1" t="s">
        <v>54</v>
      </c>
      <c r="R637" s="1" t="s">
        <v>55</v>
      </c>
      <c r="S637" s="1" t="s">
        <v>512</v>
      </c>
      <c r="T637" s="1">
        <v>1.00632514E8</v>
      </c>
      <c r="W637" s="1" t="s">
        <v>456</v>
      </c>
      <c r="X637" s="1" t="s">
        <v>2500</v>
      </c>
    </row>
    <row r="638">
      <c r="A638" s="1" t="s">
        <v>2501</v>
      </c>
      <c r="B638" s="1" t="s">
        <v>2394</v>
      </c>
      <c r="C638" s="1" t="s">
        <v>2502</v>
      </c>
      <c r="D638" s="1" t="s">
        <v>28</v>
      </c>
      <c r="E638" s="1" t="s">
        <v>29</v>
      </c>
      <c r="F638" s="5">
        <v>1700000.0</v>
      </c>
      <c r="G638" s="1" t="s">
        <v>1114</v>
      </c>
      <c r="H638" s="4">
        <v>44146.0</v>
      </c>
      <c r="I638" s="1" t="s">
        <v>2438</v>
      </c>
      <c r="K638" s="1">
        <v>0.0</v>
      </c>
      <c r="L638" s="1" t="s">
        <v>238</v>
      </c>
      <c r="M638" s="1" t="str">
        <f>VLOOKUP(L638,'Copy of PMD Workday Constants -'!B607:Y1293,22,false)</f>
        <v>#N/A</v>
      </c>
      <c r="N638" s="1" t="s">
        <v>32</v>
      </c>
      <c r="O638" s="1" t="s">
        <v>33</v>
      </c>
      <c r="P638" s="1" t="s">
        <v>112</v>
      </c>
      <c r="Q638" s="1" t="s">
        <v>112</v>
      </c>
      <c r="R638" s="1" t="s">
        <v>113</v>
      </c>
      <c r="S638" s="1" t="s">
        <v>307</v>
      </c>
      <c r="T638" s="1">
        <v>1.00658519E8</v>
      </c>
      <c r="W638" s="1" t="s">
        <v>250</v>
      </c>
      <c r="X638" s="1" t="s">
        <v>667</v>
      </c>
    </row>
    <row r="639">
      <c r="A639" s="1" t="s">
        <v>2503</v>
      </c>
      <c r="B639" s="1" t="s">
        <v>2504</v>
      </c>
      <c r="C639" s="1" t="s">
        <v>2505</v>
      </c>
      <c r="D639" s="1" t="s">
        <v>103</v>
      </c>
      <c r="E639" s="1" t="s">
        <v>29</v>
      </c>
      <c r="F639" s="5">
        <v>1700000.0</v>
      </c>
      <c r="G639" s="1" t="s">
        <v>1114</v>
      </c>
      <c r="H639" s="1" t="s">
        <v>2506</v>
      </c>
      <c r="I639" s="1" t="s">
        <v>80</v>
      </c>
      <c r="K639" s="1">
        <v>0.0</v>
      </c>
      <c r="L639" s="1" t="s">
        <v>2507</v>
      </c>
      <c r="M639" s="1" t="str">
        <f>VLOOKUP(L639,'Copy of PMD Workday Constants -'!B608:Y1294,22,false)</f>
        <v>#N/A</v>
      </c>
      <c r="N639" s="1" t="s">
        <v>32</v>
      </c>
      <c r="O639" s="1" t="s">
        <v>33</v>
      </c>
      <c r="P639" s="1" t="s">
        <v>222</v>
      </c>
      <c r="Q639" s="1" t="s">
        <v>222</v>
      </c>
      <c r="R639" s="1" t="s">
        <v>223</v>
      </c>
      <c r="S639" s="1" t="s">
        <v>482</v>
      </c>
      <c r="T639" s="1">
        <v>1.00659458E8</v>
      </c>
      <c r="W639" s="1" t="s">
        <v>258</v>
      </c>
      <c r="X639" s="1" t="s">
        <v>2507</v>
      </c>
    </row>
    <row r="640">
      <c r="A640" s="1" t="s">
        <v>2508</v>
      </c>
      <c r="B640" s="1" t="s">
        <v>1132</v>
      </c>
      <c r="C640" s="1" t="s">
        <v>2509</v>
      </c>
      <c r="D640" s="1" t="s">
        <v>103</v>
      </c>
      <c r="E640" s="1" t="s">
        <v>29</v>
      </c>
      <c r="F640" s="5">
        <v>1700000.0</v>
      </c>
      <c r="G640" s="1" t="s">
        <v>1114</v>
      </c>
      <c r="H640" s="1" t="s">
        <v>2510</v>
      </c>
      <c r="I640" s="1" t="s">
        <v>96</v>
      </c>
      <c r="K640" s="1">
        <v>0.0</v>
      </c>
      <c r="L640" s="1" t="s">
        <v>2122</v>
      </c>
      <c r="M640" s="1" t="str">
        <f>VLOOKUP(L640,'Copy of PMD Workday Constants -'!B609:Y1295,22,false)</f>
        <v>#N/A</v>
      </c>
      <c r="N640" s="1" t="s">
        <v>32</v>
      </c>
      <c r="O640" s="1" t="s">
        <v>33</v>
      </c>
      <c r="P640" s="1" t="s">
        <v>54</v>
      </c>
      <c r="Q640" s="1" t="s">
        <v>54</v>
      </c>
      <c r="R640" s="1" t="s">
        <v>55</v>
      </c>
      <c r="T640" s="1">
        <v>1.00645538E8</v>
      </c>
      <c r="W640" s="1" t="s">
        <v>56</v>
      </c>
      <c r="X640" s="1" t="s">
        <v>2511</v>
      </c>
    </row>
    <row r="641">
      <c r="A641" s="1" t="s">
        <v>2512</v>
      </c>
      <c r="B641" s="1" t="s">
        <v>2513</v>
      </c>
      <c r="C641" s="1" t="s">
        <v>2514</v>
      </c>
      <c r="D641" s="1" t="s">
        <v>51</v>
      </c>
      <c r="E641" s="1" t="s">
        <v>29</v>
      </c>
      <c r="F641" s="5">
        <v>1700000.0</v>
      </c>
      <c r="G641" s="1" t="s">
        <v>1114</v>
      </c>
      <c r="H641" s="1" t="s">
        <v>2515</v>
      </c>
      <c r="I641" s="1" t="s">
        <v>302</v>
      </c>
      <c r="K641" s="1">
        <v>0.0</v>
      </c>
      <c r="L641" s="1" t="s">
        <v>2516</v>
      </c>
      <c r="M641" s="1" t="str">
        <f>VLOOKUP(L641,'Copy of PMD Workday Constants -'!B610:Y1296,22,false)</f>
        <v>#N/A</v>
      </c>
      <c r="N641" s="1" t="s">
        <v>32</v>
      </c>
      <c r="O641" s="1" t="s">
        <v>33</v>
      </c>
      <c r="P641" s="1" t="s">
        <v>173</v>
      </c>
      <c r="Q641" s="1" t="s">
        <v>173</v>
      </c>
      <c r="R641" s="1" t="s">
        <v>174</v>
      </c>
      <c r="S641" s="1" t="s">
        <v>1385</v>
      </c>
      <c r="T641" s="1">
        <v>1.00690774E8</v>
      </c>
      <c r="W641" s="1" t="s">
        <v>56</v>
      </c>
      <c r="X641" s="1" t="s">
        <v>2516</v>
      </c>
    </row>
    <row r="642">
      <c r="A642" s="1" t="s">
        <v>2517</v>
      </c>
      <c r="B642" s="1" t="s">
        <v>1163</v>
      </c>
      <c r="C642" s="1" t="s">
        <v>2518</v>
      </c>
      <c r="D642" s="1" t="s">
        <v>51</v>
      </c>
      <c r="E642" s="1" t="s">
        <v>29</v>
      </c>
      <c r="F642" s="5">
        <v>1700000.0</v>
      </c>
      <c r="G642" s="1" t="s">
        <v>1114</v>
      </c>
      <c r="H642" s="4">
        <v>44414.0</v>
      </c>
      <c r="I642" s="1" t="s">
        <v>80</v>
      </c>
      <c r="K642" s="1">
        <v>0.0</v>
      </c>
      <c r="L642" s="1" t="s">
        <v>588</v>
      </c>
      <c r="M642" s="1" t="str">
        <f>VLOOKUP(L642,'Copy of PMD Workday Constants -'!B611:Y1297,22,false)</f>
        <v>#N/A</v>
      </c>
      <c r="N642" s="1" t="s">
        <v>32</v>
      </c>
      <c r="O642" s="1" t="s">
        <v>33</v>
      </c>
      <c r="P642" s="1" t="s">
        <v>34</v>
      </c>
      <c r="Q642" s="1" t="s">
        <v>34</v>
      </c>
      <c r="R642" s="1" t="s">
        <v>35</v>
      </c>
      <c r="T642" s="1">
        <v>1.00609607E8</v>
      </c>
      <c r="W642" s="1" t="s">
        <v>147</v>
      </c>
      <c r="X642" s="1" t="s">
        <v>2519</v>
      </c>
    </row>
    <row r="643">
      <c r="A643" s="1" t="s">
        <v>2520</v>
      </c>
      <c r="B643" s="1" t="s">
        <v>70</v>
      </c>
      <c r="C643" s="1" t="s">
        <v>2521</v>
      </c>
      <c r="D643" s="1" t="s">
        <v>28</v>
      </c>
      <c r="E643" s="1" t="s">
        <v>29</v>
      </c>
      <c r="F643" s="1">
        <v>1650000.0</v>
      </c>
      <c r="G643" s="1" t="s">
        <v>1114</v>
      </c>
      <c r="H643" s="1" t="s">
        <v>2463</v>
      </c>
      <c r="I643" s="4">
        <v>44630.0</v>
      </c>
      <c r="K643" s="1">
        <v>0.0</v>
      </c>
      <c r="L643" s="1" t="s">
        <v>2522</v>
      </c>
      <c r="M643" s="1" t="str">
        <f>VLOOKUP(L643,'Copy of PMD Workday Constants -'!B642:W1328,22,false)</f>
        <v>Delivery</v>
      </c>
      <c r="N643" s="1" t="s">
        <v>32</v>
      </c>
      <c r="O643" s="1" t="s">
        <v>33</v>
      </c>
      <c r="P643" s="1" t="s">
        <v>173</v>
      </c>
      <c r="Q643" s="1" t="s">
        <v>173</v>
      </c>
      <c r="R643" s="1" t="s">
        <v>174</v>
      </c>
      <c r="S643" s="1" t="s">
        <v>612</v>
      </c>
      <c r="T643" s="1">
        <v>1.00590772E8</v>
      </c>
      <c r="W643" s="1" t="s">
        <v>74</v>
      </c>
      <c r="X643" s="1" t="s">
        <v>75</v>
      </c>
    </row>
    <row r="644">
      <c r="A644" s="1" t="s">
        <v>2523</v>
      </c>
      <c r="B644" s="1" t="s">
        <v>2461</v>
      </c>
      <c r="C644" s="1" t="s">
        <v>2524</v>
      </c>
      <c r="D644" s="1" t="s">
        <v>28</v>
      </c>
      <c r="E644" s="1" t="s">
        <v>29</v>
      </c>
      <c r="F644" s="5">
        <v>1626500.0</v>
      </c>
      <c r="G644" s="1" t="s">
        <v>1114</v>
      </c>
      <c r="H644" s="1" t="s">
        <v>537</v>
      </c>
      <c r="I644" s="1" t="s">
        <v>810</v>
      </c>
      <c r="K644" s="1">
        <v>0.0</v>
      </c>
      <c r="L644" s="1" t="s">
        <v>1770</v>
      </c>
      <c r="M644" s="1" t="str">
        <f>VLOOKUP(L644,'Copy of PMD Workday Constants -'!B613:Y1299,22,false)</f>
        <v>#N/A</v>
      </c>
      <c r="N644" s="1" t="s">
        <v>32</v>
      </c>
      <c r="O644" s="1" t="s">
        <v>33</v>
      </c>
      <c r="P644" s="1" t="s">
        <v>210</v>
      </c>
      <c r="Q644" s="1" t="s">
        <v>210</v>
      </c>
      <c r="R644" s="1" t="s">
        <v>211</v>
      </c>
      <c r="S644" s="1" t="s">
        <v>1313</v>
      </c>
      <c r="T644" s="1">
        <v>1.00593918E8</v>
      </c>
      <c r="W644" s="1" t="s">
        <v>436</v>
      </c>
      <c r="X644" s="1" t="s">
        <v>2525</v>
      </c>
    </row>
    <row r="645">
      <c r="A645" s="1" t="s">
        <v>2526</v>
      </c>
      <c r="B645" s="1" t="s">
        <v>507</v>
      </c>
      <c r="C645" s="1" t="s">
        <v>2527</v>
      </c>
      <c r="D645" s="1" t="s">
        <v>51</v>
      </c>
      <c r="E645" s="1" t="s">
        <v>29</v>
      </c>
      <c r="F645" s="5">
        <v>1616515.0</v>
      </c>
      <c r="G645" s="1" t="s">
        <v>1114</v>
      </c>
      <c r="H645" s="4">
        <v>44839.0</v>
      </c>
      <c r="I645" s="1" t="s">
        <v>96</v>
      </c>
      <c r="K645" s="1">
        <v>0.0</v>
      </c>
      <c r="L645" s="1" t="s">
        <v>511</v>
      </c>
      <c r="M645" s="1" t="str">
        <f>VLOOKUP(L645,'Copy of PMD Workday Constants -'!B614:Y1300,22,false)</f>
        <v>#N/A</v>
      </c>
      <c r="N645" s="1" t="s">
        <v>32</v>
      </c>
      <c r="O645" s="1" t="s">
        <v>33</v>
      </c>
      <c r="P645" s="1" t="s">
        <v>54</v>
      </c>
      <c r="Q645" s="1" t="s">
        <v>54</v>
      </c>
      <c r="R645" s="1" t="s">
        <v>55</v>
      </c>
      <c r="S645" s="1" t="s">
        <v>512</v>
      </c>
      <c r="T645" s="1">
        <v>1.00620711E8</v>
      </c>
      <c r="W645" s="1" t="s">
        <v>456</v>
      </c>
      <c r="X645" s="1" t="s">
        <v>513</v>
      </c>
    </row>
    <row r="646">
      <c r="A646" s="1" t="s">
        <v>2528</v>
      </c>
      <c r="B646" s="1" t="s">
        <v>1305</v>
      </c>
      <c r="C646" s="1" t="s">
        <v>2529</v>
      </c>
      <c r="D646" s="1" t="s">
        <v>103</v>
      </c>
      <c r="E646" s="1" t="s">
        <v>29</v>
      </c>
      <c r="F646" s="1">
        <v>1615000.0</v>
      </c>
      <c r="G646" s="1" t="s">
        <v>1114</v>
      </c>
      <c r="H646" s="1" t="s">
        <v>301</v>
      </c>
      <c r="I646" s="4">
        <v>44780.0</v>
      </c>
      <c r="K646" s="1">
        <v>0.0</v>
      </c>
      <c r="L646" s="1" t="s">
        <v>1308</v>
      </c>
      <c r="M646" s="1" t="str">
        <f>VLOOKUP(L646,'Copy of PMD Workday Constants -'!B645:W1331,22,false)</f>
        <v>Delivery</v>
      </c>
      <c r="N646" s="1" t="s">
        <v>32</v>
      </c>
      <c r="O646" s="1" t="s">
        <v>33</v>
      </c>
      <c r="P646" s="1" t="s">
        <v>173</v>
      </c>
      <c r="Q646" s="1" t="s">
        <v>173</v>
      </c>
      <c r="R646" s="1" t="s">
        <v>174</v>
      </c>
      <c r="T646" s="1">
        <v>1.00653074E8</v>
      </c>
      <c r="W646" s="1" t="s">
        <v>456</v>
      </c>
      <c r="X646" s="1" t="s">
        <v>106</v>
      </c>
    </row>
    <row r="647">
      <c r="A647" s="1" t="s">
        <v>2530</v>
      </c>
      <c r="B647" s="1" t="s">
        <v>496</v>
      </c>
      <c r="C647" s="1" t="s">
        <v>2531</v>
      </c>
      <c r="D647" s="1" t="s">
        <v>28</v>
      </c>
      <c r="E647" s="1" t="s">
        <v>29</v>
      </c>
      <c r="F647" s="5">
        <v>1600000.0</v>
      </c>
      <c r="G647" s="1" t="s">
        <v>1114</v>
      </c>
      <c r="H647" s="1" t="s">
        <v>2532</v>
      </c>
      <c r="I647" s="1" t="s">
        <v>1599</v>
      </c>
      <c r="K647" s="1">
        <v>0.0</v>
      </c>
      <c r="L647" s="1" t="s">
        <v>499</v>
      </c>
      <c r="M647" s="1" t="str">
        <f>VLOOKUP(L647,'Copy of PMD Workday Constants -'!B616:Y1302,22,false)</f>
        <v>#N/A</v>
      </c>
      <c r="N647" s="1" t="s">
        <v>32</v>
      </c>
      <c r="O647" s="1" t="s">
        <v>33</v>
      </c>
      <c r="P647" s="1" t="s">
        <v>34</v>
      </c>
      <c r="Q647" s="1" t="s">
        <v>34</v>
      </c>
      <c r="R647" s="1" t="s">
        <v>35</v>
      </c>
      <c r="T647" s="1">
        <v>1.00627768E8</v>
      </c>
      <c r="W647" s="1" t="s">
        <v>91</v>
      </c>
      <c r="X647" s="1" t="s">
        <v>1879</v>
      </c>
    </row>
    <row r="648">
      <c r="A648" s="1" t="s">
        <v>2533</v>
      </c>
      <c r="B648" s="1" t="s">
        <v>2534</v>
      </c>
      <c r="C648" s="1" t="s">
        <v>2535</v>
      </c>
      <c r="D648" s="1" t="s">
        <v>51</v>
      </c>
      <c r="E648" s="1" t="s">
        <v>29</v>
      </c>
      <c r="F648" s="5">
        <v>1600000.0</v>
      </c>
      <c r="G648" s="1" t="s">
        <v>1114</v>
      </c>
      <c r="H648" s="1" t="s">
        <v>1575</v>
      </c>
      <c r="I648" s="1" t="s">
        <v>237</v>
      </c>
      <c r="K648" s="1">
        <v>0.0</v>
      </c>
      <c r="L648" s="1" t="s">
        <v>1165</v>
      </c>
      <c r="M648" s="1" t="str">
        <f>VLOOKUP(L648,'Copy of PMD Workday Constants -'!B617:Y1303,22,false)</f>
        <v>#N/A</v>
      </c>
      <c r="N648" s="1" t="s">
        <v>32</v>
      </c>
      <c r="O648" s="1" t="s">
        <v>33</v>
      </c>
      <c r="P648" s="1" t="s">
        <v>34</v>
      </c>
      <c r="Q648" s="1" t="s">
        <v>34</v>
      </c>
      <c r="R648" s="1" t="s">
        <v>35</v>
      </c>
      <c r="S648" s="1" t="s">
        <v>1166</v>
      </c>
      <c r="T648" s="1">
        <v>1.00586863E8</v>
      </c>
      <c r="W648" s="1" t="s">
        <v>456</v>
      </c>
      <c r="X648" s="1" t="s">
        <v>1167</v>
      </c>
    </row>
    <row r="649">
      <c r="A649" s="1" t="s">
        <v>2536</v>
      </c>
      <c r="B649" s="1" t="s">
        <v>756</v>
      </c>
      <c r="C649" s="1" t="s">
        <v>2537</v>
      </c>
      <c r="D649" s="1" t="s">
        <v>79</v>
      </c>
      <c r="E649" s="1" t="s">
        <v>29</v>
      </c>
      <c r="F649" s="5">
        <v>1600000.0</v>
      </c>
      <c r="G649" s="1" t="s">
        <v>1114</v>
      </c>
      <c r="H649" s="4">
        <v>44685.0</v>
      </c>
      <c r="I649" s="1" t="s">
        <v>1349</v>
      </c>
      <c r="K649" s="1">
        <v>0.0</v>
      </c>
      <c r="L649" s="1" t="s">
        <v>1344</v>
      </c>
      <c r="M649" s="1" t="str">
        <f>VLOOKUP(L649,'Copy of PMD Workday Constants -'!B618:Y1304,22,false)</f>
        <v>#N/A</v>
      </c>
      <c r="N649" s="1" t="s">
        <v>32</v>
      </c>
      <c r="O649" s="1" t="s">
        <v>33</v>
      </c>
      <c r="P649" s="1" t="s">
        <v>112</v>
      </c>
      <c r="Q649" s="1" t="s">
        <v>112</v>
      </c>
      <c r="R649" s="1" t="s">
        <v>113</v>
      </c>
      <c r="S649" s="1" t="s">
        <v>134</v>
      </c>
      <c r="T649" s="1">
        <v>1.0061941E8</v>
      </c>
      <c r="W649" s="1" t="s">
        <v>74</v>
      </c>
      <c r="X649" s="1" t="s">
        <v>1711</v>
      </c>
    </row>
    <row r="650">
      <c r="A650" s="1" t="s">
        <v>2538</v>
      </c>
      <c r="B650" s="1" t="s">
        <v>756</v>
      </c>
      <c r="C650" s="1" t="s">
        <v>2539</v>
      </c>
      <c r="D650" s="1" t="s">
        <v>103</v>
      </c>
      <c r="E650" s="1" t="s">
        <v>29</v>
      </c>
      <c r="F650" s="5">
        <v>1600000.0</v>
      </c>
      <c r="G650" s="1" t="s">
        <v>1114</v>
      </c>
      <c r="H650" s="1" t="s">
        <v>1553</v>
      </c>
      <c r="I650" s="4">
        <v>44568.0</v>
      </c>
      <c r="K650" s="1">
        <v>0.0</v>
      </c>
      <c r="L650" s="1" t="s">
        <v>2540</v>
      </c>
      <c r="M650" s="1" t="str">
        <f>VLOOKUP(L650,'Copy of PMD Workday Constants -'!B619:Y1305,22,false)</f>
        <v>#N/A</v>
      </c>
      <c r="N650" s="1" t="s">
        <v>32</v>
      </c>
      <c r="O650" s="1" t="s">
        <v>33</v>
      </c>
      <c r="P650" s="1" t="s">
        <v>222</v>
      </c>
      <c r="Q650" s="1" t="s">
        <v>222</v>
      </c>
      <c r="R650" s="1" t="s">
        <v>223</v>
      </c>
      <c r="S650" s="1" t="s">
        <v>601</v>
      </c>
      <c r="T650" s="1">
        <v>1.00599268E8</v>
      </c>
      <c r="W650" s="1" t="s">
        <v>74</v>
      </c>
      <c r="X650" s="1" t="s">
        <v>2541</v>
      </c>
    </row>
    <row r="651">
      <c r="A651" s="1" t="s">
        <v>2542</v>
      </c>
      <c r="B651" s="1" t="s">
        <v>615</v>
      </c>
      <c r="C651" s="1" t="s">
        <v>2543</v>
      </c>
      <c r="D651" s="1" t="s">
        <v>103</v>
      </c>
      <c r="E651" s="1" t="s">
        <v>29</v>
      </c>
      <c r="F651" s="5">
        <v>1600000.0</v>
      </c>
      <c r="G651" s="1" t="s">
        <v>1114</v>
      </c>
      <c r="H651" s="1" t="s">
        <v>2510</v>
      </c>
      <c r="I651" s="1" t="s">
        <v>414</v>
      </c>
      <c r="K651" s="1">
        <v>0.0</v>
      </c>
      <c r="L651" s="1" t="s">
        <v>618</v>
      </c>
      <c r="M651" s="1" t="str">
        <f>VLOOKUP(L651,'Copy of PMD Workday Constants -'!B620:Y1306,22,false)</f>
        <v>#N/A</v>
      </c>
      <c r="N651" s="1" t="s">
        <v>32</v>
      </c>
      <c r="O651" s="1" t="s">
        <v>33</v>
      </c>
      <c r="P651" s="1" t="s">
        <v>173</v>
      </c>
      <c r="Q651" s="1" t="s">
        <v>173</v>
      </c>
      <c r="R651" s="1" t="s">
        <v>174</v>
      </c>
      <c r="S651" s="1" t="s">
        <v>540</v>
      </c>
      <c r="T651" s="1">
        <v>1.00591141E8</v>
      </c>
      <c r="W651" s="1" t="s">
        <v>74</v>
      </c>
      <c r="X651" s="1" t="s">
        <v>1381</v>
      </c>
    </row>
    <row r="652">
      <c r="A652" s="1" t="s">
        <v>2544</v>
      </c>
      <c r="B652" s="1" t="s">
        <v>776</v>
      </c>
      <c r="C652" s="1" t="s">
        <v>2545</v>
      </c>
      <c r="D652" s="1" t="s">
        <v>28</v>
      </c>
      <c r="E652" s="1" t="s">
        <v>29</v>
      </c>
      <c r="F652" s="5">
        <v>1560000.0</v>
      </c>
      <c r="G652" s="1" t="s">
        <v>1114</v>
      </c>
      <c r="H652" s="4">
        <v>44566.0</v>
      </c>
      <c r="I652" s="1" t="s">
        <v>302</v>
      </c>
      <c r="K652" s="1">
        <v>0.0</v>
      </c>
      <c r="L652" s="1" t="s">
        <v>2546</v>
      </c>
      <c r="M652" s="1" t="str">
        <f>VLOOKUP(L652,'Copy of PMD Workday Constants -'!B621:Y1307,22,false)</f>
        <v>#N/A</v>
      </c>
      <c r="N652" s="1" t="s">
        <v>32</v>
      </c>
      <c r="O652" s="1" t="s">
        <v>33</v>
      </c>
      <c r="P652" s="1" t="s">
        <v>173</v>
      </c>
      <c r="Q652" s="1" t="s">
        <v>173</v>
      </c>
      <c r="R652" s="1" t="s">
        <v>174</v>
      </c>
      <c r="T652" s="1">
        <v>1.00628059E8</v>
      </c>
      <c r="W652" s="1" t="s">
        <v>74</v>
      </c>
      <c r="X652" s="1" t="s">
        <v>2547</v>
      </c>
    </row>
    <row r="653">
      <c r="A653" s="1" t="s">
        <v>2548</v>
      </c>
      <c r="B653" s="1" t="s">
        <v>2549</v>
      </c>
      <c r="C653" s="1" t="s">
        <v>2550</v>
      </c>
      <c r="D653" s="1" t="s">
        <v>51</v>
      </c>
      <c r="E653" s="1" t="s">
        <v>29</v>
      </c>
      <c r="F653" s="5">
        <v>1550000.0</v>
      </c>
      <c r="G653" s="1" t="s">
        <v>1114</v>
      </c>
      <c r="H653" s="4">
        <v>44441.0</v>
      </c>
      <c r="I653" s="1" t="s">
        <v>152</v>
      </c>
      <c r="K653" s="1">
        <v>0.0</v>
      </c>
      <c r="L653" s="1" t="s">
        <v>1549</v>
      </c>
      <c r="M653" s="1" t="str">
        <f>VLOOKUP(L653,'Copy of PMD Workday Constants -'!B622:Y1308,22,false)</f>
        <v>#N/A</v>
      </c>
      <c r="N653" s="1" t="s">
        <v>32</v>
      </c>
      <c r="O653" s="1" t="s">
        <v>33</v>
      </c>
      <c r="P653" s="1" t="s">
        <v>173</v>
      </c>
      <c r="Q653" s="1" t="s">
        <v>173</v>
      </c>
      <c r="R653" s="1" t="s">
        <v>174</v>
      </c>
      <c r="S653" s="1" t="s">
        <v>612</v>
      </c>
      <c r="T653" s="1">
        <v>1.00646908E8</v>
      </c>
      <c r="W653" s="1" t="s">
        <v>1303</v>
      </c>
      <c r="X653" s="1" t="s">
        <v>1549</v>
      </c>
    </row>
    <row r="654">
      <c r="A654" s="1" t="s">
        <v>2551</v>
      </c>
      <c r="B654" s="1" t="s">
        <v>931</v>
      </c>
      <c r="C654" s="1" t="s">
        <v>2552</v>
      </c>
      <c r="D654" s="1" t="s">
        <v>28</v>
      </c>
      <c r="E654" s="1" t="s">
        <v>29</v>
      </c>
      <c r="F654" s="5">
        <v>1541484.0</v>
      </c>
      <c r="G654" s="1" t="s">
        <v>1114</v>
      </c>
      <c r="H654" s="1" t="s">
        <v>1681</v>
      </c>
      <c r="I654" s="1" t="s">
        <v>43</v>
      </c>
      <c r="K654" s="1">
        <v>0.0</v>
      </c>
      <c r="L654" s="1" t="s">
        <v>1939</v>
      </c>
      <c r="M654" s="1" t="str">
        <f>VLOOKUP(L654,'Copy of PMD Workday Constants -'!B623:Y1309,22,false)</f>
        <v>#N/A</v>
      </c>
      <c r="N654" s="1" t="s">
        <v>32</v>
      </c>
      <c r="O654" s="1" t="s">
        <v>33</v>
      </c>
      <c r="P654" s="1" t="s">
        <v>173</v>
      </c>
      <c r="Q654" s="1" t="s">
        <v>173</v>
      </c>
      <c r="R654" s="1" t="s">
        <v>174</v>
      </c>
      <c r="S654" s="1" t="s">
        <v>153</v>
      </c>
      <c r="T654" s="1">
        <v>1.00649264E8</v>
      </c>
      <c r="W654" s="1" t="s">
        <v>85</v>
      </c>
      <c r="X654" s="1" t="s">
        <v>1940</v>
      </c>
    </row>
    <row r="655">
      <c r="A655" s="1" t="s">
        <v>2553</v>
      </c>
      <c r="B655" s="1" t="s">
        <v>2554</v>
      </c>
      <c r="C655" s="1" t="s">
        <v>2555</v>
      </c>
      <c r="D655" s="1" t="s">
        <v>79</v>
      </c>
      <c r="E655" s="1" t="s">
        <v>29</v>
      </c>
      <c r="F655" s="1">
        <v>1520000.0</v>
      </c>
      <c r="G655" s="1" t="s">
        <v>1114</v>
      </c>
      <c r="H655" s="1" t="s">
        <v>1570</v>
      </c>
      <c r="I655" s="4">
        <v>44659.0</v>
      </c>
      <c r="K655" s="1">
        <v>0.0</v>
      </c>
      <c r="L655" s="1" t="s">
        <v>2556</v>
      </c>
      <c r="M655" s="1" t="str">
        <f>VLOOKUP(L655,'Copy of PMD Workday Constants -'!B654:W1340,22,false)</f>
        <v>Catalyst</v>
      </c>
      <c r="N655" s="1" t="s">
        <v>32</v>
      </c>
      <c r="O655" s="1" t="s">
        <v>33</v>
      </c>
      <c r="P655" s="1" t="s">
        <v>82</v>
      </c>
      <c r="Q655" s="1" t="s">
        <v>82</v>
      </c>
      <c r="R655" s="1" t="s">
        <v>83</v>
      </c>
      <c r="S655" s="1" t="s">
        <v>84</v>
      </c>
      <c r="T655" s="1">
        <v>1.01082364E8</v>
      </c>
      <c r="W655" s="1" t="s">
        <v>85</v>
      </c>
      <c r="X655" s="1" t="s">
        <v>1534</v>
      </c>
    </row>
    <row r="656">
      <c r="A656" s="1" t="s">
        <v>2557</v>
      </c>
      <c r="B656" s="1" t="s">
        <v>507</v>
      </c>
      <c r="C656" s="1" t="s">
        <v>2558</v>
      </c>
      <c r="D656" s="1" t="s">
        <v>28</v>
      </c>
      <c r="E656" s="1" t="s">
        <v>29</v>
      </c>
      <c r="F656" s="5">
        <v>1500000.0</v>
      </c>
      <c r="G656" s="1" t="s">
        <v>1114</v>
      </c>
      <c r="H656" s="1" t="s">
        <v>2559</v>
      </c>
      <c r="I656" s="1" t="s">
        <v>264</v>
      </c>
      <c r="K656" s="1">
        <v>0.0</v>
      </c>
      <c r="L656" s="1" t="s">
        <v>582</v>
      </c>
      <c r="M656" s="1" t="str">
        <f>VLOOKUP(L656,'Copy of PMD Workday Constants -'!B625:Y1311,22,false)</f>
        <v>#N/A</v>
      </c>
      <c r="N656" s="1" t="s">
        <v>32</v>
      </c>
      <c r="O656" s="1" t="s">
        <v>33</v>
      </c>
      <c r="P656" s="1" t="s">
        <v>82</v>
      </c>
      <c r="Q656" s="1" t="s">
        <v>82</v>
      </c>
      <c r="R656" s="1" t="s">
        <v>83</v>
      </c>
      <c r="S656" s="1" t="s">
        <v>2560</v>
      </c>
      <c r="T656" s="1">
        <v>1.00869732E8</v>
      </c>
      <c r="W656" s="1" t="s">
        <v>456</v>
      </c>
      <c r="X656" s="1" t="s">
        <v>2561</v>
      </c>
    </row>
    <row r="657">
      <c r="A657" s="1" t="s">
        <v>2562</v>
      </c>
      <c r="B657" s="1" t="s">
        <v>489</v>
      </c>
      <c r="C657" s="1" t="s">
        <v>2563</v>
      </c>
      <c r="D657" s="1" t="s">
        <v>103</v>
      </c>
      <c r="E657" s="1" t="s">
        <v>29</v>
      </c>
      <c r="F657" s="5">
        <v>1500000.0</v>
      </c>
      <c r="G657" s="1" t="s">
        <v>1114</v>
      </c>
      <c r="H657" s="4">
        <v>44866.0</v>
      </c>
      <c r="I657" s="1" t="s">
        <v>104</v>
      </c>
      <c r="K657" s="1">
        <v>0.0</v>
      </c>
      <c r="L657" s="1" t="s">
        <v>847</v>
      </c>
      <c r="M657" s="1" t="str">
        <f>VLOOKUP(L657,'Copy of PMD Workday Constants -'!B626:Y1312,22,false)</f>
        <v>#N/A</v>
      </c>
      <c r="N657" s="1" t="s">
        <v>32</v>
      </c>
      <c r="O657" s="1" t="s">
        <v>33</v>
      </c>
      <c r="P657" s="1" t="s">
        <v>173</v>
      </c>
      <c r="Q657" s="1" t="s">
        <v>173</v>
      </c>
      <c r="R657" s="1" t="s">
        <v>174</v>
      </c>
      <c r="T657" s="1">
        <v>1.00586701E8</v>
      </c>
      <c r="W657" s="1" t="s">
        <v>493</v>
      </c>
      <c r="X657" s="1" t="s">
        <v>1529</v>
      </c>
    </row>
    <row r="658">
      <c r="A658" s="1" t="s">
        <v>2564</v>
      </c>
      <c r="B658" s="1" t="s">
        <v>49</v>
      </c>
      <c r="C658" s="1" t="s">
        <v>2565</v>
      </c>
      <c r="D658" s="1" t="s">
        <v>28</v>
      </c>
      <c r="E658" s="1" t="s">
        <v>29</v>
      </c>
      <c r="F658" s="5">
        <v>1500000.0</v>
      </c>
      <c r="G658" s="1" t="s">
        <v>1114</v>
      </c>
      <c r="H658" s="1" t="s">
        <v>1765</v>
      </c>
      <c r="I658" s="4">
        <v>44626.0</v>
      </c>
      <c r="K658" s="1">
        <v>0.0</v>
      </c>
      <c r="L658" s="1" t="s">
        <v>1739</v>
      </c>
      <c r="M658" s="1" t="str">
        <f>VLOOKUP(L658,'Copy of PMD Workday Constants -'!B627:Y1313,22,false)</f>
        <v>#N/A</v>
      </c>
      <c r="N658" s="1" t="s">
        <v>32</v>
      </c>
      <c r="O658" s="1" t="s">
        <v>33</v>
      </c>
      <c r="P658" s="1" t="s">
        <v>210</v>
      </c>
      <c r="Q658" s="1" t="s">
        <v>210</v>
      </c>
      <c r="R658" s="1" t="s">
        <v>211</v>
      </c>
      <c r="S658" s="1" t="s">
        <v>416</v>
      </c>
      <c r="T658" s="1">
        <v>1.00964362E8</v>
      </c>
      <c r="W658" s="1" t="s">
        <v>56</v>
      </c>
      <c r="X658" s="1" t="s">
        <v>2566</v>
      </c>
    </row>
    <row r="659">
      <c r="A659" s="1" t="s">
        <v>2567</v>
      </c>
      <c r="B659" s="1" t="s">
        <v>1184</v>
      </c>
      <c r="C659" s="1" t="s">
        <v>2568</v>
      </c>
      <c r="D659" s="1" t="s">
        <v>28</v>
      </c>
      <c r="E659" s="1" t="s">
        <v>29</v>
      </c>
      <c r="F659" s="5">
        <v>1500000.0</v>
      </c>
      <c r="G659" s="1" t="s">
        <v>1114</v>
      </c>
      <c r="H659" s="1" t="s">
        <v>810</v>
      </c>
      <c r="I659" s="4">
        <v>44569.0</v>
      </c>
      <c r="K659" s="1">
        <v>0.0</v>
      </c>
      <c r="L659" s="1" t="s">
        <v>1739</v>
      </c>
      <c r="M659" s="1" t="str">
        <f>VLOOKUP(L659,'Copy of PMD Workday Constants -'!B628:Y1314,22,false)</f>
        <v>#N/A</v>
      </c>
      <c r="N659" s="1" t="s">
        <v>32</v>
      </c>
      <c r="O659" s="1" t="s">
        <v>33</v>
      </c>
      <c r="P659" s="1" t="s">
        <v>210</v>
      </c>
      <c r="Q659" s="1" t="s">
        <v>210</v>
      </c>
      <c r="R659" s="1" t="s">
        <v>211</v>
      </c>
      <c r="T659" s="1">
        <v>1.00964362E8</v>
      </c>
      <c r="W659" s="1" t="s">
        <v>56</v>
      </c>
      <c r="X659" s="1" t="s">
        <v>2569</v>
      </c>
    </row>
    <row r="660">
      <c r="A660" s="1" t="s">
        <v>2570</v>
      </c>
      <c r="B660" s="1" t="s">
        <v>219</v>
      </c>
      <c r="C660" s="1" t="s">
        <v>2571</v>
      </c>
      <c r="D660" s="1" t="s">
        <v>51</v>
      </c>
      <c r="E660" s="1" t="s">
        <v>29</v>
      </c>
      <c r="F660" s="5">
        <v>1500000.0</v>
      </c>
      <c r="G660" s="1" t="s">
        <v>1114</v>
      </c>
      <c r="H660" s="4">
        <v>44623.0</v>
      </c>
      <c r="I660" s="1" t="s">
        <v>96</v>
      </c>
      <c r="K660" s="1">
        <v>0.0</v>
      </c>
      <c r="L660" s="1" t="s">
        <v>1611</v>
      </c>
      <c r="M660" s="1" t="str">
        <f>VLOOKUP(L660,'Copy of PMD Workday Constants -'!B629:Y1315,22,false)</f>
        <v>#N/A</v>
      </c>
      <c r="N660" s="1" t="s">
        <v>32</v>
      </c>
      <c r="O660" s="1" t="s">
        <v>33</v>
      </c>
      <c r="P660" s="1" t="s">
        <v>34</v>
      </c>
      <c r="Q660" s="1" t="s">
        <v>34</v>
      </c>
      <c r="R660" s="1" t="s">
        <v>35</v>
      </c>
      <c r="S660" s="1" t="s">
        <v>36</v>
      </c>
      <c r="T660" s="1">
        <v>1.00645852E8</v>
      </c>
      <c r="W660" s="1" t="s">
        <v>91</v>
      </c>
      <c r="X660" s="1" t="s">
        <v>1613</v>
      </c>
    </row>
    <row r="661">
      <c r="A661" s="1" t="s">
        <v>2572</v>
      </c>
      <c r="B661" s="1" t="s">
        <v>361</v>
      </c>
      <c r="C661" s="1" t="s">
        <v>2573</v>
      </c>
      <c r="D661" s="1" t="s">
        <v>28</v>
      </c>
      <c r="E661" s="1" t="s">
        <v>29</v>
      </c>
      <c r="F661" s="5">
        <v>1500000.0</v>
      </c>
      <c r="G661" s="1" t="s">
        <v>1114</v>
      </c>
      <c r="H661" s="1" t="s">
        <v>460</v>
      </c>
      <c r="I661" s="1" t="s">
        <v>191</v>
      </c>
      <c r="K661" s="1">
        <v>0.0</v>
      </c>
      <c r="L661" s="1" t="s">
        <v>365</v>
      </c>
      <c r="M661" s="1" t="str">
        <f>VLOOKUP(L661,'Copy of PMD Workday Constants -'!B630:Y1316,22,false)</f>
        <v>#N/A</v>
      </c>
      <c r="N661" s="1" t="s">
        <v>32</v>
      </c>
      <c r="O661" s="1" t="s">
        <v>33</v>
      </c>
      <c r="P661" s="1" t="s">
        <v>210</v>
      </c>
      <c r="Q661" s="1" t="s">
        <v>210</v>
      </c>
      <c r="R661" s="1" t="s">
        <v>211</v>
      </c>
      <c r="S661" s="1" t="s">
        <v>297</v>
      </c>
      <c r="T661" s="1">
        <v>1.01072617E8</v>
      </c>
      <c r="W661" s="1" t="s">
        <v>258</v>
      </c>
      <c r="X661" s="1" t="s">
        <v>365</v>
      </c>
    </row>
    <row r="662">
      <c r="A662" s="1" t="s">
        <v>2574</v>
      </c>
      <c r="B662" s="1" t="s">
        <v>2575</v>
      </c>
      <c r="C662" s="1" t="s">
        <v>2576</v>
      </c>
      <c r="D662" s="1" t="s">
        <v>51</v>
      </c>
      <c r="E662" s="1" t="s">
        <v>29</v>
      </c>
      <c r="F662" s="5">
        <v>1500000.0</v>
      </c>
      <c r="G662" s="1" t="s">
        <v>1114</v>
      </c>
      <c r="H662" s="1" t="s">
        <v>2577</v>
      </c>
      <c r="I662" s="4">
        <v>44630.0</v>
      </c>
      <c r="K662" s="1">
        <v>0.0</v>
      </c>
      <c r="L662" s="1" t="s">
        <v>737</v>
      </c>
      <c r="M662" s="1" t="str">
        <f>VLOOKUP(L662,'Copy of PMD Workday Constants -'!B631:Y1317,22,false)</f>
        <v>#N/A</v>
      </c>
      <c r="N662" s="1" t="s">
        <v>32</v>
      </c>
      <c r="O662" s="1" t="s">
        <v>33</v>
      </c>
      <c r="P662" s="1" t="s">
        <v>112</v>
      </c>
      <c r="Q662" s="1" t="s">
        <v>112</v>
      </c>
      <c r="R662" s="1" t="s">
        <v>113</v>
      </c>
      <c r="S662" s="1" t="s">
        <v>455</v>
      </c>
      <c r="T662" s="1">
        <v>1.00629729E8</v>
      </c>
      <c r="W662" s="1" t="s">
        <v>85</v>
      </c>
      <c r="X662" s="1" t="s">
        <v>2578</v>
      </c>
    </row>
    <row r="663">
      <c r="A663" s="1" t="s">
        <v>2579</v>
      </c>
      <c r="B663" s="1" t="s">
        <v>304</v>
      </c>
      <c r="C663" s="1" t="s">
        <v>2580</v>
      </c>
      <c r="D663" s="1" t="s">
        <v>28</v>
      </c>
      <c r="E663" s="1" t="s">
        <v>29</v>
      </c>
      <c r="F663" s="5">
        <v>1500000.0</v>
      </c>
      <c r="G663" s="1" t="s">
        <v>1114</v>
      </c>
      <c r="H663" s="1" t="s">
        <v>1192</v>
      </c>
      <c r="I663" s="1" t="s">
        <v>865</v>
      </c>
      <c r="K663" s="1">
        <v>0.0</v>
      </c>
      <c r="L663" s="1" t="s">
        <v>1198</v>
      </c>
      <c r="M663" s="1" t="str">
        <f>VLOOKUP(L663,'Copy of PMD Workday Constants -'!B632:Y1318,22,false)</f>
        <v>#N/A</v>
      </c>
      <c r="N663" s="1" t="s">
        <v>32</v>
      </c>
      <c r="O663" s="1" t="s">
        <v>33</v>
      </c>
      <c r="P663" s="1" t="s">
        <v>64</v>
      </c>
      <c r="Q663" s="1" t="s">
        <v>64</v>
      </c>
      <c r="R663" s="1" t="s">
        <v>65</v>
      </c>
      <c r="T663" s="1">
        <v>1.01127868E8</v>
      </c>
      <c r="W663" s="1" t="s">
        <v>308</v>
      </c>
      <c r="X663" s="1" t="s">
        <v>1193</v>
      </c>
    </row>
    <row r="664">
      <c r="A664" s="1" t="s">
        <v>2581</v>
      </c>
      <c r="B664" s="1" t="s">
        <v>776</v>
      </c>
      <c r="C664" s="1" t="s">
        <v>2582</v>
      </c>
      <c r="D664" s="1" t="s">
        <v>28</v>
      </c>
      <c r="E664" s="1" t="s">
        <v>29</v>
      </c>
      <c r="F664" s="5">
        <v>1500000.0</v>
      </c>
      <c r="G664" s="1" t="s">
        <v>1114</v>
      </c>
      <c r="H664" s="4">
        <v>44836.0</v>
      </c>
      <c r="I664" s="1" t="s">
        <v>80</v>
      </c>
      <c r="K664" s="1">
        <v>0.0</v>
      </c>
      <c r="L664" s="1" t="s">
        <v>2546</v>
      </c>
      <c r="M664" s="1" t="str">
        <f>VLOOKUP(L664,'Copy of PMD Workday Constants -'!B633:Y1319,22,false)</f>
        <v>#N/A</v>
      </c>
      <c r="N664" s="1" t="s">
        <v>32</v>
      </c>
      <c r="O664" s="1" t="s">
        <v>33</v>
      </c>
      <c r="P664" s="1" t="s">
        <v>173</v>
      </c>
      <c r="Q664" s="1" t="s">
        <v>173</v>
      </c>
      <c r="R664" s="1" t="s">
        <v>174</v>
      </c>
      <c r="T664" s="1">
        <v>1.00628059E8</v>
      </c>
      <c r="U664" s="1" t="s">
        <v>1852</v>
      </c>
      <c r="V664" s="1" t="s">
        <v>46</v>
      </c>
      <c r="W664" s="1" t="s">
        <v>74</v>
      </c>
      <c r="X664" s="1" t="s">
        <v>1854</v>
      </c>
    </row>
    <row r="665">
      <c r="A665" s="1" t="s">
        <v>2583</v>
      </c>
      <c r="B665" s="1" t="s">
        <v>776</v>
      </c>
      <c r="C665" s="1" t="s">
        <v>2584</v>
      </c>
      <c r="D665" s="1" t="s">
        <v>28</v>
      </c>
      <c r="E665" s="1" t="s">
        <v>29</v>
      </c>
      <c r="F665" s="5">
        <v>1500000.0</v>
      </c>
      <c r="G665" s="1" t="s">
        <v>1114</v>
      </c>
      <c r="H665" s="4">
        <v>44836.0</v>
      </c>
      <c r="I665" s="1" t="s">
        <v>80</v>
      </c>
      <c r="K665" s="1">
        <v>0.0</v>
      </c>
      <c r="L665" s="1" t="s">
        <v>779</v>
      </c>
      <c r="M665" s="1" t="str">
        <f>VLOOKUP(L665,'Copy of PMD Workday Constants -'!B634:Y1320,22,false)</f>
        <v>#N/A</v>
      </c>
      <c r="N665" s="1" t="s">
        <v>32</v>
      </c>
      <c r="O665" s="1" t="s">
        <v>33</v>
      </c>
      <c r="P665" s="1" t="s">
        <v>222</v>
      </c>
      <c r="Q665" s="1" t="s">
        <v>222</v>
      </c>
      <c r="R665" s="1" t="s">
        <v>223</v>
      </c>
      <c r="T665" s="1">
        <v>1.0061139E8</v>
      </c>
      <c r="U665" s="1" t="s">
        <v>1852</v>
      </c>
      <c r="V665" s="1" t="s">
        <v>46</v>
      </c>
      <c r="W665" s="1" t="s">
        <v>74</v>
      </c>
      <c r="X665" s="1" t="s">
        <v>1854</v>
      </c>
    </row>
    <row r="666">
      <c r="A666" s="1" t="s">
        <v>2585</v>
      </c>
      <c r="B666" s="1" t="s">
        <v>2586</v>
      </c>
      <c r="C666" s="1" t="s">
        <v>2587</v>
      </c>
      <c r="D666" s="1" t="s">
        <v>103</v>
      </c>
      <c r="E666" s="1" t="s">
        <v>29</v>
      </c>
      <c r="F666" s="5">
        <v>1500000.0</v>
      </c>
      <c r="G666" s="1" t="s">
        <v>1114</v>
      </c>
      <c r="H666" s="4">
        <v>44230.0</v>
      </c>
      <c r="I666" s="4">
        <v>44568.0</v>
      </c>
      <c r="K666" s="1">
        <v>0.0</v>
      </c>
      <c r="L666" s="1" t="s">
        <v>847</v>
      </c>
      <c r="M666" s="1" t="str">
        <f>VLOOKUP(L666,'Copy of PMD Workday Constants -'!B635:Y1321,22,false)</f>
        <v>#N/A</v>
      </c>
      <c r="N666" s="1" t="s">
        <v>32</v>
      </c>
      <c r="O666" s="1" t="s">
        <v>33</v>
      </c>
      <c r="P666" s="1" t="s">
        <v>173</v>
      </c>
      <c r="Q666" s="1" t="s">
        <v>173</v>
      </c>
      <c r="R666" s="1" t="s">
        <v>174</v>
      </c>
      <c r="S666" s="1" t="s">
        <v>185</v>
      </c>
      <c r="T666" s="1">
        <v>1.00586701E8</v>
      </c>
      <c r="W666" s="1" t="s">
        <v>74</v>
      </c>
      <c r="X666" s="1" t="s">
        <v>847</v>
      </c>
    </row>
    <row r="667">
      <c r="A667" s="1" t="s">
        <v>2588</v>
      </c>
      <c r="B667" s="1" t="s">
        <v>2589</v>
      </c>
      <c r="C667" s="1" t="s">
        <v>196</v>
      </c>
      <c r="D667" s="1" t="s">
        <v>28</v>
      </c>
      <c r="E667" s="1" t="s">
        <v>29</v>
      </c>
      <c r="F667" s="5">
        <v>1500000.0</v>
      </c>
      <c r="G667" s="1" t="s">
        <v>1114</v>
      </c>
      <c r="H667" s="1" t="s">
        <v>2590</v>
      </c>
      <c r="I667" s="1" t="s">
        <v>104</v>
      </c>
      <c r="K667" s="1">
        <v>0.0</v>
      </c>
      <c r="L667" s="1" t="s">
        <v>198</v>
      </c>
      <c r="M667" s="1" t="str">
        <f>VLOOKUP(L667,'Copy of PMD Workday Constants -'!B636:Y1322,22,false)</f>
        <v>#N/A</v>
      </c>
      <c r="N667" s="1" t="s">
        <v>32</v>
      </c>
      <c r="O667" s="1" t="s">
        <v>33</v>
      </c>
      <c r="P667" s="1" t="s">
        <v>82</v>
      </c>
      <c r="Q667" s="1" t="s">
        <v>82</v>
      </c>
      <c r="R667" s="1" t="s">
        <v>83</v>
      </c>
      <c r="S667" s="1" t="s">
        <v>180</v>
      </c>
      <c r="T667" s="1">
        <v>1.00590896E8</v>
      </c>
      <c r="W667" s="1" t="s">
        <v>85</v>
      </c>
      <c r="X667" s="1" t="s">
        <v>199</v>
      </c>
    </row>
    <row r="668">
      <c r="A668" s="1" t="s">
        <v>2591</v>
      </c>
      <c r="B668" s="1" t="s">
        <v>808</v>
      </c>
      <c r="C668" s="1" t="s">
        <v>2592</v>
      </c>
      <c r="D668" s="1" t="s">
        <v>51</v>
      </c>
      <c r="E668" s="1" t="s">
        <v>29</v>
      </c>
      <c r="F668" s="5">
        <v>1500000.0</v>
      </c>
      <c r="G668" s="1" t="s">
        <v>1114</v>
      </c>
      <c r="H668" s="4">
        <v>44511.0</v>
      </c>
      <c r="I668" s="1" t="s">
        <v>2593</v>
      </c>
      <c r="K668" s="1">
        <v>0.0</v>
      </c>
      <c r="L668" s="1" t="s">
        <v>1400</v>
      </c>
      <c r="M668" s="1" t="str">
        <f>VLOOKUP(L668,'Copy of PMD Workday Constants -'!B637:Y1323,22,false)</f>
        <v>#N/A</v>
      </c>
      <c r="N668" s="1" t="s">
        <v>32</v>
      </c>
      <c r="O668" s="1" t="s">
        <v>33</v>
      </c>
      <c r="P668" s="1" t="s">
        <v>64</v>
      </c>
      <c r="Q668" s="1" t="s">
        <v>64</v>
      </c>
      <c r="R668" s="1" t="s">
        <v>65</v>
      </c>
      <c r="S668" s="1" t="s">
        <v>126</v>
      </c>
      <c r="T668" s="1">
        <v>1.0059033E8</v>
      </c>
      <c r="W668" s="1" t="s">
        <v>308</v>
      </c>
      <c r="X668" s="1" t="s">
        <v>309</v>
      </c>
    </row>
    <row r="669">
      <c r="A669" s="1" t="s">
        <v>2594</v>
      </c>
      <c r="B669" s="1" t="s">
        <v>627</v>
      </c>
      <c r="C669" s="1" t="s">
        <v>2595</v>
      </c>
      <c r="D669" s="1" t="s">
        <v>51</v>
      </c>
      <c r="E669" s="1" t="s">
        <v>29</v>
      </c>
      <c r="F669" s="5">
        <v>1500000.0</v>
      </c>
      <c r="G669" s="1" t="s">
        <v>1114</v>
      </c>
      <c r="H669" s="1" t="s">
        <v>1444</v>
      </c>
      <c r="I669" s="1" t="s">
        <v>526</v>
      </c>
      <c r="K669" s="1">
        <v>0.0</v>
      </c>
      <c r="L669" s="1" t="s">
        <v>505</v>
      </c>
      <c r="M669" s="1" t="str">
        <f>VLOOKUP(L669,'Copy of PMD Workday Constants -'!B638:Y1324,22,false)</f>
        <v>#N/A</v>
      </c>
      <c r="N669" s="1" t="s">
        <v>32</v>
      </c>
      <c r="O669" s="1" t="s">
        <v>33</v>
      </c>
      <c r="P669" s="1" t="s">
        <v>112</v>
      </c>
      <c r="Q669" s="1" t="s">
        <v>112</v>
      </c>
      <c r="R669" s="1" t="s">
        <v>113</v>
      </c>
      <c r="S669" s="1" t="s">
        <v>307</v>
      </c>
      <c r="T669" s="1">
        <v>1.0062347E8</v>
      </c>
      <c r="W669" s="1" t="s">
        <v>47</v>
      </c>
      <c r="X669" s="1" t="s">
        <v>2596</v>
      </c>
    </row>
    <row r="670">
      <c r="A670" s="1" t="s">
        <v>2597</v>
      </c>
      <c r="B670" s="1" t="s">
        <v>2152</v>
      </c>
      <c r="C670" s="1" t="s">
        <v>2598</v>
      </c>
      <c r="D670" s="1" t="s">
        <v>51</v>
      </c>
      <c r="E670" s="1" t="s">
        <v>29</v>
      </c>
      <c r="F670" s="5">
        <v>1500000.0</v>
      </c>
      <c r="G670" s="1" t="s">
        <v>1114</v>
      </c>
      <c r="H670" s="1" t="s">
        <v>263</v>
      </c>
      <c r="I670" s="1" t="s">
        <v>302</v>
      </c>
      <c r="K670" s="1">
        <v>0.0</v>
      </c>
      <c r="L670" s="1" t="s">
        <v>1622</v>
      </c>
      <c r="M670" s="1" t="str">
        <f>VLOOKUP(L670,'Copy of PMD Workday Constants -'!B639:Y1325,22,false)</f>
        <v>#N/A</v>
      </c>
      <c r="N670" s="1" t="s">
        <v>32</v>
      </c>
      <c r="O670" s="1" t="s">
        <v>33</v>
      </c>
      <c r="P670" s="1" t="s">
        <v>173</v>
      </c>
      <c r="Q670" s="1" t="s">
        <v>173</v>
      </c>
      <c r="R670" s="1" t="s">
        <v>174</v>
      </c>
      <c r="S670" s="1" t="s">
        <v>153</v>
      </c>
      <c r="T670" s="1">
        <v>1.00643454E8</v>
      </c>
      <c r="U670" s="1" t="s">
        <v>2599</v>
      </c>
      <c r="V670" s="1" t="s">
        <v>187</v>
      </c>
      <c r="W670" s="1" t="s">
        <v>456</v>
      </c>
      <c r="X670" s="1" t="s">
        <v>1622</v>
      </c>
    </row>
    <row r="671">
      <c r="A671" s="1" t="s">
        <v>2600</v>
      </c>
      <c r="B671" s="1" t="s">
        <v>1154</v>
      </c>
      <c r="C671" s="1" t="s">
        <v>2601</v>
      </c>
      <c r="D671" s="1" t="s">
        <v>28</v>
      </c>
      <c r="E671" s="1" t="s">
        <v>29</v>
      </c>
      <c r="F671" s="5">
        <v>1500000.0</v>
      </c>
      <c r="G671" s="1" t="s">
        <v>1114</v>
      </c>
      <c r="H671" s="4">
        <v>44653.0</v>
      </c>
      <c r="I671" s="1" t="s">
        <v>132</v>
      </c>
      <c r="K671" s="1">
        <v>0.0</v>
      </c>
      <c r="L671" s="1" t="s">
        <v>2602</v>
      </c>
      <c r="M671" s="1" t="str">
        <f>VLOOKUP(L671,'Copy of PMD Workday Constants -'!B640:Y1326,22,false)</f>
        <v>#N/A</v>
      </c>
      <c r="N671" s="1" t="s">
        <v>32</v>
      </c>
      <c r="O671" s="1" t="s">
        <v>33</v>
      </c>
      <c r="P671" s="1" t="s">
        <v>173</v>
      </c>
      <c r="Q671" s="1" t="s">
        <v>173</v>
      </c>
      <c r="R671" s="1" t="s">
        <v>174</v>
      </c>
      <c r="T671" s="1">
        <v>1.00611351E8</v>
      </c>
      <c r="W671" s="1" t="s">
        <v>947</v>
      </c>
      <c r="X671" s="1" t="s">
        <v>2603</v>
      </c>
    </row>
    <row r="672">
      <c r="A672" s="1" t="s">
        <v>2604</v>
      </c>
      <c r="B672" s="1" t="s">
        <v>1062</v>
      </c>
      <c r="C672" s="1" t="s">
        <v>2605</v>
      </c>
      <c r="D672" s="1" t="s">
        <v>51</v>
      </c>
      <c r="E672" s="1" t="s">
        <v>29</v>
      </c>
      <c r="F672" s="5">
        <v>1500000.0</v>
      </c>
      <c r="G672" s="1" t="s">
        <v>1114</v>
      </c>
      <c r="H672" s="1" t="s">
        <v>61</v>
      </c>
      <c r="I672" s="4">
        <v>44629.0</v>
      </c>
      <c r="K672" s="1">
        <v>0.0</v>
      </c>
      <c r="L672" s="1" t="s">
        <v>2606</v>
      </c>
      <c r="M672" s="1" t="str">
        <f>VLOOKUP(L672,'Copy of PMD Workday Constants -'!B641:Y1327,22,false)</f>
        <v>#N/A</v>
      </c>
      <c r="N672" s="1" t="s">
        <v>32</v>
      </c>
      <c r="O672" s="1" t="s">
        <v>33</v>
      </c>
      <c r="P672" s="1" t="s">
        <v>34</v>
      </c>
      <c r="Q672" s="1" t="s">
        <v>34</v>
      </c>
      <c r="R672" s="1" t="s">
        <v>35</v>
      </c>
      <c r="S672" s="1" t="s">
        <v>540</v>
      </c>
      <c r="T672" s="1">
        <v>1.00690563E8</v>
      </c>
      <c r="W672" s="1" t="s">
        <v>493</v>
      </c>
      <c r="X672" s="1" t="s">
        <v>2606</v>
      </c>
    </row>
    <row r="673">
      <c r="A673" s="1" t="s">
        <v>2607</v>
      </c>
      <c r="B673" s="1" t="s">
        <v>573</v>
      </c>
      <c r="C673" s="1" t="s">
        <v>2608</v>
      </c>
      <c r="D673" s="1" t="s">
        <v>28</v>
      </c>
      <c r="E673" s="1" t="s">
        <v>29</v>
      </c>
      <c r="F673" s="5">
        <v>1500000.0</v>
      </c>
      <c r="G673" s="1" t="s">
        <v>1114</v>
      </c>
      <c r="H673" s="4">
        <v>44478.0</v>
      </c>
      <c r="I673" s="1" t="s">
        <v>699</v>
      </c>
      <c r="K673" s="1">
        <v>0.0</v>
      </c>
      <c r="L673" s="1" t="s">
        <v>1049</v>
      </c>
      <c r="M673" s="1" t="str">
        <f>VLOOKUP(L673,'Copy of PMD Workday Constants -'!B642:Y1328,22,false)</f>
        <v>#N/A</v>
      </c>
      <c r="N673" s="1" t="s">
        <v>32</v>
      </c>
      <c r="O673" s="1" t="s">
        <v>33</v>
      </c>
      <c r="P673" s="1" t="s">
        <v>210</v>
      </c>
      <c r="Q673" s="1" t="s">
        <v>210</v>
      </c>
      <c r="R673" s="1" t="s">
        <v>211</v>
      </c>
      <c r="S673" s="1" t="s">
        <v>1313</v>
      </c>
      <c r="T673" s="1">
        <v>1.00650344E8</v>
      </c>
      <c r="W673" s="1" t="s">
        <v>577</v>
      </c>
      <c r="X673" s="1" t="s">
        <v>2609</v>
      </c>
    </row>
    <row r="674">
      <c r="A674" s="1" t="s">
        <v>2610</v>
      </c>
      <c r="B674" s="1" t="s">
        <v>1516</v>
      </c>
      <c r="C674" s="1" t="s">
        <v>2611</v>
      </c>
      <c r="D674" s="1" t="s">
        <v>103</v>
      </c>
      <c r="E674" s="1" t="s">
        <v>29</v>
      </c>
      <c r="F674" s="5">
        <v>1500000.0</v>
      </c>
      <c r="G674" s="1" t="s">
        <v>1114</v>
      </c>
      <c r="H674" s="4">
        <v>44718.0</v>
      </c>
      <c r="I674" s="1" t="s">
        <v>132</v>
      </c>
      <c r="K674" s="1">
        <v>0.0</v>
      </c>
      <c r="L674" s="1" t="s">
        <v>2612</v>
      </c>
      <c r="M674" s="1" t="str">
        <f>VLOOKUP(L674,'Copy of PMD Workday Constants -'!B643:Y1329,22,false)</f>
        <v>#N/A</v>
      </c>
      <c r="N674" s="1" t="s">
        <v>32</v>
      </c>
      <c r="O674" s="1" t="s">
        <v>33</v>
      </c>
      <c r="P674" s="1" t="s">
        <v>173</v>
      </c>
      <c r="Q674" s="1" t="s">
        <v>173</v>
      </c>
      <c r="R674" s="1" t="s">
        <v>174</v>
      </c>
      <c r="S674" s="1" t="s">
        <v>153</v>
      </c>
      <c r="T674" s="1">
        <v>1.00609544E8</v>
      </c>
      <c r="W674" s="1" t="s">
        <v>456</v>
      </c>
      <c r="X674" s="1" t="s">
        <v>2613</v>
      </c>
    </row>
    <row r="675">
      <c r="A675" s="1" t="s">
        <v>2614</v>
      </c>
      <c r="B675" s="1" t="s">
        <v>554</v>
      </c>
      <c r="C675" s="1" t="s">
        <v>2615</v>
      </c>
      <c r="D675" s="1" t="s">
        <v>51</v>
      </c>
      <c r="E675" s="1" t="s">
        <v>29</v>
      </c>
      <c r="F675" s="5">
        <v>1500000.0</v>
      </c>
      <c r="G675" s="1" t="s">
        <v>1114</v>
      </c>
      <c r="H675" s="1" t="s">
        <v>1708</v>
      </c>
      <c r="I675" s="1" t="s">
        <v>152</v>
      </c>
      <c r="K675" s="1">
        <v>0.0</v>
      </c>
      <c r="L675" s="1" t="s">
        <v>203</v>
      </c>
      <c r="M675" s="1" t="str">
        <f>VLOOKUP(L675,'Copy of PMD Workday Constants -'!B644:Y1330,22,false)</f>
        <v>#N/A</v>
      </c>
      <c r="N675" s="1" t="s">
        <v>32</v>
      </c>
      <c r="O675" s="1" t="s">
        <v>33</v>
      </c>
      <c r="P675" s="1" t="s">
        <v>112</v>
      </c>
      <c r="Q675" s="1" t="s">
        <v>112</v>
      </c>
      <c r="R675" s="1" t="s">
        <v>113</v>
      </c>
      <c r="S675" s="1" t="s">
        <v>114</v>
      </c>
      <c r="T675" s="1">
        <v>1.01200292E8</v>
      </c>
      <c r="W675" s="1" t="s">
        <v>140</v>
      </c>
      <c r="X675" s="1" t="s">
        <v>2616</v>
      </c>
    </row>
    <row r="676">
      <c r="A676" s="1" t="s">
        <v>2617</v>
      </c>
      <c r="B676" s="1" t="s">
        <v>954</v>
      </c>
      <c r="C676" s="1" t="s">
        <v>2618</v>
      </c>
      <c r="D676" s="1" t="s">
        <v>51</v>
      </c>
      <c r="E676" s="1" t="s">
        <v>29</v>
      </c>
      <c r="F676" s="5">
        <v>1500000.0</v>
      </c>
      <c r="G676" s="1" t="s">
        <v>1114</v>
      </c>
      <c r="H676" s="1" t="s">
        <v>2619</v>
      </c>
      <c r="I676" s="4">
        <v>44569.0</v>
      </c>
      <c r="K676" s="1">
        <v>0.0</v>
      </c>
      <c r="L676" s="1" t="s">
        <v>956</v>
      </c>
      <c r="M676" s="1" t="str">
        <f>VLOOKUP(L676,'Copy of PMD Workday Constants -'!B645:Y1331,22,false)</f>
        <v>#N/A</v>
      </c>
      <c r="N676" s="1" t="s">
        <v>32</v>
      </c>
      <c r="O676" s="1" t="s">
        <v>33</v>
      </c>
      <c r="P676" s="1" t="s">
        <v>173</v>
      </c>
      <c r="Q676" s="1" t="s">
        <v>173</v>
      </c>
      <c r="R676" s="1" t="s">
        <v>174</v>
      </c>
      <c r="S676" s="1" t="s">
        <v>612</v>
      </c>
      <c r="T676" s="1">
        <v>1.00623421E8</v>
      </c>
      <c r="W676" s="1" t="s">
        <v>147</v>
      </c>
      <c r="X676" s="1" t="s">
        <v>956</v>
      </c>
    </row>
    <row r="677">
      <c r="A677" s="1" t="s">
        <v>2620</v>
      </c>
      <c r="B677" s="1" t="s">
        <v>772</v>
      </c>
      <c r="C677" s="1" t="s">
        <v>2621</v>
      </c>
      <c r="D677" s="1" t="s">
        <v>103</v>
      </c>
      <c r="E677" s="1" t="s">
        <v>29</v>
      </c>
      <c r="F677" s="5">
        <v>1500000.0</v>
      </c>
      <c r="G677" s="1" t="s">
        <v>1114</v>
      </c>
      <c r="H677" s="1" t="s">
        <v>2622</v>
      </c>
      <c r="I677" s="1" t="s">
        <v>80</v>
      </c>
      <c r="K677" s="1">
        <v>0.0</v>
      </c>
      <c r="L677" s="1" t="s">
        <v>2042</v>
      </c>
      <c r="M677" s="1" t="str">
        <f>VLOOKUP(L677,'Copy of PMD Workday Constants -'!B646:Y1332,22,false)</f>
        <v>#N/A</v>
      </c>
      <c r="N677" s="1" t="s">
        <v>32</v>
      </c>
      <c r="O677" s="1" t="s">
        <v>33</v>
      </c>
      <c r="P677" s="1" t="s">
        <v>34</v>
      </c>
      <c r="Q677" s="1" t="s">
        <v>34</v>
      </c>
      <c r="R677" s="1" t="s">
        <v>35</v>
      </c>
      <c r="S677" s="1" t="s">
        <v>126</v>
      </c>
      <c r="T677" s="1">
        <v>1.00611284E8</v>
      </c>
      <c r="W677" s="1" t="s">
        <v>37</v>
      </c>
      <c r="X677" s="1" t="s">
        <v>1324</v>
      </c>
    </row>
    <row r="678">
      <c r="A678" s="1" t="s">
        <v>2623</v>
      </c>
      <c r="B678" s="1" t="s">
        <v>2624</v>
      </c>
      <c r="C678" s="1" t="s">
        <v>2625</v>
      </c>
      <c r="D678" s="1" t="s">
        <v>51</v>
      </c>
      <c r="E678" s="1" t="s">
        <v>29</v>
      </c>
      <c r="F678" s="5">
        <v>1500000.0</v>
      </c>
      <c r="G678" s="1" t="s">
        <v>1114</v>
      </c>
      <c r="H678" s="1" t="s">
        <v>870</v>
      </c>
      <c r="I678" s="1" t="s">
        <v>217</v>
      </c>
      <c r="K678" s="1">
        <v>0.0</v>
      </c>
      <c r="L678" s="1" t="s">
        <v>198</v>
      </c>
      <c r="M678" s="1" t="str">
        <f>VLOOKUP(L678,'Copy of PMD Workday Constants -'!B647:Y1333,22,false)</f>
        <v>#N/A</v>
      </c>
      <c r="N678" s="1" t="s">
        <v>32</v>
      </c>
      <c r="O678" s="1" t="s">
        <v>33</v>
      </c>
      <c r="P678" s="1" t="s">
        <v>82</v>
      </c>
      <c r="Q678" s="1" t="s">
        <v>82</v>
      </c>
      <c r="R678" s="1" t="s">
        <v>83</v>
      </c>
      <c r="S678" s="1" t="s">
        <v>180</v>
      </c>
      <c r="T678" s="1">
        <v>1.00590896E8</v>
      </c>
      <c r="W678" s="1" t="s">
        <v>85</v>
      </c>
      <c r="X678" s="1" t="s">
        <v>1142</v>
      </c>
    </row>
    <row r="679">
      <c r="A679" s="1" t="s">
        <v>2626</v>
      </c>
      <c r="B679" s="1" t="s">
        <v>1109</v>
      </c>
      <c r="C679" s="1" t="s">
        <v>2627</v>
      </c>
      <c r="D679" s="1" t="s">
        <v>51</v>
      </c>
      <c r="E679" s="1" t="s">
        <v>29</v>
      </c>
      <c r="F679" s="5">
        <v>1500000.0</v>
      </c>
      <c r="G679" s="1" t="s">
        <v>1114</v>
      </c>
      <c r="H679" s="4">
        <v>44478.0</v>
      </c>
      <c r="I679" s="4">
        <v>44904.0</v>
      </c>
      <c r="K679" s="1">
        <v>0.0</v>
      </c>
      <c r="L679" s="1" t="s">
        <v>81</v>
      </c>
      <c r="M679" s="1" t="str">
        <f>VLOOKUP(L679,'Copy of PMD Workday Constants -'!B648:Y1334,22,false)</f>
        <v>#N/A</v>
      </c>
      <c r="N679" s="1" t="s">
        <v>32</v>
      </c>
      <c r="O679" s="1" t="s">
        <v>33</v>
      </c>
      <c r="P679" s="1" t="s">
        <v>82</v>
      </c>
      <c r="Q679" s="1" t="s">
        <v>82</v>
      </c>
      <c r="R679" s="1" t="s">
        <v>83</v>
      </c>
      <c r="S679" s="1" t="s">
        <v>84</v>
      </c>
      <c r="T679" s="1">
        <v>1.00640331E8</v>
      </c>
      <c r="W679" s="1" t="s">
        <v>85</v>
      </c>
      <c r="X679" s="1" t="s">
        <v>81</v>
      </c>
    </row>
    <row r="680">
      <c r="A680" s="1" t="s">
        <v>2628</v>
      </c>
      <c r="B680" s="1" t="s">
        <v>1775</v>
      </c>
      <c r="C680" s="1" t="s">
        <v>2629</v>
      </c>
      <c r="D680" s="1" t="s">
        <v>28</v>
      </c>
      <c r="E680" s="1" t="s">
        <v>29</v>
      </c>
      <c r="F680" s="5">
        <v>1500000.0</v>
      </c>
      <c r="G680" s="1" t="s">
        <v>1114</v>
      </c>
      <c r="H680" s="4">
        <v>44836.0</v>
      </c>
      <c r="I680" s="4">
        <v>44570.0</v>
      </c>
      <c r="K680" s="1">
        <v>0.0</v>
      </c>
      <c r="L680" s="1" t="s">
        <v>2630</v>
      </c>
      <c r="M680" s="1" t="str">
        <f>VLOOKUP(L680,'Copy of PMD Workday Constants -'!B649:Y1335,22,false)</f>
        <v>#N/A</v>
      </c>
      <c r="N680" s="1" t="s">
        <v>32</v>
      </c>
      <c r="O680" s="1" t="s">
        <v>33</v>
      </c>
      <c r="P680" s="1" t="s">
        <v>34</v>
      </c>
      <c r="Q680" s="1" t="s">
        <v>34</v>
      </c>
      <c r="R680" s="1" t="s">
        <v>35</v>
      </c>
      <c r="S680" s="1" t="s">
        <v>1166</v>
      </c>
      <c r="T680" s="1">
        <v>1.00606975E8</v>
      </c>
      <c r="W680" s="1" t="s">
        <v>456</v>
      </c>
      <c r="X680" s="1" t="s">
        <v>2631</v>
      </c>
    </row>
    <row r="681">
      <c r="A681" s="1" t="s">
        <v>2632</v>
      </c>
      <c r="B681" s="1" t="s">
        <v>2633</v>
      </c>
      <c r="C681" s="1" t="s">
        <v>2634</v>
      </c>
      <c r="D681" s="1" t="s">
        <v>28</v>
      </c>
      <c r="E681" s="1" t="s">
        <v>29</v>
      </c>
      <c r="F681" s="5">
        <v>1500000.0</v>
      </c>
      <c r="G681" s="1" t="s">
        <v>1114</v>
      </c>
      <c r="H681" s="1" t="s">
        <v>1245</v>
      </c>
      <c r="I681" s="1" t="s">
        <v>302</v>
      </c>
      <c r="K681" s="1">
        <v>0.0</v>
      </c>
      <c r="L681" s="1" t="s">
        <v>428</v>
      </c>
      <c r="M681" s="1" t="str">
        <f>VLOOKUP(L681,'Copy of PMD Workday Constants -'!B650:Y1336,22,false)</f>
        <v>#N/A</v>
      </c>
      <c r="N681" s="1" t="s">
        <v>32</v>
      </c>
      <c r="O681" s="1" t="s">
        <v>33</v>
      </c>
      <c r="P681" s="1" t="s">
        <v>173</v>
      </c>
      <c r="Q681" s="1" t="s">
        <v>173</v>
      </c>
      <c r="R681" s="1" t="s">
        <v>174</v>
      </c>
      <c r="S681" s="1" t="s">
        <v>153</v>
      </c>
      <c r="T681" s="1">
        <v>1.00654085E8</v>
      </c>
      <c r="W681" s="1" t="s">
        <v>85</v>
      </c>
      <c r="X681" s="1" t="s">
        <v>428</v>
      </c>
    </row>
    <row r="682">
      <c r="A682" s="1" t="s">
        <v>2635</v>
      </c>
      <c r="B682" s="1" t="s">
        <v>40</v>
      </c>
      <c r="C682" s="1" t="s">
        <v>1332</v>
      </c>
      <c r="D682" s="1" t="s">
        <v>103</v>
      </c>
      <c r="E682" s="1" t="s">
        <v>29</v>
      </c>
      <c r="F682" s="5">
        <v>1500000.0</v>
      </c>
      <c r="G682" s="1" t="s">
        <v>1114</v>
      </c>
      <c r="H682" s="4">
        <v>44622.0</v>
      </c>
      <c r="I682" s="1" t="s">
        <v>80</v>
      </c>
      <c r="K682" s="1">
        <v>0.0</v>
      </c>
      <c r="L682" s="1" t="s">
        <v>1331</v>
      </c>
      <c r="M682" s="1" t="str">
        <f>VLOOKUP(L682,'Copy of PMD Workday Constants -'!B651:Y1337,22,false)</f>
        <v>#N/A</v>
      </c>
      <c r="N682" s="1" t="s">
        <v>32</v>
      </c>
      <c r="O682" s="1" t="s">
        <v>33</v>
      </c>
      <c r="P682" s="1" t="s">
        <v>222</v>
      </c>
      <c r="Q682" s="1" t="s">
        <v>222</v>
      </c>
      <c r="R682" s="1" t="s">
        <v>223</v>
      </c>
      <c r="S682" s="1" t="s">
        <v>285</v>
      </c>
      <c r="T682" s="1">
        <v>1.00631257E8</v>
      </c>
      <c r="U682" s="1" t="s">
        <v>332</v>
      </c>
      <c r="V682" s="1" t="s">
        <v>46</v>
      </c>
      <c r="W682" s="1" t="s">
        <v>47</v>
      </c>
      <c r="X682" s="1" t="s">
        <v>333</v>
      </c>
    </row>
    <row r="683">
      <c r="A683" s="1" t="s">
        <v>2636</v>
      </c>
      <c r="B683" s="1" t="s">
        <v>1367</v>
      </c>
      <c r="C683" s="1" t="s">
        <v>2637</v>
      </c>
      <c r="D683" s="1" t="s">
        <v>51</v>
      </c>
      <c r="E683" s="1" t="s">
        <v>29</v>
      </c>
      <c r="F683" s="5">
        <v>1500000.0</v>
      </c>
      <c r="G683" s="1" t="s">
        <v>1114</v>
      </c>
      <c r="H683" s="1" t="s">
        <v>2049</v>
      </c>
      <c r="I683" s="4">
        <v>44690.0</v>
      </c>
      <c r="K683" s="1">
        <v>0.0</v>
      </c>
      <c r="L683" s="1" t="s">
        <v>1611</v>
      </c>
      <c r="M683" s="1" t="str">
        <f>VLOOKUP(L683,'Copy of PMD Workday Constants -'!B652:Y1338,22,false)</f>
        <v>#N/A</v>
      </c>
      <c r="N683" s="1" t="s">
        <v>32</v>
      </c>
      <c r="O683" s="1" t="s">
        <v>33</v>
      </c>
      <c r="P683" s="1" t="s">
        <v>34</v>
      </c>
      <c r="Q683" s="1" t="s">
        <v>34</v>
      </c>
      <c r="R683" s="1" t="s">
        <v>35</v>
      </c>
      <c r="S683" s="1" t="s">
        <v>126</v>
      </c>
      <c r="T683" s="1">
        <v>1.00645852E8</v>
      </c>
      <c r="W683" s="1" t="s">
        <v>47</v>
      </c>
      <c r="X683" s="1" t="s">
        <v>1613</v>
      </c>
    </row>
    <row r="684">
      <c r="A684" s="1" t="s">
        <v>2638</v>
      </c>
      <c r="B684" s="1" t="s">
        <v>923</v>
      </c>
      <c r="C684" s="1" t="s">
        <v>2639</v>
      </c>
      <c r="D684" s="1" t="s">
        <v>28</v>
      </c>
      <c r="E684" s="1" t="s">
        <v>29</v>
      </c>
      <c r="F684" s="5">
        <v>1500000.0</v>
      </c>
      <c r="G684" s="1" t="s">
        <v>1114</v>
      </c>
      <c r="H684" s="1" t="s">
        <v>816</v>
      </c>
      <c r="I684" s="1" t="s">
        <v>2110</v>
      </c>
      <c r="K684" s="1">
        <v>0.0</v>
      </c>
      <c r="L684" s="1" t="s">
        <v>1400</v>
      </c>
      <c r="M684" s="1" t="str">
        <f>VLOOKUP(L684,'Copy of PMD Workday Constants -'!B653:Y1339,22,false)</f>
        <v>#N/A</v>
      </c>
      <c r="N684" s="1" t="s">
        <v>32</v>
      </c>
      <c r="O684" s="1" t="s">
        <v>33</v>
      </c>
      <c r="P684" s="1" t="s">
        <v>64</v>
      </c>
      <c r="Q684" s="1" t="s">
        <v>64</v>
      </c>
      <c r="R684" s="1" t="s">
        <v>65</v>
      </c>
      <c r="T684" s="1">
        <v>1.0059033E8</v>
      </c>
      <c r="W684" s="1" t="s">
        <v>308</v>
      </c>
      <c r="X684" s="1" t="s">
        <v>309</v>
      </c>
    </row>
    <row r="685">
      <c r="A685" s="1" t="s">
        <v>2640</v>
      </c>
      <c r="B685" s="1" t="s">
        <v>2641</v>
      </c>
      <c r="C685" s="1" t="s">
        <v>2642</v>
      </c>
      <c r="D685" s="1" t="s">
        <v>103</v>
      </c>
      <c r="E685" s="1" t="s">
        <v>29</v>
      </c>
      <c r="F685" s="5">
        <v>1500000.0</v>
      </c>
      <c r="G685" s="1" t="s">
        <v>1114</v>
      </c>
      <c r="H685" s="4">
        <v>44870.0</v>
      </c>
      <c r="I685" s="1" t="s">
        <v>104</v>
      </c>
      <c r="K685" s="1">
        <v>0.0</v>
      </c>
      <c r="L685" s="1" t="s">
        <v>2643</v>
      </c>
      <c r="M685" s="1" t="str">
        <f>VLOOKUP(L685,'Copy of PMD Workday Constants -'!B654:Y1340,22,false)</f>
        <v>Delivery</v>
      </c>
      <c r="N685" s="1" t="s">
        <v>32</v>
      </c>
      <c r="O685" s="1" t="s">
        <v>33</v>
      </c>
      <c r="P685" s="1" t="s">
        <v>64</v>
      </c>
      <c r="Q685" s="1" t="s">
        <v>64</v>
      </c>
      <c r="R685" s="1" t="s">
        <v>65</v>
      </c>
      <c r="S685" s="1" t="s">
        <v>791</v>
      </c>
      <c r="T685" s="1">
        <v>1.00650713E8</v>
      </c>
      <c r="W685" s="1" t="s">
        <v>456</v>
      </c>
      <c r="X685" s="1" t="s">
        <v>2644</v>
      </c>
    </row>
    <row r="686">
      <c r="A686" s="1" t="s">
        <v>2645</v>
      </c>
      <c r="B686" s="1" t="s">
        <v>2646</v>
      </c>
      <c r="C686" s="1" t="s">
        <v>196</v>
      </c>
      <c r="D686" s="1" t="s">
        <v>103</v>
      </c>
      <c r="E686" s="1" t="s">
        <v>29</v>
      </c>
      <c r="F686" s="5">
        <v>1500000.0</v>
      </c>
      <c r="G686" s="1" t="s">
        <v>1114</v>
      </c>
      <c r="H686" s="1" t="s">
        <v>563</v>
      </c>
      <c r="I686" s="1" t="s">
        <v>302</v>
      </c>
      <c r="K686" s="1">
        <v>0.0</v>
      </c>
      <c r="L686" s="1" t="s">
        <v>198</v>
      </c>
      <c r="M686" s="1" t="str">
        <f>VLOOKUP(L686,'Copy of PMD Workday Constants -'!B655:Y1341,22,false)</f>
        <v>#N/A</v>
      </c>
      <c r="N686" s="1" t="s">
        <v>32</v>
      </c>
      <c r="O686" s="1" t="s">
        <v>33</v>
      </c>
      <c r="P686" s="1" t="s">
        <v>82</v>
      </c>
      <c r="Q686" s="1" t="s">
        <v>82</v>
      </c>
      <c r="R686" s="1" t="s">
        <v>83</v>
      </c>
      <c r="S686" s="1" t="s">
        <v>180</v>
      </c>
      <c r="T686" s="1">
        <v>1.00590896E8</v>
      </c>
      <c r="W686" s="1" t="s">
        <v>2098</v>
      </c>
      <c r="X686" s="1" t="s">
        <v>199</v>
      </c>
    </row>
    <row r="687">
      <c r="A687" s="1" t="s">
        <v>2647</v>
      </c>
      <c r="B687" s="1" t="s">
        <v>2648</v>
      </c>
      <c r="C687" s="1" t="s">
        <v>2649</v>
      </c>
      <c r="D687" s="1" t="s">
        <v>28</v>
      </c>
      <c r="E687" s="1" t="s">
        <v>29</v>
      </c>
      <c r="F687" s="5">
        <v>1500000.0</v>
      </c>
      <c r="G687" s="1" t="s">
        <v>1114</v>
      </c>
      <c r="H687" s="4">
        <v>44870.0</v>
      </c>
      <c r="I687" s="4">
        <v>44658.0</v>
      </c>
      <c r="K687" s="1">
        <v>0.0</v>
      </c>
      <c r="L687" s="1" t="s">
        <v>2174</v>
      </c>
      <c r="M687" s="1" t="str">
        <f>VLOOKUP(L687,'Copy of PMD Workday Constants -'!B656:Y1342,22,false)</f>
        <v>#N/A</v>
      </c>
      <c r="N687" s="1" t="s">
        <v>32</v>
      </c>
      <c r="O687" s="1" t="s">
        <v>33</v>
      </c>
      <c r="P687" s="1" t="s">
        <v>112</v>
      </c>
      <c r="Q687" s="1" t="s">
        <v>112</v>
      </c>
      <c r="R687" s="1" t="s">
        <v>113</v>
      </c>
      <c r="S687" s="1" t="s">
        <v>134</v>
      </c>
      <c r="T687" s="1">
        <v>1.00631322E8</v>
      </c>
      <c r="W687" s="1" t="s">
        <v>74</v>
      </c>
      <c r="X687" s="1" t="s">
        <v>852</v>
      </c>
    </row>
    <row r="688">
      <c r="A688" s="1" t="s">
        <v>2650</v>
      </c>
      <c r="B688" s="1" t="s">
        <v>765</v>
      </c>
      <c r="C688" s="1" t="s">
        <v>2651</v>
      </c>
      <c r="D688" s="1" t="s">
        <v>103</v>
      </c>
      <c r="E688" s="1" t="s">
        <v>29</v>
      </c>
      <c r="F688" s="5">
        <v>1500000.0</v>
      </c>
      <c r="G688" s="1" t="s">
        <v>1114</v>
      </c>
      <c r="H688" s="1" t="s">
        <v>870</v>
      </c>
      <c r="I688" s="1" t="s">
        <v>132</v>
      </c>
      <c r="K688" s="1">
        <v>0.0</v>
      </c>
      <c r="L688" s="1" t="s">
        <v>1829</v>
      </c>
      <c r="M688" s="1" t="str">
        <f>VLOOKUP(L688,'Copy of PMD Workday Constants -'!B657:Y1343,22,false)</f>
        <v>#N/A</v>
      </c>
      <c r="N688" s="1" t="s">
        <v>32</v>
      </c>
      <c r="O688" s="1" t="s">
        <v>33</v>
      </c>
      <c r="P688" s="1" t="s">
        <v>54</v>
      </c>
      <c r="Q688" s="1" t="s">
        <v>54</v>
      </c>
      <c r="R688" s="1" t="s">
        <v>55</v>
      </c>
      <c r="T688" s="1">
        <v>1.00637664E8</v>
      </c>
      <c r="W688" s="1" t="s">
        <v>456</v>
      </c>
      <c r="X688" s="1" t="s">
        <v>1829</v>
      </c>
    </row>
    <row r="689">
      <c r="A689" s="1" t="s">
        <v>2652</v>
      </c>
      <c r="B689" s="1" t="s">
        <v>2653</v>
      </c>
      <c r="C689" s="1" t="s">
        <v>2654</v>
      </c>
      <c r="D689" s="1" t="s">
        <v>103</v>
      </c>
      <c r="E689" s="1" t="s">
        <v>29</v>
      </c>
      <c r="F689" s="5">
        <v>1500000.0</v>
      </c>
      <c r="G689" s="1" t="s">
        <v>1114</v>
      </c>
      <c r="H689" s="4">
        <v>44900.0</v>
      </c>
      <c r="I689" s="1" t="s">
        <v>152</v>
      </c>
      <c r="K689" s="1">
        <v>0.0</v>
      </c>
      <c r="L689" s="1" t="s">
        <v>2655</v>
      </c>
      <c r="M689" s="1" t="str">
        <f>VLOOKUP(L689,'Copy of PMD Workday Constants -'!B658:Y1344,22,false)</f>
        <v>#N/A</v>
      </c>
      <c r="N689" s="1" t="s">
        <v>32</v>
      </c>
      <c r="O689" s="1" t="s">
        <v>33</v>
      </c>
      <c r="P689" s="1" t="s">
        <v>210</v>
      </c>
      <c r="Q689" s="1" t="s">
        <v>210</v>
      </c>
      <c r="R689" s="1" t="s">
        <v>211</v>
      </c>
      <c r="S689" s="1" t="s">
        <v>1313</v>
      </c>
      <c r="T689" s="1">
        <v>1.0062606E8</v>
      </c>
      <c r="W689" s="1" t="s">
        <v>436</v>
      </c>
      <c r="X689" s="1" t="s">
        <v>2656</v>
      </c>
    </row>
    <row r="690">
      <c r="A690" s="1" t="s">
        <v>2657</v>
      </c>
      <c r="B690" s="1" t="s">
        <v>1596</v>
      </c>
      <c r="C690" s="1" t="s">
        <v>2658</v>
      </c>
      <c r="D690" s="1" t="s">
        <v>28</v>
      </c>
      <c r="E690" s="1" t="s">
        <v>29</v>
      </c>
      <c r="F690" s="5">
        <v>1500000.0</v>
      </c>
      <c r="G690" s="1" t="s">
        <v>1114</v>
      </c>
      <c r="H690" s="4">
        <v>43840.0</v>
      </c>
      <c r="I690" s="1" t="s">
        <v>1599</v>
      </c>
      <c r="K690" s="1">
        <v>0.0</v>
      </c>
      <c r="L690" s="1" t="s">
        <v>999</v>
      </c>
      <c r="M690" s="1" t="str">
        <f>VLOOKUP(L690,'Copy of PMD Workday Constants -'!B659:Y1345,22,false)</f>
        <v>#N/A</v>
      </c>
      <c r="N690" s="1" t="s">
        <v>32</v>
      </c>
      <c r="O690" s="1" t="s">
        <v>33</v>
      </c>
      <c r="P690" s="1" t="s">
        <v>112</v>
      </c>
      <c r="Q690" s="1" t="s">
        <v>112</v>
      </c>
      <c r="R690" s="1" t="s">
        <v>113</v>
      </c>
      <c r="S690" s="1" t="s">
        <v>2659</v>
      </c>
      <c r="T690" s="1">
        <v>1.00623453E8</v>
      </c>
      <c r="W690" s="1" t="s">
        <v>391</v>
      </c>
      <c r="X690" s="1" t="s">
        <v>2660</v>
      </c>
    </row>
    <row r="691">
      <c r="A691" s="1" t="s">
        <v>2661</v>
      </c>
      <c r="B691" s="1" t="s">
        <v>2662</v>
      </c>
      <c r="C691" s="1" t="s">
        <v>2663</v>
      </c>
      <c r="D691" s="1" t="s">
        <v>103</v>
      </c>
      <c r="E691" s="1" t="s">
        <v>29</v>
      </c>
      <c r="F691" s="5">
        <v>1500000.0</v>
      </c>
      <c r="G691" s="1" t="s">
        <v>1114</v>
      </c>
      <c r="H691" s="1" t="s">
        <v>870</v>
      </c>
      <c r="I691" s="1" t="s">
        <v>302</v>
      </c>
      <c r="K691" s="1">
        <v>0.0</v>
      </c>
      <c r="L691" s="1" t="s">
        <v>198</v>
      </c>
      <c r="M691" s="1" t="str">
        <f>VLOOKUP(L691,'Copy of PMD Workday Constants -'!B660:Y1346,22,false)</f>
        <v>#N/A</v>
      </c>
      <c r="N691" s="1" t="s">
        <v>32</v>
      </c>
      <c r="O691" s="1" t="s">
        <v>33</v>
      </c>
      <c r="P691" s="1" t="s">
        <v>82</v>
      </c>
      <c r="Q691" s="1" t="s">
        <v>82</v>
      </c>
      <c r="R691" s="1" t="s">
        <v>83</v>
      </c>
      <c r="S691" s="1" t="s">
        <v>180</v>
      </c>
      <c r="T691" s="1">
        <v>1.00590896E8</v>
      </c>
      <c r="W691" s="1" t="s">
        <v>85</v>
      </c>
      <c r="X691" s="1" t="s">
        <v>1142</v>
      </c>
    </row>
    <row r="692">
      <c r="A692" s="1" t="s">
        <v>2664</v>
      </c>
      <c r="B692" s="1" t="s">
        <v>2665</v>
      </c>
      <c r="C692" s="1" t="s">
        <v>196</v>
      </c>
      <c r="D692" s="1" t="s">
        <v>51</v>
      </c>
      <c r="E692" s="1" t="s">
        <v>29</v>
      </c>
      <c r="F692" s="5">
        <v>1500000.0</v>
      </c>
      <c r="G692" s="1" t="s">
        <v>1114</v>
      </c>
      <c r="H692" s="1" t="s">
        <v>2666</v>
      </c>
      <c r="I692" s="1" t="s">
        <v>104</v>
      </c>
      <c r="K692" s="1">
        <v>0.0</v>
      </c>
      <c r="L692" s="1" t="s">
        <v>198</v>
      </c>
      <c r="M692" s="1" t="str">
        <f>VLOOKUP(L692,'Copy of PMD Workday Constants -'!B661:Y1347,22,false)</f>
        <v>#N/A</v>
      </c>
      <c r="N692" s="1" t="s">
        <v>32</v>
      </c>
      <c r="O692" s="1" t="s">
        <v>33</v>
      </c>
      <c r="P692" s="1" t="s">
        <v>82</v>
      </c>
      <c r="Q692" s="1" t="s">
        <v>82</v>
      </c>
      <c r="R692" s="1" t="s">
        <v>83</v>
      </c>
      <c r="S692" s="1" t="s">
        <v>180</v>
      </c>
      <c r="T692" s="1">
        <v>1.00590896E8</v>
      </c>
      <c r="W692" s="1" t="s">
        <v>1801</v>
      </c>
      <c r="X692" s="1" t="s">
        <v>198</v>
      </c>
    </row>
    <row r="693">
      <c r="A693" s="1" t="s">
        <v>2667</v>
      </c>
      <c r="B693" s="1" t="s">
        <v>1106</v>
      </c>
      <c r="C693" s="1" t="s">
        <v>2668</v>
      </c>
      <c r="D693" s="1" t="s">
        <v>51</v>
      </c>
      <c r="E693" s="1" t="s">
        <v>29</v>
      </c>
      <c r="F693" s="5">
        <v>1500000.0</v>
      </c>
      <c r="G693" s="1" t="s">
        <v>1114</v>
      </c>
      <c r="H693" s="4">
        <v>44687.0</v>
      </c>
      <c r="I693" s="1" t="s">
        <v>414</v>
      </c>
      <c r="K693" s="1">
        <v>0.0</v>
      </c>
      <c r="L693" s="1" t="s">
        <v>2058</v>
      </c>
      <c r="M693" s="1" t="str">
        <f>VLOOKUP(L693,'Copy of PMD Workday Constants -'!B662:Y1348,22,false)</f>
        <v>#N/A</v>
      </c>
      <c r="N693" s="1" t="s">
        <v>32</v>
      </c>
      <c r="O693" s="1" t="s">
        <v>33</v>
      </c>
      <c r="P693" s="1" t="s">
        <v>34</v>
      </c>
      <c r="Q693" s="1" t="s">
        <v>34</v>
      </c>
      <c r="R693" s="1" t="s">
        <v>35</v>
      </c>
      <c r="T693" s="1">
        <v>1.01076271E8</v>
      </c>
      <c r="W693" s="1" t="s">
        <v>140</v>
      </c>
      <c r="X693" s="1" t="s">
        <v>2058</v>
      </c>
    </row>
    <row r="694">
      <c r="A694" s="1" t="s">
        <v>2669</v>
      </c>
      <c r="B694" s="1" t="s">
        <v>2670</v>
      </c>
      <c r="C694" s="1" t="s">
        <v>2671</v>
      </c>
      <c r="D694" s="1" t="s">
        <v>51</v>
      </c>
      <c r="E694" s="1" t="s">
        <v>29</v>
      </c>
      <c r="F694" s="5">
        <v>1500000.0</v>
      </c>
      <c r="G694" s="1" t="s">
        <v>1114</v>
      </c>
      <c r="H694" s="1" t="s">
        <v>587</v>
      </c>
      <c r="I694" s="1" t="s">
        <v>104</v>
      </c>
      <c r="K694" s="1">
        <v>0.0</v>
      </c>
      <c r="L694" s="1" t="s">
        <v>2672</v>
      </c>
      <c r="M694" s="1" t="str">
        <f>VLOOKUP(L694,'Copy of PMD Workday Constants -'!B663:Y1349,22,false)</f>
        <v>#N/A</v>
      </c>
      <c r="N694" s="1" t="s">
        <v>32</v>
      </c>
      <c r="O694" s="1" t="s">
        <v>33</v>
      </c>
      <c r="P694" s="1" t="s">
        <v>173</v>
      </c>
      <c r="Q694" s="1" t="s">
        <v>173</v>
      </c>
      <c r="R694" s="1" t="s">
        <v>174</v>
      </c>
      <c r="T694" s="1">
        <v>1.00607244E8</v>
      </c>
      <c r="W694" s="1" t="s">
        <v>493</v>
      </c>
      <c r="X694" s="1" t="s">
        <v>2673</v>
      </c>
    </row>
    <row r="695">
      <c r="A695" s="1" t="s">
        <v>2674</v>
      </c>
      <c r="B695" s="1" t="s">
        <v>673</v>
      </c>
      <c r="C695" s="1" t="s">
        <v>2675</v>
      </c>
      <c r="D695" s="1" t="s">
        <v>28</v>
      </c>
      <c r="E695" s="1" t="s">
        <v>29</v>
      </c>
      <c r="F695" s="5">
        <v>1500000.0</v>
      </c>
      <c r="G695" s="1" t="s">
        <v>1114</v>
      </c>
      <c r="H695" s="1" t="s">
        <v>2510</v>
      </c>
      <c r="I695" s="1" t="s">
        <v>152</v>
      </c>
      <c r="K695" s="1">
        <v>0.0</v>
      </c>
      <c r="L695" s="1" t="s">
        <v>2343</v>
      </c>
      <c r="M695" s="1" t="str">
        <f>VLOOKUP(L695,'Copy of PMD Workday Constants -'!B664:Y1350,22,false)</f>
        <v>#N/A</v>
      </c>
      <c r="N695" s="1" t="s">
        <v>32</v>
      </c>
      <c r="O695" s="1" t="s">
        <v>33</v>
      </c>
      <c r="P695" s="1" t="s">
        <v>222</v>
      </c>
      <c r="Q695" s="1" t="s">
        <v>222</v>
      </c>
      <c r="R695" s="1" t="s">
        <v>223</v>
      </c>
      <c r="S695" s="1" t="s">
        <v>126</v>
      </c>
      <c r="T695" s="1">
        <v>1.00619128E8</v>
      </c>
      <c r="W695" s="1" t="s">
        <v>47</v>
      </c>
      <c r="X695" s="1" t="s">
        <v>675</v>
      </c>
    </row>
    <row r="696">
      <c r="A696" s="1" t="s">
        <v>2676</v>
      </c>
      <c r="B696" s="1" t="s">
        <v>1339</v>
      </c>
      <c r="C696" s="1" t="s">
        <v>2677</v>
      </c>
      <c r="D696" s="1" t="s">
        <v>79</v>
      </c>
      <c r="E696" s="1" t="s">
        <v>29</v>
      </c>
      <c r="F696" s="5">
        <v>1500000.0</v>
      </c>
      <c r="G696" s="1" t="s">
        <v>1114</v>
      </c>
      <c r="H696" s="4">
        <v>44567.0</v>
      </c>
      <c r="I696" s="4">
        <v>44780.0</v>
      </c>
      <c r="K696" s="1">
        <v>0.0</v>
      </c>
      <c r="L696" s="1" t="s">
        <v>968</v>
      </c>
      <c r="M696" s="1" t="str">
        <f>VLOOKUP(L696,'Copy of PMD Workday Constants -'!B665:Y1351,22,false)</f>
        <v>#N/A</v>
      </c>
      <c r="N696" s="1" t="s">
        <v>32</v>
      </c>
      <c r="O696" s="1" t="s">
        <v>33</v>
      </c>
      <c r="P696" s="1" t="s">
        <v>210</v>
      </c>
      <c r="Q696" s="1" t="s">
        <v>210</v>
      </c>
      <c r="R696" s="1" t="s">
        <v>211</v>
      </c>
      <c r="S696" s="1" t="s">
        <v>416</v>
      </c>
      <c r="T696" s="1">
        <v>1.00647262E8</v>
      </c>
      <c r="W696" s="1" t="s">
        <v>56</v>
      </c>
      <c r="X696" s="1" t="s">
        <v>968</v>
      </c>
    </row>
    <row r="697">
      <c r="A697" s="1" t="s">
        <v>2678</v>
      </c>
      <c r="B697" s="1" t="s">
        <v>1347</v>
      </c>
      <c r="C697" s="1" t="s">
        <v>2679</v>
      </c>
      <c r="D697" s="1" t="s">
        <v>51</v>
      </c>
      <c r="E697" s="1" t="s">
        <v>29</v>
      </c>
      <c r="F697" s="5">
        <v>1500000.0</v>
      </c>
      <c r="G697" s="1" t="s">
        <v>1114</v>
      </c>
      <c r="H697" s="4">
        <v>44657.0</v>
      </c>
      <c r="I697" s="4">
        <v>44572.0</v>
      </c>
      <c r="K697" s="1">
        <v>0.0</v>
      </c>
      <c r="L697" s="1" t="s">
        <v>1611</v>
      </c>
      <c r="M697" s="1" t="str">
        <f>VLOOKUP(L697,'Copy of PMD Workday Constants -'!B666:Y1352,22,false)</f>
        <v>#N/A</v>
      </c>
      <c r="N697" s="1" t="s">
        <v>32</v>
      </c>
      <c r="O697" s="1" t="s">
        <v>33</v>
      </c>
      <c r="P697" s="1" t="s">
        <v>34</v>
      </c>
      <c r="Q697" s="1" t="s">
        <v>34</v>
      </c>
      <c r="R697" s="1" t="s">
        <v>35</v>
      </c>
      <c r="T697" s="1">
        <v>1.00645852E8</v>
      </c>
      <c r="W697" s="1" t="s">
        <v>391</v>
      </c>
      <c r="X697" s="1" t="s">
        <v>2680</v>
      </c>
    </row>
    <row r="698">
      <c r="A698" s="1" t="s">
        <v>2681</v>
      </c>
      <c r="B698" s="1" t="s">
        <v>756</v>
      </c>
      <c r="C698" s="1" t="s">
        <v>2682</v>
      </c>
      <c r="D698" s="1" t="s">
        <v>28</v>
      </c>
      <c r="E698" s="1" t="s">
        <v>29</v>
      </c>
      <c r="F698" s="5">
        <v>1500000.0</v>
      </c>
      <c r="G698" s="1" t="s">
        <v>1114</v>
      </c>
      <c r="H698" s="4">
        <v>44810.0</v>
      </c>
      <c r="I698" s="1" t="s">
        <v>43</v>
      </c>
      <c r="K698" s="1">
        <v>0.0</v>
      </c>
      <c r="L698" s="1" t="s">
        <v>1344</v>
      </c>
      <c r="M698" s="1" t="str">
        <f>VLOOKUP(L698,'Copy of PMD Workday Constants -'!B667:Y1353,22,false)</f>
        <v>#N/A</v>
      </c>
      <c r="N698" s="1" t="s">
        <v>32</v>
      </c>
      <c r="O698" s="1" t="s">
        <v>33</v>
      </c>
      <c r="P698" s="1" t="s">
        <v>112</v>
      </c>
      <c r="Q698" s="1" t="s">
        <v>112</v>
      </c>
      <c r="R698" s="1" t="s">
        <v>113</v>
      </c>
      <c r="S698" s="1" t="s">
        <v>134</v>
      </c>
      <c r="T698" s="1">
        <v>1.0061941E8</v>
      </c>
      <c r="W698" s="1" t="s">
        <v>74</v>
      </c>
      <c r="X698" s="1" t="s">
        <v>1711</v>
      </c>
    </row>
    <row r="699">
      <c r="A699" s="1" t="s">
        <v>2683</v>
      </c>
      <c r="B699" s="1" t="s">
        <v>1144</v>
      </c>
      <c r="C699" s="1" t="s">
        <v>2684</v>
      </c>
      <c r="D699" s="1" t="s">
        <v>51</v>
      </c>
      <c r="E699" s="1" t="s">
        <v>29</v>
      </c>
      <c r="F699" s="5">
        <v>1500000.0</v>
      </c>
      <c r="G699" s="1" t="s">
        <v>1114</v>
      </c>
      <c r="H699" s="1" t="s">
        <v>151</v>
      </c>
      <c r="I699" s="1" t="s">
        <v>302</v>
      </c>
      <c r="K699" s="1">
        <v>0.0</v>
      </c>
      <c r="L699" s="1" t="s">
        <v>749</v>
      </c>
      <c r="M699" s="1" t="str">
        <f>VLOOKUP(L699,'Copy of PMD Workday Constants -'!B668:Y1354,22,false)</f>
        <v>#N/A</v>
      </c>
      <c r="N699" s="1" t="s">
        <v>32</v>
      </c>
      <c r="O699" s="1" t="s">
        <v>33</v>
      </c>
      <c r="P699" s="1" t="s">
        <v>34</v>
      </c>
      <c r="Q699" s="1" t="s">
        <v>34</v>
      </c>
      <c r="R699" s="1" t="s">
        <v>35</v>
      </c>
      <c r="T699" s="1">
        <v>1.00686761E8</v>
      </c>
      <c r="W699" s="1" t="s">
        <v>37</v>
      </c>
      <c r="X699" s="1" t="s">
        <v>89</v>
      </c>
    </row>
    <row r="700">
      <c r="A700" s="1" t="s">
        <v>2685</v>
      </c>
      <c r="B700" s="1" t="s">
        <v>1725</v>
      </c>
      <c r="C700" s="1" t="s">
        <v>2281</v>
      </c>
      <c r="D700" s="1" t="s">
        <v>28</v>
      </c>
      <c r="E700" s="1" t="s">
        <v>29</v>
      </c>
      <c r="F700" s="5">
        <v>1500000.0</v>
      </c>
      <c r="G700" s="1" t="s">
        <v>1114</v>
      </c>
      <c r="H700" s="1" t="s">
        <v>2069</v>
      </c>
      <c r="I700" s="1" t="s">
        <v>104</v>
      </c>
      <c r="K700" s="1">
        <v>0.0</v>
      </c>
      <c r="L700" s="1" t="s">
        <v>1973</v>
      </c>
      <c r="M700" s="1" t="str">
        <f>VLOOKUP(L700,'Copy of PMD Workday Constants -'!B669:Y1355,22,false)</f>
        <v>#N/A</v>
      </c>
      <c r="N700" s="1" t="s">
        <v>32</v>
      </c>
      <c r="O700" s="1" t="s">
        <v>33</v>
      </c>
      <c r="P700" s="1" t="s">
        <v>82</v>
      </c>
      <c r="Q700" s="1" t="s">
        <v>82</v>
      </c>
      <c r="R700" s="1" t="s">
        <v>83</v>
      </c>
      <c r="S700" s="1" t="s">
        <v>180</v>
      </c>
      <c r="T700" s="1">
        <v>1.00619692E8</v>
      </c>
      <c r="W700" s="1" t="s">
        <v>85</v>
      </c>
      <c r="X700" s="1" t="s">
        <v>1206</v>
      </c>
    </row>
    <row r="701">
      <c r="A701" s="1" t="s">
        <v>2686</v>
      </c>
      <c r="B701" s="1" t="s">
        <v>812</v>
      </c>
      <c r="C701" s="1" t="s">
        <v>2687</v>
      </c>
      <c r="D701" s="1" t="s">
        <v>51</v>
      </c>
      <c r="E701" s="1" t="s">
        <v>29</v>
      </c>
      <c r="F701" s="5">
        <v>1500000.0</v>
      </c>
      <c r="G701" s="1" t="s">
        <v>1114</v>
      </c>
      <c r="H701" s="4">
        <v>44839.0</v>
      </c>
      <c r="I701" s="1" t="s">
        <v>302</v>
      </c>
      <c r="K701" s="1">
        <v>0.0</v>
      </c>
      <c r="L701" s="1" t="s">
        <v>963</v>
      </c>
      <c r="M701" s="1" t="str">
        <f>VLOOKUP(L701,'Copy of PMD Workday Constants -'!B670:Y1356,22,false)</f>
        <v>#N/A</v>
      </c>
      <c r="N701" s="1" t="s">
        <v>32</v>
      </c>
      <c r="O701" s="1" t="s">
        <v>33</v>
      </c>
      <c r="P701" s="1" t="s">
        <v>173</v>
      </c>
      <c r="Q701" s="1" t="s">
        <v>173</v>
      </c>
      <c r="R701" s="1" t="s">
        <v>174</v>
      </c>
      <c r="T701" s="1">
        <v>1.00708984E8</v>
      </c>
      <c r="W701" s="1" t="s">
        <v>37</v>
      </c>
      <c r="X701" s="1" t="s">
        <v>2688</v>
      </c>
    </row>
    <row r="702">
      <c r="A702" s="1" t="s">
        <v>2689</v>
      </c>
      <c r="B702" s="1" t="s">
        <v>615</v>
      </c>
      <c r="C702" s="1" t="s">
        <v>2690</v>
      </c>
      <c r="D702" s="1" t="s">
        <v>51</v>
      </c>
      <c r="E702" s="1" t="s">
        <v>29</v>
      </c>
      <c r="F702" s="5">
        <v>1500000.0</v>
      </c>
      <c r="G702" s="1" t="s">
        <v>1114</v>
      </c>
      <c r="H702" s="1" t="s">
        <v>2691</v>
      </c>
      <c r="I702" s="1" t="s">
        <v>104</v>
      </c>
      <c r="K702" s="1">
        <v>0.0</v>
      </c>
      <c r="L702" s="1" t="s">
        <v>2174</v>
      </c>
      <c r="M702" s="1" t="str">
        <f>VLOOKUP(L702,'Copy of PMD Workday Constants -'!B671:Y1357,22,false)</f>
        <v>#N/A</v>
      </c>
      <c r="N702" s="1" t="s">
        <v>32</v>
      </c>
      <c r="O702" s="1" t="s">
        <v>33</v>
      </c>
      <c r="P702" s="1" t="s">
        <v>112</v>
      </c>
      <c r="Q702" s="1" t="s">
        <v>112</v>
      </c>
      <c r="R702" s="1" t="s">
        <v>113</v>
      </c>
      <c r="S702" s="1" t="s">
        <v>134</v>
      </c>
      <c r="T702" s="1">
        <v>1.00631322E8</v>
      </c>
      <c r="W702" s="1" t="s">
        <v>74</v>
      </c>
      <c r="X702" s="1" t="s">
        <v>2692</v>
      </c>
    </row>
    <row r="703">
      <c r="A703" s="1" t="s">
        <v>2693</v>
      </c>
      <c r="B703" s="1" t="s">
        <v>2694</v>
      </c>
      <c r="C703" s="1" t="s">
        <v>2695</v>
      </c>
      <c r="D703" s="1" t="s">
        <v>28</v>
      </c>
      <c r="E703" s="1" t="s">
        <v>29</v>
      </c>
      <c r="F703" s="5">
        <v>1500000.0</v>
      </c>
      <c r="G703" s="1" t="s">
        <v>1114</v>
      </c>
      <c r="H703" s="1" t="s">
        <v>2696</v>
      </c>
      <c r="I703" s="4">
        <v>44569.0</v>
      </c>
      <c r="K703" s="1">
        <v>0.0</v>
      </c>
      <c r="L703" s="1" t="s">
        <v>938</v>
      </c>
      <c r="M703" s="1" t="str">
        <f>VLOOKUP(L703,'Copy of PMD Workday Constants -'!B672:Y1358,22,false)</f>
        <v>#N/A</v>
      </c>
      <c r="N703" s="1" t="s">
        <v>32</v>
      </c>
      <c r="O703" s="1" t="s">
        <v>33</v>
      </c>
      <c r="P703" s="1" t="s">
        <v>82</v>
      </c>
      <c r="Q703" s="1" t="s">
        <v>82</v>
      </c>
      <c r="R703" s="1" t="s">
        <v>83</v>
      </c>
      <c r="S703" s="1" t="s">
        <v>84</v>
      </c>
      <c r="T703" s="1">
        <v>1.00653499E8</v>
      </c>
      <c r="W703" s="1" t="s">
        <v>85</v>
      </c>
      <c r="X703" s="1" t="s">
        <v>188</v>
      </c>
    </row>
    <row r="704">
      <c r="A704" s="1" t="s">
        <v>2697</v>
      </c>
      <c r="B704" s="1" t="s">
        <v>1449</v>
      </c>
      <c r="C704" s="1" t="s">
        <v>2698</v>
      </c>
      <c r="D704" s="1" t="s">
        <v>28</v>
      </c>
      <c r="E704" s="1" t="s">
        <v>29</v>
      </c>
      <c r="F704" s="5">
        <v>1500000.0</v>
      </c>
      <c r="G704" s="1" t="s">
        <v>1114</v>
      </c>
      <c r="H704" s="1" t="s">
        <v>301</v>
      </c>
      <c r="I704" s="1" t="s">
        <v>96</v>
      </c>
      <c r="K704" s="1">
        <v>0.0</v>
      </c>
      <c r="L704" s="1" t="s">
        <v>2699</v>
      </c>
      <c r="M704" s="1" t="str">
        <f>VLOOKUP(L704,'Copy of PMD Workday Constants -'!B673:Y1359,22,false)</f>
        <v>#N/A</v>
      </c>
      <c r="N704" s="1" t="s">
        <v>32</v>
      </c>
      <c r="O704" s="1" t="s">
        <v>33</v>
      </c>
      <c r="P704" s="1" t="s">
        <v>34</v>
      </c>
      <c r="Q704" s="1" t="s">
        <v>34</v>
      </c>
      <c r="R704" s="1" t="s">
        <v>35</v>
      </c>
      <c r="T704" s="1">
        <v>1.00610367E8</v>
      </c>
      <c r="W704" s="1" t="s">
        <v>493</v>
      </c>
      <c r="X704" s="1" t="s">
        <v>2700</v>
      </c>
    </row>
    <row r="705">
      <c r="A705" s="1" t="s">
        <v>2701</v>
      </c>
      <c r="B705" s="1" t="s">
        <v>954</v>
      </c>
      <c r="C705" s="1" t="s">
        <v>2702</v>
      </c>
      <c r="D705" s="1" t="s">
        <v>51</v>
      </c>
      <c r="E705" s="1" t="s">
        <v>29</v>
      </c>
      <c r="F705" s="5">
        <v>1500000.0</v>
      </c>
      <c r="G705" s="1" t="s">
        <v>1114</v>
      </c>
      <c r="H705" s="1" t="s">
        <v>556</v>
      </c>
      <c r="I705" s="4">
        <v>44569.0</v>
      </c>
      <c r="K705" s="1">
        <v>0.0</v>
      </c>
      <c r="L705" s="1" t="s">
        <v>2703</v>
      </c>
      <c r="M705" s="1" t="str">
        <f>VLOOKUP(L705,'Copy of PMD Workday Constants -'!B674:Y1360,22,false)</f>
        <v>#N/A</v>
      </c>
      <c r="N705" s="1" t="s">
        <v>32</v>
      </c>
      <c r="O705" s="1" t="s">
        <v>33</v>
      </c>
      <c r="P705" s="1" t="s">
        <v>34</v>
      </c>
      <c r="Q705" s="1" t="s">
        <v>34</v>
      </c>
      <c r="R705" s="1" t="s">
        <v>35</v>
      </c>
      <c r="T705" s="1">
        <v>1.00866856E8</v>
      </c>
      <c r="W705" s="1" t="s">
        <v>147</v>
      </c>
      <c r="X705" s="1" t="s">
        <v>2704</v>
      </c>
    </row>
    <row r="706">
      <c r="A706" s="1" t="s">
        <v>2705</v>
      </c>
      <c r="B706" s="1" t="s">
        <v>2706</v>
      </c>
      <c r="C706" s="1" t="s">
        <v>2707</v>
      </c>
      <c r="D706" s="1" t="s">
        <v>51</v>
      </c>
      <c r="E706" s="1" t="s">
        <v>29</v>
      </c>
      <c r="F706" s="5">
        <v>1500000.0</v>
      </c>
      <c r="G706" s="1" t="s">
        <v>1114</v>
      </c>
      <c r="H706" s="1" t="s">
        <v>2708</v>
      </c>
      <c r="I706" s="1" t="s">
        <v>191</v>
      </c>
      <c r="K706" s="1">
        <v>0.0</v>
      </c>
      <c r="L706" s="1" t="s">
        <v>678</v>
      </c>
      <c r="M706" s="1" t="str">
        <f>VLOOKUP(L706,'Copy of PMD Workday Constants -'!B675:Y1361,22,false)</f>
        <v>#N/A</v>
      </c>
      <c r="N706" s="1" t="s">
        <v>32</v>
      </c>
      <c r="O706" s="1" t="s">
        <v>33</v>
      </c>
      <c r="P706" s="1" t="s">
        <v>210</v>
      </c>
      <c r="Q706" s="1" t="s">
        <v>210</v>
      </c>
      <c r="R706" s="1" t="s">
        <v>211</v>
      </c>
      <c r="S706" s="1" t="s">
        <v>416</v>
      </c>
      <c r="T706" s="1">
        <v>1.00609073E8</v>
      </c>
      <c r="W706" s="1" t="s">
        <v>56</v>
      </c>
      <c r="X706" s="1" t="s">
        <v>1269</v>
      </c>
    </row>
    <row r="707">
      <c r="A707" s="1" t="s">
        <v>2709</v>
      </c>
      <c r="B707" s="1" t="s">
        <v>1109</v>
      </c>
      <c r="C707" s="1" t="s">
        <v>2710</v>
      </c>
      <c r="D707" s="1" t="s">
        <v>28</v>
      </c>
      <c r="E707" s="1" t="s">
        <v>29</v>
      </c>
      <c r="F707" s="5">
        <v>1500000.0</v>
      </c>
      <c r="G707" s="1" t="s">
        <v>1114</v>
      </c>
      <c r="H707" s="4">
        <v>44296.0</v>
      </c>
      <c r="I707" s="1" t="s">
        <v>191</v>
      </c>
      <c r="K707" s="1">
        <v>0.0</v>
      </c>
      <c r="L707" s="1" t="s">
        <v>1083</v>
      </c>
      <c r="M707" s="1" t="str">
        <f>VLOOKUP(L707,'Copy of PMD Workday Constants -'!B676:Y1362,22,false)</f>
        <v>#N/A</v>
      </c>
      <c r="N707" s="1" t="s">
        <v>32</v>
      </c>
      <c r="O707" s="1" t="s">
        <v>33</v>
      </c>
      <c r="P707" s="1" t="s">
        <v>82</v>
      </c>
      <c r="Q707" s="1" t="s">
        <v>82</v>
      </c>
      <c r="R707" s="1" t="s">
        <v>83</v>
      </c>
      <c r="S707" s="1" t="s">
        <v>84</v>
      </c>
      <c r="T707" s="1">
        <v>1.01131115E8</v>
      </c>
      <c r="W707" s="1" t="s">
        <v>85</v>
      </c>
      <c r="X707" s="1" t="s">
        <v>2046</v>
      </c>
    </row>
    <row r="708">
      <c r="A708" s="1" t="s">
        <v>2711</v>
      </c>
      <c r="B708" s="1" t="s">
        <v>2712</v>
      </c>
      <c r="C708" s="1" t="s">
        <v>2713</v>
      </c>
      <c r="D708" s="1" t="s">
        <v>28</v>
      </c>
      <c r="E708" s="1" t="s">
        <v>29</v>
      </c>
      <c r="F708" s="5">
        <v>1500000.0</v>
      </c>
      <c r="G708" s="1" t="s">
        <v>1114</v>
      </c>
      <c r="H708" s="1" t="s">
        <v>2714</v>
      </c>
      <c r="I708" s="1" t="s">
        <v>43</v>
      </c>
      <c r="K708" s="1">
        <v>0.0</v>
      </c>
      <c r="L708" s="1" t="s">
        <v>499</v>
      </c>
      <c r="M708" s="1" t="str">
        <f>VLOOKUP(L708,'Copy of PMD Workday Constants -'!B677:Y1363,22,false)</f>
        <v>#N/A</v>
      </c>
      <c r="N708" s="1" t="s">
        <v>32</v>
      </c>
      <c r="O708" s="1" t="s">
        <v>33</v>
      </c>
      <c r="P708" s="1" t="s">
        <v>34</v>
      </c>
      <c r="Q708" s="1" t="s">
        <v>34</v>
      </c>
      <c r="R708" s="1" t="s">
        <v>35</v>
      </c>
      <c r="S708" s="1" t="s">
        <v>2715</v>
      </c>
      <c r="T708" s="1">
        <v>1.00627768E8</v>
      </c>
      <c r="W708" s="1" t="s">
        <v>91</v>
      </c>
      <c r="X708" s="1" t="s">
        <v>1716</v>
      </c>
    </row>
    <row r="709">
      <c r="A709" s="1" t="s">
        <v>2716</v>
      </c>
      <c r="B709" s="1" t="s">
        <v>776</v>
      </c>
      <c r="C709" s="1" t="s">
        <v>2717</v>
      </c>
      <c r="D709" s="1" t="s">
        <v>51</v>
      </c>
      <c r="E709" s="1" t="s">
        <v>29</v>
      </c>
      <c r="F709" s="5">
        <v>1500000.0</v>
      </c>
      <c r="G709" s="1" t="s">
        <v>1114</v>
      </c>
      <c r="H709" s="1" t="s">
        <v>870</v>
      </c>
      <c r="I709" s="1" t="s">
        <v>80</v>
      </c>
      <c r="K709" s="1">
        <v>0.0</v>
      </c>
      <c r="L709" s="1" t="s">
        <v>2546</v>
      </c>
      <c r="M709" s="1" t="str">
        <f>VLOOKUP(L709,'Copy of PMD Workday Constants -'!B678:Y1364,22,false)</f>
        <v>#N/A</v>
      </c>
      <c r="N709" s="1" t="s">
        <v>32</v>
      </c>
      <c r="O709" s="1" t="s">
        <v>33</v>
      </c>
      <c r="P709" s="1" t="s">
        <v>173</v>
      </c>
      <c r="Q709" s="1" t="s">
        <v>173</v>
      </c>
      <c r="R709" s="1" t="s">
        <v>174</v>
      </c>
      <c r="S709" s="1" t="s">
        <v>1336</v>
      </c>
      <c r="T709" s="1">
        <v>1.00628059E8</v>
      </c>
      <c r="W709" s="1" t="s">
        <v>74</v>
      </c>
      <c r="X709" s="1" t="s">
        <v>2546</v>
      </c>
    </row>
    <row r="710">
      <c r="A710" s="1" t="s">
        <v>2718</v>
      </c>
      <c r="B710" s="1" t="s">
        <v>485</v>
      </c>
      <c r="C710" s="1" t="s">
        <v>2719</v>
      </c>
      <c r="D710" s="1" t="s">
        <v>51</v>
      </c>
      <c r="E710" s="1" t="s">
        <v>29</v>
      </c>
      <c r="F710" s="5">
        <v>1500000.0</v>
      </c>
      <c r="G710" s="1" t="s">
        <v>1114</v>
      </c>
      <c r="H710" s="4">
        <v>44776.0</v>
      </c>
      <c r="I710" s="1" t="s">
        <v>80</v>
      </c>
      <c r="K710" s="1">
        <v>0.0</v>
      </c>
      <c r="L710" s="1" t="s">
        <v>2720</v>
      </c>
      <c r="M710" s="1" t="str">
        <f>VLOOKUP(L710,'Copy of PMD Workday Constants -'!B679:Y1365,22,false)</f>
        <v>#N/A</v>
      </c>
      <c r="N710" s="1" t="s">
        <v>32</v>
      </c>
      <c r="O710" s="1" t="s">
        <v>33</v>
      </c>
      <c r="P710" s="1" t="s">
        <v>54</v>
      </c>
      <c r="Q710" s="1" t="s">
        <v>54</v>
      </c>
      <c r="R710" s="1" t="s">
        <v>55</v>
      </c>
      <c r="T710" s="1">
        <v>1.00655465E8</v>
      </c>
      <c r="W710" s="1" t="s">
        <v>577</v>
      </c>
      <c r="X710" s="1" t="s">
        <v>2721</v>
      </c>
    </row>
    <row r="711">
      <c r="A711" s="1" t="s">
        <v>2722</v>
      </c>
      <c r="B711" s="1" t="s">
        <v>965</v>
      </c>
      <c r="C711" s="1" t="s">
        <v>2723</v>
      </c>
      <c r="D711" s="1" t="s">
        <v>51</v>
      </c>
      <c r="E711" s="1" t="s">
        <v>29</v>
      </c>
      <c r="F711" s="5">
        <v>1500000.0</v>
      </c>
      <c r="G711" s="1" t="s">
        <v>1114</v>
      </c>
      <c r="H711" s="1" t="s">
        <v>2724</v>
      </c>
      <c r="I711" s="4">
        <v>44689.0</v>
      </c>
      <c r="K711" s="1">
        <v>0.0</v>
      </c>
      <c r="L711" s="1" t="s">
        <v>1238</v>
      </c>
      <c r="M711" s="1" t="str">
        <f>VLOOKUP(L711,'Copy of PMD Workday Constants -'!B680:Y1366,22,false)</f>
        <v>#N/A</v>
      </c>
      <c r="N711" s="1" t="s">
        <v>32</v>
      </c>
      <c r="O711" s="1" t="s">
        <v>33</v>
      </c>
      <c r="P711" s="1" t="s">
        <v>210</v>
      </c>
      <c r="Q711" s="1" t="s">
        <v>210</v>
      </c>
      <c r="R711" s="1" t="s">
        <v>211</v>
      </c>
      <c r="S711" s="1" t="s">
        <v>416</v>
      </c>
      <c r="T711" s="1">
        <v>1.00586959E8</v>
      </c>
      <c r="W711" s="1" t="s">
        <v>56</v>
      </c>
      <c r="X711" s="1" t="s">
        <v>968</v>
      </c>
    </row>
    <row r="712">
      <c r="A712" s="1" t="s">
        <v>2725</v>
      </c>
      <c r="B712" s="1" t="s">
        <v>2095</v>
      </c>
      <c r="C712" s="1" t="s">
        <v>2726</v>
      </c>
      <c r="D712" s="1" t="s">
        <v>28</v>
      </c>
      <c r="E712" s="1" t="s">
        <v>29</v>
      </c>
      <c r="F712" s="5">
        <v>1500000.0</v>
      </c>
      <c r="G712" s="1" t="s">
        <v>1114</v>
      </c>
      <c r="H712" s="4">
        <v>44626.0</v>
      </c>
      <c r="I712" s="1" t="s">
        <v>406</v>
      </c>
      <c r="K712" s="1">
        <v>0.0</v>
      </c>
      <c r="L712" s="1" t="s">
        <v>2097</v>
      </c>
      <c r="M712" s="1" t="str">
        <f>VLOOKUP(L712,'Copy of PMD Workday Constants -'!B681:Y1367,22,false)</f>
        <v>#N/A</v>
      </c>
      <c r="N712" s="1" t="s">
        <v>32</v>
      </c>
      <c r="O712" s="1" t="s">
        <v>33</v>
      </c>
      <c r="P712" s="1" t="s">
        <v>82</v>
      </c>
      <c r="Q712" s="1" t="s">
        <v>82</v>
      </c>
      <c r="R712" s="1" t="s">
        <v>83</v>
      </c>
      <c r="S712" s="1" t="s">
        <v>180</v>
      </c>
      <c r="T712" s="1">
        <v>1.00619607E8</v>
      </c>
      <c r="W712" s="1" t="s">
        <v>2098</v>
      </c>
      <c r="X712" s="1" t="s">
        <v>2099</v>
      </c>
    </row>
    <row r="713">
      <c r="A713" s="1" t="s">
        <v>2727</v>
      </c>
      <c r="B713" s="1" t="s">
        <v>2728</v>
      </c>
      <c r="C713" s="1" t="s">
        <v>2729</v>
      </c>
      <c r="D713" s="1" t="s">
        <v>28</v>
      </c>
      <c r="E713" s="1" t="s">
        <v>29</v>
      </c>
      <c r="F713" s="5">
        <v>1500000.0</v>
      </c>
      <c r="G713" s="1" t="s">
        <v>1114</v>
      </c>
      <c r="H713" s="1" t="s">
        <v>2360</v>
      </c>
      <c r="I713" s="4">
        <v>44658.0</v>
      </c>
      <c r="K713" s="1">
        <v>0.0</v>
      </c>
      <c r="L713" s="1" t="s">
        <v>1075</v>
      </c>
      <c r="M713" s="1" t="str">
        <f>VLOOKUP(L713,'Copy of PMD Workday Constants -'!B682:Y1368,22,false)</f>
        <v>#N/A</v>
      </c>
      <c r="N713" s="1" t="s">
        <v>32</v>
      </c>
      <c r="O713" s="1" t="s">
        <v>33</v>
      </c>
      <c r="P713" s="1" t="s">
        <v>34</v>
      </c>
      <c r="Q713" s="1" t="s">
        <v>34</v>
      </c>
      <c r="R713" s="1" t="s">
        <v>35</v>
      </c>
      <c r="S713" s="1" t="s">
        <v>36</v>
      </c>
      <c r="T713" s="1">
        <v>1.00601386E8</v>
      </c>
      <c r="U713" s="1" t="s">
        <v>2730</v>
      </c>
      <c r="V713" s="1" t="s">
        <v>187</v>
      </c>
      <c r="W713" s="1" t="s">
        <v>91</v>
      </c>
      <c r="X713" s="1" t="s">
        <v>1075</v>
      </c>
    </row>
    <row r="714">
      <c r="A714" s="1" t="s">
        <v>2731</v>
      </c>
      <c r="B714" s="1" t="s">
        <v>756</v>
      </c>
      <c r="C714" s="1" t="s">
        <v>2732</v>
      </c>
      <c r="D714" s="1" t="s">
        <v>28</v>
      </c>
      <c r="E714" s="1" t="s">
        <v>29</v>
      </c>
      <c r="F714" s="5">
        <v>1500000.0</v>
      </c>
      <c r="G714" s="1" t="s">
        <v>1114</v>
      </c>
      <c r="H714" s="1" t="s">
        <v>556</v>
      </c>
      <c r="I714" s="1" t="s">
        <v>191</v>
      </c>
      <c r="K714" s="1">
        <v>0.0</v>
      </c>
      <c r="L714" s="1" t="s">
        <v>2733</v>
      </c>
      <c r="M714" s="1" t="str">
        <f>VLOOKUP(L714,'Copy of PMD Workday Constants -'!B683:Y1369,22,false)</f>
        <v>#N/A</v>
      </c>
      <c r="N714" s="1" t="s">
        <v>32</v>
      </c>
      <c r="O714" s="1" t="s">
        <v>33</v>
      </c>
      <c r="P714" s="1" t="s">
        <v>222</v>
      </c>
      <c r="Q714" s="1" t="s">
        <v>222</v>
      </c>
      <c r="R714" s="1" t="s">
        <v>223</v>
      </c>
      <c r="S714" s="1" t="s">
        <v>701</v>
      </c>
      <c r="T714" s="1">
        <v>1.006376E8</v>
      </c>
      <c r="W714" s="1" t="s">
        <v>74</v>
      </c>
      <c r="X714" s="1" t="s">
        <v>2734</v>
      </c>
    </row>
    <row r="715">
      <c r="A715" s="1" t="s">
        <v>2735</v>
      </c>
      <c r="B715" s="1" t="s">
        <v>1103</v>
      </c>
      <c r="C715" s="1" t="s">
        <v>2736</v>
      </c>
      <c r="D715" s="1" t="s">
        <v>28</v>
      </c>
      <c r="E715" s="1" t="s">
        <v>29</v>
      </c>
      <c r="F715" s="5">
        <v>1500000.0</v>
      </c>
      <c r="G715" s="1" t="s">
        <v>1114</v>
      </c>
      <c r="H715" s="4">
        <v>44779.0</v>
      </c>
      <c r="I715" s="1" t="s">
        <v>302</v>
      </c>
      <c r="K715" s="1">
        <v>0.0</v>
      </c>
      <c r="L715" s="1" t="s">
        <v>1932</v>
      </c>
      <c r="M715" s="1" t="str">
        <f>VLOOKUP(L715,'Copy of PMD Workday Constants -'!B684:Y1370,22,false)</f>
        <v>#N/A</v>
      </c>
      <c r="N715" s="1" t="s">
        <v>32</v>
      </c>
      <c r="O715" s="1" t="s">
        <v>33</v>
      </c>
      <c r="P715" s="1" t="s">
        <v>34</v>
      </c>
      <c r="Q715" s="1" t="s">
        <v>34</v>
      </c>
      <c r="R715" s="1" t="s">
        <v>35</v>
      </c>
      <c r="T715" s="1">
        <v>1.0119869E8</v>
      </c>
      <c r="W715" s="1" t="s">
        <v>47</v>
      </c>
      <c r="X715" s="1" t="s">
        <v>1932</v>
      </c>
    </row>
    <row r="716">
      <c r="A716" s="1" t="s">
        <v>2737</v>
      </c>
      <c r="B716" s="1" t="s">
        <v>1744</v>
      </c>
      <c r="C716" s="1" t="s">
        <v>2738</v>
      </c>
      <c r="D716" s="1" t="s">
        <v>79</v>
      </c>
      <c r="E716" s="1" t="s">
        <v>29</v>
      </c>
      <c r="F716" s="5">
        <v>1500000.0</v>
      </c>
      <c r="G716" s="1" t="s">
        <v>1114</v>
      </c>
      <c r="H716" s="4">
        <v>44868.0</v>
      </c>
      <c r="I716" s="1" t="s">
        <v>132</v>
      </c>
      <c r="K716" s="1">
        <v>0.0</v>
      </c>
      <c r="L716" s="1" t="s">
        <v>2739</v>
      </c>
      <c r="M716" s="1" t="str">
        <f>VLOOKUP(L716,'Copy of PMD Workday Constants -'!B685:Y1371,22,false)</f>
        <v>#N/A</v>
      </c>
      <c r="N716" s="1" t="s">
        <v>32</v>
      </c>
      <c r="O716" s="1" t="s">
        <v>33</v>
      </c>
      <c r="P716" s="1" t="s">
        <v>54</v>
      </c>
      <c r="Q716" s="1" t="s">
        <v>54</v>
      </c>
      <c r="R716" s="1" t="s">
        <v>55</v>
      </c>
      <c r="S716" s="1" t="s">
        <v>512</v>
      </c>
      <c r="T716" s="1">
        <v>1.0059719E8</v>
      </c>
      <c r="W716" s="1" t="s">
        <v>456</v>
      </c>
      <c r="X716" s="1" t="s">
        <v>2740</v>
      </c>
    </row>
    <row r="717">
      <c r="A717" s="1" t="s">
        <v>2741</v>
      </c>
      <c r="B717" s="1" t="s">
        <v>585</v>
      </c>
      <c r="C717" s="1" t="s">
        <v>2742</v>
      </c>
      <c r="D717" s="1" t="s">
        <v>103</v>
      </c>
      <c r="E717" s="1" t="s">
        <v>29</v>
      </c>
      <c r="F717" s="5">
        <v>1500000.0</v>
      </c>
      <c r="G717" s="1" t="s">
        <v>1114</v>
      </c>
      <c r="H717" s="4">
        <v>44778.0</v>
      </c>
      <c r="I717" s="4">
        <v>44601.0</v>
      </c>
      <c r="K717" s="1">
        <v>0.0</v>
      </c>
      <c r="L717" s="1" t="s">
        <v>588</v>
      </c>
      <c r="M717" s="1" t="str">
        <f>VLOOKUP(L717,'Copy of PMD Workday Constants -'!B686:Y1372,22,false)</f>
        <v>#N/A</v>
      </c>
      <c r="N717" s="1" t="s">
        <v>32</v>
      </c>
      <c r="O717" s="1" t="s">
        <v>33</v>
      </c>
      <c r="P717" s="1" t="s">
        <v>34</v>
      </c>
      <c r="Q717" s="1" t="s">
        <v>34</v>
      </c>
      <c r="R717" s="1" t="s">
        <v>35</v>
      </c>
      <c r="T717" s="1">
        <v>1.00609607E8</v>
      </c>
      <c r="W717" s="1" t="s">
        <v>91</v>
      </c>
      <c r="X717" s="1" t="s">
        <v>1879</v>
      </c>
    </row>
    <row r="718">
      <c r="A718" s="1" t="s">
        <v>2743</v>
      </c>
      <c r="B718" s="1" t="s">
        <v>108</v>
      </c>
      <c r="C718" s="1" t="s">
        <v>2744</v>
      </c>
      <c r="D718" s="1" t="s">
        <v>51</v>
      </c>
      <c r="E718" s="1" t="s">
        <v>29</v>
      </c>
      <c r="F718" s="5">
        <v>1500000.0</v>
      </c>
      <c r="G718" s="1" t="s">
        <v>1114</v>
      </c>
      <c r="H718" s="1" t="s">
        <v>110</v>
      </c>
      <c r="I718" s="1" t="s">
        <v>302</v>
      </c>
      <c r="K718" s="1">
        <v>0.0</v>
      </c>
      <c r="L718" s="1" t="s">
        <v>111</v>
      </c>
      <c r="M718" s="1" t="str">
        <f>VLOOKUP(L718,'Copy of PMD Workday Constants -'!B687:Y1373,22,false)</f>
        <v>#N/A</v>
      </c>
      <c r="N718" s="1" t="s">
        <v>32</v>
      </c>
      <c r="O718" s="1" t="s">
        <v>33</v>
      </c>
      <c r="P718" s="1" t="s">
        <v>112</v>
      </c>
      <c r="Q718" s="1" t="s">
        <v>112</v>
      </c>
      <c r="R718" s="1" t="s">
        <v>113</v>
      </c>
      <c r="S718" s="1" t="s">
        <v>114</v>
      </c>
      <c r="T718" s="1">
        <v>1.00596941E8</v>
      </c>
      <c r="W718" s="1" t="s">
        <v>115</v>
      </c>
      <c r="X718" s="1" t="s">
        <v>111</v>
      </c>
    </row>
    <row r="719">
      <c r="A719" s="1" t="s">
        <v>2745</v>
      </c>
      <c r="B719" s="1" t="s">
        <v>40</v>
      </c>
      <c r="C719" s="1" t="s">
        <v>2746</v>
      </c>
      <c r="D719" s="1" t="s">
        <v>28</v>
      </c>
      <c r="E719" s="1" t="s">
        <v>29</v>
      </c>
      <c r="F719" s="5">
        <v>1500000.0</v>
      </c>
      <c r="G719" s="1" t="s">
        <v>1114</v>
      </c>
      <c r="H719" s="1" t="s">
        <v>920</v>
      </c>
      <c r="I719" s="4">
        <v>44569.0</v>
      </c>
      <c r="K719" s="1">
        <v>0.0</v>
      </c>
      <c r="L719" s="1" t="s">
        <v>2747</v>
      </c>
      <c r="M719" s="1" t="str">
        <f>VLOOKUP(L719,'Copy of PMD Workday Constants -'!B688:Y1374,22,false)</f>
        <v>#N/A</v>
      </c>
      <c r="N719" s="1" t="s">
        <v>32</v>
      </c>
      <c r="O719" s="1" t="s">
        <v>33</v>
      </c>
      <c r="P719" s="1" t="s">
        <v>64</v>
      </c>
      <c r="Q719" s="1" t="s">
        <v>64</v>
      </c>
      <c r="R719" s="1" t="s">
        <v>65</v>
      </c>
      <c r="S719" s="1" t="s">
        <v>66</v>
      </c>
      <c r="T719" s="1">
        <v>1.00586524E8</v>
      </c>
      <c r="W719" s="1" t="s">
        <v>47</v>
      </c>
      <c r="X719" s="1" t="s">
        <v>2748</v>
      </c>
    </row>
    <row r="720">
      <c r="A720" s="1" t="s">
        <v>2749</v>
      </c>
      <c r="B720" s="1" t="s">
        <v>1483</v>
      </c>
      <c r="C720" s="1" t="s">
        <v>2750</v>
      </c>
      <c r="D720" s="1" t="s">
        <v>103</v>
      </c>
      <c r="E720" s="1" t="s">
        <v>29</v>
      </c>
      <c r="F720" s="5">
        <v>1500000.0</v>
      </c>
      <c r="G720" s="1" t="s">
        <v>1114</v>
      </c>
      <c r="H720" s="1" t="s">
        <v>434</v>
      </c>
      <c r="I720" s="1" t="s">
        <v>810</v>
      </c>
      <c r="K720" s="1">
        <v>0.0</v>
      </c>
      <c r="L720" s="1" t="s">
        <v>976</v>
      </c>
      <c r="M720" s="1" t="str">
        <f>VLOOKUP(L720,'Copy of PMD Workday Constants -'!B689:Y1375,22,false)</f>
        <v>#N/A</v>
      </c>
      <c r="N720" s="1" t="s">
        <v>32</v>
      </c>
      <c r="O720" s="1" t="s">
        <v>33</v>
      </c>
      <c r="P720" s="1" t="s">
        <v>173</v>
      </c>
      <c r="Q720" s="1" t="s">
        <v>173</v>
      </c>
      <c r="R720" s="1" t="s">
        <v>174</v>
      </c>
      <c r="T720" s="1">
        <v>1.00611358E8</v>
      </c>
      <c r="W720" s="1" t="s">
        <v>456</v>
      </c>
      <c r="X720" s="1" t="s">
        <v>2751</v>
      </c>
    </row>
    <row r="721">
      <c r="A721" s="1" t="s">
        <v>2752</v>
      </c>
      <c r="B721" s="1" t="s">
        <v>1685</v>
      </c>
      <c r="C721" s="1" t="s">
        <v>2753</v>
      </c>
      <c r="D721" s="1" t="s">
        <v>28</v>
      </c>
      <c r="E721" s="1" t="s">
        <v>29</v>
      </c>
      <c r="F721" s="5">
        <v>1500000.0</v>
      </c>
      <c r="G721" s="1" t="s">
        <v>1114</v>
      </c>
      <c r="H721" s="1" t="s">
        <v>1134</v>
      </c>
      <c r="I721" s="1" t="s">
        <v>302</v>
      </c>
      <c r="K721" s="1">
        <v>0.0</v>
      </c>
      <c r="L721" s="1" t="s">
        <v>499</v>
      </c>
      <c r="M721" s="1" t="str">
        <f>VLOOKUP(L721,'Copy of PMD Workday Constants -'!B690:Y1376,22,false)</f>
        <v>#N/A</v>
      </c>
      <c r="N721" s="1" t="s">
        <v>32</v>
      </c>
      <c r="O721" s="1" t="s">
        <v>33</v>
      </c>
      <c r="P721" s="1" t="s">
        <v>34</v>
      </c>
      <c r="Q721" s="1" t="s">
        <v>34</v>
      </c>
      <c r="R721" s="1" t="s">
        <v>35</v>
      </c>
      <c r="S721" s="1" t="s">
        <v>2754</v>
      </c>
      <c r="T721" s="1">
        <v>1.00627768E8</v>
      </c>
      <c r="U721" s="1" t="s">
        <v>2755</v>
      </c>
      <c r="V721" s="1" t="s">
        <v>187</v>
      </c>
      <c r="W721" s="1" t="s">
        <v>147</v>
      </c>
      <c r="X721" s="1" t="s">
        <v>499</v>
      </c>
    </row>
    <row r="722">
      <c r="A722" s="1" t="s">
        <v>2756</v>
      </c>
      <c r="B722" s="1" t="s">
        <v>521</v>
      </c>
      <c r="C722" s="1" t="s">
        <v>2757</v>
      </c>
      <c r="D722" s="1" t="s">
        <v>51</v>
      </c>
      <c r="E722" s="1" t="s">
        <v>29</v>
      </c>
      <c r="F722" s="5">
        <v>1500000.0</v>
      </c>
      <c r="G722" s="1" t="s">
        <v>1114</v>
      </c>
      <c r="H722" s="4">
        <v>44684.0</v>
      </c>
      <c r="I722" s="1" t="s">
        <v>152</v>
      </c>
      <c r="K722" s="1">
        <v>0.0</v>
      </c>
      <c r="L722" s="1" t="s">
        <v>2330</v>
      </c>
      <c r="M722" s="1" t="str">
        <f>VLOOKUP(L722,'Copy of PMD Workday Constants -'!B691:Y1377,22,false)</f>
        <v>#N/A</v>
      </c>
      <c r="N722" s="1" t="s">
        <v>32</v>
      </c>
      <c r="O722" s="1" t="s">
        <v>33</v>
      </c>
      <c r="P722" s="1" t="s">
        <v>82</v>
      </c>
      <c r="Q722" s="1" t="s">
        <v>82</v>
      </c>
      <c r="R722" s="1" t="s">
        <v>83</v>
      </c>
      <c r="S722" s="1" t="s">
        <v>84</v>
      </c>
      <c r="T722" s="1">
        <v>1.00613761E8</v>
      </c>
      <c r="W722" s="1" t="s">
        <v>85</v>
      </c>
      <c r="X722" s="1" t="s">
        <v>2330</v>
      </c>
    </row>
    <row r="723">
      <c r="A723" s="1" t="s">
        <v>2758</v>
      </c>
      <c r="B723" s="1" t="s">
        <v>530</v>
      </c>
      <c r="C723" s="1" t="s">
        <v>2759</v>
      </c>
      <c r="D723" s="1" t="s">
        <v>51</v>
      </c>
      <c r="E723" s="1" t="s">
        <v>29</v>
      </c>
      <c r="F723" s="5">
        <v>1500000.0</v>
      </c>
      <c r="G723" s="1" t="s">
        <v>1114</v>
      </c>
      <c r="H723" s="4">
        <v>44055.0</v>
      </c>
      <c r="I723" s="4">
        <v>44928.0</v>
      </c>
      <c r="K723" s="1">
        <v>0.0</v>
      </c>
      <c r="L723" s="1" t="s">
        <v>532</v>
      </c>
      <c r="M723" s="1" t="str">
        <f>VLOOKUP(L723,'Copy of PMD Workday Constants -'!B692:Y1378,22,false)</f>
        <v>#N/A</v>
      </c>
      <c r="N723" s="1" t="s">
        <v>32</v>
      </c>
      <c r="O723" s="1" t="s">
        <v>33</v>
      </c>
      <c r="P723" s="1" t="s">
        <v>112</v>
      </c>
      <c r="Q723" s="1" t="s">
        <v>112</v>
      </c>
      <c r="R723" s="1" t="s">
        <v>113</v>
      </c>
      <c r="S723" s="1" t="s">
        <v>307</v>
      </c>
      <c r="T723" s="1">
        <v>1.00646702E8</v>
      </c>
      <c r="W723" s="1" t="s">
        <v>533</v>
      </c>
      <c r="X723" s="1" t="s">
        <v>534</v>
      </c>
    </row>
    <row r="724">
      <c r="A724" s="1" t="s">
        <v>2760</v>
      </c>
      <c r="B724" s="1" t="s">
        <v>507</v>
      </c>
      <c r="C724" s="1" t="s">
        <v>2761</v>
      </c>
      <c r="D724" s="1" t="s">
        <v>28</v>
      </c>
      <c r="E724" s="1" t="s">
        <v>29</v>
      </c>
      <c r="F724" s="5">
        <v>1500000.0</v>
      </c>
      <c r="G724" s="1" t="s">
        <v>1114</v>
      </c>
      <c r="H724" s="4">
        <v>44839.0</v>
      </c>
      <c r="I724" s="1" t="s">
        <v>523</v>
      </c>
      <c r="K724" s="1">
        <v>0.0</v>
      </c>
      <c r="L724" s="1" t="s">
        <v>2762</v>
      </c>
      <c r="M724" s="1" t="str">
        <f>VLOOKUP(L724,'Copy of PMD Workday Constants -'!B693:Y1379,22,false)</f>
        <v>#N/A</v>
      </c>
      <c r="N724" s="1" t="s">
        <v>32</v>
      </c>
      <c r="O724" s="1" t="s">
        <v>33</v>
      </c>
      <c r="P724" s="1" t="s">
        <v>82</v>
      </c>
      <c r="Q724" s="1" t="s">
        <v>82</v>
      </c>
      <c r="R724" s="1" t="s">
        <v>83</v>
      </c>
      <c r="S724" s="1" t="s">
        <v>583</v>
      </c>
      <c r="T724" s="1">
        <v>1.00637221E8</v>
      </c>
      <c r="W724" s="1" t="s">
        <v>456</v>
      </c>
      <c r="X724" s="1" t="s">
        <v>2763</v>
      </c>
    </row>
    <row r="725">
      <c r="A725" s="1" t="s">
        <v>2764</v>
      </c>
      <c r="B725" s="1" t="s">
        <v>507</v>
      </c>
      <c r="C725" s="1" t="s">
        <v>2765</v>
      </c>
      <c r="D725" s="1" t="s">
        <v>51</v>
      </c>
      <c r="E725" s="1" t="s">
        <v>29</v>
      </c>
      <c r="F725" s="5">
        <v>1500000.0</v>
      </c>
      <c r="G725" s="1" t="s">
        <v>1114</v>
      </c>
      <c r="H725" s="4">
        <v>44839.0</v>
      </c>
      <c r="I725" s="1" t="s">
        <v>96</v>
      </c>
      <c r="K725" s="1">
        <v>0.0</v>
      </c>
      <c r="L725" s="1" t="s">
        <v>2762</v>
      </c>
      <c r="M725" s="1" t="str">
        <f>VLOOKUP(L725,'Copy of PMD Workday Constants -'!B694:Y1380,22,false)</f>
        <v>#N/A</v>
      </c>
      <c r="N725" s="1" t="s">
        <v>32</v>
      </c>
      <c r="O725" s="1" t="s">
        <v>33</v>
      </c>
      <c r="P725" s="1" t="s">
        <v>82</v>
      </c>
      <c r="Q725" s="1" t="s">
        <v>82</v>
      </c>
      <c r="R725" s="1" t="s">
        <v>83</v>
      </c>
      <c r="S725" s="1" t="s">
        <v>583</v>
      </c>
      <c r="T725" s="1">
        <v>1.00637221E8</v>
      </c>
      <c r="W725" s="1" t="s">
        <v>456</v>
      </c>
      <c r="X725" s="1" t="s">
        <v>2763</v>
      </c>
    </row>
    <row r="726">
      <c r="A726" s="1" t="s">
        <v>2766</v>
      </c>
      <c r="B726" s="1" t="s">
        <v>507</v>
      </c>
      <c r="C726" s="1" t="s">
        <v>2767</v>
      </c>
      <c r="D726" s="1" t="s">
        <v>28</v>
      </c>
      <c r="E726" s="1" t="s">
        <v>29</v>
      </c>
      <c r="F726" s="5">
        <v>1500000.0</v>
      </c>
      <c r="G726" s="1" t="s">
        <v>1114</v>
      </c>
      <c r="H726" s="1" t="s">
        <v>509</v>
      </c>
      <c r="I726" s="1" t="s">
        <v>510</v>
      </c>
      <c r="K726" s="1">
        <v>0.0</v>
      </c>
      <c r="L726" s="1" t="s">
        <v>511</v>
      </c>
      <c r="M726" s="1" t="str">
        <f>VLOOKUP(L726,'Copy of PMD Workday Constants -'!B695:Y1381,22,false)</f>
        <v>#N/A</v>
      </c>
      <c r="N726" s="1" t="s">
        <v>32</v>
      </c>
      <c r="O726" s="1" t="s">
        <v>33</v>
      </c>
      <c r="P726" s="1" t="s">
        <v>54</v>
      </c>
      <c r="Q726" s="1" t="s">
        <v>54</v>
      </c>
      <c r="R726" s="1" t="s">
        <v>55</v>
      </c>
      <c r="S726" s="1" t="s">
        <v>512</v>
      </c>
      <c r="T726" s="1">
        <v>1.00620711E8</v>
      </c>
      <c r="W726" s="1" t="s">
        <v>456</v>
      </c>
      <c r="X726" s="1" t="s">
        <v>513</v>
      </c>
    </row>
    <row r="727">
      <c r="A727" s="1" t="s">
        <v>2768</v>
      </c>
      <c r="B727" s="1" t="s">
        <v>610</v>
      </c>
      <c r="C727" s="1" t="s">
        <v>2769</v>
      </c>
      <c r="D727" s="1" t="s">
        <v>28</v>
      </c>
      <c r="E727" s="1" t="s">
        <v>29</v>
      </c>
      <c r="F727" s="5">
        <v>1500000.0</v>
      </c>
      <c r="G727" s="1" t="s">
        <v>1114</v>
      </c>
      <c r="H727" s="1" t="s">
        <v>2770</v>
      </c>
      <c r="I727" s="1" t="s">
        <v>1281</v>
      </c>
      <c r="K727" s="1">
        <v>0.0</v>
      </c>
      <c r="L727" s="1" t="s">
        <v>2771</v>
      </c>
      <c r="M727" s="1" t="str">
        <f>VLOOKUP(L727,'Copy of PMD Workday Constants -'!B696:Y1382,22,false)</f>
        <v>#N/A</v>
      </c>
      <c r="N727" s="1" t="s">
        <v>32</v>
      </c>
      <c r="O727" s="1" t="s">
        <v>33</v>
      </c>
      <c r="P727" s="1" t="s">
        <v>222</v>
      </c>
      <c r="Q727" s="1" t="s">
        <v>222</v>
      </c>
      <c r="R727" s="1" t="s">
        <v>223</v>
      </c>
      <c r="S727" s="1" t="s">
        <v>601</v>
      </c>
      <c r="T727" s="1">
        <v>1.00641939E8</v>
      </c>
      <c r="W727" s="1" t="s">
        <v>533</v>
      </c>
      <c r="X727" s="1" t="s">
        <v>1068</v>
      </c>
    </row>
    <row r="728">
      <c r="A728" s="1" t="s">
        <v>2772</v>
      </c>
      <c r="B728" s="1" t="s">
        <v>973</v>
      </c>
      <c r="C728" s="1" t="s">
        <v>2773</v>
      </c>
      <c r="D728" s="1" t="s">
        <v>28</v>
      </c>
      <c r="E728" s="1" t="s">
        <v>29</v>
      </c>
      <c r="F728" s="5">
        <v>1500000.0</v>
      </c>
      <c r="G728" s="1" t="s">
        <v>1114</v>
      </c>
      <c r="H728" s="4">
        <v>44717.0</v>
      </c>
      <c r="I728" s="1" t="s">
        <v>2774</v>
      </c>
      <c r="K728" s="1">
        <v>0.0</v>
      </c>
      <c r="L728" s="1" t="s">
        <v>1505</v>
      </c>
      <c r="M728" s="1" t="str">
        <f>VLOOKUP(L728,'Copy of PMD Workday Constants -'!B697:Y1383,22,false)</f>
        <v>#N/A</v>
      </c>
      <c r="N728" s="1" t="s">
        <v>32</v>
      </c>
      <c r="O728" s="1" t="s">
        <v>33</v>
      </c>
      <c r="P728" s="1" t="s">
        <v>112</v>
      </c>
      <c r="Q728" s="1" t="s">
        <v>112</v>
      </c>
      <c r="R728" s="1" t="s">
        <v>113</v>
      </c>
      <c r="S728" s="1" t="s">
        <v>455</v>
      </c>
      <c r="T728" s="1">
        <v>1.00651554E8</v>
      </c>
      <c r="W728" s="1" t="s">
        <v>456</v>
      </c>
      <c r="X728" s="1" t="s">
        <v>977</v>
      </c>
    </row>
    <row r="729">
      <c r="A729" s="1" t="s">
        <v>2775</v>
      </c>
      <c r="B729" s="1" t="s">
        <v>973</v>
      </c>
      <c r="C729" s="1" t="s">
        <v>2776</v>
      </c>
      <c r="D729" s="1" t="s">
        <v>28</v>
      </c>
      <c r="E729" s="1" t="s">
        <v>29</v>
      </c>
      <c r="F729" s="5">
        <v>1500000.0</v>
      </c>
      <c r="G729" s="1" t="s">
        <v>1114</v>
      </c>
      <c r="H729" s="4">
        <v>44717.0</v>
      </c>
      <c r="I729" s="1" t="s">
        <v>237</v>
      </c>
      <c r="K729" s="1">
        <v>0.0</v>
      </c>
      <c r="L729" s="1" t="s">
        <v>1505</v>
      </c>
      <c r="M729" s="1" t="str">
        <f>VLOOKUP(L729,'Copy of PMD Workday Constants -'!B698:Y1384,22,false)</f>
        <v>#N/A</v>
      </c>
      <c r="N729" s="1" t="s">
        <v>32</v>
      </c>
      <c r="O729" s="1" t="s">
        <v>33</v>
      </c>
      <c r="P729" s="1" t="s">
        <v>112</v>
      </c>
      <c r="Q729" s="1" t="s">
        <v>112</v>
      </c>
      <c r="R729" s="1" t="s">
        <v>113</v>
      </c>
      <c r="S729" s="1" t="s">
        <v>455</v>
      </c>
      <c r="T729" s="1">
        <v>1.00651554E8</v>
      </c>
      <c r="W729" s="1" t="s">
        <v>456</v>
      </c>
      <c r="X729" s="1" t="s">
        <v>977</v>
      </c>
    </row>
    <row r="730">
      <c r="A730" s="1" t="s">
        <v>2777</v>
      </c>
      <c r="B730" s="1" t="s">
        <v>973</v>
      </c>
      <c r="C730" s="1" t="s">
        <v>2778</v>
      </c>
      <c r="D730" s="1" t="s">
        <v>28</v>
      </c>
      <c r="E730" s="1" t="s">
        <v>29</v>
      </c>
      <c r="F730" s="5">
        <v>1500000.0</v>
      </c>
      <c r="G730" s="1" t="s">
        <v>1114</v>
      </c>
      <c r="H730" s="4">
        <v>44717.0</v>
      </c>
      <c r="I730" s="1" t="s">
        <v>2150</v>
      </c>
      <c r="K730" s="1">
        <v>0.0</v>
      </c>
      <c r="L730" s="1" t="s">
        <v>1505</v>
      </c>
      <c r="M730" s="1" t="str">
        <f>VLOOKUP(L730,'Copy of PMD Workday Constants -'!B699:Y1385,22,false)</f>
        <v>#N/A</v>
      </c>
      <c r="N730" s="1" t="s">
        <v>32</v>
      </c>
      <c r="O730" s="1" t="s">
        <v>33</v>
      </c>
      <c r="P730" s="1" t="s">
        <v>112</v>
      </c>
      <c r="Q730" s="1" t="s">
        <v>112</v>
      </c>
      <c r="R730" s="1" t="s">
        <v>113</v>
      </c>
      <c r="S730" s="1" t="s">
        <v>583</v>
      </c>
      <c r="T730" s="1">
        <v>1.00651554E8</v>
      </c>
      <c r="W730" s="1" t="s">
        <v>456</v>
      </c>
      <c r="X730" s="1" t="s">
        <v>977</v>
      </c>
    </row>
    <row r="731">
      <c r="A731" s="1" t="s">
        <v>2779</v>
      </c>
      <c r="B731" s="1" t="s">
        <v>973</v>
      </c>
      <c r="C731" s="1" t="s">
        <v>2780</v>
      </c>
      <c r="D731" s="1" t="s">
        <v>28</v>
      </c>
      <c r="E731" s="1" t="s">
        <v>29</v>
      </c>
      <c r="F731" s="5">
        <v>1500000.0</v>
      </c>
      <c r="G731" s="1" t="s">
        <v>1114</v>
      </c>
      <c r="H731" s="4">
        <v>44717.0</v>
      </c>
      <c r="I731" s="1" t="s">
        <v>2781</v>
      </c>
      <c r="K731" s="1">
        <v>0.0</v>
      </c>
      <c r="L731" s="1" t="s">
        <v>1505</v>
      </c>
      <c r="M731" s="1" t="str">
        <f>VLOOKUP(L731,'Copy of PMD Workday Constants -'!B700:Y1386,22,false)</f>
        <v>#N/A</v>
      </c>
      <c r="N731" s="1" t="s">
        <v>32</v>
      </c>
      <c r="O731" s="1" t="s">
        <v>33</v>
      </c>
      <c r="P731" s="1" t="s">
        <v>112</v>
      </c>
      <c r="Q731" s="1" t="s">
        <v>112</v>
      </c>
      <c r="R731" s="1" t="s">
        <v>113</v>
      </c>
      <c r="S731" s="1" t="s">
        <v>455</v>
      </c>
      <c r="T731" s="1">
        <v>1.00651554E8</v>
      </c>
      <c r="W731" s="1" t="s">
        <v>456</v>
      </c>
      <c r="X731" s="1" t="s">
        <v>977</v>
      </c>
    </row>
    <row r="732">
      <c r="A732" s="1" t="s">
        <v>2782</v>
      </c>
      <c r="B732" s="1" t="s">
        <v>973</v>
      </c>
      <c r="C732" s="1" t="s">
        <v>2783</v>
      </c>
      <c r="D732" s="1" t="s">
        <v>28</v>
      </c>
      <c r="E732" s="1" t="s">
        <v>29</v>
      </c>
      <c r="F732" s="5">
        <v>1500000.0</v>
      </c>
      <c r="G732" s="1" t="s">
        <v>1114</v>
      </c>
      <c r="H732" s="4">
        <v>44717.0</v>
      </c>
      <c r="I732" s="1" t="s">
        <v>2781</v>
      </c>
      <c r="K732" s="1">
        <v>0.0</v>
      </c>
      <c r="L732" s="1" t="s">
        <v>976</v>
      </c>
      <c r="M732" s="1" t="str">
        <f>VLOOKUP(L732,'Copy of PMD Workday Constants -'!B701:Y1387,22,false)</f>
        <v>#N/A</v>
      </c>
      <c r="N732" s="1" t="s">
        <v>32</v>
      </c>
      <c r="O732" s="1" t="s">
        <v>33</v>
      </c>
      <c r="P732" s="1" t="s">
        <v>173</v>
      </c>
      <c r="Q732" s="1" t="s">
        <v>173</v>
      </c>
      <c r="R732" s="1" t="s">
        <v>174</v>
      </c>
      <c r="T732" s="1">
        <v>1.00611358E8</v>
      </c>
      <c r="W732" s="1" t="s">
        <v>456</v>
      </c>
      <c r="X732" s="1" t="s">
        <v>977</v>
      </c>
    </row>
    <row r="733">
      <c r="A733" s="1" t="s">
        <v>2784</v>
      </c>
      <c r="B733" s="1" t="s">
        <v>2785</v>
      </c>
      <c r="C733" s="1" t="s">
        <v>2786</v>
      </c>
      <c r="D733" s="1" t="s">
        <v>51</v>
      </c>
      <c r="E733" s="1" t="s">
        <v>29</v>
      </c>
      <c r="F733" s="5">
        <v>1500000.0</v>
      </c>
      <c r="G733" s="1" t="s">
        <v>1114</v>
      </c>
      <c r="H733" s="1" t="s">
        <v>2787</v>
      </c>
      <c r="I733" s="1" t="s">
        <v>152</v>
      </c>
      <c r="K733" s="1">
        <v>0.0</v>
      </c>
      <c r="L733" s="1" t="s">
        <v>2788</v>
      </c>
      <c r="M733" s="1" t="str">
        <f>VLOOKUP(L733,'Copy of PMD Workday Constants -'!B702:Y1388,22,false)</f>
        <v>#N/A</v>
      </c>
      <c r="N733" s="1" t="s">
        <v>32</v>
      </c>
      <c r="O733" s="1" t="s">
        <v>33</v>
      </c>
      <c r="P733" s="1" t="s">
        <v>54</v>
      </c>
      <c r="Q733" s="1" t="s">
        <v>54</v>
      </c>
      <c r="R733" s="1" t="s">
        <v>55</v>
      </c>
      <c r="S733" s="1" t="s">
        <v>1457</v>
      </c>
      <c r="T733" s="1">
        <v>1.0059132E8</v>
      </c>
      <c r="W733" s="1" t="s">
        <v>85</v>
      </c>
      <c r="X733" s="1" t="s">
        <v>188</v>
      </c>
    </row>
    <row r="734">
      <c r="A734" s="1" t="s">
        <v>2789</v>
      </c>
      <c r="B734" s="1" t="s">
        <v>2790</v>
      </c>
      <c r="C734" s="1" t="s">
        <v>2791</v>
      </c>
      <c r="D734" s="1" t="s">
        <v>28</v>
      </c>
      <c r="E734" s="1" t="s">
        <v>29</v>
      </c>
      <c r="F734" s="5">
        <v>1500000.0</v>
      </c>
      <c r="G734" s="1" t="s">
        <v>1114</v>
      </c>
      <c r="H734" s="4">
        <v>44480.0</v>
      </c>
      <c r="I734" s="1" t="s">
        <v>538</v>
      </c>
      <c r="K734" s="1">
        <v>0.0</v>
      </c>
      <c r="L734" s="1" t="s">
        <v>1023</v>
      </c>
      <c r="M734" s="1" t="str">
        <f>VLOOKUP(L734,'Copy of PMD Workday Constants -'!B703:Y1389,22,false)</f>
        <v>#N/A</v>
      </c>
      <c r="N734" s="1" t="s">
        <v>32</v>
      </c>
      <c r="O734" s="1" t="s">
        <v>33</v>
      </c>
      <c r="P734" s="1" t="s">
        <v>82</v>
      </c>
      <c r="Q734" s="1" t="s">
        <v>82</v>
      </c>
      <c r="R734" s="1" t="s">
        <v>83</v>
      </c>
      <c r="S734" s="1" t="s">
        <v>153</v>
      </c>
      <c r="T734" s="1">
        <v>1.00619899E8</v>
      </c>
      <c r="W734" s="1" t="s">
        <v>85</v>
      </c>
      <c r="X734" s="1" t="s">
        <v>2792</v>
      </c>
    </row>
    <row r="735">
      <c r="A735" s="1" t="s">
        <v>2793</v>
      </c>
      <c r="B735" s="1" t="s">
        <v>993</v>
      </c>
      <c r="C735" s="1" t="s">
        <v>2794</v>
      </c>
      <c r="D735" s="1" t="s">
        <v>28</v>
      </c>
      <c r="E735" s="1" t="s">
        <v>29</v>
      </c>
      <c r="F735" s="5">
        <v>1500000.0</v>
      </c>
      <c r="G735" s="1" t="s">
        <v>1114</v>
      </c>
      <c r="H735" s="1" t="s">
        <v>698</v>
      </c>
      <c r="I735" s="1" t="s">
        <v>510</v>
      </c>
      <c r="K735" s="1">
        <v>0.0</v>
      </c>
      <c r="L735" s="1" t="s">
        <v>1760</v>
      </c>
      <c r="M735" s="1" t="str">
        <f>VLOOKUP(L735,'Copy of PMD Workday Constants -'!B704:Y1390,22,false)</f>
        <v>#N/A</v>
      </c>
      <c r="N735" s="1" t="s">
        <v>32</v>
      </c>
      <c r="O735" s="1" t="s">
        <v>33</v>
      </c>
      <c r="P735" s="1" t="s">
        <v>112</v>
      </c>
      <c r="Q735" s="1" t="s">
        <v>112</v>
      </c>
      <c r="R735" s="1" t="s">
        <v>113</v>
      </c>
      <c r="T735" s="1">
        <v>1.00610489E8</v>
      </c>
      <c r="W735" s="1" t="s">
        <v>74</v>
      </c>
      <c r="X735" s="1" t="s">
        <v>2795</v>
      </c>
    </row>
    <row r="736">
      <c r="A736" s="1" t="s">
        <v>2796</v>
      </c>
      <c r="B736" s="1" t="s">
        <v>40</v>
      </c>
      <c r="C736" s="1" t="s">
        <v>2797</v>
      </c>
      <c r="D736" s="1" t="s">
        <v>28</v>
      </c>
      <c r="E736" s="1" t="s">
        <v>29</v>
      </c>
      <c r="F736" s="5">
        <v>1500000.0</v>
      </c>
      <c r="G736" s="1" t="s">
        <v>1114</v>
      </c>
      <c r="H736" s="4">
        <v>44237.0</v>
      </c>
      <c r="I736" s="1" t="s">
        <v>43</v>
      </c>
      <c r="K736" s="1">
        <v>0.0</v>
      </c>
      <c r="L736" s="1" t="s">
        <v>825</v>
      </c>
      <c r="M736" s="1" t="str">
        <f>VLOOKUP(L736,'Copy of PMD Workday Constants -'!B705:Y1391,22,false)</f>
        <v>#N/A</v>
      </c>
      <c r="N736" s="1" t="s">
        <v>32</v>
      </c>
      <c r="O736" s="1" t="s">
        <v>33</v>
      </c>
      <c r="P736" s="1" t="s">
        <v>112</v>
      </c>
      <c r="Q736" s="1" t="s">
        <v>112</v>
      </c>
      <c r="R736" s="1" t="s">
        <v>113</v>
      </c>
      <c r="S736" s="1" t="s">
        <v>307</v>
      </c>
      <c r="T736" s="1">
        <v>1.00621664E8</v>
      </c>
      <c r="W736" s="1" t="s">
        <v>47</v>
      </c>
      <c r="X736" s="1" t="s">
        <v>2798</v>
      </c>
    </row>
    <row r="737">
      <c r="A737" s="1" t="s">
        <v>2799</v>
      </c>
      <c r="B737" s="1" t="s">
        <v>40</v>
      </c>
      <c r="C737" s="1" t="s">
        <v>2800</v>
      </c>
      <c r="D737" s="1" t="s">
        <v>28</v>
      </c>
      <c r="E737" s="1" t="s">
        <v>29</v>
      </c>
      <c r="F737" s="5">
        <v>1500000.0</v>
      </c>
      <c r="G737" s="1" t="s">
        <v>1114</v>
      </c>
      <c r="H737" s="4">
        <v>44237.0</v>
      </c>
      <c r="I737" s="1" t="s">
        <v>43</v>
      </c>
      <c r="K737" s="1">
        <v>0.0</v>
      </c>
      <c r="L737" s="1" t="s">
        <v>825</v>
      </c>
      <c r="M737" s="1" t="str">
        <f>VLOOKUP(L737,'Copy of PMD Workday Constants -'!B706:Y1392,22,false)</f>
        <v>#N/A</v>
      </c>
      <c r="N737" s="1" t="s">
        <v>32</v>
      </c>
      <c r="O737" s="1" t="s">
        <v>33</v>
      </c>
      <c r="P737" s="1" t="s">
        <v>112</v>
      </c>
      <c r="Q737" s="1" t="s">
        <v>112</v>
      </c>
      <c r="R737" s="1" t="s">
        <v>113</v>
      </c>
      <c r="S737" s="1" t="s">
        <v>307</v>
      </c>
      <c r="T737" s="1">
        <v>1.00621664E8</v>
      </c>
      <c r="W737" s="1" t="s">
        <v>47</v>
      </c>
      <c r="X737" s="1" t="s">
        <v>2798</v>
      </c>
    </row>
    <row r="738">
      <c r="A738" s="1" t="s">
        <v>2801</v>
      </c>
      <c r="B738" s="1" t="s">
        <v>40</v>
      </c>
      <c r="C738" s="1" t="s">
        <v>2802</v>
      </c>
      <c r="D738" s="1" t="s">
        <v>28</v>
      </c>
      <c r="E738" s="1" t="s">
        <v>29</v>
      </c>
      <c r="F738" s="5">
        <v>1500000.0</v>
      </c>
      <c r="G738" s="1" t="s">
        <v>1114</v>
      </c>
      <c r="H738" s="4">
        <v>44237.0</v>
      </c>
      <c r="I738" s="1" t="s">
        <v>43</v>
      </c>
      <c r="K738" s="1">
        <v>0.0</v>
      </c>
      <c r="L738" s="1" t="s">
        <v>825</v>
      </c>
      <c r="M738" s="1" t="str">
        <f>VLOOKUP(L738,'Copy of PMD Workday Constants -'!B707:Y1393,22,false)</f>
        <v>#N/A</v>
      </c>
      <c r="N738" s="1" t="s">
        <v>32</v>
      </c>
      <c r="O738" s="1" t="s">
        <v>33</v>
      </c>
      <c r="P738" s="1" t="s">
        <v>112</v>
      </c>
      <c r="Q738" s="1" t="s">
        <v>112</v>
      </c>
      <c r="R738" s="1" t="s">
        <v>113</v>
      </c>
      <c r="S738" s="1" t="s">
        <v>307</v>
      </c>
      <c r="T738" s="1">
        <v>1.00621664E8</v>
      </c>
      <c r="W738" s="1" t="s">
        <v>47</v>
      </c>
      <c r="X738" s="1" t="s">
        <v>2798</v>
      </c>
    </row>
    <row r="739">
      <c r="A739" s="1" t="s">
        <v>2803</v>
      </c>
      <c r="B739" s="1" t="s">
        <v>2372</v>
      </c>
      <c r="C739" s="1" t="s">
        <v>2804</v>
      </c>
      <c r="D739" s="1" t="s">
        <v>51</v>
      </c>
      <c r="E739" s="1" t="s">
        <v>29</v>
      </c>
      <c r="F739" s="5">
        <v>1500000.0</v>
      </c>
      <c r="G739" s="1" t="s">
        <v>1114</v>
      </c>
      <c r="H739" s="1" t="s">
        <v>110</v>
      </c>
      <c r="I739" s="1" t="s">
        <v>1226</v>
      </c>
      <c r="K739" s="1">
        <v>0.0</v>
      </c>
      <c r="L739" s="1" t="s">
        <v>1238</v>
      </c>
      <c r="M739" s="1" t="str">
        <f>VLOOKUP(L739,'Copy of PMD Workday Constants -'!B708:Y1394,22,false)</f>
        <v>#N/A</v>
      </c>
      <c r="N739" s="1" t="s">
        <v>32</v>
      </c>
      <c r="O739" s="1" t="s">
        <v>33</v>
      </c>
      <c r="P739" s="1" t="s">
        <v>210</v>
      </c>
      <c r="Q739" s="1" t="s">
        <v>210</v>
      </c>
      <c r="R739" s="1" t="s">
        <v>211</v>
      </c>
      <c r="S739" s="1" t="s">
        <v>416</v>
      </c>
      <c r="T739" s="1">
        <v>1.00586959E8</v>
      </c>
      <c r="W739" s="1" t="s">
        <v>56</v>
      </c>
      <c r="X739" s="1" t="s">
        <v>968</v>
      </c>
    </row>
    <row r="740">
      <c r="A740" s="1" t="s">
        <v>2805</v>
      </c>
      <c r="B740" s="1" t="s">
        <v>1154</v>
      </c>
      <c r="C740" s="1" t="s">
        <v>2806</v>
      </c>
      <c r="D740" s="1" t="s">
        <v>28</v>
      </c>
      <c r="E740" s="1" t="s">
        <v>29</v>
      </c>
      <c r="F740" s="5">
        <v>1500000.0</v>
      </c>
      <c r="G740" s="1" t="s">
        <v>1114</v>
      </c>
      <c r="H740" s="1" t="s">
        <v>509</v>
      </c>
      <c r="I740" s="1" t="s">
        <v>302</v>
      </c>
      <c r="K740" s="1">
        <v>0.0</v>
      </c>
      <c r="L740" s="1" t="s">
        <v>2807</v>
      </c>
      <c r="M740" s="1" t="str">
        <f>VLOOKUP(L740,'Copy of PMD Workday Constants -'!B709:Y1395,22,false)</f>
        <v>#N/A</v>
      </c>
      <c r="N740" s="1" t="s">
        <v>32</v>
      </c>
      <c r="O740" s="1" t="s">
        <v>33</v>
      </c>
      <c r="P740" s="1" t="s">
        <v>222</v>
      </c>
      <c r="Q740" s="1" t="s">
        <v>222</v>
      </c>
      <c r="R740" s="1" t="s">
        <v>223</v>
      </c>
      <c r="S740" s="1" t="s">
        <v>601</v>
      </c>
      <c r="T740" s="1">
        <v>1.00609611E8</v>
      </c>
      <c r="U740" s="1" t="s">
        <v>2808</v>
      </c>
      <c r="V740" s="1" t="s">
        <v>46</v>
      </c>
      <c r="W740" s="1" t="s">
        <v>947</v>
      </c>
      <c r="X740" s="1" t="s">
        <v>2603</v>
      </c>
    </row>
    <row r="741">
      <c r="A741" s="1" t="s">
        <v>2809</v>
      </c>
      <c r="B741" s="1" t="s">
        <v>1154</v>
      </c>
      <c r="C741" s="1" t="s">
        <v>2808</v>
      </c>
      <c r="D741" s="1" t="s">
        <v>28</v>
      </c>
      <c r="E741" s="1" t="s">
        <v>29</v>
      </c>
      <c r="F741" s="5">
        <v>1500000.0</v>
      </c>
      <c r="G741" s="1" t="s">
        <v>1114</v>
      </c>
      <c r="H741" s="1" t="s">
        <v>509</v>
      </c>
      <c r="I741" s="1" t="s">
        <v>302</v>
      </c>
      <c r="K741" s="1">
        <v>0.0</v>
      </c>
      <c r="L741" s="1" t="s">
        <v>2810</v>
      </c>
      <c r="M741" s="1" t="str">
        <f>VLOOKUP(L741,'Copy of PMD Workday Constants -'!B710:Y1396,22,false)</f>
        <v>#N/A</v>
      </c>
      <c r="N741" s="1" t="s">
        <v>32</v>
      </c>
      <c r="O741" s="1" t="s">
        <v>33</v>
      </c>
      <c r="P741" s="1" t="s">
        <v>173</v>
      </c>
      <c r="Q741" s="1" t="s">
        <v>173</v>
      </c>
      <c r="R741" s="1" t="s">
        <v>174</v>
      </c>
      <c r="S741" s="1" t="s">
        <v>114</v>
      </c>
      <c r="T741" s="1">
        <v>1.00660701E8</v>
      </c>
      <c r="U741" s="1" t="s">
        <v>2811</v>
      </c>
      <c r="V741" s="1" t="s">
        <v>46</v>
      </c>
      <c r="W741" s="1" t="s">
        <v>947</v>
      </c>
      <c r="X741" s="1" t="s">
        <v>2603</v>
      </c>
    </row>
    <row r="742">
      <c r="A742" s="1" t="s">
        <v>2812</v>
      </c>
      <c r="B742" s="1" t="s">
        <v>59</v>
      </c>
      <c r="C742" s="1" t="s">
        <v>2813</v>
      </c>
      <c r="D742" s="1" t="s">
        <v>28</v>
      </c>
      <c r="E742" s="1" t="s">
        <v>29</v>
      </c>
      <c r="F742" s="5">
        <v>1500000.0</v>
      </c>
      <c r="G742" s="1" t="s">
        <v>1114</v>
      </c>
      <c r="H742" s="4">
        <v>44598.0</v>
      </c>
      <c r="I742" s="1" t="s">
        <v>302</v>
      </c>
      <c r="K742" s="1">
        <v>0.0</v>
      </c>
      <c r="L742" s="1" t="s">
        <v>1087</v>
      </c>
      <c r="M742" s="1" t="str">
        <f>VLOOKUP(L742,'Copy of PMD Workday Constants -'!B711:Y1397,22,false)</f>
        <v>#N/A</v>
      </c>
      <c r="N742" s="1" t="s">
        <v>32</v>
      </c>
      <c r="O742" s="1" t="s">
        <v>33</v>
      </c>
      <c r="P742" s="1" t="s">
        <v>112</v>
      </c>
      <c r="Q742" s="1" t="s">
        <v>112</v>
      </c>
      <c r="R742" s="1" t="s">
        <v>113</v>
      </c>
      <c r="S742" s="1" t="s">
        <v>307</v>
      </c>
      <c r="T742" s="1">
        <v>1.00634994E8</v>
      </c>
      <c r="W742" s="1" t="s">
        <v>47</v>
      </c>
      <c r="X742" s="1" t="s">
        <v>1087</v>
      </c>
    </row>
    <row r="743">
      <c r="A743" s="1" t="s">
        <v>2814</v>
      </c>
      <c r="B743" s="1" t="s">
        <v>2815</v>
      </c>
      <c r="C743" s="1" t="s">
        <v>2816</v>
      </c>
      <c r="D743" s="1" t="s">
        <v>28</v>
      </c>
      <c r="E743" s="1" t="s">
        <v>29</v>
      </c>
      <c r="F743" s="5">
        <v>1500000.0</v>
      </c>
      <c r="G743" s="1" t="s">
        <v>1114</v>
      </c>
      <c r="H743" s="4">
        <v>44683.0</v>
      </c>
      <c r="I743" s="1" t="s">
        <v>104</v>
      </c>
      <c r="K743" s="1">
        <v>0.0</v>
      </c>
      <c r="L743" s="1" t="s">
        <v>871</v>
      </c>
      <c r="M743" s="1" t="str">
        <f>VLOOKUP(L743,'Copy of PMD Workday Constants -'!B712:Y1398,22,false)</f>
        <v>#N/A</v>
      </c>
      <c r="N743" s="1" t="s">
        <v>32</v>
      </c>
      <c r="O743" s="1" t="s">
        <v>33</v>
      </c>
      <c r="P743" s="1" t="s">
        <v>64</v>
      </c>
      <c r="Q743" s="1" t="s">
        <v>64</v>
      </c>
      <c r="R743" s="1" t="s">
        <v>65</v>
      </c>
      <c r="S743" s="1" t="s">
        <v>66</v>
      </c>
      <c r="T743" s="1">
        <v>1.00653785E8</v>
      </c>
      <c r="W743" s="1" t="s">
        <v>37</v>
      </c>
      <c r="X743" s="1" t="s">
        <v>871</v>
      </c>
    </row>
    <row r="744">
      <c r="A744" s="1" t="s">
        <v>2817</v>
      </c>
      <c r="B744" s="1" t="s">
        <v>1392</v>
      </c>
      <c r="C744" s="1" t="s">
        <v>2818</v>
      </c>
      <c r="D744" s="1" t="s">
        <v>28</v>
      </c>
      <c r="E744" s="1" t="s">
        <v>29</v>
      </c>
      <c r="F744" s="5">
        <v>1500000.0</v>
      </c>
      <c r="G744" s="1" t="s">
        <v>1114</v>
      </c>
      <c r="H744" s="4">
        <v>44446.0</v>
      </c>
      <c r="I744" s="4">
        <v>44992.0</v>
      </c>
      <c r="K744" s="1">
        <v>0.0</v>
      </c>
      <c r="L744" s="1" t="s">
        <v>2819</v>
      </c>
      <c r="M744" s="1" t="str">
        <f>VLOOKUP(L744,'Copy of PMD Workday Constants -'!B713:Y1399,22,false)</f>
        <v>#N/A</v>
      </c>
      <c r="N744" s="1" t="s">
        <v>32</v>
      </c>
      <c r="O744" s="1" t="s">
        <v>33</v>
      </c>
      <c r="P744" s="1" t="s">
        <v>34</v>
      </c>
      <c r="Q744" s="1" t="s">
        <v>34</v>
      </c>
      <c r="R744" s="1" t="s">
        <v>35</v>
      </c>
      <c r="S744" s="1" t="s">
        <v>383</v>
      </c>
      <c r="T744" s="1">
        <v>1.00602451E8</v>
      </c>
      <c r="W744" s="1" t="s">
        <v>947</v>
      </c>
      <c r="X744" s="1" t="s">
        <v>2089</v>
      </c>
    </row>
    <row r="745">
      <c r="A745" s="1" t="s">
        <v>2820</v>
      </c>
      <c r="B745" s="1" t="s">
        <v>1713</v>
      </c>
      <c r="C745" s="1" t="s">
        <v>2821</v>
      </c>
      <c r="D745" s="1" t="s">
        <v>51</v>
      </c>
      <c r="E745" s="1" t="s">
        <v>29</v>
      </c>
      <c r="F745" s="5">
        <v>1500000.0</v>
      </c>
      <c r="G745" s="1" t="s">
        <v>1114</v>
      </c>
      <c r="H745" s="1" t="s">
        <v>2822</v>
      </c>
      <c r="I745" s="1" t="s">
        <v>1384</v>
      </c>
      <c r="K745" s="1">
        <v>0.0</v>
      </c>
      <c r="L745" s="1" t="s">
        <v>499</v>
      </c>
      <c r="M745" s="1" t="str">
        <f>VLOOKUP(L745,'Copy of PMD Workday Constants -'!B714:Y1400,22,false)</f>
        <v>#N/A</v>
      </c>
      <c r="N745" s="1" t="s">
        <v>32</v>
      </c>
      <c r="O745" s="1" t="s">
        <v>33</v>
      </c>
      <c r="P745" s="1" t="s">
        <v>34</v>
      </c>
      <c r="Q745" s="1" t="s">
        <v>34</v>
      </c>
      <c r="R745" s="1" t="s">
        <v>35</v>
      </c>
      <c r="S745" s="1" t="s">
        <v>66</v>
      </c>
      <c r="T745" s="1">
        <v>1.00627768E8</v>
      </c>
      <c r="W745" s="1" t="s">
        <v>91</v>
      </c>
      <c r="X745" s="1" t="s">
        <v>499</v>
      </c>
    </row>
    <row r="746">
      <c r="A746" s="1" t="s">
        <v>2823</v>
      </c>
      <c r="B746" s="1" t="s">
        <v>2824</v>
      </c>
      <c r="C746" s="1" t="s">
        <v>2825</v>
      </c>
      <c r="D746" s="1" t="s">
        <v>103</v>
      </c>
      <c r="E746" s="1" t="s">
        <v>29</v>
      </c>
      <c r="F746" s="5">
        <v>1500000.0</v>
      </c>
      <c r="G746" s="1" t="s">
        <v>1114</v>
      </c>
      <c r="H746" s="1" t="s">
        <v>2826</v>
      </c>
      <c r="I746" s="4">
        <v>44626.0</v>
      </c>
      <c r="J746" s="6">
        <v>44717.59861111111</v>
      </c>
      <c r="K746" s="1">
        <v>0.0</v>
      </c>
      <c r="L746" s="1" t="s">
        <v>2343</v>
      </c>
      <c r="M746" s="1" t="str">
        <f>VLOOKUP(L746,'Copy of PMD Workday Constants -'!B715:Y1401,22,false)</f>
        <v>#N/A</v>
      </c>
      <c r="N746" s="1" t="s">
        <v>32</v>
      </c>
      <c r="O746" s="1" t="s">
        <v>33</v>
      </c>
      <c r="P746" s="1" t="s">
        <v>222</v>
      </c>
      <c r="Q746" s="1" t="s">
        <v>222</v>
      </c>
      <c r="R746" s="1" t="s">
        <v>223</v>
      </c>
      <c r="S746" s="1" t="s">
        <v>601</v>
      </c>
      <c r="T746" s="1">
        <v>1.00619128E8</v>
      </c>
      <c r="W746" s="1" t="s">
        <v>339</v>
      </c>
      <c r="X746" s="1" t="s">
        <v>2827</v>
      </c>
    </row>
    <row r="747">
      <c r="A747" s="1" t="s">
        <v>2828</v>
      </c>
      <c r="B747" s="1" t="s">
        <v>2263</v>
      </c>
      <c r="C747" s="1" t="s">
        <v>2829</v>
      </c>
      <c r="D747" s="1" t="s">
        <v>28</v>
      </c>
      <c r="E747" s="1" t="s">
        <v>29</v>
      </c>
      <c r="F747" s="5">
        <v>1500000.0</v>
      </c>
      <c r="G747" s="1" t="s">
        <v>1114</v>
      </c>
      <c r="H747" s="4">
        <v>44745.0</v>
      </c>
      <c r="I747" s="1" t="s">
        <v>191</v>
      </c>
      <c r="K747" s="1">
        <v>0.0</v>
      </c>
      <c r="L747" s="1" t="s">
        <v>836</v>
      </c>
      <c r="M747" s="1" t="str">
        <f>VLOOKUP(L747,'Copy of PMD Workday Constants -'!B716:Y1402,22,false)</f>
        <v>#N/A</v>
      </c>
      <c r="N747" s="1" t="s">
        <v>32</v>
      </c>
      <c r="O747" s="1" t="s">
        <v>33</v>
      </c>
      <c r="P747" s="1" t="s">
        <v>173</v>
      </c>
      <c r="Q747" s="1" t="s">
        <v>173</v>
      </c>
      <c r="R747" s="1" t="s">
        <v>174</v>
      </c>
      <c r="S747" s="1" t="s">
        <v>612</v>
      </c>
      <c r="T747" s="1">
        <v>1.00648457E8</v>
      </c>
      <c r="W747" s="1" t="s">
        <v>115</v>
      </c>
      <c r="X747" s="1" t="s">
        <v>836</v>
      </c>
    </row>
    <row r="748">
      <c r="A748" s="1" t="s">
        <v>2830</v>
      </c>
      <c r="B748" s="1" t="s">
        <v>489</v>
      </c>
      <c r="C748" s="1" t="s">
        <v>2831</v>
      </c>
      <c r="D748" s="1" t="s">
        <v>28</v>
      </c>
      <c r="E748" s="1" t="s">
        <v>29</v>
      </c>
      <c r="F748" s="5">
        <v>1500000.0</v>
      </c>
      <c r="G748" s="1" t="s">
        <v>1114</v>
      </c>
      <c r="H748" s="4">
        <v>44686.0</v>
      </c>
      <c r="I748" s="1" t="s">
        <v>152</v>
      </c>
      <c r="K748" s="1">
        <v>0.0</v>
      </c>
      <c r="L748" s="1" t="s">
        <v>1039</v>
      </c>
      <c r="M748" s="1" t="str">
        <f>VLOOKUP(L748,'Copy of PMD Workday Constants -'!B717:Y1403,22,false)</f>
        <v>#N/A</v>
      </c>
      <c r="N748" s="1" t="s">
        <v>32</v>
      </c>
      <c r="O748" s="1" t="s">
        <v>33</v>
      </c>
      <c r="P748" s="1" t="s">
        <v>112</v>
      </c>
      <c r="Q748" s="1" t="s">
        <v>112</v>
      </c>
      <c r="R748" s="1" t="s">
        <v>113</v>
      </c>
      <c r="S748" s="1" t="s">
        <v>134</v>
      </c>
      <c r="T748" s="1">
        <v>1.00633489E8</v>
      </c>
      <c r="W748" s="1" t="s">
        <v>493</v>
      </c>
      <c r="X748" s="1" t="s">
        <v>494</v>
      </c>
    </row>
    <row r="749">
      <c r="A749" s="1" t="s">
        <v>2832</v>
      </c>
      <c r="B749" s="1" t="s">
        <v>1154</v>
      </c>
      <c r="C749" s="1" t="s">
        <v>2811</v>
      </c>
      <c r="D749" s="1" t="s">
        <v>28</v>
      </c>
      <c r="E749" s="1" t="s">
        <v>29</v>
      </c>
      <c r="F749" s="5">
        <v>1500000.0</v>
      </c>
      <c r="G749" s="1" t="s">
        <v>1114</v>
      </c>
      <c r="H749" s="1" t="s">
        <v>1765</v>
      </c>
      <c r="I749" s="1" t="s">
        <v>302</v>
      </c>
      <c r="K749" s="1">
        <v>0.0</v>
      </c>
      <c r="L749" s="1" t="s">
        <v>600</v>
      </c>
      <c r="M749" s="1" t="str">
        <f>VLOOKUP(L749,'Copy of PMD Workday Constants -'!B718:Y1404,22,false)</f>
        <v>#N/A</v>
      </c>
      <c r="N749" s="1" t="s">
        <v>32</v>
      </c>
      <c r="O749" s="1" t="s">
        <v>33</v>
      </c>
      <c r="P749" s="1" t="s">
        <v>222</v>
      </c>
      <c r="Q749" s="1" t="s">
        <v>222</v>
      </c>
      <c r="R749" s="1" t="s">
        <v>223</v>
      </c>
      <c r="S749" s="1" t="s">
        <v>114</v>
      </c>
      <c r="T749" s="1">
        <v>1.00646519E8</v>
      </c>
      <c r="V749" s="1" t="s">
        <v>422</v>
      </c>
      <c r="W749" s="1" t="s">
        <v>947</v>
      </c>
      <c r="X749" s="1" t="s">
        <v>2833</v>
      </c>
    </row>
    <row r="750">
      <c r="A750" s="1" t="s">
        <v>2834</v>
      </c>
      <c r="B750" s="1" t="s">
        <v>2835</v>
      </c>
      <c r="C750" s="1" t="s">
        <v>2836</v>
      </c>
      <c r="D750" s="1" t="s">
        <v>28</v>
      </c>
      <c r="E750" s="1" t="s">
        <v>29</v>
      </c>
      <c r="F750" s="5">
        <v>1500000.0</v>
      </c>
      <c r="G750" s="1" t="s">
        <v>1114</v>
      </c>
      <c r="H750" s="1" t="s">
        <v>2837</v>
      </c>
      <c r="I750" s="1" t="s">
        <v>104</v>
      </c>
      <c r="K750" s="1">
        <v>0.0</v>
      </c>
      <c r="L750" s="1" t="s">
        <v>2838</v>
      </c>
      <c r="M750" s="1" t="str">
        <f>VLOOKUP(L750,'Copy of PMD Workday Constants -'!B719:Y1405,22,false)</f>
        <v>#N/A</v>
      </c>
      <c r="N750" s="1" t="s">
        <v>32</v>
      </c>
      <c r="O750" s="1" t="s">
        <v>33</v>
      </c>
      <c r="P750" s="1" t="s">
        <v>112</v>
      </c>
      <c r="Q750" s="1" t="s">
        <v>112</v>
      </c>
      <c r="R750" s="1" t="s">
        <v>113</v>
      </c>
      <c r="S750" s="1" t="s">
        <v>114</v>
      </c>
      <c r="T750" s="1">
        <v>1.00654835E8</v>
      </c>
      <c r="W750" s="1" t="s">
        <v>140</v>
      </c>
      <c r="X750" s="1" t="s">
        <v>2838</v>
      </c>
    </row>
    <row r="751">
      <c r="A751" s="1" t="s">
        <v>2839</v>
      </c>
      <c r="B751" s="1" t="s">
        <v>765</v>
      </c>
      <c r="C751" s="1" t="s">
        <v>2840</v>
      </c>
      <c r="D751" s="1" t="s">
        <v>103</v>
      </c>
      <c r="E751" s="1" t="s">
        <v>29</v>
      </c>
      <c r="F751" s="5">
        <v>1500000.0</v>
      </c>
      <c r="G751" s="1" t="s">
        <v>1114</v>
      </c>
      <c r="H751" s="1" t="s">
        <v>509</v>
      </c>
      <c r="I751" s="1" t="s">
        <v>80</v>
      </c>
      <c r="K751" s="1">
        <v>0.0</v>
      </c>
      <c r="L751" s="1" t="s">
        <v>1408</v>
      </c>
      <c r="M751" s="1" t="str">
        <f>VLOOKUP(L751,'Copy of PMD Workday Constants -'!B720:Y1406,22,false)</f>
        <v>#N/A</v>
      </c>
      <c r="N751" s="1" t="s">
        <v>32</v>
      </c>
      <c r="O751" s="1" t="s">
        <v>33</v>
      </c>
      <c r="P751" s="1" t="s">
        <v>64</v>
      </c>
      <c r="Q751" s="1" t="s">
        <v>64</v>
      </c>
      <c r="R751" s="1" t="s">
        <v>65</v>
      </c>
      <c r="S751" s="1" t="s">
        <v>791</v>
      </c>
      <c r="T751" s="1">
        <v>1.00652169E8</v>
      </c>
      <c r="W751" s="1" t="s">
        <v>456</v>
      </c>
      <c r="X751" s="1" t="s">
        <v>1408</v>
      </c>
    </row>
    <row r="752">
      <c r="A752" s="1" t="s">
        <v>2841</v>
      </c>
      <c r="B752" s="1" t="s">
        <v>1118</v>
      </c>
      <c r="C752" s="1" t="s">
        <v>2842</v>
      </c>
      <c r="D752" s="1" t="s">
        <v>103</v>
      </c>
      <c r="E752" s="1" t="s">
        <v>29</v>
      </c>
      <c r="F752" s="5">
        <v>1500000.0</v>
      </c>
      <c r="G752" s="1" t="s">
        <v>1114</v>
      </c>
      <c r="H752" s="1" t="s">
        <v>1765</v>
      </c>
      <c r="I752" s="1" t="s">
        <v>732</v>
      </c>
      <c r="K752" s="1">
        <v>0.0</v>
      </c>
      <c r="L752" s="1" t="s">
        <v>2843</v>
      </c>
      <c r="M752" s="1" t="str">
        <f>VLOOKUP(L752,'Copy of PMD Workday Constants -'!B721:Y1407,22,false)</f>
        <v>#N/A</v>
      </c>
      <c r="N752" s="1" t="s">
        <v>32</v>
      </c>
      <c r="O752" s="1" t="s">
        <v>33</v>
      </c>
      <c r="P752" s="1" t="s">
        <v>112</v>
      </c>
      <c r="Q752" s="1" t="s">
        <v>112</v>
      </c>
      <c r="R752" s="1" t="s">
        <v>113</v>
      </c>
      <c r="T752" s="1">
        <v>1.00610052E8</v>
      </c>
      <c r="W752" s="1" t="s">
        <v>85</v>
      </c>
      <c r="X752" s="1" t="s">
        <v>2843</v>
      </c>
    </row>
    <row r="753">
      <c r="A753" s="1" t="s">
        <v>2844</v>
      </c>
      <c r="B753" s="1" t="s">
        <v>353</v>
      </c>
      <c r="C753" s="1" t="s">
        <v>2845</v>
      </c>
      <c r="D753" s="1" t="s">
        <v>103</v>
      </c>
      <c r="E753" s="1" t="s">
        <v>29</v>
      </c>
      <c r="F753" s="5">
        <v>1500000.0</v>
      </c>
      <c r="G753" s="1" t="s">
        <v>1114</v>
      </c>
      <c r="H753" s="1" t="s">
        <v>2846</v>
      </c>
      <c r="I753" s="1" t="s">
        <v>152</v>
      </c>
      <c r="K753" s="1">
        <v>0.0</v>
      </c>
      <c r="L753" s="1" t="s">
        <v>355</v>
      </c>
      <c r="M753" s="1" t="str">
        <f>VLOOKUP(L753,'Copy of PMD Workday Constants -'!B722:Y1408,22,false)</f>
        <v>#N/A</v>
      </c>
      <c r="N753" s="1" t="s">
        <v>32</v>
      </c>
      <c r="O753" s="1" t="s">
        <v>33</v>
      </c>
      <c r="P753" s="1" t="s">
        <v>210</v>
      </c>
      <c r="Q753" s="1" t="s">
        <v>210</v>
      </c>
      <c r="R753" s="1" t="s">
        <v>211</v>
      </c>
      <c r="S753" s="1" t="s">
        <v>297</v>
      </c>
      <c r="T753" s="1">
        <v>1.00588753E8</v>
      </c>
      <c r="W753" s="1" t="s">
        <v>258</v>
      </c>
      <c r="X753" s="1" t="s">
        <v>2847</v>
      </c>
    </row>
    <row r="754">
      <c r="A754" s="1" t="s">
        <v>2848</v>
      </c>
      <c r="B754" s="1" t="s">
        <v>2849</v>
      </c>
      <c r="C754" s="1" t="s">
        <v>2850</v>
      </c>
      <c r="D754" s="1" t="s">
        <v>28</v>
      </c>
      <c r="E754" s="1" t="s">
        <v>29</v>
      </c>
      <c r="F754" s="5">
        <v>1500000.0</v>
      </c>
      <c r="G754" s="1" t="s">
        <v>1114</v>
      </c>
      <c r="H754" s="1" t="s">
        <v>569</v>
      </c>
      <c r="I754" s="1" t="s">
        <v>132</v>
      </c>
      <c r="K754" s="1">
        <v>0.0</v>
      </c>
      <c r="L754" s="1" t="s">
        <v>2325</v>
      </c>
      <c r="M754" s="1" t="str">
        <f>VLOOKUP(L754,'Copy of PMD Workday Constants -'!B723:Y1409,22,false)</f>
        <v>#N/A</v>
      </c>
      <c r="N754" s="1" t="s">
        <v>32</v>
      </c>
      <c r="O754" s="1" t="s">
        <v>33</v>
      </c>
      <c r="P754" s="1" t="s">
        <v>82</v>
      </c>
      <c r="Q754" s="1" t="s">
        <v>82</v>
      </c>
      <c r="R754" s="1" t="s">
        <v>83</v>
      </c>
      <c r="S754" s="1" t="s">
        <v>180</v>
      </c>
      <c r="T754" s="1">
        <v>1.00628181E8</v>
      </c>
      <c r="W754" s="1" t="s">
        <v>85</v>
      </c>
      <c r="X754" s="1" t="s">
        <v>2325</v>
      </c>
    </row>
    <row r="755">
      <c r="A755" s="1" t="s">
        <v>2851</v>
      </c>
      <c r="B755" s="1" t="s">
        <v>70</v>
      </c>
      <c r="C755" s="1" t="s">
        <v>2852</v>
      </c>
      <c r="D755" s="1" t="s">
        <v>28</v>
      </c>
      <c r="E755" s="1" t="s">
        <v>29</v>
      </c>
      <c r="F755" s="5">
        <v>1500000.0</v>
      </c>
      <c r="G755" s="1" t="s">
        <v>1114</v>
      </c>
      <c r="H755" s="1" t="s">
        <v>2510</v>
      </c>
      <c r="I755" s="1" t="s">
        <v>414</v>
      </c>
      <c r="K755" s="1">
        <v>0.0</v>
      </c>
      <c r="L755" s="1" t="s">
        <v>618</v>
      </c>
      <c r="M755" s="1" t="str">
        <f>VLOOKUP(L755,'Copy of PMD Workday Constants -'!B724:Y1410,22,false)</f>
        <v>#N/A</v>
      </c>
      <c r="N755" s="1" t="s">
        <v>32</v>
      </c>
      <c r="O755" s="1" t="s">
        <v>33</v>
      </c>
      <c r="P755" s="1" t="s">
        <v>173</v>
      </c>
      <c r="Q755" s="1" t="s">
        <v>173</v>
      </c>
      <c r="R755" s="1" t="s">
        <v>174</v>
      </c>
      <c r="S755" s="1" t="s">
        <v>540</v>
      </c>
      <c r="T755" s="1">
        <v>1.00591141E8</v>
      </c>
      <c r="W755" s="1" t="s">
        <v>74</v>
      </c>
      <c r="X755" s="1" t="s">
        <v>75</v>
      </c>
    </row>
    <row r="756">
      <c r="A756" s="1" t="s">
        <v>2853</v>
      </c>
      <c r="B756" s="1" t="s">
        <v>311</v>
      </c>
      <c r="C756" s="1" t="s">
        <v>2854</v>
      </c>
      <c r="D756" s="1" t="s">
        <v>103</v>
      </c>
      <c r="E756" s="1" t="s">
        <v>29</v>
      </c>
      <c r="F756" s="5">
        <v>1500000.0</v>
      </c>
      <c r="G756" s="1" t="s">
        <v>1114</v>
      </c>
      <c r="H756" s="1" t="s">
        <v>2855</v>
      </c>
      <c r="I756" s="4">
        <v>44568.0</v>
      </c>
      <c r="K756" s="1">
        <v>0.0</v>
      </c>
      <c r="L756" s="1" t="s">
        <v>270</v>
      </c>
      <c r="M756" s="1" t="str">
        <f>VLOOKUP(L756,'Copy of PMD Workday Constants -'!B725:Y1411,22,false)</f>
        <v>#N/A</v>
      </c>
      <c r="N756" s="1" t="s">
        <v>32</v>
      </c>
      <c r="O756" s="1" t="s">
        <v>33</v>
      </c>
      <c r="P756" s="1" t="s">
        <v>34</v>
      </c>
      <c r="Q756" s="1" t="s">
        <v>34</v>
      </c>
      <c r="R756" s="1" t="s">
        <v>35</v>
      </c>
      <c r="S756" s="1" t="s">
        <v>383</v>
      </c>
      <c r="T756" s="1">
        <v>1.00597826E8</v>
      </c>
      <c r="W756" s="1" t="s">
        <v>140</v>
      </c>
      <c r="X756" s="1" t="s">
        <v>2856</v>
      </c>
    </row>
    <row r="757">
      <c r="A757" s="1" t="s">
        <v>2857</v>
      </c>
      <c r="B757" s="1" t="s">
        <v>2858</v>
      </c>
      <c r="C757" s="1" t="s">
        <v>2859</v>
      </c>
      <c r="D757" s="1" t="s">
        <v>28</v>
      </c>
      <c r="E757" s="1" t="s">
        <v>29</v>
      </c>
      <c r="F757" s="5">
        <v>1500000.0</v>
      </c>
      <c r="G757" s="1" t="s">
        <v>1114</v>
      </c>
      <c r="H757" s="1" t="s">
        <v>2860</v>
      </c>
      <c r="I757" s="1" t="s">
        <v>152</v>
      </c>
      <c r="K757" s="1">
        <v>0.0</v>
      </c>
      <c r="L757" s="1" t="s">
        <v>2861</v>
      </c>
      <c r="M757" s="1" t="str">
        <f>VLOOKUP(L757,'Copy of PMD Workday Constants -'!B726:Y1412,22,false)</f>
        <v>#N/A</v>
      </c>
      <c r="N757" s="1" t="s">
        <v>32</v>
      </c>
      <c r="O757" s="1" t="s">
        <v>33</v>
      </c>
      <c r="P757" s="1" t="s">
        <v>112</v>
      </c>
      <c r="Q757" s="1" t="s">
        <v>112</v>
      </c>
      <c r="R757" s="1" t="s">
        <v>113</v>
      </c>
      <c r="S757" s="1" t="s">
        <v>120</v>
      </c>
      <c r="T757" s="1">
        <v>1.00649654E8</v>
      </c>
      <c r="W757" s="1" t="s">
        <v>56</v>
      </c>
      <c r="X757" s="1" t="s">
        <v>2861</v>
      </c>
    </row>
    <row r="758">
      <c r="A758" s="1" t="s">
        <v>2862</v>
      </c>
      <c r="B758" s="1" t="s">
        <v>965</v>
      </c>
      <c r="C758" s="1" t="s">
        <v>2863</v>
      </c>
      <c r="D758" s="1" t="s">
        <v>51</v>
      </c>
      <c r="E758" s="1" t="s">
        <v>29</v>
      </c>
      <c r="F758" s="5">
        <v>1500000.0</v>
      </c>
      <c r="G758" s="1" t="s">
        <v>1114</v>
      </c>
      <c r="H758" s="1" t="s">
        <v>2855</v>
      </c>
      <c r="I758" s="4">
        <v>44840.0</v>
      </c>
      <c r="K758" s="1">
        <v>0.0</v>
      </c>
      <c r="L758" s="1" t="s">
        <v>678</v>
      </c>
      <c r="M758" s="1" t="str">
        <f>VLOOKUP(L758,'Copy of PMD Workday Constants -'!B727:Y1413,22,false)</f>
        <v>#N/A</v>
      </c>
      <c r="N758" s="1" t="s">
        <v>32</v>
      </c>
      <c r="O758" s="1" t="s">
        <v>33</v>
      </c>
      <c r="P758" s="1" t="s">
        <v>210</v>
      </c>
      <c r="Q758" s="1" t="s">
        <v>210</v>
      </c>
      <c r="R758" s="1" t="s">
        <v>211</v>
      </c>
      <c r="T758" s="1">
        <v>1.00609073E8</v>
      </c>
      <c r="W758" s="1" t="s">
        <v>56</v>
      </c>
      <c r="X758" s="1" t="s">
        <v>678</v>
      </c>
    </row>
    <row r="759">
      <c r="A759" s="1" t="s">
        <v>2864</v>
      </c>
      <c r="B759" s="1" t="s">
        <v>489</v>
      </c>
      <c r="C759" s="1" t="s">
        <v>2865</v>
      </c>
      <c r="D759" s="1" t="s">
        <v>51</v>
      </c>
      <c r="E759" s="1" t="s">
        <v>29</v>
      </c>
      <c r="F759" s="5">
        <v>1500000.0</v>
      </c>
      <c r="G759" s="1" t="s">
        <v>1114</v>
      </c>
      <c r="H759" s="4">
        <v>44866.0</v>
      </c>
      <c r="I759" s="4">
        <v>44570.0</v>
      </c>
      <c r="K759" s="1">
        <v>0.0</v>
      </c>
      <c r="L759" s="1" t="s">
        <v>847</v>
      </c>
      <c r="M759" s="1" t="str">
        <f>VLOOKUP(L759,'Copy of PMD Workday Constants -'!B728:Y1414,22,false)</f>
        <v>#N/A</v>
      </c>
      <c r="N759" s="1" t="s">
        <v>32</v>
      </c>
      <c r="O759" s="1" t="s">
        <v>33</v>
      </c>
      <c r="P759" s="1" t="s">
        <v>173</v>
      </c>
      <c r="Q759" s="1" t="s">
        <v>173</v>
      </c>
      <c r="R759" s="1" t="s">
        <v>174</v>
      </c>
      <c r="T759" s="1">
        <v>1.00586701E8</v>
      </c>
      <c r="W759" s="1" t="s">
        <v>493</v>
      </c>
      <c r="X759" s="1" t="s">
        <v>1529</v>
      </c>
    </row>
    <row r="760">
      <c r="A760" s="1" t="s">
        <v>2866</v>
      </c>
      <c r="B760" s="1" t="s">
        <v>2867</v>
      </c>
      <c r="C760" s="1" t="s">
        <v>2868</v>
      </c>
      <c r="D760" s="1" t="s">
        <v>28</v>
      </c>
      <c r="E760" s="1" t="s">
        <v>29</v>
      </c>
      <c r="F760" s="5">
        <v>1500000.0</v>
      </c>
      <c r="G760" s="1" t="s">
        <v>1114</v>
      </c>
      <c r="H760" s="4">
        <v>44563.0</v>
      </c>
      <c r="I760" s="1" t="s">
        <v>364</v>
      </c>
      <c r="K760" s="1">
        <v>0.0</v>
      </c>
      <c r="L760" s="1" t="s">
        <v>2325</v>
      </c>
      <c r="M760" s="1" t="str">
        <f>VLOOKUP(L760,'Copy of PMD Workday Constants -'!B729:Y1415,22,false)</f>
        <v>#N/A</v>
      </c>
      <c r="N760" s="1" t="s">
        <v>32</v>
      </c>
      <c r="O760" s="1" t="s">
        <v>33</v>
      </c>
      <c r="P760" s="1" t="s">
        <v>82</v>
      </c>
      <c r="Q760" s="1" t="s">
        <v>82</v>
      </c>
      <c r="R760" s="1" t="s">
        <v>83</v>
      </c>
      <c r="S760" s="1" t="s">
        <v>180</v>
      </c>
      <c r="T760" s="1">
        <v>1.00628181E8</v>
      </c>
      <c r="U760" s="1" t="s">
        <v>2869</v>
      </c>
      <c r="V760" s="1" t="s">
        <v>46</v>
      </c>
      <c r="W760" s="1" t="s">
        <v>85</v>
      </c>
      <c r="X760" s="1" t="s">
        <v>2325</v>
      </c>
    </row>
    <row r="761">
      <c r="A761" s="1" t="s">
        <v>2870</v>
      </c>
      <c r="B761" s="1" t="s">
        <v>2867</v>
      </c>
      <c r="C761" s="1" t="s">
        <v>2871</v>
      </c>
      <c r="D761" s="1" t="s">
        <v>28</v>
      </c>
      <c r="E761" s="1" t="s">
        <v>29</v>
      </c>
      <c r="F761" s="5">
        <v>1500000.0</v>
      </c>
      <c r="G761" s="1" t="s">
        <v>1114</v>
      </c>
      <c r="H761" s="4">
        <v>44563.0</v>
      </c>
      <c r="I761" s="1" t="s">
        <v>861</v>
      </c>
      <c r="K761" s="1">
        <v>0.0</v>
      </c>
      <c r="L761" s="1" t="s">
        <v>2325</v>
      </c>
      <c r="M761" s="1" t="str">
        <f>VLOOKUP(L761,'Copy of PMD Workday Constants -'!B730:Y1416,22,false)</f>
        <v>#N/A</v>
      </c>
      <c r="N761" s="1" t="s">
        <v>32</v>
      </c>
      <c r="O761" s="1" t="s">
        <v>33</v>
      </c>
      <c r="P761" s="1" t="s">
        <v>82</v>
      </c>
      <c r="Q761" s="1" t="s">
        <v>82</v>
      </c>
      <c r="R761" s="1" t="s">
        <v>83</v>
      </c>
      <c r="S761" s="1" t="s">
        <v>180</v>
      </c>
      <c r="T761" s="1">
        <v>1.00628181E8</v>
      </c>
      <c r="U761" s="1" t="s">
        <v>2869</v>
      </c>
      <c r="V761" s="1" t="s">
        <v>46</v>
      </c>
      <c r="W761" s="1" t="s">
        <v>85</v>
      </c>
      <c r="X761" s="1" t="s">
        <v>2325</v>
      </c>
    </row>
    <row r="762">
      <c r="A762" s="1" t="s">
        <v>2872</v>
      </c>
      <c r="B762" s="1" t="s">
        <v>2867</v>
      </c>
      <c r="C762" s="1" t="s">
        <v>2873</v>
      </c>
      <c r="D762" s="1" t="s">
        <v>28</v>
      </c>
      <c r="E762" s="1" t="s">
        <v>29</v>
      </c>
      <c r="F762" s="5">
        <v>1500000.0</v>
      </c>
      <c r="G762" s="1" t="s">
        <v>1114</v>
      </c>
      <c r="H762" s="4">
        <v>44563.0</v>
      </c>
      <c r="I762" s="1" t="s">
        <v>1599</v>
      </c>
      <c r="K762" s="1">
        <v>0.0</v>
      </c>
      <c r="L762" s="1" t="s">
        <v>2325</v>
      </c>
      <c r="M762" s="1" t="str">
        <f>VLOOKUP(L762,'Copy of PMD Workday Constants -'!B731:Y1417,22,false)</f>
        <v>#N/A</v>
      </c>
      <c r="N762" s="1" t="s">
        <v>32</v>
      </c>
      <c r="O762" s="1" t="s">
        <v>33</v>
      </c>
      <c r="P762" s="1" t="s">
        <v>82</v>
      </c>
      <c r="Q762" s="1" t="s">
        <v>82</v>
      </c>
      <c r="R762" s="1" t="s">
        <v>83</v>
      </c>
      <c r="S762" s="1" t="s">
        <v>180</v>
      </c>
      <c r="T762" s="1">
        <v>1.00628181E8</v>
      </c>
      <c r="U762" s="1" t="s">
        <v>2869</v>
      </c>
      <c r="V762" s="1" t="s">
        <v>46</v>
      </c>
      <c r="W762" s="1" t="s">
        <v>85</v>
      </c>
      <c r="X762" s="1" t="s">
        <v>2325</v>
      </c>
    </row>
    <row r="763">
      <c r="A763" s="1" t="s">
        <v>2874</v>
      </c>
      <c r="B763" s="1" t="s">
        <v>756</v>
      </c>
      <c r="C763" s="1" t="s">
        <v>2875</v>
      </c>
      <c r="D763" s="1" t="s">
        <v>103</v>
      </c>
      <c r="E763" s="1" t="s">
        <v>29</v>
      </c>
      <c r="F763" s="5">
        <v>1460000.0</v>
      </c>
      <c r="G763" s="1" t="s">
        <v>1114</v>
      </c>
      <c r="H763" s="4">
        <v>44565.0</v>
      </c>
      <c r="I763" s="4">
        <v>44872.0</v>
      </c>
      <c r="K763" s="1">
        <v>0.0</v>
      </c>
      <c r="L763" s="1" t="s">
        <v>2356</v>
      </c>
      <c r="M763" s="1" t="str">
        <f>VLOOKUP(L763,'Copy of PMD Workday Constants -'!B732:Y1418,22,false)</f>
        <v>#N/A</v>
      </c>
      <c r="N763" s="1" t="s">
        <v>32</v>
      </c>
      <c r="O763" s="1" t="s">
        <v>33</v>
      </c>
      <c r="P763" s="1" t="s">
        <v>173</v>
      </c>
      <c r="Q763" s="1" t="s">
        <v>173</v>
      </c>
      <c r="R763" s="1" t="s">
        <v>174</v>
      </c>
      <c r="S763" s="1" t="s">
        <v>540</v>
      </c>
      <c r="T763" s="1">
        <v>1.00620162E8</v>
      </c>
      <c r="W763" s="1" t="s">
        <v>74</v>
      </c>
      <c r="X763" s="1" t="s">
        <v>2876</v>
      </c>
    </row>
    <row r="764">
      <c r="A764" s="1" t="s">
        <v>2877</v>
      </c>
      <c r="B764" s="1" t="s">
        <v>1305</v>
      </c>
      <c r="C764" s="1" t="s">
        <v>2878</v>
      </c>
      <c r="D764" s="1" t="s">
        <v>51</v>
      </c>
      <c r="E764" s="1" t="s">
        <v>29</v>
      </c>
      <c r="F764" s="5">
        <v>1446000.0</v>
      </c>
      <c r="G764" s="1" t="s">
        <v>1114</v>
      </c>
      <c r="H764" s="4">
        <v>44539.0</v>
      </c>
      <c r="I764" s="1" t="s">
        <v>699</v>
      </c>
      <c r="K764" s="1">
        <v>0.0</v>
      </c>
      <c r="L764" s="1" t="s">
        <v>2879</v>
      </c>
      <c r="M764" s="1" t="str">
        <f>VLOOKUP(L764,'Copy of PMD Workday Constants -'!B733:Y1419,22,false)</f>
        <v>#N/A</v>
      </c>
      <c r="N764" s="1" t="s">
        <v>32</v>
      </c>
      <c r="O764" s="1" t="s">
        <v>33</v>
      </c>
      <c r="P764" s="1" t="s">
        <v>173</v>
      </c>
      <c r="Q764" s="1" t="s">
        <v>173</v>
      </c>
      <c r="R764" s="1" t="s">
        <v>174</v>
      </c>
      <c r="S764" s="1" t="s">
        <v>153</v>
      </c>
      <c r="T764" s="1">
        <v>1.00608521E8</v>
      </c>
      <c r="W764" s="1" t="s">
        <v>456</v>
      </c>
      <c r="X764" s="1" t="s">
        <v>2880</v>
      </c>
    </row>
    <row r="765">
      <c r="A765" s="1" t="s">
        <v>2881</v>
      </c>
      <c r="B765" s="1" t="s">
        <v>2882</v>
      </c>
      <c r="C765" s="1" t="s">
        <v>2883</v>
      </c>
      <c r="D765" s="1" t="s">
        <v>51</v>
      </c>
      <c r="E765" s="1" t="s">
        <v>29</v>
      </c>
      <c r="F765" s="5">
        <v>1417000.0</v>
      </c>
      <c r="G765" s="1" t="s">
        <v>1114</v>
      </c>
      <c r="H765" s="1" t="s">
        <v>2884</v>
      </c>
      <c r="I765" s="1" t="s">
        <v>104</v>
      </c>
      <c r="K765" s="1">
        <v>0.0</v>
      </c>
      <c r="L765" s="1" t="s">
        <v>2885</v>
      </c>
      <c r="M765" s="1" t="str">
        <f>VLOOKUP(L765,'Copy of PMD Workday Constants -'!B734:Y1420,22,false)</f>
        <v>#N/A</v>
      </c>
      <c r="N765" s="1" t="s">
        <v>32</v>
      </c>
      <c r="O765" s="1" t="s">
        <v>33</v>
      </c>
      <c r="P765" s="1" t="s">
        <v>210</v>
      </c>
      <c r="Q765" s="1" t="s">
        <v>210</v>
      </c>
      <c r="R765" s="1" t="s">
        <v>211</v>
      </c>
      <c r="S765" s="1" t="s">
        <v>2886</v>
      </c>
      <c r="T765" s="1">
        <v>1.00647463E8</v>
      </c>
      <c r="W765" s="1" t="s">
        <v>56</v>
      </c>
      <c r="X765" s="1" t="s">
        <v>2885</v>
      </c>
    </row>
    <row r="766">
      <c r="A766" s="1" t="s">
        <v>2887</v>
      </c>
      <c r="B766" s="1" t="s">
        <v>2888</v>
      </c>
      <c r="C766" s="1" t="s">
        <v>2889</v>
      </c>
      <c r="D766" s="1" t="s">
        <v>28</v>
      </c>
      <c r="E766" s="1" t="s">
        <v>29</v>
      </c>
      <c r="F766" s="5">
        <v>1400000.0</v>
      </c>
      <c r="G766" s="1" t="s">
        <v>1114</v>
      </c>
      <c r="H766" s="1" t="s">
        <v>2890</v>
      </c>
      <c r="I766" s="4">
        <v>44626.0</v>
      </c>
      <c r="K766" s="1">
        <v>0.0</v>
      </c>
      <c r="L766" s="1" t="s">
        <v>2477</v>
      </c>
      <c r="M766" s="1" t="str">
        <f>VLOOKUP(L766,'Copy of PMD Workday Constants -'!B735:Y1421,22,false)</f>
        <v>#N/A</v>
      </c>
      <c r="N766" s="1" t="s">
        <v>32</v>
      </c>
      <c r="O766" s="1" t="s">
        <v>33</v>
      </c>
      <c r="P766" s="1" t="s">
        <v>112</v>
      </c>
      <c r="Q766" s="1" t="s">
        <v>112</v>
      </c>
      <c r="R766" s="1" t="s">
        <v>113</v>
      </c>
      <c r="S766" s="1" t="s">
        <v>134</v>
      </c>
      <c r="T766" s="1">
        <v>1.00660092E8</v>
      </c>
      <c r="W766" s="1" t="s">
        <v>250</v>
      </c>
      <c r="X766" s="1" t="s">
        <v>2477</v>
      </c>
    </row>
    <row r="767">
      <c r="A767" s="1" t="s">
        <v>2891</v>
      </c>
      <c r="B767" s="1" t="s">
        <v>2892</v>
      </c>
      <c r="C767" s="1" t="s">
        <v>2893</v>
      </c>
      <c r="D767" s="1" t="s">
        <v>51</v>
      </c>
      <c r="E767" s="1" t="s">
        <v>29</v>
      </c>
      <c r="F767" s="5">
        <v>1400000.0</v>
      </c>
      <c r="G767" s="1" t="s">
        <v>1114</v>
      </c>
      <c r="H767" s="4">
        <v>44684.0</v>
      </c>
      <c r="I767" s="4">
        <v>44930.0</v>
      </c>
      <c r="K767" s="1">
        <v>0.0</v>
      </c>
      <c r="L767" s="1" t="s">
        <v>1165</v>
      </c>
      <c r="M767" s="1" t="str">
        <f>VLOOKUP(L767,'Copy of PMD Workday Constants -'!B736:Y1422,22,false)</f>
        <v>#N/A</v>
      </c>
      <c r="N767" s="1" t="s">
        <v>32</v>
      </c>
      <c r="O767" s="1" t="s">
        <v>33</v>
      </c>
      <c r="P767" s="1" t="s">
        <v>34</v>
      </c>
      <c r="Q767" s="1" t="s">
        <v>34</v>
      </c>
      <c r="R767" s="1" t="s">
        <v>35</v>
      </c>
      <c r="S767" s="1" t="s">
        <v>1166</v>
      </c>
      <c r="T767" s="1">
        <v>1.00586863E8</v>
      </c>
      <c r="W767" s="1" t="s">
        <v>456</v>
      </c>
      <c r="X767" s="1" t="s">
        <v>1167</v>
      </c>
    </row>
    <row r="768">
      <c r="A768" s="1" t="s">
        <v>2894</v>
      </c>
      <c r="B768" s="1" t="s">
        <v>77</v>
      </c>
      <c r="C768" s="1" t="s">
        <v>2895</v>
      </c>
      <c r="D768" s="1" t="s">
        <v>28</v>
      </c>
      <c r="E768" s="1" t="s">
        <v>29</v>
      </c>
      <c r="F768" s="5">
        <v>1400000.0</v>
      </c>
      <c r="G768" s="1" t="s">
        <v>1114</v>
      </c>
      <c r="H768" s="1" t="s">
        <v>2896</v>
      </c>
      <c r="I768" s="1" t="s">
        <v>593</v>
      </c>
      <c r="K768" s="1">
        <v>0.0</v>
      </c>
      <c r="L768" s="1" t="s">
        <v>319</v>
      </c>
      <c r="M768" s="1" t="str">
        <f>VLOOKUP(L768,'Copy of PMD Workday Constants -'!B737:Y1423,22,false)</f>
        <v>#N/A</v>
      </c>
      <c r="N768" s="1" t="s">
        <v>32</v>
      </c>
      <c r="O768" s="1" t="s">
        <v>33</v>
      </c>
      <c r="P768" s="1" t="s">
        <v>82</v>
      </c>
      <c r="Q768" s="1" t="s">
        <v>82</v>
      </c>
      <c r="R768" s="1" t="s">
        <v>83</v>
      </c>
      <c r="S768" s="1" t="s">
        <v>84</v>
      </c>
      <c r="T768" s="1">
        <v>1.00654705E8</v>
      </c>
      <c r="W768" s="1" t="s">
        <v>85</v>
      </c>
      <c r="X768" s="1" t="s">
        <v>319</v>
      </c>
    </row>
    <row r="769">
      <c r="A769" s="1" t="s">
        <v>2897</v>
      </c>
      <c r="B769" s="1" t="s">
        <v>2898</v>
      </c>
      <c r="C769" s="1" t="s">
        <v>2899</v>
      </c>
      <c r="D769" s="1" t="s">
        <v>51</v>
      </c>
      <c r="E769" s="1" t="s">
        <v>29</v>
      </c>
      <c r="F769" s="5">
        <v>1400000.0</v>
      </c>
      <c r="G769" s="1" t="s">
        <v>1114</v>
      </c>
      <c r="H769" s="1" t="s">
        <v>1524</v>
      </c>
      <c r="I769" s="1" t="s">
        <v>202</v>
      </c>
      <c r="K769" s="1">
        <v>0.0</v>
      </c>
      <c r="L769" s="1" t="s">
        <v>1165</v>
      </c>
      <c r="M769" s="1" t="str">
        <f>VLOOKUP(L769,'Copy of PMD Workday Constants -'!B738:Y1424,22,false)</f>
        <v>#N/A</v>
      </c>
      <c r="N769" s="1" t="s">
        <v>32</v>
      </c>
      <c r="O769" s="1" t="s">
        <v>33</v>
      </c>
      <c r="P769" s="1" t="s">
        <v>34</v>
      </c>
      <c r="Q769" s="1" t="s">
        <v>34</v>
      </c>
      <c r="R769" s="1" t="s">
        <v>35</v>
      </c>
      <c r="S769" s="1" t="s">
        <v>1166</v>
      </c>
      <c r="T769" s="1">
        <v>1.00586863E8</v>
      </c>
      <c r="W769" s="1" t="s">
        <v>456</v>
      </c>
      <c r="X769" s="1" t="s">
        <v>1167</v>
      </c>
    </row>
    <row r="770">
      <c r="A770" s="1" t="s">
        <v>2900</v>
      </c>
      <c r="B770" s="1" t="s">
        <v>2901</v>
      </c>
      <c r="C770" s="1" t="s">
        <v>2902</v>
      </c>
      <c r="D770" s="1" t="s">
        <v>51</v>
      </c>
      <c r="E770" s="1" t="s">
        <v>29</v>
      </c>
      <c r="F770" s="5">
        <v>1400000.0</v>
      </c>
      <c r="G770" s="1" t="s">
        <v>1114</v>
      </c>
      <c r="H770" s="1" t="s">
        <v>1524</v>
      </c>
      <c r="I770" s="1" t="s">
        <v>125</v>
      </c>
      <c r="K770" s="1">
        <v>0.0</v>
      </c>
      <c r="L770" s="1" t="s">
        <v>1165</v>
      </c>
      <c r="M770" s="1" t="str">
        <f>VLOOKUP(L770,'Copy of PMD Workday Constants -'!B739:Y1425,22,false)</f>
        <v>#N/A</v>
      </c>
      <c r="N770" s="1" t="s">
        <v>32</v>
      </c>
      <c r="O770" s="1" t="s">
        <v>33</v>
      </c>
      <c r="P770" s="1" t="s">
        <v>34</v>
      </c>
      <c r="Q770" s="1" t="s">
        <v>34</v>
      </c>
      <c r="R770" s="1" t="s">
        <v>35</v>
      </c>
      <c r="S770" s="1" t="s">
        <v>1166</v>
      </c>
      <c r="T770" s="1">
        <v>1.00586863E8</v>
      </c>
      <c r="W770" s="1" t="s">
        <v>456</v>
      </c>
      <c r="X770" s="1" t="s">
        <v>1167</v>
      </c>
    </row>
    <row r="771">
      <c r="A771" s="1" t="s">
        <v>2903</v>
      </c>
      <c r="B771" s="1" t="s">
        <v>143</v>
      </c>
      <c r="C771" s="1" t="s">
        <v>2904</v>
      </c>
      <c r="D771" s="1" t="s">
        <v>51</v>
      </c>
      <c r="E771" s="1" t="s">
        <v>29</v>
      </c>
      <c r="F771" s="5">
        <v>1400000.0</v>
      </c>
      <c r="G771" s="1" t="s">
        <v>1114</v>
      </c>
      <c r="H771" s="4">
        <v>44840.0</v>
      </c>
      <c r="I771" s="4">
        <v>44780.0</v>
      </c>
      <c r="K771" s="1">
        <v>0.0</v>
      </c>
      <c r="L771" s="1" t="s">
        <v>2905</v>
      </c>
      <c r="M771" s="1" t="str">
        <f>VLOOKUP(L771,'Copy of PMD Workday Constants -'!B740:Y1426,22,false)</f>
        <v>#N/A</v>
      </c>
      <c r="N771" s="1" t="s">
        <v>32</v>
      </c>
      <c r="O771" s="1" t="s">
        <v>33</v>
      </c>
      <c r="P771" s="1" t="s">
        <v>54</v>
      </c>
      <c r="Q771" s="1" t="s">
        <v>54</v>
      </c>
      <c r="R771" s="1" t="s">
        <v>55</v>
      </c>
      <c r="T771" s="1">
        <v>1.00621746E8</v>
      </c>
      <c r="W771" s="1" t="s">
        <v>147</v>
      </c>
      <c r="X771" s="1" t="s">
        <v>2905</v>
      </c>
    </row>
    <row r="772">
      <c r="A772" s="1" t="s">
        <v>2906</v>
      </c>
      <c r="B772" s="1" t="s">
        <v>2907</v>
      </c>
      <c r="C772" s="1" t="s">
        <v>2908</v>
      </c>
      <c r="D772" s="1" t="s">
        <v>51</v>
      </c>
      <c r="E772" s="1" t="s">
        <v>29</v>
      </c>
      <c r="F772" s="5">
        <v>1400000.0</v>
      </c>
      <c r="G772" s="1" t="s">
        <v>1114</v>
      </c>
      <c r="H772" s="4">
        <v>44777.0</v>
      </c>
      <c r="I772" s="1" t="s">
        <v>1349</v>
      </c>
      <c r="K772" s="1">
        <v>0.0</v>
      </c>
      <c r="L772" s="1" t="s">
        <v>1456</v>
      </c>
      <c r="M772" s="1" t="str">
        <f>VLOOKUP(L772,'Copy of PMD Workday Constants -'!B741:Y1427,22,false)</f>
        <v>#N/A</v>
      </c>
      <c r="N772" s="1" t="s">
        <v>32</v>
      </c>
      <c r="O772" s="1" t="s">
        <v>33</v>
      </c>
      <c r="P772" s="1" t="s">
        <v>82</v>
      </c>
      <c r="Q772" s="1" t="s">
        <v>82</v>
      </c>
      <c r="R772" s="1" t="s">
        <v>83</v>
      </c>
      <c r="S772" s="1" t="s">
        <v>2909</v>
      </c>
      <c r="T772" s="1">
        <v>1.00649673E8</v>
      </c>
      <c r="W772" s="1" t="s">
        <v>85</v>
      </c>
      <c r="X772" s="1" t="s">
        <v>2910</v>
      </c>
    </row>
    <row r="773">
      <c r="A773" s="1" t="s">
        <v>2911</v>
      </c>
      <c r="B773" s="1" t="s">
        <v>2912</v>
      </c>
      <c r="C773" s="1" t="s">
        <v>2913</v>
      </c>
      <c r="D773" s="1" t="s">
        <v>103</v>
      </c>
      <c r="E773" s="1" t="s">
        <v>29</v>
      </c>
      <c r="F773" s="5">
        <v>1400000.0</v>
      </c>
      <c r="G773" s="1" t="s">
        <v>1114</v>
      </c>
      <c r="H773" s="4">
        <v>43620.0</v>
      </c>
      <c r="I773" s="1" t="s">
        <v>104</v>
      </c>
      <c r="K773" s="1">
        <v>0.0</v>
      </c>
      <c r="L773" s="1" t="s">
        <v>2602</v>
      </c>
      <c r="M773" s="1" t="str">
        <f>VLOOKUP(L773,'Copy of PMD Workday Constants -'!B742:Y1428,22,false)</f>
        <v>#N/A</v>
      </c>
      <c r="N773" s="1" t="s">
        <v>32</v>
      </c>
      <c r="O773" s="1" t="s">
        <v>33</v>
      </c>
      <c r="P773" s="1" t="s">
        <v>173</v>
      </c>
      <c r="Q773" s="1" t="s">
        <v>173</v>
      </c>
      <c r="R773" s="1" t="s">
        <v>174</v>
      </c>
      <c r="S773" s="1" t="s">
        <v>383</v>
      </c>
      <c r="T773" s="1">
        <v>1.00611351E8</v>
      </c>
      <c r="W773" s="1" t="s">
        <v>1303</v>
      </c>
      <c r="X773" s="1" t="s">
        <v>2914</v>
      </c>
    </row>
    <row r="774">
      <c r="A774" s="1" t="s">
        <v>2915</v>
      </c>
      <c r="B774" s="1" t="s">
        <v>631</v>
      </c>
      <c r="C774" s="1" t="s">
        <v>2916</v>
      </c>
      <c r="D774" s="1" t="s">
        <v>28</v>
      </c>
      <c r="E774" s="1" t="s">
        <v>29</v>
      </c>
      <c r="F774" s="5">
        <v>1400000.0</v>
      </c>
      <c r="G774" s="1" t="s">
        <v>1114</v>
      </c>
      <c r="H774" s="1" t="s">
        <v>2510</v>
      </c>
      <c r="I774" s="4">
        <v>44601.0</v>
      </c>
      <c r="K774" s="1">
        <v>0.0</v>
      </c>
      <c r="L774" s="1" t="s">
        <v>314</v>
      </c>
      <c r="M774" s="1" t="str">
        <f>VLOOKUP(L774,'Copy of PMD Workday Constants -'!B743:Y1429,22,false)</f>
        <v>#N/A</v>
      </c>
      <c r="N774" s="1" t="s">
        <v>32</v>
      </c>
      <c r="O774" s="1" t="s">
        <v>33</v>
      </c>
      <c r="P774" s="1" t="s">
        <v>64</v>
      </c>
      <c r="Q774" s="1" t="s">
        <v>64</v>
      </c>
      <c r="R774" s="1" t="s">
        <v>65</v>
      </c>
      <c r="S774" s="1" t="s">
        <v>36</v>
      </c>
      <c r="T774" s="1">
        <v>1.00651094E8</v>
      </c>
      <c r="W774" s="1" t="s">
        <v>37</v>
      </c>
      <c r="X774" s="1" t="s">
        <v>1860</v>
      </c>
    </row>
    <row r="775">
      <c r="A775" s="1" t="s">
        <v>2917</v>
      </c>
      <c r="B775" s="1" t="s">
        <v>489</v>
      </c>
      <c r="C775" s="1" t="s">
        <v>2918</v>
      </c>
      <c r="D775" s="1" t="s">
        <v>28</v>
      </c>
      <c r="E775" s="1" t="s">
        <v>29</v>
      </c>
      <c r="F775" s="5">
        <v>1400000.0</v>
      </c>
      <c r="G775" s="1" t="s">
        <v>1114</v>
      </c>
      <c r="H775" s="1" t="s">
        <v>785</v>
      </c>
      <c r="I775" s="4">
        <v>44568.0</v>
      </c>
      <c r="K775" s="1">
        <v>0.0</v>
      </c>
      <c r="L775" s="1" t="s">
        <v>847</v>
      </c>
      <c r="M775" s="1" t="str">
        <f>VLOOKUP(L775,'Copy of PMD Workday Constants -'!B744:Y1430,22,false)</f>
        <v>#N/A</v>
      </c>
      <c r="N775" s="1" t="s">
        <v>32</v>
      </c>
      <c r="O775" s="1" t="s">
        <v>33</v>
      </c>
      <c r="P775" s="1" t="s">
        <v>173</v>
      </c>
      <c r="Q775" s="1" t="s">
        <v>173</v>
      </c>
      <c r="R775" s="1" t="s">
        <v>174</v>
      </c>
      <c r="T775" s="1">
        <v>1.00586701E8</v>
      </c>
      <c r="W775" s="1" t="s">
        <v>493</v>
      </c>
      <c r="X775" s="1" t="s">
        <v>2919</v>
      </c>
    </row>
    <row r="776">
      <c r="A776" s="1" t="s">
        <v>2920</v>
      </c>
      <c r="B776" s="1" t="s">
        <v>2921</v>
      </c>
      <c r="C776" s="1" t="s">
        <v>2922</v>
      </c>
      <c r="D776" s="1" t="s">
        <v>51</v>
      </c>
      <c r="E776" s="1" t="s">
        <v>29</v>
      </c>
      <c r="F776" s="5">
        <v>1400000.0</v>
      </c>
      <c r="G776" s="1" t="s">
        <v>1114</v>
      </c>
      <c r="H776" s="4">
        <v>44684.0</v>
      </c>
      <c r="I776" s="1" t="s">
        <v>125</v>
      </c>
      <c r="K776" s="1">
        <v>0.0</v>
      </c>
      <c r="L776" s="1" t="s">
        <v>1165</v>
      </c>
      <c r="M776" s="1" t="str">
        <f>VLOOKUP(L776,'Copy of PMD Workday Constants -'!B745:Y1431,22,false)</f>
        <v>#N/A</v>
      </c>
      <c r="N776" s="1" t="s">
        <v>32</v>
      </c>
      <c r="O776" s="1" t="s">
        <v>33</v>
      </c>
      <c r="P776" s="1" t="s">
        <v>34</v>
      </c>
      <c r="Q776" s="1" t="s">
        <v>34</v>
      </c>
      <c r="R776" s="1" t="s">
        <v>35</v>
      </c>
      <c r="S776" s="1" t="s">
        <v>1166</v>
      </c>
      <c r="T776" s="1">
        <v>1.00586863E8</v>
      </c>
      <c r="W776" s="1" t="s">
        <v>456</v>
      </c>
      <c r="X776" s="1" t="s">
        <v>1167</v>
      </c>
    </row>
    <row r="777">
      <c r="A777" s="1" t="s">
        <v>2923</v>
      </c>
      <c r="B777" s="1" t="s">
        <v>2924</v>
      </c>
      <c r="C777" s="1" t="s">
        <v>2925</v>
      </c>
      <c r="D777" s="1" t="s">
        <v>51</v>
      </c>
      <c r="E777" s="1" t="s">
        <v>29</v>
      </c>
      <c r="F777" s="5">
        <v>1400000.0</v>
      </c>
      <c r="G777" s="1" t="s">
        <v>1114</v>
      </c>
      <c r="H777" s="4">
        <v>44684.0</v>
      </c>
      <c r="I777" s="4">
        <v>44932.0</v>
      </c>
      <c r="K777" s="1">
        <v>0.0</v>
      </c>
      <c r="L777" s="1" t="s">
        <v>1165</v>
      </c>
      <c r="M777" s="1" t="str">
        <f>VLOOKUP(L777,'Copy of PMD Workday Constants -'!B746:Y1432,22,false)</f>
        <v>#N/A</v>
      </c>
      <c r="N777" s="1" t="s">
        <v>32</v>
      </c>
      <c r="O777" s="1" t="s">
        <v>33</v>
      </c>
      <c r="P777" s="1" t="s">
        <v>34</v>
      </c>
      <c r="Q777" s="1" t="s">
        <v>34</v>
      </c>
      <c r="R777" s="1" t="s">
        <v>35</v>
      </c>
      <c r="S777" s="1" t="s">
        <v>1166</v>
      </c>
      <c r="T777" s="1">
        <v>1.00586863E8</v>
      </c>
      <c r="W777" s="1" t="s">
        <v>456</v>
      </c>
      <c r="X777" s="1" t="s">
        <v>1167</v>
      </c>
    </row>
    <row r="778">
      <c r="A778" s="1" t="s">
        <v>2926</v>
      </c>
      <c r="B778" s="1" t="s">
        <v>2927</v>
      </c>
      <c r="C778" s="1" t="s">
        <v>2928</v>
      </c>
      <c r="D778" s="1" t="s">
        <v>51</v>
      </c>
      <c r="E778" s="1" t="s">
        <v>29</v>
      </c>
      <c r="F778" s="5">
        <v>1400000.0</v>
      </c>
      <c r="G778" s="1" t="s">
        <v>1114</v>
      </c>
      <c r="H778" s="4">
        <v>44684.0</v>
      </c>
      <c r="I778" s="4">
        <v>44931.0</v>
      </c>
      <c r="K778" s="1">
        <v>0.0</v>
      </c>
      <c r="L778" s="1" t="s">
        <v>1165</v>
      </c>
      <c r="M778" s="1" t="str">
        <f>VLOOKUP(L778,'Copy of PMD Workday Constants -'!B747:Y1433,22,false)</f>
        <v>#N/A</v>
      </c>
      <c r="N778" s="1" t="s">
        <v>32</v>
      </c>
      <c r="O778" s="1" t="s">
        <v>33</v>
      </c>
      <c r="P778" s="1" t="s">
        <v>34</v>
      </c>
      <c r="Q778" s="1" t="s">
        <v>34</v>
      </c>
      <c r="R778" s="1" t="s">
        <v>35</v>
      </c>
      <c r="S778" s="1" t="s">
        <v>1166</v>
      </c>
      <c r="T778" s="1">
        <v>1.00586863E8</v>
      </c>
      <c r="W778" s="1" t="s">
        <v>456</v>
      </c>
      <c r="X778" s="1" t="s">
        <v>1167</v>
      </c>
    </row>
    <row r="779">
      <c r="A779" s="1" t="s">
        <v>2929</v>
      </c>
      <c r="B779" s="1" t="s">
        <v>2930</v>
      </c>
      <c r="C779" s="1" t="s">
        <v>2931</v>
      </c>
      <c r="D779" s="1" t="s">
        <v>28</v>
      </c>
      <c r="E779" s="1" t="s">
        <v>29</v>
      </c>
      <c r="F779" s="5">
        <v>1400000.0</v>
      </c>
      <c r="G779" s="1" t="s">
        <v>1114</v>
      </c>
      <c r="H779" s="1" t="s">
        <v>2932</v>
      </c>
      <c r="I779" s="1" t="s">
        <v>414</v>
      </c>
      <c r="K779" s="1">
        <v>0.0</v>
      </c>
      <c r="L779" s="1" t="s">
        <v>1312</v>
      </c>
      <c r="M779" s="1" t="str">
        <f>VLOOKUP(L779,'Copy of PMD Workday Constants -'!B748:Y1434,22,false)</f>
        <v>#N/A</v>
      </c>
      <c r="N779" s="1" t="s">
        <v>32</v>
      </c>
      <c r="O779" s="1" t="s">
        <v>33</v>
      </c>
      <c r="P779" s="1" t="s">
        <v>210</v>
      </c>
      <c r="Q779" s="1" t="s">
        <v>210</v>
      </c>
      <c r="R779" s="1" t="s">
        <v>211</v>
      </c>
      <c r="S779" s="1" t="s">
        <v>1313</v>
      </c>
      <c r="T779" s="1">
        <v>1.00660608E8</v>
      </c>
      <c r="W779" s="1" t="s">
        <v>577</v>
      </c>
      <c r="X779" s="1" t="s">
        <v>1312</v>
      </c>
    </row>
    <row r="780">
      <c r="A780" s="1" t="s">
        <v>2933</v>
      </c>
      <c r="B780" s="1" t="s">
        <v>1402</v>
      </c>
      <c r="C780" s="1" t="s">
        <v>2934</v>
      </c>
      <c r="D780" s="1" t="s">
        <v>51</v>
      </c>
      <c r="E780" s="1" t="s">
        <v>29</v>
      </c>
      <c r="F780" s="5">
        <v>1375000.0</v>
      </c>
      <c r="G780" s="1" t="s">
        <v>1114</v>
      </c>
      <c r="H780" s="1" t="s">
        <v>2935</v>
      </c>
      <c r="I780" s="4">
        <v>44927.0</v>
      </c>
      <c r="K780" s="1">
        <v>0.0</v>
      </c>
      <c r="L780" s="1" t="s">
        <v>753</v>
      </c>
      <c r="M780" s="1" t="str">
        <f>VLOOKUP(L780,'Copy of PMD Workday Constants -'!B749:Y1435,22,false)</f>
        <v>#N/A</v>
      </c>
      <c r="N780" s="1" t="s">
        <v>32</v>
      </c>
      <c r="O780" s="1" t="s">
        <v>33</v>
      </c>
      <c r="P780" s="1" t="s">
        <v>82</v>
      </c>
      <c r="Q780" s="1" t="s">
        <v>82</v>
      </c>
      <c r="R780" s="1" t="s">
        <v>83</v>
      </c>
      <c r="S780" s="1" t="s">
        <v>180</v>
      </c>
      <c r="T780" s="1">
        <v>1.0061032E8</v>
      </c>
      <c r="W780" s="1" t="s">
        <v>85</v>
      </c>
      <c r="X780" s="1" t="s">
        <v>2936</v>
      </c>
    </row>
    <row r="781">
      <c r="A781" s="1" t="s">
        <v>2937</v>
      </c>
      <c r="B781" s="1" t="s">
        <v>615</v>
      </c>
      <c r="C781" s="1" t="s">
        <v>2938</v>
      </c>
      <c r="D781" s="1" t="s">
        <v>51</v>
      </c>
      <c r="E781" s="1" t="s">
        <v>29</v>
      </c>
      <c r="F781" s="5">
        <v>1300000.0</v>
      </c>
      <c r="G781" s="1" t="s">
        <v>1114</v>
      </c>
      <c r="H781" s="1" t="s">
        <v>330</v>
      </c>
      <c r="I781" s="1" t="s">
        <v>810</v>
      </c>
      <c r="K781" s="1">
        <v>0.0</v>
      </c>
      <c r="L781" s="1" t="s">
        <v>618</v>
      </c>
      <c r="M781" s="1" t="str">
        <f>VLOOKUP(L781,'Copy of PMD Workday Constants -'!B750:Y1436,22,false)</f>
        <v>#N/A</v>
      </c>
      <c r="N781" s="1" t="s">
        <v>32</v>
      </c>
      <c r="O781" s="1" t="s">
        <v>33</v>
      </c>
      <c r="P781" s="1" t="s">
        <v>173</v>
      </c>
      <c r="Q781" s="1" t="s">
        <v>173</v>
      </c>
      <c r="R781" s="1" t="s">
        <v>174</v>
      </c>
      <c r="T781" s="1">
        <v>1.00591141E8</v>
      </c>
      <c r="W781" s="1" t="s">
        <v>74</v>
      </c>
      <c r="X781" s="1" t="s">
        <v>1381</v>
      </c>
    </row>
    <row r="782">
      <c r="A782" s="1" t="s">
        <v>2939</v>
      </c>
      <c r="B782" s="1" t="s">
        <v>2940</v>
      </c>
      <c r="C782" s="1" t="s">
        <v>2941</v>
      </c>
      <c r="D782" s="1" t="s">
        <v>28</v>
      </c>
      <c r="E782" s="1" t="s">
        <v>29</v>
      </c>
      <c r="F782" s="5">
        <v>1300000.0</v>
      </c>
      <c r="G782" s="1" t="s">
        <v>1114</v>
      </c>
      <c r="H782" s="1" t="s">
        <v>2896</v>
      </c>
      <c r="I782" s="4">
        <v>44568.0</v>
      </c>
      <c r="K782" s="1">
        <v>0.0</v>
      </c>
      <c r="L782" s="1" t="s">
        <v>2942</v>
      </c>
      <c r="M782" s="1" t="str">
        <f>VLOOKUP(L782,'Copy of PMD Workday Constants -'!B751:Y1437,22,false)</f>
        <v>#N/A</v>
      </c>
      <c r="N782" s="1" t="s">
        <v>32</v>
      </c>
      <c r="O782" s="1" t="s">
        <v>33</v>
      </c>
      <c r="P782" s="1" t="s">
        <v>173</v>
      </c>
      <c r="Q782" s="1" t="s">
        <v>173</v>
      </c>
      <c r="R782" s="1" t="s">
        <v>174</v>
      </c>
      <c r="T782" s="1">
        <v>1.00650064E8</v>
      </c>
      <c r="W782" s="1" t="s">
        <v>147</v>
      </c>
      <c r="X782" s="1" t="s">
        <v>2942</v>
      </c>
    </row>
    <row r="783">
      <c r="A783" s="1" t="s">
        <v>2943</v>
      </c>
      <c r="B783" s="1" t="s">
        <v>2944</v>
      </c>
      <c r="C783" s="1" t="s">
        <v>2945</v>
      </c>
      <c r="D783" s="1" t="s">
        <v>51</v>
      </c>
      <c r="E783" s="1" t="s">
        <v>29</v>
      </c>
      <c r="F783" s="5">
        <v>1300000.0</v>
      </c>
      <c r="G783" s="1" t="s">
        <v>1114</v>
      </c>
      <c r="H783" s="1" t="s">
        <v>2884</v>
      </c>
      <c r="I783" s="1" t="s">
        <v>302</v>
      </c>
      <c r="K783" s="1">
        <v>0.0</v>
      </c>
      <c r="L783" s="1" t="s">
        <v>2946</v>
      </c>
      <c r="M783" s="1" t="str">
        <f>VLOOKUP(L783,'Copy of PMD Workday Constants -'!B752:Y1438,22,false)</f>
        <v>#N/A</v>
      </c>
      <c r="N783" s="1" t="s">
        <v>32</v>
      </c>
      <c r="O783" s="1" t="s">
        <v>33</v>
      </c>
      <c r="P783" s="1" t="s">
        <v>64</v>
      </c>
      <c r="Q783" s="1" t="s">
        <v>64</v>
      </c>
      <c r="R783" s="1" t="s">
        <v>65</v>
      </c>
      <c r="T783" s="1">
        <v>1.01074419E8</v>
      </c>
      <c r="X783" s="1" t="s">
        <v>2946</v>
      </c>
    </row>
    <row r="784">
      <c r="A784" s="1" t="s">
        <v>2947</v>
      </c>
      <c r="B784" s="1" t="s">
        <v>2948</v>
      </c>
      <c r="C784" s="1" t="s">
        <v>2949</v>
      </c>
      <c r="D784" s="1" t="s">
        <v>103</v>
      </c>
      <c r="E784" s="1" t="s">
        <v>29</v>
      </c>
      <c r="F784" s="5">
        <v>1300000.0</v>
      </c>
      <c r="G784" s="1" t="s">
        <v>1114</v>
      </c>
      <c r="H784" s="1" t="s">
        <v>810</v>
      </c>
      <c r="I784" s="1" t="s">
        <v>104</v>
      </c>
      <c r="K784" s="1">
        <v>0.0</v>
      </c>
      <c r="L784" s="1" t="s">
        <v>2950</v>
      </c>
      <c r="M784" s="1" t="str">
        <f>VLOOKUP(L784,'Copy of PMD Workday Constants -'!B753:Y1439,22,false)</f>
        <v>#N/A</v>
      </c>
      <c r="N784" s="1" t="s">
        <v>32</v>
      </c>
      <c r="O784" s="1" t="s">
        <v>33</v>
      </c>
      <c r="P784" s="1" t="s">
        <v>222</v>
      </c>
      <c r="Q784" s="1" t="s">
        <v>222</v>
      </c>
      <c r="R784" s="1" t="s">
        <v>223</v>
      </c>
      <c r="T784" s="1">
        <v>1.01238285E8</v>
      </c>
      <c r="U784" s="1" t="s">
        <v>2951</v>
      </c>
      <c r="V784" s="1" t="s">
        <v>46</v>
      </c>
      <c r="W784" s="1" t="s">
        <v>47</v>
      </c>
      <c r="X784" s="1" t="s">
        <v>2950</v>
      </c>
    </row>
    <row r="785">
      <c r="A785" s="1" t="s">
        <v>2952</v>
      </c>
      <c r="B785" s="1" t="s">
        <v>143</v>
      </c>
      <c r="C785" s="1" t="s">
        <v>2953</v>
      </c>
      <c r="D785" s="1" t="s">
        <v>103</v>
      </c>
      <c r="E785" s="1" t="s">
        <v>29</v>
      </c>
      <c r="F785" s="5">
        <v>1300000.0</v>
      </c>
      <c r="G785" s="1" t="s">
        <v>1114</v>
      </c>
      <c r="H785" s="4">
        <v>44868.0</v>
      </c>
      <c r="I785" s="4">
        <v>44626.0</v>
      </c>
      <c r="K785" s="1">
        <v>0.0</v>
      </c>
      <c r="L785" s="1" t="s">
        <v>2954</v>
      </c>
      <c r="M785" s="1" t="str">
        <f>VLOOKUP(L785,'Copy of PMD Workday Constants -'!B754:Y1440,22,false)</f>
        <v>#N/A</v>
      </c>
      <c r="N785" s="1" t="s">
        <v>32</v>
      </c>
      <c r="O785" s="1" t="s">
        <v>33</v>
      </c>
      <c r="P785" s="1" t="s">
        <v>34</v>
      </c>
      <c r="Q785" s="1" t="s">
        <v>34</v>
      </c>
      <c r="R785" s="1" t="s">
        <v>35</v>
      </c>
      <c r="S785" s="1" t="s">
        <v>383</v>
      </c>
      <c r="T785" s="1">
        <v>1.00589948E8</v>
      </c>
      <c r="W785" s="1" t="s">
        <v>147</v>
      </c>
      <c r="X785" s="1" t="s">
        <v>2955</v>
      </c>
    </row>
    <row r="786">
      <c r="A786" s="1" t="s">
        <v>2956</v>
      </c>
      <c r="B786" s="1" t="s">
        <v>432</v>
      </c>
      <c r="C786" s="1" t="s">
        <v>2957</v>
      </c>
      <c r="D786" s="1" t="s">
        <v>79</v>
      </c>
      <c r="E786" s="1" t="s">
        <v>29</v>
      </c>
      <c r="F786" s="5">
        <v>1300000.0</v>
      </c>
      <c r="G786" s="1" t="s">
        <v>1114</v>
      </c>
      <c r="H786" s="4">
        <v>44869.0</v>
      </c>
      <c r="I786" s="1" t="s">
        <v>80</v>
      </c>
      <c r="K786" s="1">
        <v>0.0</v>
      </c>
      <c r="L786" s="1" t="s">
        <v>435</v>
      </c>
      <c r="M786" s="1" t="str">
        <f>VLOOKUP(L786,'Copy of PMD Workday Constants -'!B755:Y1441,22,false)</f>
        <v>#N/A</v>
      </c>
      <c r="N786" s="1" t="s">
        <v>32</v>
      </c>
      <c r="O786" s="1" t="s">
        <v>33</v>
      </c>
      <c r="P786" s="1" t="s">
        <v>64</v>
      </c>
      <c r="Q786" s="1" t="s">
        <v>64</v>
      </c>
      <c r="R786" s="1" t="s">
        <v>65</v>
      </c>
      <c r="S786" s="1" t="s">
        <v>98</v>
      </c>
      <c r="T786" s="1">
        <v>1.00653756E8</v>
      </c>
      <c r="W786" s="1" t="s">
        <v>436</v>
      </c>
      <c r="X786" s="1" t="s">
        <v>435</v>
      </c>
    </row>
    <row r="787">
      <c r="A787" s="1" t="s">
        <v>2958</v>
      </c>
      <c r="B787" s="1" t="s">
        <v>485</v>
      </c>
      <c r="C787" s="1" t="s">
        <v>2959</v>
      </c>
      <c r="D787" s="1" t="s">
        <v>28</v>
      </c>
      <c r="E787" s="1" t="s">
        <v>29</v>
      </c>
      <c r="F787" s="5">
        <v>1300000.0</v>
      </c>
      <c r="G787" s="1" t="s">
        <v>1114</v>
      </c>
      <c r="H787" s="4">
        <v>44686.0</v>
      </c>
      <c r="I787" s="1" t="s">
        <v>191</v>
      </c>
      <c r="K787" s="1">
        <v>0.0</v>
      </c>
      <c r="L787" s="1" t="s">
        <v>2616</v>
      </c>
      <c r="M787" s="1" t="str">
        <f>VLOOKUP(L787,'Copy of PMD Workday Constants -'!B756:Y1442,22,false)</f>
        <v>#N/A</v>
      </c>
      <c r="N787" s="1" t="s">
        <v>32</v>
      </c>
      <c r="O787" s="1" t="s">
        <v>33</v>
      </c>
      <c r="P787" s="1" t="s">
        <v>112</v>
      </c>
      <c r="Q787" s="1" t="s">
        <v>112</v>
      </c>
      <c r="R787" s="1" t="s">
        <v>113</v>
      </c>
      <c r="T787" s="1">
        <v>1.01054651E8</v>
      </c>
      <c r="W787" s="1" t="s">
        <v>1303</v>
      </c>
      <c r="X787" s="1" t="s">
        <v>203</v>
      </c>
    </row>
    <row r="788">
      <c r="A788" s="1" t="s">
        <v>2960</v>
      </c>
      <c r="B788" s="1" t="s">
        <v>2961</v>
      </c>
      <c r="C788" s="1" t="s">
        <v>2962</v>
      </c>
      <c r="D788" s="1" t="s">
        <v>103</v>
      </c>
      <c r="E788" s="1" t="s">
        <v>29</v>
      </c>
      <c r="F788" s="5">
        <v>1300000.0</v>
      </c>
      <c r="G788" s="1" t="s">
        <v>1114</v>
      </c>
      <c r="H788" s="4">
        <v>44567.0</v>
      </c>
      <c r="I788" s="4">
        <v>44718.0</v>
      </c>
      <c r="K788" s="1">
        <v>0.0</v>
      </c>
      <c r="L788" s="1" t="s">
        <v>2058</v>
      </c>
      <c r="M788" s="1" t="str">
        <f>VLOOKUP(L788,'Copy of PMD Workday Constants -'!B757:Y1443,22,false)</f>
        <v>#N/A</v>
      </c>
      <c r="N788" s="1" t="s">
        <v>32</v>
      </c>
      <c r="O788" s="1" t="s">
        <v>33</v>
      </c>
      <c r="P788" s="1" t="s">
        <v>34</v>
      </c>
      <c r="Q788" s="1" t="s">
        <v>34</v>
      </c>
      <c r="R788" s="1" t="s">
        <v>35</v>
      </c>
      <c r="T788" s="1">
        <v>1.01076271E8</v>
      </c>
      <c r="W788" s="1" t="s">
        <v>147</v>
      </c>
      <c r="X788" s="1" t="s">
        <v>2963</v>
      </c>
    </row>
    <row r="789">
      <c r="A789" s="1" t="s">
        <v>2964</v>
      </c>
      <c r="B789" s="1" t="s">
        <v>464</v>
      </c>
      <c r="C789" s="1" t="s">
        <v>2965</v>
      </c>
      <c r="D789" s="1" t="s">
        <v>103</v>
      </c>
      <c r="E789" s="1" t="s">
        <v>29</v>
      </c>
      <c r="F789" s="5">
        <v>1300000.0</v>
      </c>
      <c r="G789" s="1" t="s">
        <v>1114</v>
      </c>
      <c r="H789" s="1" t="s">
        <v>466</v>
      </c>
      <c r="I789" s="4">
        <v>44568.0</v>
      </c>
      <c r="K789" s="1">
        <v>0.0</v>
      </c>
      <c r="L789" s="1" t="s">
        <v>467</v>
      </c>
      <c r="M789" s="1" t="str">
        <f>VLOOKUP(L789,'Copy of PMD Workday Constants -'!B758:Y1444,22,false)</f>
        <v>#N/A</v>
      </c>
      <c r="N789" s="1" t="s">
        <v>32</v>
      </c>
      <c r="O789" s="1" t="s">
        <v>33</v>
      </c>
      <c r="P789" s="1" t="s">
        <v>64</v>
      </c>
      <c r="Q789" s="1" t="s">
        <v>64</v>
      </c>
      <c r="R789" s="1" t="s">
        <v>65</v>
      </c>
      <c r="T789" s="1">
        <v>1.01170594E8</v>
      </c>
      <c r="W789" s="1" t="s">
        <v>56</v>
      </c>
      <c r="X789" s="1" t="s">
        <v>467</v>
      </c>
    </row>
    <row r="790">
      <c r="A790" s="1" t="s">
        <v>2966</v>
      </c>
      <c r="B790" s="1" t="s">
        <v>610</v>
      </c>
      <c r="C790" s="1" t="s">
        <v>2967</v>
      </c>
      <c r="D790" s="1" t="s">
        <v>51</v>
      </c>
      <c r="E790" s="1" t="s">
        <v>29</v>
      </c>
      <c r="F790" s="5">
        <v>1300000.0</v>
      </c>
      <c r="G790" s="1" t="s">
        <v>1114</v>
      </c>
      <c r="H790" s="1" t="s">
        <v>1849</v>
      </c>
      <c r="I790" s="1" t="s">
        <v>191</v>
      </c>
      <c r="K790" s="1">
        <v>0.0</v>
      </c>
      <c r="L790" s="1" t="s">
        <v>2771</v>
      </c>
      <c r="M790" s="1" t="str">
        <f>VLOOKUP(L790,'Copy of PMD Workday Constants -'!B759:Y1445,22,false)</f>
        <v>#N/A</v>
      </c>
      <c r="N790" s="1" t="s">
        <v>32</v>
      </c>
      <c r="O790" s="1" t="s">
        <v>33</v>
      </c>
      <c r="P790" s="1" t="s">
        <v>222</v>
      </c>
      <c r="Q790" s="1" t="s">
        <v>222</v>
      </c>
      <c r="R790" s="1" t="s">
        <v>223</v>
      </c>
      <c r="S790" s="1" t="s">
        <v>601</v>
      </c>
      <c r="T790" s="1">
        <v>1.00641939E8</v>
      </c>
      <c r="W790" s="1" t="s">
        <v>533</v>
      </c>
      <c r="X790" s="1" t="s">
        <v>1068</v>
      </c>
    </row>
    <row r="791">
      <c r="A791" s="1" t="s">
        <v>2968</v>
      </c>
      <c r="B791" s="1" t="s">
        <v>1449</v>
      </c>
      <c r="C791" s="1" t="s">
        <v>2969</v>
      </c>
      <c r="D791" s="1" t="s">
        <v>103</v>
      </c>
      <c r="E791" s="1" t="s">
        <v>29</v>
      </c>
      <c r="F791" s="5">
        <v>1300000.0</v>
      </c>
      <c r="G791" s="1" t="s">
        <v>1114</v>
      </c>
      <c r="H791" s="1" t="s">
        <v>363</v>
      </c>
      <c r="I791" s="1" t="s">
        <v>104</v>
      </c>
      <c r="K791" s="1">
        <v>0.0</v>
      </c>
      <c r="L791" s="1" t="s">
        <v>2970</v>
      </c>
      <c r="M791" s="1" t="str">
        <f>VLOOKUP(L791,'Copy of PMD Workday Constants -'!B760:Y1446,22,false)</f>
        <v>#N/A</v>
      </c>
      <c r="N791" s="1" t="s">
        <v>32</v>
      </c>
      <c r="O791" s="1" t="s">
        <v>33</v>
      </c>
      <c r="P791" s="1" t="s">
        <v>173</v>
      </c>
      <c r="Q791" s="1" t="s">
        <v>173</v>
      </c>
      <c r="R791" s="1" t="s">
        <v>174</v>
      </c>
      <c r="S791" s="1" t="s">
        <v>612</v>
      </c>
      <c r="T791" s="1">
        <v>1.00616377E8</v>
      </c>
      <c r="W791" s="1" t="s">
        <v>250</v>
      </c>
      <c r="X791" s="1" t="s">
        <v>2971</v>
      </c>
    </row>
    <row r="792">
      <c r="A792" s="1" t="s">
        <v>2972</v>
      </c>
      <c r="B792" s="1" t="s">
        <v>776</v>
      </c>
      <c r="C792" s="1" t="s">
        <v>2973</v>
      </c>
      <c r="D792" s="1" t="s">
        <v>103</v>
      </c>
      <c r="E792" s="1" t="s">
        <v>29</v>
      </c>
      <c r="F792" s="5">
        <v>1300000.0</v>
      </c>
      <c r="G792" s="1" t="s">
        <v>1114</v>
      </c>
      <c r="H792" s="4">
        <v>44625.0</v>
      </c>
      <c r="I792" s="1" t="s">
        <v>80</v>
      </c>
      <c r="K792" s="1">
        <v>0.0</v>
      </c>
      <c r="L792" s="1" t="s">
        <v>2546</v>
      </c>
      <c r="M792" s="1" t="str">
        <f>VLOOKUP(L792,'Copy of PMD Workday Constants -'!B761:Y1447,22,false)</f>
        <v>#N/A</v>
      </c>
      <c r="N792" s="1" t="s">
        <v>32</v>
      </c>
      <c r="O792" s="1" t="s">
        <v>33</v>
      </c>
      <c r="P792" s="1" t="s">
        <v>173</v>
      </c>
      <c r="Q792" s="1" t="s">
        <v>173</v>
      </c>
      <c r="R792" s="1" t="s">
        <v>174</v>
      </c>
      <c r="T792" s="1">
        <v>1.00628059E8</v>
      </c>
      <c r="W792" s="1" t="s">
        <v>74</v>
      </c>
      <c r="X792" s="1" t="s">
        <v>2974</v>
      </c>
    </row>
    <row r="793">
      <c r="A793" s="1" t="s">
        <v>2975</v>
      </c>
      <c r="B793" s="1" t="s">
        <v>2976</v>
      </c>
      <c r="C793" s="1" t="s">
        <v>2977</v>
      </c>
      <c r="D793" s="1" t="s">
        <v>28</v>
      </c>
      <c r="E793" s="1" t="s">
        <v>29</v>
      </c>
      <c r="F793" s="5">
        <v>1300000.0</v>
      </c>
      <c r="G793" s="1" t="s">
        <v>1114</v>
      </c>
      <c r="H793" s="1" t="s">
        <v>870</v>
      </c>
      <c r="I793" s="4">
        <v>44568.0</v>
      </c>
      <c r="K793" s="1">
        <v>0.0</v>
      </c>
      <c r="L793" s="1" t="s">
        <v>1786</v>
      </c>
      <c r="M793" s="1" t="str">
        <f>VLOOKUP(L793,'Copy of PMD Workday Constants -'!B762:Y1448,22,false)</f>
        <v>#N/A</v>
      </c>
      <c r="N793" s="1" t="s">
        <v>32</v>
      </c>
      <c r="O793" s="1" t="s">
        <v>33</v>
      </c>
      <c r="P793" s="1" t="s">
        <v>54</v>
      </c>
      <c r="Q793" s="1" t="s">
        <v>54</v>
      </c>
      <c r="R793" s="1" t="s">
        <v>55</v>
      </c>
      <c r="S793" s="1" t="s">
        <v>701</v>
      </c>
      <c r="T793" s="1">
        <v>1.00647536E8</v>
      </c>
      <c r="W793" s="1" t="s">
        <v>250</v>
      </c>
      <c r="X793" s="1" t="s">
        <v>2978</v>
      </c>
    </row>
    <row r="794">
      <c r="A794" s="1" t="s">
        <v>2979</v>
      </c>
      <c r="B794" s="1" t="s">
        <v>341</v>
      </c>
      <c r="C794" s="1" t="s">
        <v>2980</v>
      </c>
      <c r="D794" s="1" t="s">
        <v>51</v>
      </c>
      <c r="E794" s="1" t="s">
        <v>29</v>
      </c>
      <c r="F794" s="5">
        <v>1275000.0</v>
      </c>
      <c r="G794" s="1" t="s">
        <v>1114</v>
      </c>
      <c r="H794" s="4">
        <v>44208.0</v>
      </c>
      <c r="I794" s="4">
        <v>44572.0</v>
      </c>
      <c r="K794" s="1">
        <v>0.0</v>
      </c>
      <c r="L794" s="1" t="s">
        <v>344</v>
      </c>
      <c r="M794" s="1" t="str">
        <f>VLOOKUP(L794,'Copy of PMD Workday Constants -'!B763:Y1449,22,false)</f>
        <v>#N/A</v>
      </c>
      <c r="N794" s="1" t="s">
        <v>32</v>
      </c>
      <c r="O794" s="1" t="s">
        <v>33</v>
      </c>
      <c r="P794" s="1" t="s">
        <v>82</v>
      </c>
      <c r="Q794" s="1" t="s">
        <v>82</v>
      </c>
      <c r="R794" s="1" t="s">
        <v>83</v>
      </c>
      <c r="S794" s="1" t="s">
        <v>180</v>
      </c>
      <c r="T794" s="1">
        <v>1.00610483E8</v>
      </c>
      <c r="W794" s="1" t="s">
        <v>85</v>
      </c>
      <c r="X794" s="1" t="s">
        <v>344</v>
      </c>
    </row>
    <row r="795">
      <c r="A795" s="1" t="s">
        <v>2981</v>
      </c>
      <c r="B795" s="1" t="s">
        <v>2346</v>
      </c>
      <c r="C795" s="1" t="s">
        <v>2982</v>
      </c>
      <c r="D795" s="1" t="s">
        <v>51</v>
      </c>
      <c r="E795" s="1" t="s">
        <v>29</v>
      </c>
      <c r="F795" s="5">
        <v>1263000.0</v>
      </c>
      <c r="G795" s="1" t="s">
        <v>1114</v>
      </c>
      <c r="H795" s="1" t="s">
        <v>2241</v>
      </c>
      <c r="I795" s="4">
        <v>44568.0</v>
      </c>
      <c r="K795" s="1">
        <v>0.0</v>
      </c>
      <c r="L795" s="1" t="s">
        <v>2983</v>
      </c>
      <c r="M795" s="1" t="str">
        <f>VLOOKUP(L795,'Copy of PMD Workday Constants -'!B764:Y1450,22,false)</f>
        <v>#N/A</v>
      </c>
      <c r="N795" s="1" t="s">
        <v>32</v>
      </c>
      <c r="O795" s="1" t="s">
        <v>33</v>
      </c>
      <c r="P795" s="1" t="s">
        <v>34</v>
      </c>
      <c r="Q795" s="1" t="s">
        <v>34</v>
      </c>
      <c r="R795" s="1" t="s">
        <v>35</v>
      </c>
      <c r="S795" s="1" t="s">
        <v>383</v>
      </c>
      <c r="T795" s="1">
        <v>1.00650568E8</v>
      </c>
      <c r="W795" s="1" t="s">
        <v>147</v>
      </c>
      <c r="X795" s="1" t="s">
        <v>2983</v>
      </c>
    </row>
    <row r="796">
      <c r="A796" s="1" t="s">
        <v>2984</v>
      </c>
      <c r="B796" s="1" t="s">
        <v>1316</v>
      </c>
      <c r="C796" s="1" t="s">
        <v>2985</v>
      </c>
      <c r="D796" s="1" t="s">
        <v>103</v>
      </c>
      <c r="E796" s="1" t="s">
        <v>29</v>
      </c>
      <c r="F796" s="5">
        <v>1250000.0</v>
      </c>
      <c r="G796" s="1" t="s">
        <v>1114</v>
      </c>
      <c r="H796" s="1" t="s">
        <v>1765</v>
      </c>
      <c r="I796" s="1" t="s">
        <v>2986</v>
      </c>
      <c r="K796" s="1">
        <v>0.0</v>
      </c>
      <c r="L796" s="1" t="s">
        <v>1510</v>
      </c>
      <c r="M796" s="1" t="str">
        <f>VLOOKUP(L796,'Copy of PMD Workday Constants -'!B765:Y1451,22,false)</f>
        <v>#N/A</v>
      </c>
      <c r="N796" s="1" t="s">
        <v>32</v>
      </c>
      <c r="O796" s="1" t="s">
        <v>33</v>
      </c>
      <c r="P796" s="1" t="s">
        <v>222</v>
      </c>
      <c r="Q796" s="1" t="s">
        <v>222</v>
      </c>
      <c r="R796" s="1" t="s">
        <v>223</v>
      </c>
      <c r="S796" s="1" t="s">
        <v>601</v>
      </c>
      <c r="T796" s="1">
        <v>1.00711752E8</v>
      </c>
      <c r="W796" s="1" t="s">
        <v>436</v>
      </c>
      <c r="X796" s="1" t="s">
        <v>1511</v>
      </c>
    </row>
    <row r="797">
      <c r="A797" s="1" t="s">
        <v>2987</v>
      </c>
      <c r="B797" s="1" t="s">
        <v>1305</v>
      </c>
      <c r="C797" s="1" t="s">
        <v>2988</v>
      </c>
      <c r="D797" s="1" t="s">
        <v>79</v>
      </c>
      <c r="E797" s="1" t="s">
        <v>29</v>
      </c>
      <c r="F797" s="5">
        <v>1250000.0</v>
      </c>
      <c r="G797" s="1" t="s">
        <v>1114</v>
      </c>
      <c r="H797" s="1" t="s">
        <v>1785</v>
      </c>
      <c r="I797" s="1" t="s">
        <v>732</v>
      </c>
      <c r="K797" s="1">
        <v>0.0</v>
      </c>
      <c r="L797" s="1" t="s">
        <v>1616</v>
      </c>
      <c r="M797" s="1" t="str">
        <f>VLOOKUP(L797,'Copy of PMD Workday Constants -'!B766:Y1452,22,false)</f>
        <v>#N/A</v>
      </c>
      <c r="N797" s="1" t="s">
        <v>32</v>
      </c>
      <c r="O797" s="1" t="s">
        <v>33</v>
      </c>
      <c r="P797" s="1" t="s">
        <v>64</v>
      </c>
      <c r="Q797" s="1" t="s">
        <v>64</v>
      </c>
      <c r="R797" s="1" t="s">
        <v>65</v>
      </c>
      <c r="S797" s="1" t="s">
        <v>791</v>
      </c>
      <c r="T797" s="1">
        <v>1.0065462E8</v>
      </c>
      <c r="W797" s="1" t="s">
        <v>147</v>
      </c>
      <c r="X797" s="1" t="s">
        <v>1616</v>
      </c>
    </row>
    <row r="798">
      <c r="A798" s="1" t="s">
        <v>2989</v>
      </c>
      <c r="B798" s="1" t="s">
        <v>368</v>
      </c>
      <c r="C798" s="1" t="s">
        <v>2990</v>
      </c>
      <c r="D798" s="1" t="s">
        <v>51</v>
      </c>
      <c r="E798" s="1" t="s">
        <v>29</v>
      </c>
      <c r="F798" s="5">
        <v>1250000.0</v>
      </c>
      <c r="G798" s="1" t="s">
        <v>1114</v>
      </c>
      <c r="H798" s="1" t="s">
        <v>278</v>
      </c>
      <c r="I798" s="4">
        <v>44604.0</v>
      </c>
      <c r="K798" s="1">
        <v>0.0</v>
      </c>
      <c r="L798" s="1" t="s">
        <v>2991</v>
      </c>
      <c r="M798" s="1" t="str">
        <f>VLOOKUP(L798,'Copy of PMD Workday Constants -'!B767:Y1453,22,false)</f>
        <v>#N/A</v>
      </c>
      <c r="N798" s="1" t="s">
        <v>32</v>
      </c>
      <c r="O798" s="1" t="s">
        <v>33</v>
      </c>
      <c r="P798" s="1" t="s">
        <v>210</v>
      </c>
      <c r="Q798" s="1" t="s">
        <v>210</v>
      </c>
      <c r="R798" s="1" t="s">
        <v>211</v>
      </c>
      <c r="S798" s="1" t="s">
        <v>297</v>
      </c>
      <c r="T798" s="1">
        <v>1.00647935E8</v>
      </c>
      <c r="W798" s="1" t="s">
        <v>258</v>
      </c>
      <c r="X798" s="1" t="s">
        <v>2991</v>
      </c>
    </row>
    <row r="799">
      <c r="A799" s="1" t="s">
        <v>2992</v>
      </c>
      <c r="B799" s="1" t="s">
        <v>665</v>
      </c>
      <c r="C799" s="1" t="s">
        <v>2993</v>
      </c>
      <c r="D799" s="1" t="s">
        <v>51</v>
      </c>
      <c r="E799" s="1" t="s">
        <v>29</v>
      </c>
      <c r="F799" s="5">
        <v>1250000.0</v>
      </c>
      <c r="G799" s="1" t="s">
        <v>1114</v>
      </c>
      <c r="H799" s="1" t="s">
        <v>2994</v>
      </c>
      <c r="I799" s="1" t="s">
        <v>152</v>
      </c>
      <c r="K799" s="1">
        <v>0.0</v>
      </c>
      <c r="L799" s="1" t="s">
        <v>667</v>
      </c>
      <c r="M799" s="1" t="str">
        <f>VLOOKUP(L799,'Copy of PMD Workday Constants -'!B768:Y1454,22,false)</f>
        <v>#N/A</v>
      </c>
      <c r="N799" s="1" t="s">
        <v>32</v>
      </c>
      <c r="O799" s="1" t="s">
        <v>33</v>
      </c>
      <c r="P799" s="1" t="s">
        <v>112</v>
      </c>
      <c r="Q799" s="1" t="s">
        <v>112</v>
      </c>
      <c r="R799" s="1" t="s">
        <v>113</v>
      </c>
      <c r="S799" s="1" t="s">
        <v>307</v>
      </c>
      <c r="T799" s="1">
        <v>1.00616804E8</v>
      </c>
      <c r="W799" s="1" t="s">
        <v>115</v>
      </c>
      <c r="X799" s="1" t="s">
        <v>667</v>
      </c>
    </row>
    <row r="800">
      <c r="A800" s="1" t="s">
        <v>2995</v>
      </c>
      <c r="B800" s="1" t="s">
        <v>776</v>
      </c>
      <c r="C800" s="1" t="s">
        <v>2996</v>
      </c>
      <c r="D800" s="1" t="s">
        <v>28</v>
      </c>
      <c r="E800" s="1" t="s">
        <v>29</v>
      </c>
      <c r="F800" s="5">
        <v>1250000.0</v>
      </c>
      <c r="G800" s="1" t="s">
        <v>1114</v>
      </c>
      <c r="H800" s="4">
        <v>44836.0</v>
      </c>
      <c r="I800" s="1" t="s">
        <v>80</v>
      </c>
      <c r="K800" s="1">
        <v>0.0</v>
      </c>
      <c r="L800" s="1" t="s">
        <v>2546</v>
      </c>
      <c r="M800" s="1" t="str">
        <f>VLOOKUP(L800,'Copy of PMD Workday Constants -'!B769:Y1455,22,false)</f>
        <v>#N/A</v>
      </c>
      <c r="N800" s="1" t="s">
        <v>32</v>
      </c>
      <c r="O800" s="1" t="s">
        <v>33</v>
      </c>
      <c r="P800" s="1" t="s">
        <v>173</v>
      </c>
      <c r="Q800" s="1" t="s">
        <v>173</v>
      </c>
      <c r="R800" s="1" t="s">
        <v>174</v>
      </c>
      <c r="T800" s="1">
        <v>1.00628059E8</v>
      </c>
      <c r="U800" s="1" t="s">
        <v>1852</v>
      </c>
      <c r="V800" s="1" t="s">
        <v>46</v>
      </c>
      <c r="W800" s="1" t="s">
        <v>74</v>
      </c>
      <c r="X800" s="1" t="s">
        <v>1854</v>
      </c>
    </row>
    <row r="801">
      <c r="A801" s="1" t="s">
        <v>2997</v>
      </c>
      <c r="B801" s="1" t="s">
        <v>70</v>
      </c>
      <c r="C801" s="1" t="s">
        <v>2998</v>
      </c>
      <c r="D801" s="1" t="s">
        <v>28</v>
      </c>
      <c r="E801" s="1" t="s">
        <v>29</v>
      </c>
      <c r="F801" s="5">
        <v>1250000.0</v>
      </c>
      <c r="G801" s="1" t="s">
        <v>1114</v>
      </c>
      <c r="H801" s="1" t="s">
        <v>2463</v>
      </c>
      <c r="I801" s="4">
        <v>44872.0</v>
      </c>
      <c r="K801" s="1">
        <v>0.0</v>
      </c>
      <c r="L801" s="1" t="s">
        <v>2522</v>
      </c>
      <c r="M801" s="1" t="str">
        <f>VLOOKUP(L801,'Copy of PMD Workday Constants -'!B770:Y1456,22,false)</f>
        <v>#N/A</v>
      </c>
      <c r="N801" s="1" t="s">
        <v>32</v>
      </c>
      <c r="O801" s="1" t="s">
        <v>33</v>
      </c>
      <c r="P801" s="1" t="s">
        <v>173</v>
      </c>
      <c r="Q801" s="1" t="s">
        <v>173</v>
      </c>
      <c r="R801" s="1" t="s">
        <v>174</v>
      </c>
      <c r="S801" s="1" t="s">
        <v>612</v>
      </c>
      <c r="T801" s="1">
        <v>1.00590772E8</v>
      </c>
      <c r="W801" s="1" t="s">
        <v>74</v>
      </c>
      <c r="X801" s="1" t="s">
        <v>75</v>
      </c>
    </row>
    <row r="802">
      <c r="A802" s="1" t="s">
        <v>2999</v>
      </c>
      <c r="B802" s="1" t="s">
        <v>1029</v>
      </c>
      <c r="C802" s="1" t="s">
        <v>3000</v>
      </c>
      <c r="D802" s="1" t="s">
        <v>51</v>
      </c>
      <c r="E802" s="1" t="s">
        <v>29</v>
      </c>
      <c r="F802" s="5">
        <v>1250000.0</v>
      </c>
      <c r="G802" s="1" t="s">
        <v>1114</v>
      </c>
      <c r="H802" s="4">
        <v>44718.0</v>
      </c>
      <c r="I802" s="1" t="s">
        <v>132</v>
      </c>
      <c r="K802" s="1">
        <v>0.0</v>
      </c>
      <c r="L802" s="1" t="s">
        <v>2556</v>
      </c>
      <c r="M802" s="1" t="str">
        <f>VLOOKUP(L802,'Copy of PMD Workday Constants -'!B771:Y1457,22,false)</f>
        <v>#N/A</v>
      </c>
      <c r="N802" s="1" t="s">
        <v>32</v>
      </c>
      <c r="O802" s="1" t="s">
        <v>33</v>
      </c>
      <c r="P802" s="1" t="s">
        <v>82</v>
      </c>
      <c r="Q802" s="1" t="s">
        <v>82</v>
      </c>
      <c r="R802" s="1" t="s">
        <v>83</v>
      </c>
      <c r="S802" s="1" t="s">
        <v>180</v>
      </c>
      <c r="T802" s="1">
        <v>1.01082364E8</v>
      </c>
      <c r="W802" s="1" t="s">
        <v>85</v>
      </c>
      <c r="X802" s="1" t="s">
        <v>3001</v>
      </c>
    </row>
    <row r="803">
      <c r="A803" s="1" t="s">
        <v>3002</v>
      </c>
      <c r="B803" s="1" t="s">
        <v>3003</v>
      </c>
      <c r="C803" s="1" t="s">
        <v>3004</v>
      </c>
      <c r="D803" s="1" t="s">
        <v>103</v>
      </c>
      <c r="E803" s="1" t="s">
        <v>29</v>
      </c>
      <c r="F803" s="5">
        <v>1250000.0</v>
      </c>
      <c r="G803" s="1" t="s">
        <v>1114</v>
      </c>
      <c r="H803" s="1" t="s">
        <v>1287</v>
      </c>
      <c r="I803" s="4">
        <v>44780.0</v>
      </c>
      <c r="K803" s="1">
        <v>0.0</v>
      </c>
      <c r="L803" s="1" t="s">
        <v>968</v>
      </c>
      <c r="M803" s="1" t="str">
        <f>VLOOKUP(L803,'Copy of PMD Workday Constants -'!B772:Y1458,22,false)</f>
        <v>#N/A</v>
      </c>
      <c r="N803" s="1" t="s">
        <v>32</v>
      </c>
      <c r="O803" s="1" t="s">
        <v>33</v>
      </c>
      <c r="P803" s="1" t="s">
        <v>210</v>
      </c>
      <c r="Q803" s="1" t="s">
        <v>210</v>
      </c>
      <c r="R803" s="1" t="s">
        <v>211</v>
      </c>
      <c r="S803" s="1" t="s">
        <v>416</v>
      </c>
      <c r="T803" s="1">
        <v>1.00647262E8</v>
      </c>
      <c r="W803" s="1" t="s">
        <v>56</v>
      </c>
      <c r="X803" s="1" t="s">
        <v>968</v>
      </c>
    </row>
    <row r="804">
      <c r="A804" s="1" t="s">
        <v>3005</v>
      </c>
      <c r="B804" s="1" t="s">
        <v>168</v>
      </c>
      <c r="C804" s="1" t="s">
        <v>3006</v>
      </c>
      <c r="D804" s="1" t="s">
        <v>103</v>
      </c>
      <c r="E804" s="1" t="s">
        <v>29</v>
      </c>
      <c r="F804" s="5">
        <v>1200000.0</v>
      </c>
      <c r="G804" s="1" t="s">
        <v>1114</v>
      </c>
      <c r="H804" s="1" t="s">
        <v>3007</v>
      </c>
      <c r="I804" s="1" t="s">
        <v>217</v>
      </c>
      <c r="K804" s="1">
        <v>0.0</v>
      </c>
      <c r="L804" s="1" t="s">
        <v>172</v>
      </c>
      <c r="M804" s="1" t="str">
        <f>VLOOKUP(L804,'Copy of PMD Workday Constants -'!B773:Y1459,22,false)</f>
        <v>#N/A</v>
      </c>
      <c r="N804" s="1" t="s">
        <v>32</v>
      </c>
      <c r="O804" s="1" t="s">
        <v>33</v>
      </c>
      <c r="P804" s="1" t="s">
        <v>173</v>
      </c>
      <c r="Q804" s="1" t="s">
        <v>173</v>
      </c>
      <c r="R804" s="1" t="s">
        <v>174</v>
      </c>
      <c r="S804" s="1" t="s">
        <v>153</v>
      </c>
      <c r="T804" s="1">
        <v>1.00619165E8</v>
      </c>
      <c r="W804" s="1" t="s">
        <v>37</v>
      </c>
      <c r="X804" s="1" t="s">
        <v>175</v>
      </c>
    </row>
    <row r="805">
      <c r="A805" s="1" t="s">
        <v>3008</v>
      </c>
      <c r="B805" s="1" t="s">
        <v>1783</v>
      </c>
      <c r="C805" s="1" t="s">
        <v>3009</v>
      </c>
      <c r="D805" s="1" t="s">
        <v>51</v>
      </c>
      <c r="E805" s="1" t="s">
        <v>29</v>
      </c>
      <c r="F805" s="5">
        <v>1200000.0</v>
      </c>
      <c r="G805" s="1" t="s">
        <v>1114</v>
      </c>
      <c r="H805" s="1" t="s">
        <v>810</v>
      </c>
      <c r="I805" s="1" t="s">
        <v>80</v>
      </c>
      <c r="K805" s="1">
        <v>0.0</v>
      </c>
      <c r="L805" s="1" t="s">
        <v>570</v>
      </c>
      <c r="M805" s="1" t="str">
        <f>VLOOKUP(L805,'Copy of PMD Workday Constants -'!B774:Y1460,22,false)</f>
        <v>#N/A</v>
      </c>
      <c r="N805" s="1" t="s">
        <v>32</v>
      </c>
      <c r="O805" s="1" t="s">
        <v>33</v>
      </c>
      <c r="P805" s="1" t="s">
        <v>112</v>
      </c>
      <c r="Q805" s="1" t="s">
        <v>112</v>
      </c>
      <c r="R805" s="1" t="s">
        <v>113</v>
      </c>
      <c r="S805" s="1" t="s">
        <v>120</v>
      </c>
      <c r="T805" s="1">
        <v>1.00625415E8</v>
      </c>
      <c r="W805" s="1" t="s">
        <v>56</v>
      </c>
      <c r="X805" s="1" t="s">
        <v>3010</v>
      </c>
    </row>
    <row r="806">
      <c r="A806" s="1" t="s">
        <v>3011</v>
      </c>
      <c r="B806" s="1" t="s">
        <v>324</v>
      </c>
      <c r="C806" s="1" t="s">
        <v>3012</v>
      </c>
      <c r="D806" s="1" t="s">
        <v>79</v>
      </c>
      <c r="E806" s="1" t="s">
        <v>29</v>
      </c>
      <c r="F806" s="5">
        <v>1200000.0</v>
      </c>
      <c r="G806" s="1" t="s">
        <v>1114</v>
      </c>
      <c r="H806" s="4">
        <v>44652.0</v>
      </c>
      <c r="I806" s="1" t="s">
        <v>1673</v>
      </c>
      <c r="K806" s="1">
        <v>0.0</v>
      </c>
      <c r="L806" s="1" t="s">
        <v>415</v>
      </c>
      <c r="M806" s="1" t="str">
        <f>VLOOKUP(L806,'Copy of PMD Workday Constants -'!B775:Y1461,22,false)</f>
        <v>#N/A</v>
      </c>
      <c r="N806" s="1" t="s">
        <v>32</v>
      </c>
      <c r="O806" s="1" t="s">
        <v>33</v>
      </c>
      <c r="P806" s="1" t="s">
        <v>210</v>
      </c>
      <c r="Q806" s="1" t="s">
        <v>210</v>
      </c>
      <c r="R806" s="1" t="s">
        <v>211</v>
      </c>
      <c r="S806" s="1" t="s">
        <v>1313</v>
      </c>
      <c r="T806" s="1">
        <v>1.00650375E8</v>
      </c>
      <c r="W806" s="1" t="s">
        <v>56</v>
      </c>
      <c r="X806" s="1" t="s">
        <v>3013</v>
      </c>
    </row>
    <row r="807">
      <c r="A807" s="1" t="s">
        <v>3014</v>
      </c>
      <c r="B807" s="1" t="s">
        <v>160</v>
      </c>
      <c r="C807" s="1" t="s">
        <v>3015</v>
      </c>
      <c r="D807" s="1" t="s">
        <v>28</v>
      </c>
      <c r="E807" s="1" t="s">
        <v>29</v>
      </c>
      <c r="F807" s="5">
        <v>1200000.0</v>
      </c>
      <c r="G807" s="1" t="s">
        <v>1114</v>
      </c>
      <c r="H807" s="4">
        <v>44743.0</v>
      </c>
      <c r="I807" s="1" t="s">
        <v>80</v>
      </c>
      <c r="K807" s="1">
        <v>0.0</v>
      </c>
      <c r="L807" s="1" t="s">
        <v>435</v>
      </c>
      <c r="M807" s="1" t="str">
        <f>VLOOKUP(L807,'Copy of PMD Workday Constants -'!B776:Y1462,22,false)</f>
        <v>#N/A</v>
      </c>
      <c r="N807" s="1" t="s">
        <v>32</v>
      </c>
      <c r="O807" s="1" t="s">
        <v>33</v>
      </c>
      <c r="P807" s="1" t="s">
        <v>64</v>
      </c>
      <c r="Q807" s="1" t="s">
        <v>64</v>
      </c>
      <c r="R807" s="1" t="s">
        <v>65</v>
      </c>
      <c r="S807" s="1" t="s">
        <v>98</v>
      </c>
      <c r="T807" s="1">
        <v>1.00653756E8</v>
      </c>
      <c r="W807" s="1" t="s">
        <v>56</v>
      </c>
      <c r="X807" s="1" t="s">
        <v>435</v>
      </c>
    </row>
    <row r="808">
      <c r="A808" s="1" t="s">
        <v>3016</v>
      </c>
      <c r="B808" s="1" t="s">
        <v>944</v>
      </c>
      <c r="C808" s="1" t="s">
        <v>3017</v>
      </c>
      <c r="D808" s="1" t="s">
        <v>103</v>
      </c>
      <c r="E808" s="1" t="s">
        <v>29</v>
      </c>
      <c r="F808" s="5">
        <v>1200000.0</v>
      </c>
      <c r="G808" s="1" t="s">
        <v>1114</v>
      </c>
      <c r="H808" s="1" t="s">
        <v>3018</v>
      </c>
      <c r="I808" s="1" t="s">
        <v>1746</v>
      </c>
      <c r="K808" s="1">
        <v>0.0</v>
      </c>
      <c r="L808" s="1" t="s">
        <v>3019</v>
      </c>
      <c r="M808" s="1" t="str">
        <f>VLOOKUP(L808,'Copy of PMD Workday Constants -'!B777:Y1463,22,false)</f>
        <v>#N/A</v>
      </c>
      <c r="N808" s="1" t="s">
        <v>32</v>
      </c>
      <c r="O808" s="1" t="s">
        <v>33</v>
      </c>
      <c r="P808" s="1" t="s">
        <v>112</v>
      </c>
      <c r="Q808" s="1" t="s">
        <v>112</v>
      </c>
      <c r="R808" s="1" t="s">
        <v>113</v>
      </c>
      <c r="S808" s="1" t="s">
        <v>307</v>
      </c>
      <c r="T808" s="1">
        <v>1.00627256E8</v>
      </c>
      <c r="W808" s="1" t="s">
        <v>947</v>
      </c>
      <c r="X808" s="1" t="s">
        <v>3019</v>
      </c>
    </row>
    <row r="809">
      <c r="A809" s="1" t="s">
        <v>3020</v>
      </c>
      <c r="B809" s="1" t="s">
        <v>1449</v>
      </c>
      <c r="C809" s="1" t="s">
        <v>3021</v>
      </c>
      <c r="D809" s="1" t="s">
        <v>51</v>
      </c>
      <c r="E809" s="1" t="s">
        <v>29</v>
      </c>
      <c r="F809" s="5">
        <v>1200000.0</v>
      </c>
      <c r="G809" s="1" t="s">
        <v>1114</v>
      </c>
      <c r="H809" s="4">
        <v>44264.0</v>
      </c>
      <c r="I809" s="1" t="s">
        <v>152</v>
      </c>
      <c r="K809" s="1">
        <v>0.0</v>
      </c>
      <c r="L809" s="1" t="s">
        <v>2381</v>
      </c>
      <c r="M809" s="1" t="str">
        <f>VLOOKUP(L809,'Copy of PMD Workday Constants -'!B778:Y1464,22,false)</f>
        <v>#N/A</v>
      </c>
      <c r="N809" s="1" t="s">
        <v>32</v>
      </c>
      <c r="O809" s="1" t="s">
        <v>33</v>
      </c>
      <c r="P809" s="1" t="s">
        <v>112</v>
      </c>
      <c r="Q809" s="1" t="s">
        <v>112</v>
      </c>
      <c r="R809" s="1" t="s">
        <v>113</v>
      </c>
      <c r="S809" s="1" t="s">
        <v>134</v>
      </c>
      <c r="T809" s="1">
        <v>1.00625755E8</v>
      </c>
      <c r="W809" s="1" t="s">
        <v>493</v>
      </c>
      <c r="X809" s="1" t="s">
        <v>2381</v>
      </c>
    </row>
    <row r="810">
      <c r="A810" s="1" t="s">
        <v>3022</v>
      </c>
      <c r="B810" s="1" t="s">
        <v>2375</v>
      </c>
      <c r="C810" s="1" t="s">
        <v>3023</v>
      </c>
      <c r="D810" s="1" t="s">
        <v>28</v>
      </c>
      <c r="E810" s="1" t="s">
        <v>29</v>
      </c>
      <c r="F810" s="5">
        <v>1200000.0</v>
      </c>
      <c r="G810" s="1" t="s">
        <v>1114</v>
      </c>
      <c r="H810" s="4">
        <v>44471.0</v>
      </c>
      <c r="I810" s="1" t="s">
        <v>43</v>
      </c>
      <c r="K810" s="1">
        <v>0.0</v>
      </c>
      <c r="L810" s="1" t="s">
        <v>255</v>
      </c>
      <c r="M810" s="1" t="str">
        <f>VLOOKUP(L810,'Copy of PMD Workday Constants -'!B779:Y1465,22,false)</f>
        <v>#N/A</v>
      </c>
      <c r="N810" s="1" t="s">
        <v>32</v>
      </c>
      <c r="O810" s="1" t="s">
        <v>33</v>
      </c>
      <c r="P810" s="1" t="s">
        <v>112</v>
      </c>
      <c r="Q810" s="1" t="s">
        <v>112</v>
      </c>
      <c r="R810" s="1" t="s">
        <v>113</v>
      </c>
      <c r="S810" s="1" t="s">
        <v>256</v>
      </c>
      <c r="T810" s="1">
        <v>1.00659114E8</v>
      </c>
      <c r="W810" s="1" t="s">
        <v>258</v>
      </c>
      <c r="X810" s="1" t="s">
        <v>3024</v>
      </c>
    </row>
    <row r="811">
      <c r="A811" s="1" t="s">
        <v>3025</v>
      </c>
      <c r="B811" s="1" t="s">
        <v>3026</v>
      </c>
      <c r="C811" s="1" t="s">
        <v>3027</v>
      </c>
      <c r="D811" s="1" t="s">
        <v>79</v>
      </c>
      <c r="E811" s="1" t="s">
        <v>29</v>
      </c>
      <c r="F811" s="5">
        <v>1200000.0</v>
      </c>
      <c r="G811" s="1" t="s">
        <v>1114</v>
      </c>
      <c r="H811" s="1" t="s">
        <v>3028</v>
      </c>
      <c r="I811" s="1" t="s">
        <v>1746</v>
      </c>
      <c r="K811" s="1">
        <v>0.0</v>
      </c>
      <c r="L811" s="1" t="s">
        <v>314</v>
      </c>
      <c r="M811" s="1" t="str">
        <f>VLOOKUP(L811,'Copy of PMD Workday Constants -'!B780:Y1466,22,false)</f>
        <v>#N/A</v>
      </c>
      <c r="N811" s="1" t="s">
        <v>32</v>
      </c>
      <c r="O811" s="1" t="s">
        <v>33</v>
      </c>
      <c r="P811" s="1" t="s">
        <v>64</v>
      </c>
      <c r="Q811" s="1" t="s">
        <v>64</v>
      </c>
      <c r="R811" s="1" t="s">
        <v>65</v>
      </c>
      <c r="S811" s="1" t="s">
        <v>1496</v>
      </c>
      <c r="T811" s="1">
        <v>1.00651094E8</v>
      </c>
      <c r="W811" s="1" t="s">
        <v>258</v>
      </c>
      <c r="X811" s="1" t="s">
        <v>3029</v>
      </c>
    </row>
    <row r="812">
      <c r="A812" s="1" t="s">
        <v>3030</v>
      </c>
      <c r="B812" s="1" t="s">
        <v>1703</v>
      </c>
      <c r="C812" s="1" t="s">
        <v>3031</v>
      </c>
      <c r="D812" s="1" t="s">
        <v>28</v>
      </c>
      <c r="E812" s="1" t="s">
        <v>29</v>
      </c>
      <c r="F812" s="5">
        <v>1200000.0</v>
      </c>
      <c r="G812" s="1" t="s">
        <v>1114</v>
      </c>
      <c r="H812" s="1" t="s">
        <v>2622</v>
      </c>
      <c r="I812" s="1" t="s">
        <v>264</v>
      </c>
      <c r="K812" s="1">
        <v>0.0</v>
      </c>
      <c r="L812" s="1" t="s">
        <v>1486</v>
      </c>
      <c r="M812" s="1" t="str">
        <f>VLOOKUP(L812,'Copy of PMD Workday Constants -'!B781:Y1467,22,false)</f>
        <v>#N/A</v>
      </c>
      <c r="N812" s="1" t="s">
        <v>32</v>
      </c>
      <c r="O812" s="1" t="s">
        <v>33</v>
      </c>
      <c r="P812" s="1" t="s">
        <v>82</v>
      </c>
      <c r="Q812" s="1" t="s">
        <v>82</v>
      </c>
      <c r="R812" s="1" t="s">
        <v>83</v>
      </c>
      <c r="S812" s="1" t="s">
        <v>583</v>
      </c>
      <c r="T812" s="1">
        <v>1.006324E8</v>
      </c>
      <c r="W812" s="1" t="s">
        <v>456</v>
      </c>
      <c r="X812" s="1" t="s">
        <v>1486</v>
      </c>
    </row>
    <row r="813">
      <c r="A813" s="1" t="s">
        <v>3032</v>
      </c>
      <c r="B813" s="1" t="s">
        <v>411</v>
      </c>
      <c r="C813" s="1" t="s">
        <v>3033</v>
      </c>
      <c r="D813" s="1" t="s">
        <v>28</v>
      </c>
      <c r="E813" s="1" t="s">
        <v>29</v>
      </c>
      <c r="F813" s="5">
        <v>1200000.0</v>
      </c>
      <c r="G813" s="1" t="s">
        <v>1114</v>
      </c>
      <c r="H813" s="1" t="s">
        <v>3034</v>
      </c>
      <c r="I813" s="1" t="s">
        <v>302</v>
      </c>
      <c r="K813" s="1">
        <v>0.0</v>
      </c>
      <c r="L813" s="1" t="s">
        <v>1757</v>
      </c>
      <c r="M813" s="1" t="str">
        <f>VLOOKUP(L813,'Copy of PMD Workday Constants -'!B782:Y1468,22,false)</f>
        <v>#N/A</v>
      </c>
      <c r="N813" s="1" t="s">
        <v>32</v>
      </c>
      <c r="O813" s="1" t="s">
        <v>33</v>
      </c>
      <c r="P813" s="1" t="s">
        <v>112</v>
      </c>
      <c r="Q813" s="1" t="s">
        <v>112</v>
      </c>
      <c r="R813" s="1" t="s">
        <v>113</v>
      </c>
      <c r="S813" s="1" t="s">
        <v>120</v>
      </c>
      <c r="T813" s="1">
        <v>1.00597983E8</v>
      </c>
      <c r="W813" s="1" t="s">
        <v>56</v>
      </c>
      <c r="X813" s="1" t="s">
        <v>2377</v>
      </c>
    </row>
    <row r="814">
      <c r="A814" s="1" t="s">
        <v>3035</v>
      </c>
      <c r="B814" s="1" t="s">
        <v>3036</v>
      </c>
      <c r="C814" s="1" t="s">
        <v>3037</v>
      </c>
      <c r="D814" s="1" t="s">
        <v>103</v>
      </c>
      <c r="E814" s="1" t="s">
        <v>29</v>
      </c>
      <c r="F814" s="5">
        <v>1200000.0</v>
      </c>
      <c r="G814" s="1" t="s">
        <v>1114</v>
      </c>
      <c r="H814" s="4">
        <v>44806.0</v>
      </c>
      <c r="I814" s="1" t="s">
        <v>526</v>
      </c>
      <c r="K814" s="1">
        <v>0.0</v>
      </c>
      <c r="L814" s="1" t="s">
        <v>1380</v>
      </c>
      <c r="M814" s="1" t="str">
        <f>VLOOKUP(L814,'Copy of PMD Workday Constants -'!B783:Y1469,22,false)</f>
        <v>#N/A</v>
      </c>
      <c r="N814" s="1" t="s">
        <v>32</v>
      </c>
      <c r="O814" s="1" t="s">
        <v>33</v>
      </c>
      <c r="P814" s="1" t="s">
        <v>34</v>
      </c>
      <c r="Q814" s="1" t="s">
        <v>34</v>
      </c>
      <c r="R814" s="1" t="s">
        <v>35</v>
      </c>
      <c r="S814" s="1" t="s">
        <v>126</v>
      </c>
      <c r="T814" s="1">
        <v>1.00587434E8</v>
      </c>
      <c r="W814" s="1" t="s">
        <v>74</v>
      </c>
      <c r="X814" s="1" t="s">
        <v>3038</v>
      </c>
    </row>
    <row r="815">
      <c r="A815" s="1" t="s">
        <v>3039</v>
      </c>
      <c r="B815" s="1" t="s">
        <v>3040</v>
      </c>
      <c r="C815" s="1" t="s">
        <v>3041</v>
      </c>
      <c r="D815" s="1" t="s">
        <v>103</v>
      </c>
      <c r="E815" s="1" t="s">
        <v>29</v>
      </c>
      <c r="F815" s="5">
        <v>1200000.0</v>
      </c>
      <c r="G815" s="1" t="s">
        <v>1114</v>
      </c>
      <c r="H815" s="1" t="s">
        <v>3042</v>
      </c>
      <c r="I815" s="1" t="s">
        <v>104</v>
      </c>
      <c r="K815" s="1">
        <v>0.0</v>
      </c>
      <c r="L815" s="1" t="s">
        <v>3043</v>
      </c>
      <c r="M815" s="1" t="str">
        <f>VLOOKUP(L815,'Copy of PMD Workday Constants -'!B784:Y1470,22,false)</f>
        <v>#N/A</v>
      </c>
      <c r="N815" s="1" t="s">
        <v>32</v>
      </c>
      <c r="O815" s="1" t="s">
        <v>33</v>
      </c>
      <c r="P815" s="1" t="s">
        <v>222</v>
      </c>
      <c r="Q815" s="1" t="s">
        <v>222</v>
      </c>
      <c r="R815" s="1" t="s">
        <v>223</v>
      </c>
      <c r="S815" s="1" t="s">
        <v>601</v>
      </c>
      <c r="T815" s="1">
        <v>1.00638978E8</v>
      </c>
      <c r="U815" s="1" t="s">
        <v>3044</v>
      </c>
      <c r="V815" s="1" t="s">
        <v>46</v>
      </c>
      <c r="W815" s="1" t="s">
        <v>308</v>
      </c>
      <c r="X815" s="1" t="s">
        <v>3045</v>
      </c>
    </row>
    <row r="816">
      <c r="A816" s="1" t="s">
        <v>3046</v>
      </c>
      <c r="B816" s="1" t="s">
        <v>580</v>
      </c>
      <c r="C816" s="1" t="s">
        <v>3047</v>
      </c>
      <c r="D816" s="1" t="s">
        <v>79</v>
      </c>
      <c r="E816" s="1" t="s">
        <v>29</v>
      </c>
      <c r="F816" s="5">
        <v>1200000.0</v>
      </c>
      <c r="G816" s="1" t="s">
        <v>1114</v>
      </c>
      <c r="H816" s="4">
        <v>44839.0</v>
      </c>
      <c r="I816" s="1" t="s">
        <v>2986</v>
      </c>
      <c r="K816" s="1">
        <v>0.0</v>
      </c>
      <c r="L816" s="1" t="s">
        <v>3048</v>
      </c>
      <c r="M816" s="1" t="str">
        <f>VLOOKUP(L816,'Copy of PMD Workday Constants -'!B785:Y1471,22,false)</f>
        <v>#N/A</v>
      </c>
      <c r="N816" s="1" t="s">
        <v>32</v>
      </c>
      <c r="O816" s="1" t="s">
        <v>33</v>
      </c>
      <c r="P816" s="1" t="s">
        <v>222</v>
      </c>
      <c r="Q816" s="1" t="s">
        <v>222</v>
      </c>
      <c r="R816" s="1" t="s">
        <v>223</v>
      </c>
      <c r="T816" s="1">
        <v>1.01074484E8</v>
      </c>
      <c r="W816" s="1" t="s">
        <v>456</v>
      </c>
      <c r="X816" s="1" t="s">
        <v>3049</v>
      </c>
    </row>
    <row r="817">
      <c r="A817" s="1" t="s">
        <v>3050</v>
      </c>
      <c r="B817" s="1" t="s">
        <v>913</v>
      </c>
      <c r="C817" s="1" t="s">
        <v>3051</v>
      </c>
      <c r="D817" s="1" t="s">
        <v>28</v>
      </c>
      <c r="E817" s="1" t="s">
        <v>29</v>
      </c>
      <c r="F817" s="5">
        <v>1200000.0</v>
      </c>
      <c r="G817" s="1" t="s">
        <v>1114</v>
      </c>
      <c r="H817" s="1" t="s">
        <v>870</v>
      </c>
      <c r="I817" s="1" t="s">
        <v>3052</v>
      </c>
      <c r="K817" s="1">
        <v>0.0</v>
      </c>
      <c r="L817" s="1" t="s">
        <v>3053</v>
      </c>
      <c r="M817" s="1" t="str">
        <f>VLOOKUP(L817,'Copy of PMD Workday Constants -'!B786:Y1472,22,false)</f>
        <v>#N/A</v>
      </c>
      <c r="N817" s="1" t="s">
        <v>32</v>
      </c>
      <c r="O817" s="1" t="s">
        <v>33</v>
      </c>
      <c r="P817" s="1" t="s">
        <v>173</v>
      </c>
      <c r="Q817" s="1" t="s">
        <v>173</v>
      </c>
      <c r="R817" s="1" t="s">
        <v>174</v>
      </c>
      <c r="T817" s="1">
        <v>1.00626436E8</v>
      </c>
      <c r="W817" s="1" t="s">
        <v>85</v>
      </c>
      <c r="X817" s="1" t="s">
        <v>916</v>
      </c>
    </row>
    <row r="818">
      <c r="A818" s="1" t="s">
        <v>3054</v>
      </c>
      <c r="B818" s="1" t="s">
        <v>3055</v>
      </c>
      <c r="C818" s="1" t="s">
        <v>3056</v>
      </c>
      <c r="D818" s="1" t="s">
        <v>51</v>
      </c>
      <c r="E818" s="1" t="s">
        <v>29</v>
      </c>
      <c r="F818" s="5">
        <v>1200000.0</v>
      </c>
      <c r="G818" s="1" t="s">
        <v>1114</v>
      </c>
      <c r="H818" s="1" t="s">
        <v>1708</v>
      </c>
      <c r="I818" s="4">
        <v>44752.0</v>
      </c>
      <c r="K818" s="1">
        <v>0.0</v>
      </c>
      <c r="L818" s="1" t="s">
        <v>3057</v>
      </c>
      <c r="M818" s="1" t="str">
        <f>VLOOKUP(L818,'Copy of PMD Workday Constants -'!B787:Y1473,22,false)</f>
        <v>#N/A</v>
      </c>
      <c r="N818" s="1" t="s">
        <v>32</v>
      </c>
      <c r="O818" s="1" t="s">
        <v>33</v>
      </c>
      <c r="P818" s="1" t="s">
        <v>54</v>
      </c>
      <c r="Q818" s="1" t="s">
        <v>54</v>
      </c>
      <c r="R818" s="1" t="s">
        <v>55</v>
      </c>
      <c r="S818" s="1" t="s">
        <v>285</v>
      </c>
      <c r="T818" s="1">
        <v>1.00604298E8</v>
      </c>
      <c r="W818" s="1" t="s">
        <v>533</v>
      </c>
      <c r="X818" s="1" t="s">
        <v>857</v>
      </c>
    </row>
    <row r="819">
      <c r="A819" s="1" t="s">
        <v>3058</v>
      </c>
      <c r="B819" s="1" t="s">
        <v>2375</v>
      </c>
      <c r="C819" s="1" t="s">
        <v>3059</v>
      </c>
      <c r="D819" s="1" t="s">
        <v>28</v>
      </c>
      <c r="E819" s="1" t="s">
        <v>29</v>
      </c>
      <c r="F819" s="5">
        <v>1200000.0</v>
      </c>
      <c r="G819" s="1" t="s">
        <v>1114</v>
      </c>
      <c r="H819" s="4">
        <v>44776.0</v>
      </c>
      <c r="I819" s="1" t="s">
        <v>152</v>
      </c>
      <c r="K819" s="1">
        <v>0.0</v>
      </c>
      <c r="L819" s="1" t="s">
        <v>1495</v>
      </c>
      <c r="M819" s="1" t="str">
        <f>VLOOKUP(L819,'Copy of PMD Workday Constants -'!B788:Y1474,22,false)</f>
        <v>#N/A</v>
      </c>
      <c r="N819" s="1" t="s">
        <v>32</v>
      </c>
      <c r="O819" s="1" t="s">
        <v>33</v>
      </c>
      <c r="P819" s="1" t="s">
        <v>64</v>
      </c>
      <c r="Q819" s="1" t="s">
        <v>64</v>
      </c>
      <c r="R819" s="1" t="s">
        <v>65</v>
      </c>
      <c r="S819" s="1" t="s">
        <v>297</v>
      </c>
      <c r="T819" s="1">
        <v>1.00898415E8</v>
      </c>
      <c r="W819" s="1" t="s">
        <v>258</v>
      </c>
      <c r="X819" s="1" t="s">
        <v>3024</v>
      </c>
    </row>
    <row r="820">
      <c r="A820" s="1" t="s">
        <v>3060</v>
      </c>
      <c r="B820" s="1" t="s">
        <v>988</v>
      </c>
      <c r="C820" s="1" t="s">
        <v>3061</v>
      </c>
      <c r="D820" s="1" t="s">
        <v>51</v>
      </c>
      <c r="E820" s="1" t="s">
        <v>29</v>
      </c>
      <c r="F820" s="5">
        <v>1200000.0</v>
      </c>
      <c r="G820" s="1" t="s">
        <v>1114</v>
      </c>
      <c r="H820" s="1" t="s">
        <v>3062</v>
      </c>
      <c r="I820" s="4">
        <v>44569.0</v>
      </c>
      <c r="K820" s="1">
        <v>0.0</v>
      </c>
      <c r="L820" s="1" t="s">
        <v>1324</v>
      </c>
      <c r="M820" s="1" t="str">
        <f>VLOOKUP(L820,'Copy of PMD Workday Constants -'!B789:Y1475,22,false)</f>
        <v>#N/A</v>
      </c>
      <c r="N820" s="1" t="s">
        <v>32</v>
      </c>
      <c r="O820" s="1" t="s">
        <v>33</v>
      </c>
      <c r="P820" s="1" t="s">
        <v>34</v>
      </c>
      <c r="Q820" s="1" t="s">
        <v>34</v>
      </c>
      <c r="R820" s="1" t="s">
        <v>35</v>
      </c>
      <c r="S820" s="1" t="s">
        <v>66</v>
      </c>
      <c r="T820" s="1">
        <v>1.00613915E8</v>
      </c>
      <c r="W820" s="1" t="s">
        <v>37</v>
      </c>
      <c r="X820" s="1" t="s">
        <v>3063</v>
      </c>
    </row>
    <row r="821">
      <c r="A821" s="1" t="s">
        <v>3064</v>
      </c>
      <c r="B821" s="1" t="s">
        <v>2641</v>
      </c>
      <c r="C821" s="1" t="s">
        <v>3065</v>
      </c>
      <c r="D821" s="1" t="s">
        <v>28</v>
      </c>
      <c r="E821" s="1" t="s">
        <v>29</v>
      </c>
      <c r="F821" s="5">
        <v>1200000.0</v>
      </c>
      <c r="G821" s="1" t="s">
        <v>1114</v>
      </c>
      <c r="H821" s="4">
        <v>44318.0</v>
      </c>
      <c r="I821" s="4">
        <v>44572.0</v>
      </c>
      <c r="K821" s="1">
        <v>0.0</v>
      </c>
      <c r="L821" s="1" t="s">
        <v>1549</v>
      </c>
      <c r="M821" s="1" t="str">
        <f>VLOOKUP(L821,'Copy of PMD Workday Constants -'!B790:Y1476,22,false)</f>
        <v>#N/A</v>
      </c>
      <c r="N821" s="1" t="s">
        <v>32</v>
      </c>
      <c r="O821" s="1" t="s">
        <v>33</v>
      </c>
      <c r="P821" s="1" t="s">
        <v>173</v>
      </c>
      <c r="Q821" s="1" t="s">
        <v>173</v>
      </c>
      <c r="R821" s="1" t="s">
        <v>174</v>
      </c>
      <c r="S821" s="1" t="s">
        <v>612</v>
      </c>
      <c r="T821" s="1">
        <v>1.00646908E8</v>
      </c>
      <c r="W821" s="1" t="s">
        <v>456</v>
      </c>
      <c r="X821" s="1" t="s">
        <v>3066</v>
      </c>
    </row>
    <row r="822">
      <c r="A822" s="1" t="s">
        <v>3067</v>
      </c>
      <c r="B822" s="1" t="s">
        <v>965</v>
      </c>
      <c r="C822" s="1" t="s">
        <v>3068</v>
      </c>
      <c r="D822" s="1" t="s">
        <v>51</v>
      </c>
      <c r="E822" s="1" t="s">
        <v>29</v>
      </c>
      <c r="F822" s="5">
        <v>1200000.0</v>
      </c>
      <c r="G822" s="1" t="s">
        <v>1114</v>
      </c>
      <c r="H822" s="1" t="s">
        <v>1323</v>
      </c>
      <c r="I822" s="1" t="s">
        <v>302</v>
      </c>
      <c r="K822" s="1">
        <v>0.0</v>
      </c>
      <c r="L822" s="1" t="s">
        <v>2169</v>
      </c>
      <c r="M822" s="1" t="str">
        <f>VLOOKUP(L822,'Copy of PMD Workday Constants -'!B791:Y1477,22,false)</f>
        <v>#N/A</v>
      </c>
      <c r="N822" s="1" t="s">
        <v>32</v>
      </c>
      <c r="O822" s="1" t="s">
        <v>33</v>
      </c>
      <c r="P822" s="1" t="s">
        <v>64</v>
      </c>
      <c r="Q822" s="1" t="s">
        <v>64</v>
      </c>
      <c r="R822" s="1" t="s">
        <v>65</v>
      </c>
      <c r="S822" s="1" t="s">
        <v>98</v>
      </c>
      <c r="T822" s="1">
        <v>1.00886112E8</v>
      </c>
      <c r="W822" s="1" t="s">
        <v>56</v>
      </c>
      <c r="X822" s="1" t="s">
        <v>3069</v>
      </c>
    </row>
    <row r="823">
      <c r="A823" s="1" t="s">
        <v>3070</v>
      </c>
      <c r="B823" s="1" t="s">
        <v>311</v>
      </c>
      <c r="C823" s="1" t="s">
        <v>3071</v>
      </c>
      <c r="D823" s="1" t="s">
        <v>103</v>
      </c>
      <c r="E823" s="1" t="s">
        <v>29</v>
      </c>
      <c r="F823" s="5">
        <v>1190000.0</v>
      </c>
      <c r="G823" s="1" t="s">
        <v>1114</v>
      </c>
      <c r="H823" s="4">
        <v>44899.0</v>
      </c>
      <c r="I823" s="4">
        <v>44780.0</v>
      </c>
      <c r="K823" s="1">
        <v>0.0</v>
      </c>
      <c r="L823" s="1" t="s">
        <v>2133</v>
      </c>
      <c r="M823" s="1" t="str">
        <f>VLOOKUP(L823,'Copy of PMD Workday Constants -'!B792:Y1478,22,false)</f>
        <v>#N/A</v>
      </c>
      <c r="N823" s="1" t="s">
        <v>32</v>
      </c>
      <c r="O823" s="1" t="s">
        <v>33</v>
      </c>
      <c r="P823" s="1" t="s">
        <v>64</v>
      </c>
      <c r="Q823" s="1" t="s">
        <v>64</v>
      </c>
      <c r="R823" s="1" t="s">
        <v>65</v>
      </c>
      <c r="T823" s="1">
        <v>1.00653977E8</v>
      </c>
      <c r="W823" s="1" t="s">
        <v>140</v>
      </c>
      <c r="X823" s="1" t="s">
        <v>547</v>
      </c>
    </row>
    <row r="824">
      <c r="A824" s="1" t="s">
        <v>3072</v>
      </c>
      <c r="B824" s="1" t="s">
        <v>311</v>
      </c>
      <c r="C824" s="1" t="s">
        <v>3073</v>
      </c>
      <c r="D824" s="1" t="s">
        <v>28</v>
      </c>
      <c r="E824" s="1" t="s">
        <v>29</v>
      </c>
      <c r="F824" s="5">
        <v>1190000.0</v>
      </c>
      <c r="G824" s="1" t="s">
        <v>1114</v>
      </c>
      <c r="H824" s="1" t="s">
        <v>110</v>
      </c>
      <c r="I824" s="1" t="s">
        <v>732</v>
      </c>
      <c r="K824" s="1">
        <v>0.0</v>
      </c>
      <c r="L824" s="1" t="s">
        <v>2133</v>
      </c>
      <c r="M824" s="1" t="str">
        <f>VLOOKUP(L824,'Copy of PMD Workday Constants -'!B793:Y1479,22,false)</f>
        <v>#N/A</v>
      </c>
      <c r="N824" s="1" t="s">
        <v>32</v>
      </c>
      <c r="O824" s="1" t="s">
        <v>33</v>
      </c>
      <c r="P824" s="1" t="s">
        <v>64</v>
      </c>
      <c r="Q824" s="1" t="s">
        <v>64</v>
      </c>
      <c r="R824" s="1" t="s">
        <v>65</v>
      </c>
      <c r="T824" s="1">
        <v>1.00653977E8</v>
      </c>
      <c r="W824" s="1" t="s">
        <v>140</v>
      </c>
      <c r="X824" s="1" t="s">
        <v>3074</v>
      </c>
    </row>
    <row r="825">
      <c r="A825" s="1" t="s">
        <v>3075</v>
      </c>
      <c r="B825" s="1" t="s">
        <v>40</v>
      </c>
      <c r="C825" s="1" t="s">
        <v>3076</v>
      </c>
      <c r="D825" s="1" t="s">
        <v>51</v>
      </c>
      <c r="E825" s="1" t="s">
        <v>29</v>
      </c>
      <c r="F825" s="5">
        <v>1140000.0</v>
      </c>
      <c r="G825" s="1" t="s">
        <v>1114</v>
      </c>
      <c r="H825" s="1" t="s">
        <v>1134</v>
      </c>
      <c r="I825" s="4">
        <v>44780.0</v>
      </c>
      <c r="K825" s="1">
        <v>0.0</v>
      </c>
      <c r="L825" s="1" t="s">
        <v>693</v>
      </c>
      <c r="M825" s="1" t="str">
        <f>VLOOKUP(L825,'Copy of PMD Workday Constants -'!B794:Y1480,22,false)</f>
        <v>#N/A</v>
      </c>
      <c r="N825" s="1" t="s">
        <v>32</v>
      </c>
      <c r="O825" s="1" t="s">
        <v>33</v>
      </c>
      <c r="P825" s="1" t="s">
        <v>54</v>
      </c>
      <c r="Q825" s="1" t="s">
        <v>54</v>
      </c>
      <c r="R825" s="1" t="s">
        <v>55</v>
      </c>
      <c r="S825" s="1" t="s">
        <v>285</v>
      </c>
      <c r="T825" s="1">
        <v>1.00904601E8</v>
      </c>
      <c r="U825" s="1" t="s">
        <v>3077</v>
      </c>
      <c r="V825" s="1" t="s">
        <v>46</v>
      </c>
      <c r="W825" s="1" t="s">
        <v>47</v>
      </c>
      <c r="X825" s="1" t="s">
        <v>3078</v>
      </c>
    </row>
    <row r="826">
      <c r="A826" s="1" t="s">
        <v>3079</v>
      </c>
      <c r="B826" s="1" t="s">
        <v>299</v>
      </c>
      <c r="C826" s="1" t="s">
        <v>3080</v>
      </c>
      <c r="D826" s="1" t="s">
        <v>79</v>
      </c>
      <c r="E826" s="1" t="s">
        <v>29</v>
      </c>
      <c r="F826" s="5">
        <v>1127175.0</v>
      </c>
      <c r="G826" s="1" t="s">
        <v>1114</v>
      </c>
      <c r="H826" s="1" t="s">
        <v>1134</v>
      </c>
      <c r="I826" s="4">
        <v>44718.0</v>
      </c>
      <c r="K826" s="1">
        <v>0.0</v>
      </c>
      <c r="L826" s="1" t="s">
        <v>265</v>
      </c>
      <c r="M826" s="1" t="str">
        <f>VLOOKUP(L826,'Copy of PMD Workday Constants -'!B795:Y1481,22,false)</f>
        <v>#N/A</v>
      </c>
      <c r="N826" s="1" t="s">
        <v>32</v>
      </c>
      <c r="O826" s="1" t="s">
        <v>33</v>
      </c>
      <c r="P826" s="1" t="s">
        <v>112</v>
      </c>
      <c r="Q826" s="1" t="s">
        <v>112</v>
      </c>
      <c r="R826" s="1" t="s">
        <v>113</v>
      </c>
      <c r="S826" s="1" t="s">
        <v>36</v>
      </c>
      <c r="T826" s="1">
        <v>1.00633579E8</v>
      </c>
      <c r="W826" s="1" t="s">
        <v>37</v>
      </c>
      <c r="X826" s="1" t="s">
        <v>105</v>
      </c>
    </row>
    <row r="827">
      <c r="A827" s="1" t="s">
        <v>3081</v>
      </c>
      <c r="B827" s="1" t="s">
        <v>1483</v>
      </c>
      <c r="C827" s="1" t="s">
        <v>3082</v>
      </c>
      <c r="D827" s="1" t="s">
        <v>51</v>
      </c>
      <c r="E827" s="1" t="s">
        <v>29</v>
      </c>
      <c r="F827" s="5">
        <v>1120000.0</v>
      </c>
      <c r="G827" s="1" t="s">
        <v>1114</v>
      </c>
      <c r="H827" s="1" t="s">
        <v>3083</v>
      </c>
      <c r="I827" s="1" t="s">
        <v>80</v>
      </c>
      <c r="K827" s="1">
        <v>0.0</v>
      </c>
      <c r="L827" s="1" t="s">
        <v>2879</v>
      </c>
      <c r="M827" s="1" t="str">
        <f>VLOOKUP(L827,'Copy of PMD Workday Constants -'!B796:Y1482,22,false)</f>
        <v>#N/A</v>
      </c>
      <c r="N827" s="1" t="s">
        <v>32</v>
      </c>
      <c r="O827" s="1" t="s">
        <v>33</v>
      </c>
      <c r="P827" s="1" t="s">
        <v>173</v>
      </c>
      <c r="Q827" s="1" t="s">
        <v>173</v>
      </c>
      <c r="R827" s="1" t="s">
        <v>174</v>
      </c>
      <c r="S827" s="1" t="s">
        <v>153</v>
      </c>
      <c r="T827" s="1">
        <v>1.00608521E8</v>
      </c>
      <c r="W827" s="1" t="s">
        <v>456</v>
      </c>
      <c r="X827" s="1" t="s">
        <v>2880</v>
      </c>
    </row>
    <row r="828">
      <c r="A828" s="1" t="s">
        <v>3084</v>
      </c>
      <c r="B828" s="1" t="s">
        <v>3085</v>
      </c>
      <c r="C828" s="1" t="s">
        <v>3086</v>
      </c>
      <c r="D828" s="1" t="s">
        <v>51</v>
      </c>
      <c r="E828" s="1" t="s">
        <v>29</v>
      </c>
      <c r="F828" s="5">
        <v>1115000.0</v>
      </c>
      <c r="G828" s="1" t="s">
        <v>1114</v>
      </c>
      <c r="H828" s="4">
        <v>44297.0</v>
      </c>
      <c r="I828" s="1" t="s">
        <v>302</v>
      </c>
      <c r="K828" s="1">
        <v>0.0</v>
      </c>
      <c r="L828" s="1" t="s">
        <v>198</v>
      </c>
      <c r="M828" s="1" t="str">
        <f>VLOOKUP(L828,'Copy of PMD Workday Constants -'!B797:Y1483,22,false)</f>
        <v>#N/A</v>
      </c>
      <c r="N828" s="1" t="s">
        <v>32</v>
      </c>
      <c r="O828" s="1" t="s">
        <v>33</v>
      </c>
      <c r="P828" s="1" t="s">
        <v>82</v>
      </c>
      <c r="Q828" s="1" t="s">
        <v>82</v>
      </c>
      <c r="R828" s="1" t="s">
        <v>83</v>
      </c>
      <c r="S828" s="1" t="s">
        <v>180</v>
      </c>
      <c r="T828" s="1">
        <v>1.00590896E8</v>
      </c>
      <c r="W828" s="1" t="s">
        <v>85</v>
      </c>
      <c r="X828" s="1" t="s">
        <v>3087</v>
      </c>
    </row>
    <row r="829">
      <c r="A829" s="1" t="s">
        <v>3088</v>
      </c>
      <c r="B829" s="1" t="s">
        <v>143</v>
      </c>
      <c r="C829" s="1" t="s">
        <v>3089</v>
      </c>
      <c r="D829" s="1" t="s">
        <v>51</v>
      </c>
      <c r="E829" s="1" t="s">
        <v>29</v>
      </c>
      <c r="F829" s="5">
        <v>1100000.0</v>
      </c>
      <c r="G829" s="1" t="s">
        <v>1114</v>
      </c>
      <c r="H829" s="1" t="s">
        <v>2506</v>
      </c>
      <c r="I829" s="1" t="s">
        <v>96</v>
      </c>
      <c r="K829" s="1">
        <v>0.0</v>
      </c>
      <c r="L829" s="1" t="s">
        <v>3090</v>
      </c>
      <c r="M829" s="1" t="str">
        <f>VLOOKUP(L829,'Copy of PMD Workday Constants -'!B798:Y1484,22,false)</f>
        <v>#N/A</v>
      </c>
      <c r="N829" s="1" t="s">
        <v>32</v>
      </c>
      <c r="O829" s="1" t="s">
        <v>33</v>
      </c>
      <c r="P829" s="1" t="s">
        <v>173</v>
      </c>
      <c r="Q829" s="1" t="s">
        <v>173</v>
      </c>
      <c r="R829" s="1" t="s">
        <v>174</v>
      </c>
      <c r="S829" s="1" t="s">
        <v>612</v>
      </c>
      <c r="T829" s="1">
        <v>1.00649928E8</v>
      </c>
      <c r="W829" s="1" t="s">
        <v>147</v>
      </c>
      <c r="X829" s="1" t="s">
        <v>3090</v>
      </c>
    </row>
    <row r="830">
      <c r="A830" s="1" t="s">
        <v>3091</v>
      </c>
      <c r="B830" s="1" t="s">
        <v>615</v>
      </c>
      <c r="C830" s="1" t="s">
        <v>3092</v>
      </c>
      <c r="D830" s="1" t="s">
        <v>103</v>
      </c>
      <c r="E830" s="1" t="s">
        <v>29</v>
      </c>
      <c r="F830" s="5">
        <v>1100000.0</v>
      </c>
      <c r="G830" s="1" t="s">
        <v>1114</v>
      </c>
      <c r="H830" s="1" t="s">
        <v>1005</v>
      </c>
      <c r="I830" s="1" t="s">
        <v>104</v>
      </c>
      <c r="K830" s="1">
        <v>0.0</v>
      </c>
      <c r="L830" s="1" t="s">
        <v>618</v>
      </c>
      <c r="M830" s="1" t="str">
        <f>VLOOKUP(L830,'Copy of PMD Workday Constants -'!B799:Y1485,22,false)</f>
        <v>#N/A</v>
      </c>
      <c r="N830" s="1" t="s">
        <v>32</v>
      </c>
      <c r="O830" s="1" t="s">
        <v>33</v>
      </c>
      <c r="P830" s="1" t="s">
        <v>173</v>
      </c>
      <c r="Q830" s="1" t="s">
        <v>173</v>
      </c>
      <c r="R830" s="1" t="s">
        <v>174</v>
      </c>
      <c r="T830" s="1">
        <v>1.00591141E8</v>
      </c>
      <c r="W830" s="1" t="s">
        <v>74</v>
      </c>
      <c r="X830" s="1" t="s">
        <v>1381</v>
      </c>
    </row>
    <row r="831">
      <c r="A831" s="1" t="s">
        <v>3093</v>
      </c>
      <c r="B831" s="1" t="s">
        <v>3094</v>
      </c>
      <c r="C831" s="1" t="s">
        <v>3095</v>
      </c>
      <c r="D831" s="1" t="s">
        <v>51</v>
      </c>
      <c r="E831" s="1" t="s">
        <v>29</v>
      </c>
      <c r="F831" s="5">
        <v>1100000.0</v>
      </c>
      <c r="G831" s="1" t="s">
        <v>1114</v>
      </c>
      <c r="H831" s="4">
        <v>44564.0</v>
      </c>
      <c r="I831" s="1" t="s">
        <v>104</v>
      </c>
      <c r="K831" s="1">
        <v>0.0</v>
      </c>
      <c r="L831" s="1" t="s">
        <v>645</v>
      </c>
      <c r="M831" s="1" t="str">
        <f>VLOOKUP(L831,'Copy of PMD Workday Constants -'!B800:Y1486,22,false)</f>
        <v>#N/A</v>
      </c>
      <c r="N831" s="1" t="s">
        <v>32</v>
      </c>
      <c r="O831" s="1" t="s">
        <v>33</v>
      </c>
      <c r="P831" s="1" t="s">
        <v>64</v>
      </c>
      <c r="Q831" s="1" t="s">
        <v>64</v>
      </c>
      <c r="R831" s="1" t="s">
        <v>65</v>
      </c>
      <c r="S831" s="1" t="s">
        <v>98</v>
      </c>
      <c r="T831" s="1">
        <v>1.00653597E8</v>
      </c>
      <c r="W831" s="1" t="s">
        <v>56</v>
      </c>
      <c r="X831" s="1" t="s">
        <v>645</v>
      </c>
    </row>
    <row r="832">
      <c r="A832" s="1" t="s">
        <v>3096</v>
      </c>
      <c r="B832" s="1" t="s">
        <v>808</v>
      </c>
      <c r="C832" s="1" t="s">
        <v>3097</v>
      </c>
      <c r="D832" s="1" t="s">
        <v>28</v>
      </c>
      <c r="E832" s="1" t="s">
        <v>29</v>
      </c>
      <c r="F832" s="5">
        <v>1100000.0</v>
      </c>
      <c r="G832" s="1" t="s">
        <v>1114</v>
      </c>
      <c r="H832" s="4">
        <v>44170.0</v>
      </c>
      <c r="I832" s="1" t="s">
        <v>556</v>
      </c>
      <c r="K832" s="1">
        <v>0.0</v>
      </c>
      <c r="L832" s="1" t="s">
        <v>505</v>
      </c>
      <c r="M832" s="1" t="str">
        <f>VLOOKUP(L832,'Copy of PMD Workday Constants -'!B801:Y1487,22,false)</f>
        <v>#N/A</v>
      </c>
      <c r="N832" s="1" t="s">
        <v>32</v>
      </c>
      <c r="O832" s="1" t="s">
        <v>33</v>
      </c>
      <c r="P832" s="1" t="s">
        <v>112</v>
      </c>
      <c r="Q832" s="1" t="s">
        <v>112</v>
      </c>
      <c r="R832" s="1" t="s">
        <v>113</v>
      </c>
      <c r="S832" s="1" t="s">
        <v>307</v>
      </c>
      <c r="T832" s="1">
        <v>1.0062347E8</v>
      </c>
      <c r="W832" s="1" t="s">
        <v>308</v>
      </c>
      <c r="X832" s="1" t="s">
        <v>505</v>
      </c>
    </row>
    <row r="833">
      <c r="A833" s="1" t="s">
        <v>3098</v>
      </c>
      <c r="B833" s="1" t="s">
        <v>311</v>
      </c>
      <c r="C833" s="1" t="s">
        <v>3099</v>
      </c>
      <c r="D833" s="1" t="s">
        <v>103</v>
      </c>
      <c r="E833" s="1" t="s">
        <v>29</v>
      </c>
      <c r="F833" s="5">
        <v>1100000.0</v>
      </c>
      <c r="G833" s="1" t="s">
        <v>1114</v>
      </c>
      <c r="H833" s="1" t="s">
        <v>569</v>
      </c>
      <c r="I833" s="1" t="s">
        <v>732</v>
      </c>
      <c r="K833" s="1">
        <v>0.0</v>
      </c>
      <c r="L833" s="1" t="s">
        <v>3100</v>
      </c>
      <c r="M833" s="1" t="str">
        <f>VLOOKUP(L833,'Copy of PMD Workday Constants -'!B802:Y1488,22,false)</f>
        <v>#N/A</v>
      </c>
      <c r="N833" s="1" t="s">
        <v>32</v>
      </c>
      <c r="O833" s="1" t="s">
        <v>33</v>
      </c>
      <c r="P833" s="1" t="s">
        <v>210</v>
      </c>
      <c r="Q833" s="1" t="s">
        <v>210</v>
      </c>
      <c r="R833" s="1" t="s">
        <v>211</v>
      </c>
      <c r="T833" s="1">
        <v>1.01093101E8</v>
      </c>
      <c r="W833" s="1" t="s">
        <v>140</v>
      </c>
      <c r="X833" s="1" t="s">
        <v>547</v>
      </c>
    </row>
    <row r="834">
      <c r="A834" s="1" t="s">
        <v>3101</v>
      </c>
      <c r="B834" s="1" t="s">
        <v>828</v>
      </c>
      <c r="C834" s="1" t="s">
        <v>3102</v>
      </c>
      <c r="D834" s="1" t="s">
        <v>51</v>
      </c>
      <c r="E834" s="1" t="s">
        <v>29</v>
      </c>
      <c r="F834" s="5">
        <v>1100000.0</v>
      </c>
      <c r="G834" s="1" t="s">
        <v>1114</v>
      </c>
      <c r="H834" s="1" t="s">
        <v>3103</v>
      </c>
      <c r="I834" s="1" t="s">
        <v>302</v>
      </c>
      <c r="K834" s="1">
        <v>0.0</v>
      </c>
      <c r="L834" s="1" t="s">
        <v>1659</v>
      </c>
      <c r="M834" s="1" t="str">
        <f>VLOOKUP(L834,'Copy of PMD Workday Constants -'!B803:Y1489,22,false)</f>
        <v>#N/A</v>
      </c>
      <c r="N834" s="1" t="s">
        <v>32</v>
      </c>
      <c r="O834" s="1" t="s">
        <v>33</v>
      </c>
      <c r="P834" s="1" t="s">
        <v>173</v>
      </c>
      <c r="Q834" s="1" t="s">
        <v>173</v>
      </c>
      <c r="R834" s="1" t="s">
        <v>174</v>
      </c>
      <c r="S834" s="1" t="s">
        <v>612</v>
      </c>
      <c r="T834" s="1">
        <v>1.00650786E8</v>
      </c>
      <c r="U834" s="1" t="s">
        <v>3104</v>
      </c>
      <c r="V834" s="1" t="s">
        <v>46</v>
      </c>
      <c r="W834" s="1" t="s">
        <v>147</v>
      </c>
      <c r="X834" s="1" t="s">
        <v>831</v>
      </c>
    </row>
    <row r="835">
      <c r="A835" s="1" t="s">
        <v>3105</v>
      </c>
      <c r="B835" s="1" t="s">
        <v>93</v>
      </c>
      <c r="C835" s="1" t="s">
        <v>3106</v>
      </c>
      <c r="D835" s="1" t="s">
        <v>103</v>
      </c>
      <c r="E835" s="1" t="s">
        <v>29</v>
      </c>
      <c r="F835" s="5">
        <v>1100000.0</v>
      </c>
      <c r="G835" s="1" t="s">
        <v>1114</v>
      </c>
      <c r="H835" s="4">
        <v>44896.0</v>
      </c>
      <c r="I835" s="1" t="s">
        <v>152</v>
      </c>
      <c r="K835" s="1">
        <v>0.0</v>
      </c>
      <c r="L835" s="1" t="s">
        <v>232</v>
      </c>
      <c r="M835" s="1" t="str">
        <f>VLOOKUP(L835,'Copy of PMD Workday Constants -'!B804:Y1490,22,false)</f>
        <v>#N/A</v>
      </c>
      <c r="N835" s="1" t="s">
        <v>32</v>
      </c>
      <c r="O835" s="1" t="s">
        <v>33</v>
      </c>
      <c r="P835" s="1" t="s">
        <v>64</v>
      </c>
      <c r="Q835" s="1" t="s">
        <v>64</v>
      </c>
      <c r="R835" s="1" t="s">
        <v>65</v>
      </c>
      <c r="S835" s="1" t="s">
        <v>1336</v>
      </c>
      <c r="T835" s="1">
        <v>1.00882501E8</v>
      </c>
      <c r="W835" s="1" t="s">
        <v>56</v>
      </c>
      <c r="X835" s="1" t="s">
        <v>3107</v>
      </c>
    </row>
    <row r="836">
      <c r="A836" s="1" t="s">
        <v>3108</v>
      </c>
      <c r="B836" s="1" t="s">
        <v>2060</v>
      </c>
      <c r="C836" s="1" t="s">
        <v>3109</v>
      </c>
      <c r="D836" s="1" t="s">
        <v>51</v>
      </c>
      <c r="E836" s="1" t="s">
        <v>29</v>
      </c>
      <c r="F836" s="5">
        <v>1100000.0</v>
      </c>
      <c r="G836" s="1" t="s">
        <v>1114</v>
      </c>
      <c r="H836" s="4">
        <v>44597.0</v>
      </c>
      <c r="I836" s="1" t="s">
        <v>80</v>
      </c>
      <c r="K836" s="1">
        <v>0.0</v>
      </c>
      <c r="L836" s="1" t="s">
        <v>645</v>
      </c>
      <c r="M836" s="1" t="str">
        <f>VLOOKUP(L836,'Copy of PMD Workday Constants -'!B805:Y1491,22,false)</f>
        <v>#N/A</v>
      </c>
      <c r="N836" s="1" t="s">
        <v>32</v>
      </c>
      <c r="O836" s="1" t="s">
        <v>33</v>
      </c>
      <c r="P836" s="1" t="s">
        <v>64</v>
      </c>
      <c r="Q836" s="1" t="s">
        <v>64</v>
      </c>
      <c r="R836" s="1" t="s">
        <v>65</v>
      </c>
      <c r="S836" s="1" t="s">
        <v>98</v>
      </c>
      <c r="T836" s="1">
        <v>1.00653597E8</v>
      </c>
      <c r="W836" s="1" t="s">
        <v>258</v>
      </c>
      <c r="X836" s="1" t="s">
        <v>645</v>
      </c>
    </row>
    <row r="837">
      <c r="A837" s="1" t="s">
        <v>3110</v>
      </c>
      <c r="B837" s="1" t="s">
        <v>2415</v>
      </c>
      <c r="C837" s="1" t="s">
        <v>3111</v>
      </c>
      <c r="D837" s="1" t="s">
        <v>103</v>
      </c>
      <c r="E837" s="1" t="s">
        <v>29</v>
      </c>
      <c r="F837" s="5">
        <v>1092000.0</v>
      </c>
      <c r="G837" s="1" t="s">
        <v>1114</v>
      </c>
      <c r="H837" s="1" t="s">
        <v>1541</v>
      </c>
      <c r="I837" s="4">
        <v>44569.0</v>
      </c>
      <c r="K837" s="1">
        <v>0.0</v>
      </c>
      <c r="L837" s="1" t="s">
        <v>2417</v>
      </c>
      <c r="M837" s="1" t="str">
        <f>VLOOKUP(L837,'Copy of PMD Workday Constants -'!B806:Y1492,22,false)</f>
        <v>#N/A</v>
      </c>
      <c r="N837" s="1" t="s">
        <v>32</v>
      </c>
      <c r="O837" s="1" t="s">
        <v>33</v>
      </c>
      <c r="P837" s="1" t="s">
        <v>34</v>
      </c>
      <c r="Q837" s="1" t="s">
        <v>34</v>
      </c>
      <c r="R837" s="1" t="s">
        <v>35</v>
      </c>
      <c r="S837" s="1" t="s">
        <v>383</v>
      </c>
      <c r="T837" s="1">
        <v>1.00642238E8</v>
      </c>
      <c r="W837" s="1" t="s">
        <v>258</v>
      </c>
      <c r="X837" s="1" t="s">
        <v>3112</v>
      </c>
    </row>
    <row r="838">
      <c r="A838" s="1" t="s">
        <v>3113</v>
      </c>
      <c r="B838" s="1" t="s">
        <v>225</v>
      </c>
      <c r="C838" s="1" t="s">
        <v>3114</v>
      </c>
      <c r="D838" s="1" t="s">
        <v>28</v>
      </c>
      <c r="E838" s="1" t="s">
        <v>29</v>
      </c>
      <c r="F838" s="5">
        <v>1085000.0</v>
      </c>
      <c r="G838" s="1" t="s">
        <v>1114</v>
      </c>
      <c r="H838" s="4">
        <v>44566.0</v>
      </c>
      <c r="I838" s="1" t="s">
        <v>96</v>
      </c>
      <c r="K838" s="1">
        <v>0.0</v>
      </c>
      <c r="L838" s="1" t="s">
        <v>1747</v>
      </c>
      <c r="M838" s="1" t="str">
        <f>VLOOKUP(L838,'Copy of PMD Workday Constants -'!B807:Y1493,22,false)</f>
        <v>#N/A</v>
      </c>
      <c r="N838" s="1" t="s">
        <v>32</v>
      </c>
      <c r="O838" s="1" t="s">
        <v>33</v>
      </c>
      <c r="P838" s="1" t="s">
        <v>173</v>
      </c>
      <c r="Q838" s="1" t="s">
        <v>173</v>
      </c>
      <c r="R838" s="1" t="s">
        <v>174</v>
      </c>
      <c r="S838" s="1" t="s">
        <v>153</v>
      </c>
      <c r="T838" s="1">
        <v>1.00639495E8</v>
      </c>
      <c r="W838" s="1" t="s">
        <v>85</v>
      </c>
      <c r="X838" s="1" t="s">
        <v>3115</v>
      </c>
    </row>
    <row r="839">
      <c r="A839" s="1" t="s">
        <v>3116</v>
      </c>
      <c r="B839" s="1" t="s">
        <v>2267</v>
      </c>
      <c r="C839" s="1" t="s">
        <v>3117</v>
      </c>
      <c r="D839" s="1" t="s">
        <v>103</v>
      </c>
      <c r="E839" s="1" t="s">
        <v>29</v>
      </c>
      <c r="F839" s="5">
        <v>1067000.0</v>
      </c>
      <c r="G839" s="1" t="s">
        <v>1114</v>
      </c>
      <c r="H839" s="1" t="s">
        <v>816</v>
      </c>
      <c r="I839" s="1" t="s">
        <v>816</v>
      </c>
      <c r="K839" s="1">
        <v>0.0</v>
      </c>
      <c r="L839" s="1" t="s">
        <v>2788</v>
      </c>
      <c r="M839" s="1" t="str">
        <f>VLOOKUP(L839,'Copy of PMD Workday Constants -'!B808:Y1494,22,false)</f>
        <v>#N/A</v>
      </c>
      <c r="N839" s="1" t="s">
        <v>32</v>
      </c>
      <c r="O839" s="1" t="s">
        <v>33</v>
      </c>
      <c r="P839" s="1" t="s">
        <v>54</v>
      </c>
      <c r="Q839" s="1" t="s">
        <v>54</v>
      </c>
      <c r="R839" s="1" t="s">
        <v>55</v>
      </c>
      <c r="S839" s="1" t="s">
        <v>1457</v>
      </c>
      <c r="T839" s="1">
        <v>1.0059132E8</v>
      </c>
      <c r="W839" s="1" t="s">
        <v>85</v>
      </c>
      <c r="X839" s="1" t="s">
        <v>3118</v>
      </c>
    </row>
    <row r="840">
      <c r="A840" s="1" t="s">
        <v>3119</v>
      </c>
      <c r="B840" s="1" t="s">
        <v>776</v>
      </c>
      <c r="C840" s="1" t="s">
        <v>3120</v>
      </c>
      <c r="D840" s="1" t="s">
        <v>51</v>
      </c>
      <c r="E840" s="1" t="s">
        <v>29</v>
      </c>
      <c r="F840" s="5">
        <v>1050000.0</v>
      </c>
      <c r="G840" s="1" t="s">
        <v>1114</v>
      </c>
      <c r="H840" s="4">
        <v>44806.0</v>
      </c>
      <c r="I840" s="1" t="s">
        <v>301</v>
      </c>
      <c r="K840" s="1">
        <v>0.0</v>
      </c>
      <c r="L840" s="1" t="s">
        <v>1170</v>
      </c>
      <c r="M840" s="1" t="str">
        <f>VLOOKUP(L840,'Copy of PMD Workday Constants -'!B809:Y1495,22,false)</f>
        <v>#N/A</v>
      </c>
      <c r="N840" s="1" t="s">
        <v>32</v>
      </c>
      <c r="O840" s="1" t="s">
        <v>33</v>
      </c>
      <c r="P840" s="1" t="s">
        <v>112</v>
      </c>
      <c r="Q840" s="1" t="s">
        <v>112</v>
      </c>
      <c r="R840" s="1" t="s">
        <v>113</v>
      </c>
      <c r="S840" s="1" t="s">
        <v>1336</v>
      </c>
      <c r="T840" s="1">
        <v>1.00595231E8</v>
      </c>
      <c r="W840" s="1" t="s">
        <v>74</v>
      </c>
      <c r="X840" s="1" t="s">
        <v>1170</v>
      </c>
    </row>
    <row r="841">
      <c r="A841" s="1" t="s">
        <v>3121</v>
      </c>
      <c r="B841" s="1" t="s">
        <v>3122</v>
      </c>
      <c r="C841" s="1" t="s">
        <v>3123</v>
      </c>
      <c r="D841" s="1" t="s">
        <v>28</v>
      </c>
      <c r="E841" s="1" t="s">
        <v>29</v>
      </c>
      <c r="F841" s="5">
        <v>1050000.0</v>
      </c>
      <c r="G841" s="1" t="s">
        <v>1114</v>
      </c>
      <c r="H841" s="1" t="s">
        <v>1455</v>
      </c>
      <c r="I841" s="1" t="s">
        <v>1349</v>
      </c>
      <c r="K841" s="1">
        <v>0.0</v>
      </c>
      <c r="L841" s="1" t="s">
        <v>956</v>
      </c>
      <c r="M841" s="1" t="str">
        <f>VLOOKUP(L841,'Copy of PMD Workday Constants -'!B810:Y1496,22,false)</f>
        <v>#N/A</v>
      </c>
      <c r="N841" s="1" t="s">
        <v>32</v>
      </c>
      <c r="O841" s="1" t="s">
        <v>33</v>
      </c>
      <c r="P841" s="1" t="s">
        <v>173</v>
      </c>
      <c r="Q841" s="1" t="s">
        <v>173</v>
      </c>
      <c r="R841" s="1" t="s">
        <v>174</v>
      </c>
      <c r="T841" s="1">
        <v>1.00623421E8</v>
      </c>
      <c r="W841" s="1" t="s">
        <v>74</v>
      </c>
      <c r="X841" s="1" t="s">
        <v>3124</v>
      </c>
    </row>
    <row r="842">
      <c r="A842" s="1" t="s">
        <v>3125</v>
      </c>
      <c r="B842" s="1" t="s">
        <v>3126</v>
      </c>
      <c r="C842" s="1" t="s">
        <v>3127</v>
      </c>
      <c r="D842" s="1" t="s">
        <v>103</v>
      </c>
      <c r="E842" s="1" t="s">
        <v>29</v>
      </c>
      <c r="F842" s="5">
        <v>1050000.0</v>
      </c>
      <c r="G842" s="1" t="s">
        <v>1114</v>
      </c>
      <c r="H842" s="1" t="s">
        <v>1842</v>
      </c>
      <c r="I842" s="1" t="s">
        <v>80</v>
      </c>
      <c r="K842" s="1">
        <v>0.0</v>
      </c>
      <c r="L842" s="1" t="s">
        <v>172</v>
      </c>
      <c r="M842" s="1" t="str">
        <f>VLOOKUP(L842,'Copy of PMD Workday Constants -'!B811:Y1497,22,false)</f>
        <v>#N/A</v>
      </c>
      <c r="N842" s="1" t="s">
        <v>32</v>
      </c>
      <c r="O842" s="1" t="s">
        <v>33</v>
      </c>
      <c r="P842" s="1" t="s">
        <v>173</v>
      </c>
      <c r="Q842" s="1" t="s">
        <v>173</v>
      </c>
      <c r="R842" s="1" t="s">
        <v>174</v>
      </c>
      <c r="S842" s="1" t="s">
        <v>153</v>
      </c>
      <c r="T842" s="1">
        <v>1.00619165E8</v>
      </c>
      <c r="W842" s="1" t="s">
        <v>37</v>
      </c>
      <c r="X842" s="1" t="s">
        <v>1554</v>
      </c>
    </row>
    <row r="843">
      <c r="A843" s="1" t="s">
        <v>3128</v>
      </c>
      <c r="B843" s="1" t="s">
        <v>765</v>
      </c>
      <c r="C843" s="1" t="s">
        <v>3129</v>
      </c>
      <c r="D843" s="1" t="s">
        <v>28</v>
      </c>
      <c r="E843" s="1" t="s">
        <v>29</v>
      </c>
      <c r="F843" s="5">
        <v>1040500.0</v>
      </c>
      <c r="G843" s="1" t="s">
        <v>1114</v>
      </c>
      <c r="H843" s="1" t="s">
        <v>170</v>
      </c>
      <c r="I843" s="1" t="s">
        <v>104</v>
      </c>
      <c r="K843" s="1">
        <v>0.0</v>
      </c>
      <c r="L843" s="1" t="s">
        <v>1641</v>
      </c>
      <c r="M843" s="1" t="str">
        <f>VLOOKUP(L843,'Copy of PMD Workday Constants -'!B812:Y1498,22,false)</f>
        <v>#N/A</v>
      </c>
      <c r="N843" s="1" t="s">
        <v>32</v>
      </c>
      <c r="O843" s="1" t="s">
        <v>33</v>
      </c>
      <c r="P843" s="1" t="s">
        <v>54</v>
      </c>
      <c r="Q843" s="1" t="s">
        <v>54</v>
      </c>
      <c r="R843" s="1" t="s">
        <v>55</v>
      </c>
      <c r="S843" s="1" t="s">
        <v>512</v>
      </c>
      <c r="T843" s="1">
        <v>1.0062009E8</v>
      </c>
      <c r="W843" s="1" t="s">
        <v>456</v>
      </c>
      <c r="X843" s="1" t="s">
        <v>1641</v>
      </c>
    </row>
    <row r="844">
      <c r="A844" s="1" t="s">
        <v>3130</v>
      </c>
      <c r="B844" s="1" t="s">
        <v>1154</v>
      </c>
      <c r="C844" s="1" t="s">
        <v>3131</v>
      </c>
      <c r="D844" s="1" t="s">
        <v>28</v>
      </c>
      <c r="E844" s="1" t="s">
        <v>29</v>
      </c>
      <c r="F844" s="5">
        <v>1025000.0</v>
      </c>
      <c r="G844" s="1" t="s">
        <v>1114</v>
      </c>
      <c r="H844" s="1" t="s">
        <v>1265</v>
      </c>
      <c r="I844" s="4">
        <v>45053.0</v>
      </c>
      <c r="K844" s="1">
        <v>0.0</v>
      </c>
      <c r="L844" s="1" t="s">
        <v>3132</v>
      </c>
      <c r="M844" s="1" t="str">
        <f>VLOOKUP(L844,'Copy of PMD Workday Constants -'!B813:Y1499,22,false)</f>
        <v>#N/A</v>
      </c>
      <c r="N844" s="1" t="s">
        <v>32</v>
      </c>
      <c r="O844" s="1" t="s">
        <v>33</v>
      </c>
      <c r="P844" s="1" t="s">
        <v>54</v>
      </c>
      <c r="Q844" s="1" t="s">
        <v>54</v>
      </c>
      <c r="R844" s="1" t="s">
        <v>55</v>
      </c>
      <c r="S844" s="1" t="s">
        <v>383</v>
      </c>
      <c r="T844" s="1">
        <v>1.00584866E8</v>
      </c>
      <c r="W844" s="1" t="s">
        <v>947</v>
      </c>
      <c r="X844" s="1" t="s">
        <v>3132</v>
      </c>
    </row>
    <row r="845">
      <c r="A845" s="1" t="s">
        <v>3133</v>
      </c>
      <c r="B845" s="1" t="s">
        <v>828</v>
      </c>
      <c r="C845" s="1" t="s">
        <v>3134</v>
      </c>
      <c r="D845" s="1" t="s">
        <v>51</v>
      </c>
      <c r="E845" s="1" t="s">
        <v>29</v>
      </c>
      <c r="F845" s="5">
        <v>1000000.0</v>
      </c>
      <c r="G845" s="1" t="s">
        <v>1114</v>
      </c>
      <c r="H845" s="1" t="s">
        <v>42</v>
      </c>
      <c r="I845" s="1" t="s">
        <v>302</v>
      </c>
      <c r="K845" s="1">
        <v>0.0</v>
      </c>
      <c r="L845" s="1" t="s">
        <v>830</v>
      </c>
      <c r="M845" s="1" t="str">
        <f>VLOOKUP(L845,'Copy of PMD Workday Constants -'!B814:Y1500,22,false)</f>
        <v>#N/A</v>
      </c>
      <c r="N845" s="1" t="s">
        <v>32</v>
      </c>
      <c r="O845" s="1" t="s">
        <v>33</v>
      </c>
      <c r="P845" s="1" t="s">
        <v>173</v>
      </c>
      <c r="Q845" s="1" t="s">
        <v>173</v>
      </c>
      <c r="R845" s="1" t="s">
        <v>174</v>
      </c>
      <c r="T845" s="1">
        <v>1.00584422E8</v>
      </c>
      <c r="W845" s="1" t="s">
        <v>147</v>
      </c>
      <c r="X845" s="1" t="s">
        <v>831</v>
      </c>
    </row>
    <row r="846">
      <c r="A846" s="1" t="s">
        <v>3135</v>
      </c>
      <c r="B846" s="1" t="s">
        <v>1138</v>
      </c>
      <c r="C846" s="1" t="s">
        <v>3136</v>
      </c>
      <c r="D846" s="1" t="s">
        <v>28</v>
      </c>
      <c r="E846" s="1" t="s">
        <v>29</v>
      </c>
      <c r="F846" s="5">
        <v>1000000.0</v>
      </c>
      <c r="G846" s="1" t="s">
        <v>1114</v>
      </c>
      <c r="H846" s="4">
        <v>43778.0</v>
      </c>
      <c r="I846" s="1" t="s">
        <v>80</v>
      </c>
      <c r="K846" s="1">
        <v>0.0</v>
      </c>
      <c r="L846" s="1" t="s">
        <v>3137</v>
      </c>
      <c r="M846" s="1" t="str">
        <f>VLOOKUP(L846,'Copy of PMD Workday Constants -'!B815:Y1501,22,false)</f>
        <v>#N/A</v>
      </c>
      <c r="N846" s="1" t="s">
        <v>32</v>
      </c>
      <c r="O846" s="1" t="s">
        <v>33</v>
      </c>
      <c r="P846" s="1" t="s">
        <v>82</v>
      </c>
      <c r="Q846" s="1" t="s">
        <v>82</v>
      </c>
      <c r="R846" s="1" t="s">
        <v>83</v>
      </c>
      <c r="S846" s="1" t="s">
        <v>180</v>
      </c>
      <c r="T846" s="1">
        <v>1.00586452E8</v>
      </c>
      <c r="W846" s="1" t="s">
        <v>85</v>
      </c>
      <c r="X846" s="1" t="s">
        <v>3138</v>
      </c>
    </row>
    <row r="847">
      <c r="A847" s="1" t="s">
        <v>3139</v>
      </c>
      <c r="B847" s="1" t="s">
        <v>3140</v>
      </c>
      <c r="C847" s="1" t="s">
        <v>3141</v>
      </c>
      <c r="D847" s="1" t="s">
        <v>28</v>
      </c>
      <c r="E847" s="1" t="s">
        <v>29</v>
      </c>
      <c r="F847" s="5">
        <v>1000000.0</v>
      </c>
      <c r="G847" s="1" t="s">
        <v>1114</v>
      </c>
      <c r="H847" s="4">
        <v>44565.0</v>
      </c>
      <c r="I847" s="1" t="s">
        <v>699</v>
      </c>
      <c r="K847" s="1">
        <v>0.0</v>
      </c>
      <c r="L847" s="1" t="s">
        <v>678</v>
      </c>
      <c r="M847" s="1" t="str">
        <f>VLOOKUP(L847,'Copy of PMD Workday Constants -'!B816:Y1502,22,false)</f>
        <v>#N/A</v>
      </c>
      <c r="N847" s="1" t="s">
        <v>32</v>
      </c>
      <c r="O847" s="1" t="s">
        <v>33</v>
      </c>
      <c r="P847" s="1" t="s">
        <v>210</v>
      </c>
      <c r="Q847" s="1" t="s">
        <v>210</v>
      </c>
      <c r="R847" s="1" t="s">
        <v>211</v>
      </c>
      <c r="T847" s="1">
        <v>1.00609073E8</v>
      </c>
      <c r="W847" s="1" t="s">
        <v>56</v>
      </c>
      <c r="X847" s="1" t="s">
        <v>3142</v>
      </c>
    </row>
    <row r="848">
      <c r="A848" s="1" t="s">
        <v>3143</v>
      </c>
      <c r="B848" s="1" t="s">
        <v>489</v>
      </c>
      <c r="C848" s="1" t="s">
        <v>3144</v>
      </c>
      <c r="D848" s="1" t="s">
        <v>28</v>
      </c>
      <c r="E848" s="1" t="s">
        <v>29</v>
      </c>
      <c r="F848" s="5">
        <v>1000000.0</v>
      </c>
      <c r="G848" s="1" t="s">
        <v>1114</v>
      </c>
      <c r="H848" s="4">
        <v>44686.0</v>
      </c>
      <c r="I848" s="1" t="s">
        <v>2110</v>
      </c>
      <c r="K848" s="1">
        <v>0.0</v>
      </c>
      <c r="L848" s="1" t="s">
        <v>847</v>
      </c>
      <c r="M848" s="1" t="str">
        <f>VLOOKUP(L848,'Copy of PMD Workday Constants -'!B817:Y1503,22,false)</f>
        <v>#N/A</v>
      </c>
      <c r="N848" s="1" t="s">
        <v>32</v>
      </c>
      <c r="O848" s="1" t="s">
        <v>33</v>
      </c>
      <c r="P848" s="1" t="s">
        <v>173</v>
      </c>
      <c r="Q848" s="1" t="s">
        <v>173</v>
      </c>
      <c r="R848" s="1" t="s">
        <v>174</v>
      </c>
      <c r="T848" s="1">
        <v>1.00586701E8</v>
      </c>
      <c r="W848" s="1" t="s">
        <v>493</v>
      </c>
      <c r="X848" s="1" t="s">
        <v>848</v>
      </c>
    </row>
    <row r="849">
      <c r="A849" s="1" t="s">
        <v>3145</v>
      </c>
      <c r="B849" s="1" t="s">
        <v>3146</v>
      </c>
      <c r="C849" s="1" t="s">
        <v>3147</v>
      </c>
      <c r="D849" s="1" t="s">
        <v>28</v>
      </c>
      <c r="E849" s="1" t="s">
        <v>29</v>
      </c>
      <c r="F849" s="5">
        <v>1000000.0</v>
      </c>
      <c r="G849" s="1" t="s">
        <v>1114</v>
      </c>
      <c r="H849" s="4">
        <v>44840.0</v>
      </c>
      <c r="I849" s="4">
        <v>44813.0</v>
      </c>
      <c r="K849" s="1">
        <v>0.0</v>
      </c>
      <c r="L849" s="1" t="s">
        <v>3148</v>
      </c>
      <c r="M849" s="1" t="str">
        <f>VLOOKUP(L849,'Copy of PMD Workday Constants -'!B818:Y1504,22,false)</f>
        <v>#N/A</v>
      </c>
      <c r="N849" s="1" t="s">
        <v>32</v>
      </c>
      <c r="O849" s="1" t="s">
        <v>33</v>
      </c>
      <c r="P849" s="1" t="s">
        <v>112</v>
      </c>
      <c r="Q849" s="1" t="s">
        <v>112</v>
      </c>
      <c r="R849" s="1" t="s">
        <v>113</v>
      </c>
      <c r="S849" s="1" t="s">
        <v>455</v>
      </c>
      <c r="T849" s="1">
        <v>1.00620159E8</v>
      </c>
      <c r="W849" s="1" t="s">
        <v>85</v>
      </c>
      <c r="X849" s="1" t="s">
        <v>3149</v>
      </c>
    </row>
    <row r="850">
      <c r="A850" s="1" t="s">
        <v>3150</v>
      </c>
      <c r="B850" s="1" t="s">
        <v>3151</v>
      </c>
      <c r="C850" s="1" t="s">
        <v>3152</v>
      </c>
      <c r="D850" s="1" t="s">
        <v>28</v>
      </c>
      <c r="E850" s="1" t="s">
        <v>29</v>
      </c>
      <c r="F850" s="5">
        <v>1000000.0</v>
      </c>
      <c r="G850" s="1" t="s">
        <v>1114</v>
      </c>
      <c r="H850" s="4">
        <v>43778.0</v>
      </c>
      <c r="I850" s="1" t="s">
        <v>80</v>
      </c>
      <c r="K850" s="1">
        <v>0.0</v>
      </c>
      <c r="L850" s="1" t="s">
        <v>3137</v>
      </c>
      <c r="M850" s="1" t="str">
        <f>VLOOKUP(L850,'Copy of PMD Workday Constants -'!B819:Y1505,22,false)</f>
        <v>#N/A</v>
      </c>
      <c r="N850" s="1" t="s">
        <v>32</v>
      </c>
      <c r="O850" s="1" t="s">
        <v>33</v>
      </c>
      <c r="P850" s="1" t="s">
        <v>82</v>
      </c>
      <c r="Q850" s="1" t="s">
        <v>82</v>
      </c>
      <c r="R850" s="1" t="s">
        <v>83</v>
      </c>
      <c r="S850" s="1" t="s">
        <v>180</v>
      </c>
      <c r="T850" s="1">
        <v>1.00586452E8</v>
      </c>
      <c r="W850" s="1" t="s">
        <v>85</v>
      </c>
      <c r="X850" s="1" t="s">
        <v>3138</v>
      </c>
    </row>
    <row r="851">
      <c r="A851" s="1" t="s">
        <v>3153</v>
      </c>
      <c r="B851" s="1" t="s">
        <v>3154</v>
      </c>
      <c r="C851" s="1" t="s">
        <v>3155</v>
      </c>
      <c r="D851" s="1" t="s">
        <v>28</v>
      </c>
      <c r="E851" s="1" t="s">
        <v>29</v>
      </c>
      <c r="F851" s="5">
        <v>1000000.0</v>
      </c>
      <c r="G851" s="1" t="s">
        <v>1114</v>
      </c>
      <c r="H851" s="1" t="s">
        <v>3156</v>
      </c>
      <c r="I851" s="1" t="s">
        <v>633</v>
      </c>
      <c r="K851" s="1">
        <v>0.0</v>
      </c>
      <c r="L851" s="1" t="s">
        <v>1659</v>
      </c>
      <c r="M851" s="1" t="str">
        <f>VLOOKUP(L851,'Copy of PMD Workday Constants -'!B820:Y1506,22,false)</f>
        <v>#N/A</v>
      </c>
      <c r="N851" s="1" t="s">
        <v>32</v>
      </c>
      <c r="O851" s="1" t="s">
        <v>33</v>
      </c>
      <c r="P851" s="1" t="s">
        <v>173</v>
      </c>
      <c r="Q851" s="1" t="s">
        <v>173</v>
      </c>
      <c r="R851" s="1" t="s">
        <v>174</v>
      </c>
      <c r="S851" s="1" t="s">
        <v>612</v>
      </c>
      <c r="T851" s="1">
        <v>1.00650786E8</v>
      </c>
      <c r="W851" s="1" t="s">
        <v>147</v>
      </c>
      <c r="X851" s="1" t="s">
        <v>3157</v>
      </c>
    </row>
    <row r="852">
      <c r="A852" s="1" t="s">
        <v>3158</v>
      </c>
      <c r="B852" s="1" t="s">
        <v>863</v>
      </c>
      <c r="C852" s="1" t="s">
        <v>3159</v>
      </c>
      <c r="D852" s="1" t="s">
        <v>28</v>
      </c>
      <c r="E852" s="1" t="s">
        <v>29</v>
      </c>
      <c r="F852" s="5">
        <v>1000000.0</v>
      </c>
      <c r="G852" s="1" t="s">
        <v>1114</v>
      </c>
      <c r="H852" s="4">
        <v>44840.0</v>
      </c>
      <c r="I852" s="4">
        <v>44780.0</v>
      </c>
      <c r="K852" s="1">
        <v>0.0</v>
      </c>
      <c r="L852" s="1" t="s">
        <v>866</v>
      </c>
      <c r="M852" s="1" t="str">
        <f>VLOOKUP(L852,'Copy of PMD Workday Constants -'!B821:Y1507,22,false)</f>
        <v>#N/A</v>
      </c>
      <c r="N852" s="1" t="s">
        <v>32</v>
      </c>
      <c r="O852" s="1" t="s">
        <v>33</v>
      </c>
      <c r="P852" s="1" t="s">
        <v>82</v>
      </c>
      <c r="Q852" s="1" t="s">
        <v>82</v>
      </c>
      <c r="R852" s="1" t="s">
        <v>83</v>
      </c>
      <c r="S852" s="1" t="s">
        <v>84</v>
      </c>
      <c r="T852" s="1">
        <v>1.00941744E8</v>
      </c>
      <c r="W852" s="1" t="s">
        <v>85</v>
      </c>
      <c r="X852" s="1" t="s">
        <v>866</v>
      </c>
    </row>
    <row r="853">
      <c r="A853" s="1" t="s">
        <v>3160</v>
      </c>
      <c r="B853" s="1" t="s">
        <v>2071</v>
      </c>
      <c r="C853" s="1" t="s">
        <v>3161</v>
      </c>
      <c r="D853" s="1" t="s">
        <v>28</v>
      </c>
      <c r="E853" s="1" t="s">
        <v>29</v>
      </c>
      <c r="F853" s="5">
        <v>1000000.0</v>
      </c>
      <c r="G853" s="1" t="s">
        <v>1114</v>
      </c>
      <c r="H853" s="1" t="s">
        <v>1245</v>
      </c>
      <c r="I853" s="1" t="s">
        <v>132</v>
      </c>
      <c r="K853" s="1">
        <v>0.0</v>
      </c>
      <c r="L853" s="1" t="s">
        <v>467</v>
      </c>
      <c r="M853" s="1" t="str">
        <f>VLOOKUP(L853,'Copy of PMD Workday Constants -'!B822:Y1508,22,false)</f>
        <v>#N/A</v>
      </c>
      <c r="N853" s="1" t="s">
        <v>32</v>
      </c>
      <c r="O853" s="1" t="s">
        <v>33</v>
      </c>
      <c r="P853" s="1" t="s">
        <v>64</v>
      </c>
      <c r="Q853" s="1" t="s">
        <v>64</v>
      </c>
      <c r="R853" s="1" t="s">
        <v>65</v>
      </c>
      <c r="T853" s="1">
        <v>1.01170594E8</v>
      </c>
      <c r="W853" s="1" t="s">
        <v>56</v>
      </c>
      <c r="X853" s="1" t="s">
        <v>3162</v>
      </c>
    </row>
    <row r="854">
      <c r="A854" s="1" t="s">
        <v>3163</v>
      </c>
      <c r="B854" s="1" t="s">
        <v>2212</v>
      </c>
      <c r="C854" s="1" t="s">
        <v>3164</v>
      </c>
      <c r="D854" s="1" t="s">
        <v>51</v>
      </c>
      <c r="E854" s="1" t="s">
        <v>29</v>
      </c>
      <c r="F854" s="5">
        <v>1000000.0</v>
      </c>
      <c r="G854" s="1" t="s">
        <v>1114</v>
      </c>
      <c r="H854" s="4">
        <v>44775.0</v>
      </c>
      <c r="I854" s="1" t="s">
        <v>132</v>
      </c>
      <c r="K854" s="1">
        <v>0.0</v>
      </c>
      <c r="L854" s="1" t="s">
        <v>866</v>
      </c>
      <c r="M854" s="1" t="str">
        <f>VLOOKUP(L854,'Copy of PMD Workday Constants -'!B823:Y1509,22,false)</f>
        <v>#N/A</v>
      </c>
      <c r="N854" s="1" t="s">
        <v>32</v>
      </c>
      <c r="O854" s="1" t="s">
        <v>33</v>
      </c>
      <c r="P854" s="1" t="s">
        <v>82</v>
      </c>
      <c r="Q854" s="1" t="s">
        <v>82</v>
      </c>
      <c r="R854" s="1" t="s">
        <v>83</v>
      </c>
      <c r="S854" s="1" t="s">
        <v>84</v>
      </c>
      <c r="T854" s="1">
        <v>1.00941744E8</v>
      </c>
      <c r="W854" s="1" t="s">
        <v>85</v>
      </c>
      <c r="X854" s="1" t="s">
        <v>866</v>
      </c>
    </row>
    <row r="855">
      <c r="A855" s="1" t="s">
        <v>3165</v>
      </c>
      <c r="B855" s="1" t="s">
        <v>3166</v>
      </c>
      <c r="C855" s="1" t="s">
        <v>3167</v>
      </c>
      <c r="D855" s="1" t="s">
        <v>28</v>
      </c>
      <c r="E855" s="1" t="s">
        <v>29</v>
      </c>
      <c r="F855" s="5">
        <v>1000000.0</v>
      </c>
      <c r="G855" s="1" t="s">
        <v>1114</v>
      </c>
      <c r="H855" s="1" t="s">
        <v>778</v>
      </c>
      <c r="I855" s="1" t="s">
        <v>104</v>
      </c>
      <c r="K855" s="1">
        <v>0.0</v>
      </c>
      <c r="L855" s="1" t="s">
        <v>1549</v>
      </c>
      <c r="M855" s="1" t="str">
        <f>VLOOKUP(L855,'Copy of PMD Workday Constants -'!B824:Y1510,22,false)</f>
        <v>#N/A</v>
      </c>
      <c r="N855" s="1" t="s">
        <v>32</v>
      </c>
      <c r="O855" s="1" t="s">
        <v>33</v>
      </c>
      <c r="P855" s="1" t="s">
        <v>173</v>
      </c>
      <c r="Q855" s="1" t="s">
        <v>173</v>
      </c>
      <c r="R855" s="1" t="s">
        <v>174</v>
      </c>
      <c r="S855" s="1" t="s">
        <v>612</v>
      </c>
      <c r="T855" s="1">
        <v>1.00646908E8</v>
      </c>
      <c r="W855" s="1" t="s">
        <v>1303</v>
      </c>
      <c r="X855" s="1" t="s">
        <v>3066</v>
      </c>
    </row>
    <row r="856">
      <c r="A856" s="1" t="s">
        <v>3168</v>
      </c>
      <c r="B856" s="1" t="s">
        <v>3169</v>
      </c>
      <c r="C856" s="1" t="s">
        <v>3170</v>
      </c>
      <c r="D856" s="1" t="s">
        <v>28</v>
      </c>
      <c r="E856" s="1" t="s">
        <v>29</v>
      </c>
      <c r="F856" s="5">
        <v>1000000.0</v>
      </c>
      <c r="G856" s="1" t="s">
        <v>1114</v>
      </c>
      <c r="H856" s="1" t="s">
        <v>1575</v>
      </c>
      <c r="I856" s="1" t="s">
        <v>414</v>
      </c>
      <c r="K856" s="1">
        <v>0.0</v>
      </c>
      <c r="L856" s="1" t="s">
        <v>3171</v>
      </c>
      <c r="M856" s="1" t="str">
        <f>VLOOKUP(L856,'Copy of PMD Workday Constants -'!B825:Y1511,22,false)</f>
        <v>#N/A</v>
      </c>
      <c r="N856" s="1" t="s">
        <v>32</v>
      </c>
      <c r="O856" s="1" t="s">
        <v>33</v>
      </c>
      <c r="P856" s="1" t="s">
        <v>173</v>
      </c>
      <c r="Q856" s="1" t="s">
        <v>173</v>
      </c>
      <c r="R856" s="1" t="s">
        <v>174</v>
      </c>
      <c r="S856" s="1" t="s">
        <v>153</v>
      </c>
      <c r="T856" s="1">
        <v>1.01170527E8</v>
      </c>
      <c r="W856" s="1" t="s">
        <v>456</v>
      </c>
      <c r="X856" s="1" t="s">
        <v>3171</v>
      </c>
    </row>
    <row r="857">
      <c r="A857" s="1" t="s">
        <v>3172</v>
      </c>
      <c r="B857" s="1" t="s">
        <v>776</v>
      </c>
      <c r="C857" s="1" t="s">
        <v>3173</v>
      </c>
      <c r="D857" s="1" t="s">
        <v>51</v>
      </c>
      <c r="E857" s="1" t="s">
        <v>29</v>
      </c>
      <c r="F857" s="5">
        <v>1000000.0</v>
      </c>
      <c r="G857" s="1" t="s">
        <v>1114</v>
      </c>
      <c r="H857" s="4">
        <v>44565.0</v>
      </c>
      <c r="I857" s="1" t="s">
        <v>43</v>
      </c>
      <c r="K857" s="1">
        <v>0.0</v>
      </c>
      <c r="L857" s="1" t="s">
        <v>1170</v>
      </c>
      <c r="M857" s="1" t="str">
        <f>VLOOKUP(L857,'Copy of PMD Workday Constants -'!B826:Y1512,22,false)</f>
        <v>#N/A</v>
      </c>
      <c r="N857" s="1" t="s">
        <v>32</v>
      </c>
      <c r="O857" s="1" t="s">
        <v>33</v>
      </c>
      <c r="P857" s="1" t="s">
        <v>112</v>
      </c>
      <c r="Q857" s="1" t="s">
        <v>112</v>
      </c>
      <c r="R857" s="1" t="s">
        <v>113</v>
      </c>
      <c r="S857" s="1" t="s">
        <v>1336</v>
      </c>
      <c r="T857" s="1">
        <v>1.00595231E8</v>
      </c>
      <c r="W857" s="1" t="s">
        <v>74</v>
      </c>
      <c r="X857" s="1" t="s">
        <v>3174</v>
      </c>
    </row>
    <row r="858">
      <c r="A858" s="1" t="s">
        <v>3175</v>
      </c>
      <c r="B858" s="1" t="s">
        <v>411</v>
      </c>
      <c r="C858" s="1" t="s">
        <v>3176</v>
      </c>
      <c r="D858" s="1" t="s">
        <v>28</v>
      </c>
      <c r="E858" s="1" t="s">
        <v>29</v>
      </c>
      <c r="F858" s="5">
        <v>1000000.0</v>
      </c>
      <c r="G858" s="1" t="s">
        <v>1114</v>
      </c>
      <c r="H858" s="4">
        <v>44775.0</v>
      </c>
      <c r="I858" s="4">
        <v>44568.0</v>
      </c>
      <c r="K858" s="1">
        <v>0.0</v>
      </c>
      <c r="L858" s="1" t="s">
        <v>1700</v>
      </c>
      <c r="M858" s="1" t="str">
        <f>VLOOKUP(L858,'Copy of PMD Workday Constants -'!B827:Y1513,22,false)</f>
        <v>#N/A</v>
      </c>
      <c r="N858" s="1" t="s">
        <v>32</v>
      </c>
      <c r="O858" s="1" t="s">
        <v>33</v>
      </c>
      <c r="P858" s="1" t="s">
        <v>112</v>
      </c>
      <c r="Q858" s="1" t="s">
        <v>112</v>
      </c>
      <c r="R858" s="1" t="s">
        <v>113</v>
      </c>
      <c r="S858" s="1" t="s">
        <v>120</v>
      </c>
      <c r="T858" s="1">
        <v>1.00596555E8</v>
      </c>
      <c r="W858" s="1" t="s">
        <v>56</v>
      </c>
      <c r="X858" s="1" t="s">
        <v>1701</v>
      </c>
    </row>
    <row r="859">
      <c r="A859" s="1" t="s">
        <v>3177</v>
      </c>
      <c r="B859" s="1" t="s">
        <v>2071</v>
      </c>
      <c r="C859" s="1" t="s">
        <v>3178</v>
      </c>
      <c r="D859" s="1" t="s">
        <v>28</v>
      </c>
      <c r="E859" s="1" t="s">
        <v>29</v>
      </c>
      <c r="F859" s="5">
        <v>1000000.0</v>
      </c>
      <c r="G859" s="1" t="s">
        <v>1114</v>
      </c>
      <c r="H859" s="1" t="s">
        <v>52</v>
      </c>
      <c r="I859" s="1" t="s">
        <v>152</v>
      </c>
      <c r="K859" s="1">
        <v>0.0</v>
      </c>
      <c r="L859" s="1" t="s">
        <v>467</v>
      </c>
      <c r="M859" s="1" t="str">
        <f>VLOOKUP(L859,'Copy of PMD Workday Constants -'!B828:Y1514,22,false)</f>
        <v>#N/A</v>
      </c>
      <c r="N859" s="1" t="s">
        <v>32</v>
      </c>
      <c r="O859" s="1" t="s">
        <v>33</v>
      </c>
      <c r="P859" s="1" t="s">
        <v>64</v>
      </c>
      <c r="Q859" s="1" t="s">
        <v>64</v>
      </c>
      <c r="R859" s="1" t="s">
        <v>65</v>
      </c>
      <c r="T859" s="1">
        <v>1.01170594E8</v>
      </c>
      <c r="W859" s="1" t="s">
        <v>56</v>
      </c>
      <c r="X859" s="1" t="s">
        <v>3162</v>
      </c>
    </row>
    <row r="860">
      <c r="A860" s="1" t="s">
        <v>3179</v>
      </c>
      <c r="B860" s="1" t="s">
        <v>954</v>
      </c>
      <c r="C860" s="1" t="s">
        <v>3180</v>
      </c>
      <c r="D860" s="1" t="s">
        <v>28</v>
      </c>
      <c r="E860" s="1" t="s">
        <v>29</v>
      </c>
      <c r="F860" s="5">
        <v>1000000.0</v>
      </c>
      <c r="G860" s="1" t="s">
        <v>1114</v>
      </c>
      <c r="H860" s="1" t="s">
        <v>870</v>
      </c>
      <c r="I860" s="1" t="s">
        <v>302</v>
      </c>
      <c r="K860" s="1">
        <v>0.0</v>
      </c>
      <c r="L860" s="1" t="s">
        <v>2983</v>
      </c>
      <c r="M860" s="1" t="str">
        <f>VLOOKUP(L860,'Copy of PMD Workday Constants -'!B829:Y1515,22,false)</f>
        <v>#N/A</v>
      </c>
      <c r="N860" s="1" t="s">
        <v>32</v>
      </c>
      <c r="O860" s="1" t="s">
        <v>33</v>
      </c>
      <c r="P860" s="1" t="s">
        <v>34</v>
      </c>
      <c r="Q860" s="1" t="s">
        <v>34</v>
      </c>
      <c r="R860" s="1" t="s">
        <v>35</v>
      </c>
      <c r="S860" s="1" t="s">
        <v>383</v>
      </c>
      <c r="T860" s="1">
        <v>1.00650568E8</v>
      </c>
      <c r="W860" s="1" t="s">
        <v>147</v>
      </c>
      <c r="X860" s="1" t="s">
        <v>2983</v>
      </c>
    </row>
    <row r="861">
      <c r="A861" s="1" t="s">
        <v>3181</v>
      </c>
      <c r="B861" s="1" t="s">
        <v>87</v>
      </c>
      <c r="C861" s="1" t="s">
        <v>3182</v>
      </c>
      <c r="D861" s="1" t="s">
        <v>28</v>
      </c>
      <c r="E861" s="1" t="s">
        <v>29</v>
      </c>
      <c r="F861" s="5">
        <v>1000000.0</v>
      </c>
      <c r="G861" s="1" t="s">
        <v>1114</v>
      </c>
      <c r="H861" s="1" t="s">
        <v>330</v>
      </c>
      <c r="I861" s="1" t="s">
        <v>1134</v>
      </c>
      <c r="K861" s="1">
        <v>0.0</v>
      </c>
      <c r="L861" s="1" t="s">
        <v>1075</v>
      </c>
      <c r="M861" s="1" t="str">
        <f>VLOOKUP(L861,'Copy of PMD Workday Constants -'!B830:Y1516,22,false)</f>
        <v>#N/A</v>
      </c>
      <c r="N861" s="1" t="s">
        <v>32</v>
      </c>
      <c r="O861" s="1" t="s">
        <v>33</v>
      </c>
      <c r="P861" s="1" t="s">
        <v>34</v>
      </c>
      <c r="Q861" s="1" t="s">
        <v>34</v>
      </c>
      <c r="R861" s="1" t="s">
        <v>35</v>
      </c>
      <c r="S861" s="1" t="s">
        <v>1336</v>
      </c>
      <c r="T861" s="1">
        <v>1.00601386E8</v>
      </c>
      <c r="U861" s="1" t="s">
        <v>3183</v>
      </c>
      <c r="V861" s="1" t="s">
        <v>46</v>
      </c>
      <c r="W861" s="1" t="s">
        <v>91</v>
      </c>
      <c r="X861" s="1" t="s">
        <v>1075</v>
      </c>
    </row>
    <row r="862">
      <c r="A862" s="1" t="s">
        <v>3184</v>
      </c>
      <c r="B862" s="1" t="s">
        <v>2586</v>
      </c>
      <c r="C862" s="1" t="s">
        <v>3185</v>
      </c>
      <c r="D862" s="1" t="s">
        <v>28</v>
      </c>
      <c r="E862" s="1" t="s">
        <v>29</v>
      </c>
      <c r="F862" s="5">
        <v>1000000.0</v>
      </c>
      <c r="G862" s="1" t="s">
        <v>1114</v>
      </c>
      <c r="H862" s="4">
        <v>44083.0</v>
      </c>
      <c r="I862" s="1" t="s">
        <v>132</v>
      </c>
      <c r="K862" s="1">
        <v>0.0</v>
      </c>
      <c r="L862" s="1" t="s">
        <v>847</v>
      </c>
      <c r="M862" s="1" t="str">
        <f>VLOOKUP(L862,'Copy of PMD Workday Constants -'!B831:Y1517,22,false)</f>
        <v>#N/A</v>
      </c>
      <c r="N862" s="1" t="s">
        <v>32</v>
      </c>
      <c r="O862" s="1" t="s">
        <v>33</v>
      </c>
      <c r="P862" s="1" t="s">
        <v>173</v>
      </c>
      <c r="Q862" s="1" t="s">
        <v>173</v>
      </c>
      <c r="R862" s="1" t="s">
        <v>174</v>
      </c>
      <c r="S862" s="1" t="s">
        <v>3186</v>
      </c>
      <c r="T862" s="1">
        <v>1.00586701E8</v>
      </c>
      <c r="W862" s="1" t="s">
        <v>74</v>
      </c>
      <c r="X862" s="1" t="s">
        <v>3187</v>
      </c>
    </row>
    <row r="863">
      <c r="A863" s="1" t="s">
        <v>3188</v>
      </c>
      <c r="B863" s="1" t="s">
        <v>996</v>
      </c>
      <c r="C863" s="1" t="s">
        <v>3189</v>
      </c>
      <c r="D863" s="1" t="s">
        <v>28</v>
      </c>
      <c r="E863" s="1" t="s">
        <v>29</v>
      </c>
      <c r="F863" s="5">
        <v>1000000.0</v>
      </c>
      <c r="G863" s="1" t="s">
        <v>1114</v>
      </c>
      <c r="H863" s="4">
        <v>44626.0</v>
      </c>
      <c r="I863" s="1" t="s">
        <v>217</v>
      </c>
      <c r="K863" s="1">
        <v>0.0</v>
      </c>
      <c r="L863" s="1" t="s">
        <v>2050</v>
      </c>
      <c r="M863" s="1" t="str">
        <f>VLOOKUP(L863,'Copy of PMD Workday Constants -'!B832:Y1518,22,false)</f>
        <v>#N/A</v>
      </c>
      <c r="N863" s="1" t="s">
        <v>32</v>
      </c>
      <c r="O863" s="1" t="s">
        <v>33</v>
      </c>
      <c r="P863" s="1" t="s">
        <v>64</v>
      </c>
      <c r="Q863" s="1" t="s">
        <v>64</v>
      </c>
      <c r="R863" s="1" t="s">
        <v>65</v>
      </c>
      <c r="T863" s="1">
        <v>1.00624533E8</v>
      </c>
      <c r="W863" s="1" t="s">
        <v>391</v>
      </c>
      <c r="X863" s="1" t="s">
        <v>2051</v>
      </c>
    </row>
    <row r="864">
      <c r="A864" s="1" t="s">
        <v>3190</v>
      </c>
      <c r="B864" s="1" t="s">
        <v>225</v>
      </c>
      <c r="C864" s="1" t="s">
        <v>1628</v>
      </c>
      <c r="D864" s="1" t="s">
        <v>103</v>
      </c>
      <c r="E864" s="1" t="s">
        <v>29</v>
      </c>
      <c r="F864" s="5">
        <v>1000000.0</v>
      </c>
      <c r="G864" s="1" t="s">
        <v>1114</v>
      </c>
      <c r="H864" s="4">
        <v>44477.0</v>
      </c>
      <c r="I864" s="4">
        <v>44958.0</v>
      </c>
      <c r="K864" s="1">
        <v>0.0</v>
      </c>
      <c r="L864" s="1" t="s">
        <v>767</v>
      </c>
      <c r="M864" s="1" t="str">
        <f>VLOOKUP(L864,'Copy of PMD Workday Constants -'!B833:Y1519,22,false)</f>
        <v>#N/A</v>
      </c>
      <c r="N864" s="1" t="s">
        <v>32</v>
      </c>
      <c r="O864" s="1" t="s">
        <v>33</v>
      </c>
      <c r="P864" s="1" t="s">
        <v>82</v>
      </c>
      <c r="Q864" s="1" t="s">
        <v>82</v>
      </c>
      <c r="R864" s="1" t="s">
        <v>83</v>
      </c>
      <c r="S864" s="1" t="s">
        <v>583</v>
      </c>
      <c r="T864" s="1">
        <v>1.00589481E8</v>
      </c>
      <c r="V864" s="1" t="s">
        <v>67</v>
      </c>
      <c r="W864" s="1" t="s">
        <v>85</v>
      </c>
      <c r="X864" s="1" t="s">
        <v>1629</v>
      </c>
    </row>
    <row r="865">
      <c r="A865" s="1" t="s">
        <v>3191</v>
      </c>
      <c r="B865" s="1" t="s">
        <v>598</v>
      </c>
      <c r="C865" s="1" t="s">
        <v>3192</v>
      </c>
      <c r="D865" s="1" t="s">
        <v>51</v>
      </c>
      <c r="E865" s="1" t="s">
        <v>29</v>
      </c>
      <c r="F865" s="5">
        <v>1000000.0</v>
      </c>
      <c r="G865" s="1" t="s">
        <v>1114</v>
      </c>
      <c r="H865" s="4">
        <v>44594.0</v>
      </c>
      <c r="I865" s="1" t="s">
        <v>104</v>
      </c>
      <c r="K865" s="1">
        <v>0.0</v>
      </c>
      <c r="L865" s="1" t="s">
        <v>3193</v>
      </c>
      <c r="M865" s="1" t="str">
        <f>VLOOKUP(L865,'Copy of PMD Workday Constants -'!B834:Y1520,22,false)</f>
        <v>#N/A</v>
      </c>
      <c r="N865" s="1" t="s">
        <v>32</v>
      </c>
      <c r="O865" s="1" t="s">
        <v>33</v>
      </c>
      <c r="P865" s="1" t="s">
        <v>34</v>
      </c>
      <c r="Q865" s="1" t="s">
        <v>34</v>
      </c>
      <c r="R865" s="1" t="s">
        <v>35</v>
      </c>
      <c r="S865" s="1" t="s">
        <v>36</v>
      </c>
      <c r="T865" s="1">
        <v>1.00651896E8</v>
      </c>
      <c r="W865" s="1" t="s">
        <v>37</v>
      </c>
      <c r="X865" s="1" t="s">
        <v>3194</v>
      </c>
    </row>
    <row r="866">
      <c r="A866" s="1" t="s">
        <v>3195</v>
      </c>
      <c r="B866" s="1" t="s">
        <v>859</v>
      </c>
      <c r="C866" s="1" t="s">
        <v>3196</v>
      </c>
      <c r="D866" s="1" t="s">
        <v>28</v>
      </c>
      <c r="E866" s="1" t="s">
        <v>29</v>
      </c>
      <c r="F866" s="5">
        <v>1000000.0</v>
      </c>
      <c r="G866" s="1" t="s">
        <v>1114</v>
      </c>
      <c r="H866" s="4">
        <v>44594.0</v>
      </c>
      <c r="I866" s="1" t="s">
        <v>80</v>
      </c>
      <c r="K866" s="1">
        <v>0.0</v>
      </c>
      <c r="L866" s="1" t="s">
        <v>2284</v>
      </c>
      <c r="M866" s="1" t="str">
        <f>VLOOKUP(L866,'Copy of PMD Workday Constants -'!B835:Y1521,22,false)</f>
        <v>#N/A</v>
      </c>
      <c r="N866" s="1" t="s">
        <v>32</v>
      </c>
      <c r="O866" s="1" t="s">
        <v>33</v>
      </c>
      <c r="P866" s="1" t="s">
        <v>173</v>
      </c>
      <c r="Q866" s="1" t="s">
        <v>173</v>
      </c>
      <c r="R866" s="1" t="s">
        <v>174</v>
      </c>
      <c r="S866" s="1" t="s">
        <v>612</v>
      </c>
      <c r="T866" s="1">
        <v>1.00650678E8</v>
      </c>
      <c r="W866" s="1" t="s">
        <v>147</v>
      </c>
      <c r="X866" s="1" t="s">
        <v>831</v>
      </c>
    </row>
    <row r="867">
      <c r="A867" s="1" t="s">
        <v>3197</v>
      </c>
      <c r="B867" s="1" t="s">
        <v>859</v>
      </c>
      <c r="C867" s="1" t="s">
        <v>3198</v>
      </c>
      <c r="D867" s="1" t="s">
        <v>28</v>
      </c>
      <c r="E867" s="1" t="s">
        <v>29</v>
      </c>
      <c r="F867" s="5">
        <v>1000000.0</v>
      </c>
      <c r="G867" s="1" t="s">
        <v>1114</v>
      </c>
      <c r="H867" s="4">
        <v>44594.0</v>
      </c>
      <c r="I867" s="1" t="s">
        <v>80</v>
      </c>
      <c r="K867" s="1">
        <v>0.0</v>
      </c>
      <c r="L867" s="1" t="s">
        <v>2284</v>
      </c>
      <c r="M867" s="1" t="str">
        <f>VLOOKUP(L867,'Copy of PMD Workday Constants -'!B836:Y1522,22,false)</f>
        <v>#N/A</v>
      </c>
      <c r="N867" s="1" t="s">
        <v>32</v>
      </c>
      <c r="O867" s="1" t="s">
        <v>33</v>
      </c>
      <c r="P867" s="1" t="s">
        <v>173</v>
      </c>
      <c r="Q867" s="1" t="s">
        <v>173</v>
      </c>
      <c r="R867" s="1" t="s">
        <v>174</v>
      </c>
      <c r="S867" s="1" t="s">
        <v>612</v>
      </c>
      <c r="T867" s="1">
        <v>1.00650678E8</v>
      </c>
      <c r="W867" s="1" t="s">
        <v>147</v>
      </c>
      <c r="X867" s="1" t="s">
        <v>831</v>
      </c>
    </row>
    <row r="868">
      <c r="A868" s="1" t="s">
        <v>3199</v>
      </c>
      <c r="B868" s="1" t="s">
        <v>1721</v>
      </c>
      <c r="C868" s="1" t="s">
        <v>3200</v>
      </c>
      <c r="D868" s="1" t="s">
        <v>51</v>
      </c>
      <c r="E868" s="1" t="s">
        <v>29</v>
      </c>
      <c r="F868" s="5">
        <v>1000000.0</v>
      </c>
      <c r="G868" s="1" t="s">
        <v>1114</v>
      </c>
      <c r="H868" s="4">
        <v>44508.0</v>
      </c>
      <c r="I868" s="1" t="s">
        <v>80</v>
      </c>
      <c r="K868" s="1">
        <v>0.0</v>
      </c>
      <c r="L868" s="1" t="s">
        <v>3201</v>
      </c>
      <c r="M868" s="1" t="str">
        <f>VLOOKUP(L868,'Copy of PMD Workday Constants -'!B837:Y1523,22,false)</f>
        <v>#N/A</v>
      </c>
      <c r="N868" s="1" t="s">
        <v>32</v>
      </c>
      <c r="O868" s="1" t="s">
        <v>33</v>
      </c>
      <c r="P868" s="1" t="s">
        <v>34</v>
      </c>
      <c r="Q868" s="1" t="s">
        <v>34</v>
      </c>
      <c r="R868" s="1" t="s">
        <v>35</v>
      </c>
      <c r="S868" s="1" t="s">
        <v>126</v>
      </c>
      <c r="T868" s="1">
        <v>1.00651946E8</v>
      </c>
      <c r="W868" s="1" t="s">
        <v>391</v>
      </c>
      <c r="X868" s="1" t="s">
        <v>3201</v>
      </c>
    </row>
    <row r="869">
      <c r="A869" s="1" t="s">
        <v>3202</v>
      </c>
      <c r="B869" s="1" t="s">
        <v>3203</v>
      </c>
      <c r="C869" s="1" t="s">
        <v>3204</v>
      </c>
      <c r="D869" s="1" t="s">
        <v>51</v>
      </c>
      <c r="E869" s="1" t="s">
        <v>29</v>
      </c>
      <c r="F869" s="5">
        <v>1000000.0</v>
      </c>
      <c r="G869" s="1" t="s">
        <v>1114</v>
      </c>
      <c r="H869" s="4">
        <v>44687.0</v>
      </c>
      <c r="I869" s="4">
        <v>44813.0</v>
      </c>
      <c r="K869" s="1">
        <v>0.0</v>
      </c>
      <c r="L869" s="1" t="s">
        <v>89</v>
      </c>
      <c r="M869" s="1" t="str">
        <f>VLOOKUP(L869,'Copy of PMD Workday Constants -'!B838:Y1524,22,false)</f>
        <v>#N/A</v>
      </c>
      <c r="N869" s="1" t="s">
        <v>32</v>
      </c>
      <c r="O869" s="1" t="s">
        <v>33</v>
      </c>
      <c r="P869" s="1" t="s">
        <v>34</v>
      </c>
      <c r="Q869" s="1" t="s">
        <v>34</v>
      </c>
      <c r="R869" s="1" t="s">
        <v>35</v>
      </c>
      <c r="T869" s="1">
        <v>1.00609569E8</v>
      </c>
      <c r="W869" s="1" t="s">
        <v>37</v>
      </c>
      <c r="X869" s="1" t="s">
        <v>89</v>
      </c>
    </row>
    <row r="870">
      <c r="A870" s="1" t="s">
        <v>3205</v>
      </c>
      <c r="B870" s="1" t="s">
        <v>3206</v>
      </c>
      <c r="C870" s="1" t="s">
        <v>3207</v>
      </c>
      <c r="D870" s="1" t="s">
        <v>51</v>
      </c>
      <c r="E870" s="1" t="s">
        <v>29</v>
      </c>
      <c r="F870" s="5">
        <v>1000000.0</v>
      </c>
      <c r="G870" s="1" t="s">
        <v>1114</v>
      </c>
      <c r="H870" s="1" t="s">
        <v>2049</v>
      </c>
      <c r="I870" s="1" t="s">
        <v>191</v>
      </c>
      <c r="K870" s="1">
        <v>0.0</v>
      </c>
      <c r="L870" s="1" t="s">
        <v>836</v>
      </c>
      <c r="M870" s="1" t="str">
        <f>VLOOKUP(L870,'Copy of PMD Workday Constants -'!B839:Y1525,22,false)</f>
        <v>#N/A</v>
      </c>
      <c r="N870" s="1" t="s">
        <v>32</v>
      </c>
      <c r="O870" s="1" t="s">
        <v>33</v>
      </c>
      <c r="P870" s="1" t="s">
        <v>173</v>
      </c>
      <c r="Q870" s="1" t="s">
        <v>173</v>
      </c>
      <c r="R870" s="1" t="s">
        <v>174</v>
      </c>
      <c r="S870" s="1" t="s">
        <v>612</v>
      </c>
      <c r="T870" s="1">
        <v>1.00648457E8</v>
      </c>
      <c r="W870" s="1" t="s">
        <v>147</v>
      </c>
      <c r="X870" s="1" t="s">
        <v>836</v>
      </c>
    </row>
    <row r="871">
      <c r="A871" s="1" t="s">
        <v>3208</v>
      </c>
      <c r="B871" s="1" t="s">
        <v>988</v>
      </c>
      <c r="C871" s="1" t="s">
        <v>3209</v>
      </c>
      <c r="D871" s="1" t="s">
        <v>103</v>
      </c>
      <c r="E871" s="1" t="s">
        <v>29</v>
      </c>
      <c r="F871" s="5">
        <v>1000000.0</v>
      </c>
      <c r="G871" s="1" t="s">
        <v>1114</v>
      </c>
      <c r="H871" s="1" t="s">
        <v>870</v>
      </c>
      <c r="I871" s="1" t="s">
        <v>104</v>
      </c>
      <c r="K871" s="1">
        <v>0.0</v>
      </c>
      <c r="L871" s="1" t="s">
        <v>3063</v>
      </c>
      <c r="M871" s="1" t="str">
        <f>VLOOKUP(L871,'Copy of PMD Workday Constants -'!B840:Y1526,22,false)</f>
        <v>#N/A</v>
      </c>
      <c r="N871" s="1" t="s">
        <v>32</v>
      </c>
      <c r="O871" s="1" t="s">
        <v>33</v>
      </c>
      <c r="P871" s="1" t="s">
        <v>34</v>
      </c>
      <c r="Q871" s="1" t="s">
        <v>34</v>
      </c>
      <c r="R871" s="1" t="s">
        <v>35</v>
      </c>
      <c r="S871" s="1" t="s">
        <v>36</v>
      </c>
      <c r="T871" s="1">
        <v>1.00622716E8</v>
      </c>
      <c r="W871" s="1" t="s">
        <v>37</v>
      </c>
      <c r="X871" s="1" t="s">
        <v>3210</v>
      </c>
    </row>
    <row r="872">
      <c r="A872" s="1" t="s">
        <v>3211</v>
      </c>
      <c r="B872" s="1" t="s">
        <v>2333</v>
      </c>
      <c r="C872" s="1" t="s">
        <v>3212</v>
      </c>
      <c r="D872" s="1" t="s">
        <v>51</v>
      </c>
      <c r="E872" s="1" t="s">
        <v>29</v>
      </c>
      <c r="F872" s="5">
        <v>1000000.0</v>
      </c>
      <c r="G872" s="1" t="s">
        <v>1114</v>
      </c>
      <c r="H872" s="1" t="s">
        <v>920</v>
      </c>
      <c r="I872" s="1" t="s">
        <v>302</v>
      </c>
      <c r="K872" s="1">
        <v>0.0</v>
      </c>
      <c r="L872" s="1" t="s">
        <v>1790</v>
      </c>
      <c r="M872" s="1" t="str">
        <f>VLOOKUP(L872,'Copy of PMD Workday Constants -'!B841:Y1527,22,false)</f>
        <v>#N/A</v>
      </c>
      <c r="N872" s="1" t="s">
        <v>32</v>
      </c>
      <c r="O872" s="1" t="s">
        <v>33</v>
      </c>
      <c r="P872" s="1" t="s">
        <v>222</v>
      </c>
      <c r="Q872" s="1" t="s">
        <v>222</v>
      </c>
      <c r="R872" s="1" t="s">
        <v>223</v>
      </c>
      <c r="S872" s="1" t="s">
        <v>601</v>
      </c>
      <c r="T872" s="1">
        <v>1.00645232E8</v>
      </c>
      <c r="W872" s="1" t="s">
        <v>258</v>
      </c>
      <c r="X872" s="1" t="s">
        <v>3213</v>
      </c>
    </row>
    <row r="873">
      <c r="A873" s="1" t="s">
        <v>3214</v>
      </c>
      <c r="B873" s="1" t="s">
        <v>3215</v>
      </c>
      <c r="C873" s="1" t="s">
        <v>3216</v>
      </c>
      <c r="D873" s="1" t="s">
        <v>28</v>
      </c>
      <c r="E873" s="1" t="s">
        <v>29</v>
      </c>
      <c r="F873" s="5">
        <v>1000000.0</v>
      </c>
      <c r="G873" s="1" t="s">
        <v>1114</v>
      </c>
      <c r="H873" s="4">
        <v>44810.0</v>
      </c>
      <c r="I873" s="1" t="s">
        <v>166</v>
      </c>
      <c r="K873" s="1">
        <v>0.0</v>
      </c>
      <c r="L873" s="1" t="s">
        <v>461</v>
      </c>
      <c r="M873" s="1" t="str">
        <f>VLOOKUP(L873,'Copy of PMD Workday Constants -'!B842:Y1528,22,false)</f>
        <v>#N/A</v>
      </c>
      <c r="N873" s="1" t="s">
        <v>32</v>
      </c>
      <c r="O873" s="1" t="s">
        <v>33</v>
      </c>
      <c r="P873" s="1" t="s">
        <v>210</v>
      </c>
      <c r="Q873" s="1" t="s">
        <v>210</v>
      </c>
      <c r="R873" s="1" t="s">
        <v>211</v>
      </c>
      <c r="T873" s="1">
        <v>1.00652846E8</v>
      </c>
      <c r="W873" s="1" t="s">
        <v>56</v>
      </c>
      <c r="X873" s="1" t="s">
        <v>3217</v>
      </c>
    </row>
    <row r="874">
      <c r="A874" s="1" t="s">
        <v>3218</v>
      </c>
      <c r="B874" s="1" t="s">
        <v>3085</v>
      </c>
      <c r="C874" s="1" t="s">
        <v>3219</v>
      </c>
      <c r="D874" s="1" t="s">
        <v>103</v>
      </c>
      <c r="E874" s="1" t="s">
        <v>29</v>
      </c>
      <c r="F874" s="5">
        <v>1000000.0</v>
      </c>
      <c r="G874" s="1" t="s">
        <v>1114</v>
      </c>
      <c r="H874" s="1" t="s">
        <v>1404</v>
      </c>
      <c r="I874" s="1" t="s">
        <v>152</v>
      </c>
      <c r="K874" s="1">
        <v>0.0</v>
      </c>
      <c r="L874" s="1" t="s">
        <v>428</v>
      </c>
      <c r="M874" s="1" t="str">
        <f>VLOOKUP(L874,'Copy of PMD Workday Constants -'!B843:Y1529,22,false)</f>
        <v>#N/A</v>
      </c>
      <c r="N874" s="1" t="s">
        <v>32</v>
      </c>
      <c r="O874" s="1" t="s">
        <v>33</v>
      </c>
      <c r="P874" s="1" t="s">
        <v>173</v>
      </c>
      <c r="Q874" s="1" t="s">
        <v>173</v>
      </c>
      <c r="R874" s="1" t="s">
        <v>174</v>
      </c>
      <c r="S874" s="1" t="s">
        <v>153</v>
      </c>
      <c r="T874" s="1">
        <v>1.00654085E8</v>
      </c>
      <c r="W874" s="1" t="s">
        <v>85</v>
      </c>
      <c r="X874" s="1" t="s">
        <v>3220</v>
      </c>
    </row>
    <row r="875">
      <c r="A875" s="1" t="s">
        <v>3221</v>
      </c>
      <c r="B875" s="1" t="s">
        <v>3222</v>
      </c>
      <c r="C875" s="1" t="s">
        <v>3223</v>
      </c>
      <c r="D875" s="1" t="s">
        <v>103</v>
      </c>
      <c r="E875" s="1" t="s">
        <v>29</v>
      </c>
      <c r="F875" s="5">
        <v>1000000.0</v>
      </c>
      <c r="G875" s="1" t="s">
        <v>1114</v>
      </c>
      <c r="H875" s="1" t="s">
        <v>1436</v>
      </c>
      <c r="I875" s="4">
        <v>44569.0</v>
      </c>
      <c r="K875" s="1">
        <v>0.0</v>
      </c>
      <c r="L875" s="1" t="s">
        <v>1611</v>
      </c>
      <c r="M875" s="1" t="str">
        <f>VLOOKUP(L875,'Copy of PMD Workday Constants -'!B844:Y1530,22,false)</f>
        <v>#N/A</v>
      </c>
      <c r="N875" s="1" t="s">
        <v>32</v>
      </c>
      <c r="O875" s="1" t="s">
        <v>33</v>
      </c>
      <c r="P875" s="1" t="s">
        <v>34</v>
      </c>
      <c r="Q875" s="1" t="s">
        <v>34</v>
      </c>
      <c r="R875" s="1" t="s">
        <v>35</v>
      </c>
      <c r="S875" s="1" t="s">
        <v>36</v>
      </c>
      <c r="T875" s="1">
        <v>1.00645852E8</v>
      </c>
      <c r="W875" s="1" t="s">
        <v>37</v>
      </c>
      <c r="X875" s="1" t="s">
        <v>333</v>
      </c>
    </row>
    <row r="876">
      <c r="A876" s="1" t="s">
        <v>3224</v>
      </c>
      <c r="B876" s="1" t="s">
        <v>3222</v>
      </c>
      <c r="C876" s="1" t="s">
        <v>3225</v>
      </c>
      <c r="D876" s="1" t="s">
        <v>28</v>
      </c>
      <c r="E876" s="1" t="s">
        <v>29</v>
      </c>
      <c r="F876" s="5">
        <v>1000000.0</v>
      </c>
      <c r="G876" s="1" t="s">
        <v>1114</v>
      </c>
      <c r="H876" s="1" t="s">
        <v>1436</v>
      </c>
      <c r="I876" s="1" t="s">
        <v>302</v>
      </c>
      <c r="K876" s="1">
        <v>0.0</v>
      </c>
      <c r="L876" s="1" t="s">
        <v>172</v>
      </c>
      <c r="M876" s="1" t="str">
        <f>VLOOKUP(L876,'Copy of PMD Workday Constants -'!B845:Y1531,22,false)</f>
        <v>#N/A</v>
      </c>
      <c r="N876" s="1" t="s">
        <v>32</v>
      </c>
      <c r="O876" s="1" t="s">
        <v>33</v>
      </c>
      <c r="P876" s="1" t="s">
        <v>173</v>
      </c>
      <c r="Q876" s="1" t="s">
        <v>173</v>
      </c>
      <c r="R876" s="1" t="s">
        <v>174</v>
      </c>
      <c r="S876" s="1" t="s">
        <v>153</v>
      </c>
      <c r="T876" s="1">
        <v>1.00619165E8</v>
      </c>
      <c r="W876" s="1" t="s">
        <v>37</v>
      </c>
      <c r="X876" s="1" t="s">
        <v>333</v>
      </c>
    </row>
    <row r="877">
      <c r="A877" s="1" t="s">
        <v>3226</v>
      </c>
      <c r="B877" s="1" t="s">
        <v>93</v>
      </c>
      <c r="C877" s="1" t="s">
        <v>3227</v>
      </c>
      <c r="D877" s="1" t="s">
        <v>103</v>
      </c>
      <c r="E877" s="1" t="s">
        <v>29</v>
      </c>
      <c r="F877" s="5">
        <v>1000000.0</v>
      </c>
      <c r="G877" s="1" t="s">
        <v>1114</v>
      </c>
      <c r="H877" s="4">
        <v>44840.0</v>
      </c>
      <c r="I877" s="4">
        <v>44569.0</v>
      </c>
      <c r="K877" s="1">
        <v>0.0</v>
      </c>
      <c r="L877" s="1" t="s">
        <v>209</v>
      </c>
      <c r="M877" s="1" t="str">
        <f>VLOOKUP(L877,'Copy of PMD Workday Constants -'!B846:Y1532,22,false)</f>
        <v>#N/A</v>
      </c>
      <c r="N877" s="1" t="s">
        <v>32</v>
      </c>
      <c r="O877" s="1" t="s">
        <v>33</v>
      </c>
      <c r="P877" s="1" t="s">
        <v>210</v>
      </c>
      <c r="Q877" s="1" t="s">
        <v>210</v>
      </c>
      <c r="R877" s="1" t="s">
        <v>211</v>
      </c>
      <c r="S877" s="1" t="s">
        <v>212</v>
      </c>
      <c r="T877" s="1">
        <v>1.00628186E8</v>
      </c>
      <c r="W877" s="1" t="s">
        <v>56</v>
      </c>
      <c r="X877" s="1" t="s">
        <v>3228</v>
      </c>
    </row>
    <row r="878">
      <c r="A878" s="1" t="s">
        <v>3229</v>
      </c>
      <c r="B878" s="1" t="s">
        <v>1763</v>
      </c>
      <c r="C878" s="1" t="s">
        <v>3230</v>
      </c>
      <c r="D878" s="1" t="s">
        <v>28</v>
      </c>
      <c r="E878" s="1" t="s">
        <v>29</v>
      </c>
      <c r="F878" s="5">
        <v>1000000.0</v>
      </c>
      <c r="G878" s="1" t="s">
        <v>1114</v>
      </c>
      <c r="H878" s="4">
        <v>44598.0</v>
      </c>
      <c r="I878" s="1" t="s">
        <v>43</v>
      </c>
      <c r="K878" s="1">
        <v>0.0</v>
      </c>
      <c r="L878" s="1" t="s">
        <v>3231</v>
      </c>
      <c r="M878" s="1" t="str">
        <f>VLOOKUP(L878,'Copy of PMD Workday Constants -'!B847:Y1533,22,false)</f>
        <v>#N/A</v>
      </c>
      <c r="N878" s="1" t="s">
        <v>32</v>
      </c>
      <c r="O878" s="1" t="s">
        <v>33</v>
      </c>
      <c r="P878" s="1" t="s">
        <v>112</v>
      </c>
      <c r="Q878" s="1" t="s">
        <v>112</v>
      </c>
      <c r="R878" s="1" t="s">
        <v>113</v>
      </c>
      <c r="S878" s="1" t="s">
        <v>307</v>
      </c>
      <c r="T878" s="1">
        <v>1.00592784E8</v>
      </c>
      <c r="W878" s="1" t="s">
        <v>533</v>
      </c>
      <c r="X878" s="1" t="s">
        <v>1766</v>
      </c>
    </row>
    <row r="879">
      <c r="A879" s="1" t="s">
        <v>3232</v>
      </c>
      <c r="B879" s="1" t="s">
        <v>1648</v>
      </c>
      <c r="C879" s="1" t="s">
        <v>3233</v>
      </c>
      <c r="D879" s="1" t="s">
        <v>28</v>
      </c>
      <c r="E879" s="1" t="s">
        <v>29</v>
      </c>
      <c r="F879" s="5">
        <v>1000000.0</v>
      </c>
      <c r="G879" s="1" t="s">
        <v>1114</v>
      </c>
      <c r="H879" s="1" t="s">
        <v>3234</v>
      </c>
      <c r="I879" s="1" t="s">
        <v>80</v>
      </c>
      <c r="K879" s="1">
        <v>0.0</v>
      </c>
      <c r="L879" s="1" t="s">
        <v>461</v>
      </c>
      <c r="M879" s="1" t="str">
        <f>VLOOKUP(L879,'Copy of PMD Workday Constants -'!B848:Y1534,22,false)</f>
        <v>#N/A</v>
      </c>
      <c r="N879" s="1" t="s">
        <v>32</v>
      </c>
      <c r="O879" s="1" t="s">
        <v>33</v>
      </c>
      <c r="P879" s="1" t="s">
        <v>210</v>
      </c>
      <c r="Q879" s="1" t="s">
        <v>210</v>
      </c>
      <c r="R879" s="1" t="s">
        <v>211</v>
      </c>
      <c r="S879" s="1" t="s">
        <v>416</v>
      </c>
      <c r="T879" s="1">
        <v>1.00652846E8</v>
      </c>
      <c r="W879" s="1" t="s">
        <v>56</v>
      </c>
      <c r="X879" s="1" t="s">
        <v>461</v>
      </c>
    </row>
    <row r="880">
      <c r="A880" s="1" t="s">
        <v>3235</v>
      </c>
      <c r="B880" s="1" t="s">
        <v>341</v>
      </c>
      <c r="C880" s="1" t="s">
        <v>3236</v>
      </c>
      <c r="D880" s="1" t="s">
        <v>103</v>
      </c>
      <c r="E880" s="1" t="s">
        <v>29</v>
      </c>
      <c r="F880" s="5">
        <v>1000000.0</v>
      </c>
      <c r="G880" s="1" t="s">
        <v>1114</v>
      </c>
      <c r="H880" s="4">
        <v>44869.0</v>
      </c>
      <c r="I880" s="4">
        <v>44630.0</v>
      </c>
      <c r="K880" s="1">
        <v>0.0</v>
      </c>
      <c r="L880" s="1" t="s">
        <v>909</v>
      </c>
      <c r="M880" s="1" t="str">
        <f>VLOOKUP(L880,'Copy of PMD Workday Constants -'!B849:Y1535,22,false)</f>
        <v>#N/A</v>
      </c>
      <c r="N880" s="1" t="s">
        <v>32</v>
      </c>
      <c r="O880" s="1" t="s">
        <v>33</v>
      </c>
      <c r="P880" s="1" t="s">
        <v>82</v>
      </c>
      <c r="Q880" s="1" t="s">
        <v>82</v>
      </c>
      <c r="R880" s="1" t="s">
        <v>83</v>
      </c>
      <c r="S880" s="1" t="s">
        <v>180</v>
      </c>
      <c r="T880" s="1">
        <v>1.00649698E8</v>
      </c>
      <c r="W880" s="1" t="s">
        <v>85</v>
      </c>
      <c r="X880" s="1" t="s">
        <v>738</v>
      </c>
    </row>
    <row r="881">
      <c r="A881" s="1" t="s">
        <v>3237</v>
      </c>
      <c r="B881" s="1" t="s">
        <v>40</v>
      </c>
      <c r="C881" s="1" t="s">
        <v>3238</v>
      </c>
      <c r="D881" s="1" t="s">
        <v>28</v>
      </c>
      <c r="E881" s="1" t="s">
        <v>29</v>
      </c>
      <c r="F881" s="5">
        <v>1000000.0</v>
      </c>
      <c r="G881" s="1" t="s">
        <v>1114</v>
      </c>
      <c r="H881" s="1" t="s">
        <v>1433</v>
      </c>
      <c r="I881" s="4">
        <v>44629.0</v>
      </c>
      <c r="K881" s="1">
        <v>0.0</v>
      </c>
      <c r="L881" s="1" t="s">
        <v>44</v>
      </c>
      <c r="M881" s="1" t="str">
        <f>VLOOKUP(L881,'Copy of PMD Workday Constants -'!B850:Y1536,22,false)</f>
        <v>#N/A</v>
      </c>
      <c r="N881" s="1" t="s">
        <v>32</v>
      </c>
      <c r="O881" s="1" t="s">
        <v>33</v>
      </c>
      <c r="P881" s="1" t="s">
        <v>34</v>
      </c>
      <c r="Q881" s="1" t="s">
        <v>34</v>
      </c>
      <c r="R881" s="1" t="s">
        <v>35</v>
      </c>
      <c r="S881" s="1" t="s">
        <v>1336</v>
      </c>
      <c r="T881" s="1">
        <v>1.00587944E8</v>
      </c>
      <c r="W881" s="1" t="s">
        <v>47</v>
      </c>
      <c r="X881" s="1" t="s">
        <v>826</v>
      </c>
    </row>
    <row r="882">
      <c r="A882" s="1" t="s">
        <v>3239</v>
      </c>
      <c r="B882" s="1" t="s">
        <v>3240</v>
      </c>
      <c r="C882" s="1" t="s">
        <v>3241</v>
      </c>
      <c r="D882" s="1" t="s">
        <v>28</v>
      </c>
      <c r="E882" s="1" t="s">
        <v>29</v>
      </c>
      <c r="F882" s="5">
        <v>1000000.0</v>
      </c>
      <c r="G882" s="1" t="s">
        <v>1114</v>
      </c>
      <c r="H882" s="4">
        <v>44900.0</v>
      </c>
      <c r="I882" s="4">
        <v>44931.0</v>
      </c>
      <c r="K882" s="1">
        <v>0.0</v>
      </c>
      <c r="L882" s="1" t="s">
        <v>894</v>
      </c>
      <c r="M882" s="1" t="str">
        <f>VLOOKUP(L882,'Copy of PMD Workday Constants -'!B851:Y1537,22,false)</f>
        <v>#N/A</v>
      </c>
      <c r="N882" s="1" t="s">
        <v>32</v>
      </c>
      <c r="O882" s="1" t="s">
        <v>33</v>
      </c>
      <c r="P882" s="1" t="s">
        <v>82</v>
      </c>
      <c r="Q882" s="1" t="s">
        <v>82</v>
      </c>
      <c r="R882" s="1" t="s">
        <v>83</v>
      </c>
      <c r="S882" s="1" t="s">
        <v>180</v>
      </c>
      <c r="T882" s="1">
        <v>1.01033479E8</v>
      </c>
      <c r="W882" s="1" t="s">
        <v>85</v>
      </c>
      <c r="X882" s="1" t="s">
        <v>893</v>
      </c>
    </row>
    <row r="883">
      <c r="A883" s="1" t="s">
        <v>3242</v>
      </c>
      <c r="B883" s="1" t="s">
        <v>1387</v>
      </c>
      <c r="C883" s="1" t="s">
        <v>3243</v>
      </c>
      <c r="D883" s="1" t="s">
        <v>51</v>
      </c>
      <c r="E883" s="1" t="s">
        <v>29</v>
      </c>
      <c r="F883" s="5">
        <v>1000000.0</v>
      </c>
      <c r="G883" s="1" t="s">
        <v>1114</v>
      </c>
      <c r="H883" s="1" t="s">
        <v>2696</v>
      </c>
      <c r="I883" s="1" t="s">
        <v>191</v>
      </c>
      <c r="K883" s="1">
        <v>0.0</v>
      </c>
      <c r="L883" s="1" t="s">
        <v>1611</v>
      </c>
      <c r="M883" s="1" t="str">
        <f>VLOOKUP(L883,'Copy of PMD Workday Constants -'!B852:Y1538,22,false)</f>
        <v>#N/A</v>
      </c>
      <c r="N883" s="1" t="s">
        <v>32</v>
      </c>
      <c r="O883" s="1" t="s">
        <v>33</v>
      </c>
      <c r="P883" s="1" t="s">
        <v>34</v>
      </c>
      <c r="Q883" s="1" t="s">
        <v>34</v>
      </c>
      <c r="R883" s="1" t="s">
        <v>35</v>
      </c>
      <c r="S883" s="1" t="s">
        <v>126</v>
      </c>
      <c r="T883" s="1">
        <v>1.00645852E8</v>
      </c>
      <c r="W883" s="1" t="s">
        <v>91</v>
      </c>
      <c r="X883" s="1" t="s">
        <v>127</v>
      </c>
    </row>
    <row r="884">
      <c r="A884" s="1" t="s">
        <v>3244</v>
      </c>
      <c r="B884" s="1" t="s">
        <v>3154</v>
      </c>
      <c r="C884" s="1" t="s">
        <v>3245</v>
      </c>
      <c r="D884" s="1" t="s">
        <v>28</v>
      </c>
      <c r="E884" s="1" t="s">
        <v>29</v>
      </c>
      <c r="F884" s="5">
        <v>1000000.0</v>
      </c>
      <c r="G884" s="1" t="s">
        <v>1114</v>
      </c>
      <c r="H884" s="4">
        <v>44594.0</v>
      </c>
      <c r="I884" s="1" t="s">
        <v>80</v>
      </c>
      <c r="K884" s="1">
        <v>0.0</v>
      </c>
      <c r="L884" s="1" t="s">
        <v>2703</v>
      </c>
      <c r="M884" s="1" t="str">
        <f>VLOOKUP(L884,'Copy of PMD Workday Constants -'!B853:Y1539,22,false)</f>
        <v>#N/A</v>
      </c>
      <c r="N884" s="1" t="s">
        <v>32</v>
      </c>
      <c r="O884" s="1" t="s">
        <v>33</v>
      </c>
      <c r="P884" s="1" t="s">
        <v>34</v>
      </c>
      <c r="Q884" s="1" t="s">
        <v>34</v>
      </c>
      <c r="R884" s="1" t="s">
        <v>35</v>
      </c>
      <c r="S884" s="1" t="s">
        <v>612</v>
      </c>
      <c r="T884" s="1">
        <v>1.00866856E8</v>
      </c>
      <c r="W884" s="1" t="s">
        <v>140</v>
      </c>
      <c r="X884" s="1" t="s">
        <v>2703</v>
      </c>
    </row>
    <row r="885">
      <c r="A885" s="1" t="s">
        <v>3246</v>
      </c>
      <c r="B885" s="1" t="s">
        <v>2172</v>
      </c>
      <c r="C885" s="1" t="s">
        <v>3247</v>
      </c>
      <c r="D885" s="1" t="s">
        <v>28</v>
      </c>
      <c r="E885" s="1" t="s">
        <v>29</v>
      </c>
      <c r="F885" s="5">
        <v>1000000.0</v>
      </c>
      <c r="G885" s="1" t="s">
        <v>1114</v>
      </c>
      <c r="H885" s="1" t="s">
        <v>243</v>
      </c>
      <c r="I885" s="1" t="s">
        <v>3248</v>
      </c>
      <c r="K885" s="1">
        <v>0.0</v>
      </c>
      <c r="L885" s="1" t="s">
        <v>3249</v>
      </c>
      <c r="M885" s="1" t="str">
        <f>VLOOKUP(L885,'Copy of PMD Workday Constants -'!B854:Y1540,22,false)</f>
        <v>#N/A</v>
      </c>
      <c r="N885" s="1" t="s">
        <v>32</v>
      </c>
      <c r="O885" s="1" t="s">
        <v>33</v>
      </c>
      <c r="P885" s="1" t="s">
        <v>173</v>
      </c>
      <c r="Q885" s="1" t="s">
        <v>173</v>
      </c>
      <c r="R885" s="1" t="s">
        <v>174</v>
      </c>
      <c r="T885" s="1">
        <v>1.00633763E8</v>
      </c>
      <c r="W885" s="1" t="s">
        <v>74</v>
      </c>
      <c r="X885" s="1" t="s">
        <v>3250</v>
      </c>
    </row>
    <row r="886">
      <c r="A886" s="1" t="s">
        <v>3251</v>
      </c>
      <c r="B886" s="1" t="s">
        <v>3252</v>
      </c>
      <c r="C886" s="1" t="s">
        <v>3253</v>
      </c>
      <c r="D886" s="1" t="s">
        <v>28</v>
      </c>
      <c r="E886" s="1" t="s">
        <v>29</v>
      </c>
      <c r="F886" s="5">
        <v>1000000.0</v>
      </c>
      <c r="G886" s="1" t="s">
        <v>1114</v>
      </c>
      <c r="H886" s="4">
        <v>44598.0</v>
      </c>
      <c r="I886" s="1" t="s">
        <v>406</v>
      </c>
      <c r="K886" s="1">
        <v>0.0</v>
      </c>
      <c r="L886" s="1" t="s">
        <v>428</v>
      </c>
      <c r="M886" s="1" t="str">
        <f>VLOOKUP(L886,'Copy of PMD Workday Constants -'!B855:Y1541,22,false)</f>
        <v>#N/A</v>
      </c>
      <c r="N886" s="1" t="s">
        <v>32</v>
      </c>
      <c r="O886" s="1" t="s">
        <v>33</v>
      </c>
      <c r="P886" s="1" t="s">
        <v>173</v>
      </c>
      <c r="Q886" s="1" t="s">
        <v>173</v>
      </c>
      <c r="R886" s="1" t="s">
        <v>174</v>
      </c>
      <c r="S886" s="1" t="s">
        <v>153</v>
      </c>
      <c r="T886" s="1">
        <v>1.00654085E8</v>
      </c>
      <c r="W886" s="1" t="s">
        <v>85</v>
      </c>
      <c r="X886" s="1" t="s">
        <v>428</v>
      </c>
    </row>
    <row r="887">
      <c r="A887" s="1" t="s">
        <v>3254</v>
      </c>
      <c r="B887" s="1" t="s">
        <v>1868</v>
      </c>
      <c r="C887" s="1" t="s">
        <v>3255</v>
      </c>
      <c r="D887" s="1" t="s">
        <v>51</v>
      </c>
      <c r="E887" s="1" t="s">
        <v>29</v>
      </c>
      <c r="F887" s="5">
        <v>1000000.0</v>
      </c>
      <c r="G887" s="1" t="s">
        <v>1114</v>
      </c>
      <c r="H887" s="4">
        <v>44598.0</v>
      </c>
      <c r="I887" s="1" t="s">
        <v>248</v>
      </c>
      <c r="K887" s="1">
        <v>0.0</v>
      </c>
      <c r="L887" s="1" t="s">
        <v>871</v>
      </c>
      <c r="M887" s="1" t="str">
        <f>VLOOKUP(L887,'Copy of PMD Workday Constants -'!B856:Y1542,22,false)</f>
        <v>#N/A</v>
      </c>
      <c r="N887" s="1" t="s">
        <v>32</v>
      </c>
      <c r="O887" s="1" t="s">
        <v>33</v>
      </c>
      <c r="P887" s="1" t="s">
        <v>64</v>
      </c>
      <c r="Q887" s="1" t="s">
        <v>64</v>
      </c>
      <c r="R887" s="1" t="s">
        <v>65</v>
      </c>
      <c r="T887" s="1">
        <v>1.00653785E8</v>
      </c>
      <c r="W887" s="1" t="s">
        <v>74</v>
      </c>
      <c r="X887" s="1" t="s">
        <v>872</v>
      </c>
    </row>
    <row r="888">
      <c r="A888" s="1" t="s">
        <v>3256</v>
      </c>
      <c r="B888" s="1" t="s">
        <v>3257</v>
      </c>
      <c r="C888" s="1" t="s">
        <v>3258</v>
      </c>
      <c r="D888" s="1" t="s">
        <v>28</v>
      </c>
      <c r="E888" s="1" t="s">
        <v>29</v>
      </c>
      <c r="F888" s="5">
        <v>1000000.0</v>
      </c>
      <c r="G888" s="1" t="s">
        <v>1114</v>
      </c>
      <c r="H888" s="1" t="s">
        <v>2241</v>
      </c>
      <c r="I888" s="1" t="s">
        <v>302</v>
      </c>
      <c r="K888" s="1">
        <v>0.0</v>
      </c>
      <c r="L888" s="1" t="s">
        <v>790</v>
      </c>
      <c r="M888" s="1" t="str">
        <f>VLOOKUP(L888,'Copy of PMD Workday Constants -'!B857:Y1543,22,false)</f>
        <v>#N/A</v>
      </c>
      <c r="N888" s="1" t="s">
        <v>32</v>
      </c>
      <c r="O888" s="1" t="s">
        <v>33</v>
      </c>
      <c r="P888" s="1" t="s">
        <v>64</v>
      </c>
      <c r="Q888" s="1" t="s">
        <v>64</v>
      </c>
      <c r="R888" s="1" t="s">
        <v>65</v>
      </c>
      <c r="S888" s="1" t="s">
        <v>791</v>
      </c>
      <c r="T888" s="1">
        <v>1.00661738E8</v>
      </c>
      <c r="W888" s="1" t="s">
        <v>456</v>
      </c>
      <c r="X888" s="1" t="s">
        <v>3259</v>
      </c>
    </row>
    <row r="889">
      <c r="A889" s="1" t="s">
        <v>3260</v>
      </c>
      <c r="B889" s="1" t="s">
        <v>93</v>
      </c>
      <c r="C889" s="1" t="s">
        <v>3261</v>
      </c>
      <c r="D889" s="1" t="s">
        <v>79</v>
      </c>
      <c r="E889" s="1" t="s">
        <v>29</v>
      </c>
      <c r="F889" s="5">
        <v>1000000.0</v>
      </c>
      <c r="G889" s="1" t="s">
        <v>1114</v>
      </c>
      <c r="H889" s="1" t="s">
        <v>2318</v>
      </c>
      <c r="I889" s="4">
        <v>44872.0</v>
      </c>
      <c r="K889" s="1">
        <v>0.0</v>
      </c>
      <c r="L889" s="1" t="s">
        <v>97</v>
      </c>
      <c r="M889" s="1" t="str">
        <f>VLOOKUP(L889,'Copy of PMD Workday Constants -'!B858:Y1544,22,false)</f>
        <v>#N/A</v>
      </c>
      <c r="N889" s="1" t="s">
        <v>32</v>
      </c>
      <c r="O889" s="1" t="s">
        <v>33</v>
      </c>
      <c r="P889" s="1" t="s">
        <v>64</v>
      </c>
      <c r="Q889" s="1" t="s">
        <v>64</v>
      </c>
      <c r="R889" s="1" t="s">
        <v>65</v>
      </c>
      <c r="S889" s="1" t="s">
        <v>98</v>
      </c>
      <c r="T889" s="1">
        <v>1.00653539E8</v>
      </c>
      <c r="W889" s="1" t="s">
        <v>56</v>
      </c>
      <c r="X889" s="1" t="s">
        <v>99</v>
      </c>
    </row>
    <row r="890">
      <c r="A890" s="1" t="s">
        <v>3262</v>
      </c>
      <c r="B890" s="1" t="s">
        <v>489</v>
      </c>
      <c r="C890" s="1" t="s">
        <v>3263</v>
      </c>
      <c r="D890" s="1" t="s">
        <v>51</v>
      </c>
      <c r="E890" s="1" t="s">
        <v>29</v>
      </c>
      <c r="F890" s="5">
        <v>1000000.0</v>
      </c>
      <c r="G890" s="1" t="s">
        <v>1114</v>
      </c>
      <c r="H890" s="4">
        <v>44598.0</v>
      </c>
      <c r="I890" s="1" t="s">
        <v>104</v>
      </c>
      <c r="K890" s="1">
        <v>0.0</v>
      </c>
      <c r="L890" s="1" t="s">
        <v>847</v>
      </c>
      <c r="M890" s="1" t="str">
        <f>VLOOKUP(L890,'Copy of PMD Workday Constants -'!B859:Y1545,22,false)</f>
        <v>#N/A</v>
      </c>
      <c r="N890" s="1" t="s">
        <v>32</v>
      </c>
      <c r="O890" s="1" t="s">
        <v>33</v>
      </c>
      <c r="P890" s="1" t="s">
        <v>173</v>
      </c>
      <c r="Q890" s="1" t="s">
        <v>173</v>
      </c>
      <c r="R890" s="1" t="s">
        <v>174</v>
      </c>
      <c r="T890" s="1">
        <v>1.00586701E8</v>
      </c>
      <c r="W890" s="1" t="s">
        <v>493</v>
      </c>
      <c r="X890" s="1" t="s">
        <v>2876</v>
      </c>
    </row>
    <row r="891">
      <c r="A891" s="1" t="s">
        <v>3264</v>
      </c>
      <c r="B891" s="1" t="s">
        <v>993</v>
      </c>
      <c r="C891" s="1" t="s">
        <v>3265</v>
      </c>
      <c r="D891" s="1" t="s">
        <v>51</v>
      </c>
      <c r="E891" s="1" t="s">
        <v>29</v>
      </c>
      <c r="F891" s="5">
        <v>1000000.0</v>
      </c>
      <c r="G891" s="1" t="s">
        <v>1114</v>
      </c>
      <c r="H891" s="4">
        <v>44807.0</v>
      </c>
      <c r="I891" s="1" t="s">
        <v>810</v>
      </c>
      <c r="K891" s="1">
        <v>0.0</v>
      </c>
      <c r="L891" s="1" t="s">
        <v>866</v>
      </c>
      <c r="M891" s="1" t="str">
        <f>VLOOKUP(L891,'Copy of PMD Workday Constants -'!B860:Y1546,22,false)</f>
        <v>#N/A</v>
      </c>
      <c r="N891" s="1" t="s">
        <v>32</v>
      </c>
      <c r="O891" s="1" t="s">
        <v>33</v>
      </c>
      <c r="P891" s="1" t="s">
        <v>82</v>
      </c>
      <c r="Q891" s="1" t="s">
        <v>82</v>
      </c>
      <c r="R891" s="1" t="s">
        <v>83</v>
      </c>
      <c r="S891" s="1" t="s">
        <v>84</v>
      </c>
      <c r="T891" s="1">
        <v>1.00941744E8</v>
      </c>
      <c r="W891" s="1" t="s">
        <v>74</v>
      </c>
      <c r="X891" s="1" t="s">
        <v>866</v>
      </c>
    </row>
    <row r="892">
      <c r="A892" s="1" t="s">
        <v>3266</v>
      </c>
      <c r="B892" s="1" t="s">
        <v>3267</v>
      </c>
      <c r="C892" s="1" t="s">
        <v>3268</v>
      </c>
      <c r="D892" s="1" t="s">
        <v>28</v>
      </c>
      <c r="E892" s="1" t="s">
        <v>29</v>
      </c>
      <c r="F892" s="5">
        <v>1000000.0</v>
      </c>
      <c r="G892" s="1" t="s">
        <v>1114</v>
      </c>
      <c r="H892" s="4">
        <v>44235.0</v>
      </c>
      <c r="I892" s="4">
        <v>44572.0</v>
      </c>
      <c r="K892" s="1">
        <v>0.0</v>
      </c>
      <c r="L892" s="1" t="s">
        <v>1757</v>
      </c>
      <c r="M892" s="1" t="str">
        <f>VLOOKUP(L892,'Copy of PMD Workday Constants -'!B861:Y1547,22,false)</f>
        <v>#N/A</v>
      </c>
      <c r="N892" s="1" t="s">
        <v>32</v>
      </c>
      <c r="O892" s="1" t="s">
        <v>33</v>
      </c>
      <c r="P892" s="1" t="s">
        <v>112</v>
      </c>
      <c r="Q892" s="1" t="s">
        <v>112</v>
      </c>
      <c r="R892" s="1" t="s">
        <v>113</v>
      </c>
      <c r="S892" s="1" t="s">
        <v>256</v>
      </c>
      <c r="T892" s="1">
        <v>1.00597983E8</v>
      </c>
      <c r="W892" s="1" t="s">
        <v>258</v>
      </c>
      <c r="X892" s="1" t="s">
        <v>2377</v>
      </c>
    </row>
    <row r="893">
      <c r="A893" s="1" t="s">
        <v>3269</v>
      </c>
      <c r="B893" s="1" t="s">
        <v>3270</v>
      </c>
      <c r="C893" s="1" t="s">
        <v>3271</v>
      </c>
      <c r="D893" s="1" t="s">
        <v>51</v>
      </c>
      <c r="E893" s="1" t="s">
        <v>29</v>
      </c>
      <c r="F893" s="5">
        <v>1000000.0</v>
      </c>
      <c r="G893" s="1" t="s">
        <v>1114</v>
      </c>
      <c r="H893" s="4">
        <v>44686.0</v>
      </c>
      <c r="I893" s="1" t="s">
        <v>104</v>
      </c>
      <c r="K893" s="1">
        <v>0.0</v>
      </c>
      <c r="L893" s="1" t="s">
        <v>1981</v>
      </c>
      <c r="M893" s="1" t="str">
        <f>VLOOKUP(L893,'Copy of PMD Workday Constants -'!B862:Y1548,22,false)</f>
        <v>#N/A</v>
      </c>
      <c r="N893" s="1" t="s">
        <v>32</v>
      </c>
      <c r="O893" s="1" t="s">
        <v>33</v>
      </c>
      <c r="P893" s="1" t="s">
        <v>64</v>
      </c>
      <c r="Q893" s="1" t="s">
        <v>64</v>
      </c>
      <c r="R893" s="1" t="s">
        <v>65</v>
      </c>
      <c r="S893" s="1" t="s">
        <v>1336</v>
      </c>
      <c r="T893" s="1">
        <v>1.00638494E8</v>
      </c>
      <c r="W893" s="1" t="s">
        <v>74</v>
      </c>
      <c r="X893" s="1" t="s">
        <v>1982</v>
      </c>
    </row>
    <row r="894">
      <c r="A894" s="1" t="s">
        <v>3272</v>
      </c>
      <c r="B894" s="1" t="s">
        <v>1062</v>
      </c>
      <c r="C894" s="1" t="s">
        <v>3273</v>
      </c>
      <c r="D894" s="1" t="s">
        <v>51</v>
      </c>
      <c r="E894" s="1" t="s">
        <v>29</v>
      </c>
      <c r="F894" s="5">
        <v>1000000.0</v>
      </c>
      <c r="G894" s="1" t="s">
        <v>1114</v>
      </c>
      <c r="H894" s="1" t="s">
        <v>3042</v>
      </c>
      <c r="I894" s="1" t="s">
        <v>302</v>
      </c>
      <c r="K894" s="1">
        <v>0.0</v>
      </c>
      <c r="L894" s="1" t="s">
        <v>1065</v>
      </c>
      <c r="M894" s="1" t="str">
        <f>VLOOKUP(L894,'Copy of PMD Workday Constants -'!B863:Y1549,22,false)</f>
        <v>#N/A</v>
      </c>
      <c r="N894" s="1" t="s">
        <v>32</v>
      </c>
      <c r="O894" s="1" t="s">
        <v>33</v>
      </c>
      <c r="P894" s="1" t="s">
        <v>173</v>
      </c>
      <c r="Q894" s="1" t="s">
        <v>173</v>
      </c>
      <c r="R894" s="1" t="s">
        <v>174</v>
      </c>
      <c r="S894" s="1" t="s">
        <v>540</v>
      </c>
      <c r="T894" s="1">
        <v>1.00594872E8</v>
      </c>
      <c r="W894" s="1" t="s">
        <v>493</v>
      </c>
      <c r="X894" s="1" t="s">
        <v>1065</v>
      </c>
    </row>
    <row r="895">
      <c r="A895" s="1" t="s">
        <v>3274</v>
      </c>
      <c r="B895" s="1" t="s">
        <v>77</v>
      </c>
      <c r="C895" s="1" t="s">
        <v>3275</v>
      </c>
      <c r="D895" s="1" t="s">
        <v>103</v>
      </c>
      <c r="E895" s="1" t="s">
        <v>29</v>
      </c>
      <c r="F895" s="5">
        <v>1000000.0</v>
      </c>
      <c r="G895" s="1" t="s">
        <v>1114</v>
      </c>
      <c r="H895" s="1" t="s">
        <v>2049</v>
      </c>
      <c r="I895" s="1" t="s">
        <v>104</v>
      </c>
      <c r="K895" s="1">
        <v>0.0</v>
      </c>
      <c r="L895" s="1" t="s">
        <v>2269</v>
      </c>
      <c r="M895" s="1" t="str">
        <f>VLOOKUP(L895,'Copy of PMD Workday Constants -'!B864:Y1550,22,false)</f>
        <v>#N/A</v>
      </c>
      <c r="N895" s="1" t="s">
        <v>32</v>
      </c>
      <c r="O895" s="1" t="s">
        <v>33</v>
      </c>
      <c r="P895" s="1" t="s">
        <v>54</v>
      </c>
      <c r="Q895" s="1" t="s">
        <v>54</v>
      </c>
      <c r="R895" s="1" t="s">
        <v>55</v>
      </c>
      <c r="S895" s="1" t="s">
        <v>1457</v>
      </c>
      <c r="T895" s="1">
        <v>1.00635485E8</v>
      </c>
      <c r="W895" s="1" t="s">
        <v>85</v>
      </c>
      <c r="X895" s="1" t="s">
        <v>2269</v>
      </c>
    </row>
    <row r="896">
      <c r="A896" s="1" t="s">
        <v>3276</v>
      </c>
      <c r="B896" s="1" t="s">
        <v>1402</v>
      </c>
      <c r="C896" s="1" t="s">
        <v>3277</v>
      </c>
      <c r="D896" s="1" t="s">
        <v>28</v>
      </c>
      <c r="E896" s="1" t="s">
        <v>29</v>
      </c>
      <c r="F896" s="5">
        <v>1000000.0</v>
      </c>
      <c r="G896" s="1" t="s">
        <v>1114</v>
      </c>
      <c r="H896" s="1" t="s">
        <v>131</v>
      </c>
      <c r="I896" s="1" t="s">
        <v>217</v>
      </c>
      <c r="K896" s="1">
        <v>0.0</v>
      </c>
      <c r="L896" s="1" t="s">
        <v>2269</v>
      </c>
      <c r="M896" s="1" t="str">
        <f>VLOOKUP(L896,'Copy of PMD Workday Constants -'!B865:Y1551,22,false)</f>
        <v>#N/A</v>
      </c>
      <c r="N896" s="1" t="s">
        <v>32</v>
      </c>
      <c r="O896" s="1" t="s">
        <v>33</v>
      </c>
      <c r="P896" s="1" t="s">
        <v>54</v>
      </c>
      <c r="Q896" s="1" t="s">
        <v>54</v>
      </c>
      <c r="R896" s="1" t="s">
        <v>55</v>
      </c>
      <c r="T896" s="1">
        <v>1.00635485E8</v>
      </c>
      <c r="W896" s="1" t="s">
        <v>85</v>
      </c>
      <c r="X896" s="1" t="s">
        <v>3278</v>
      </c>
    </row>
    <row r="897">
      <c r="A897" s="1" t="s">
        <v>3279</v>
      </c>
      <c r="B897" s="1" t="s">
        <v>1316</v>
      </c>
      <c r="C897" s="1" t="s">
        <v>3280</v>
      </c>
      <c r="D897" s="1" t="s">
        <v>51</v>
      </c>
      <c r="E897" s="1" t="s">
        <v>29</v>
      </c>
      <c r="F897" s="5">
        <v>1000000.0</v>
      </c>
      <c r="G897" s="1" t="s">
        <v>1114</v>
      </c>
      <c r="H897" s="1" t="s">
        <v>556</v>
      </c>
      <c r="I897" s="1" t="s">
        <v>732</v>
      </c>
      <c r="K897" s="1">
        <v>0.0</v>
      </c>
      <c r="L897" s="1" t="s">
        <v>2655</v>
      </c>
      <c r="M897" s="1" t="str">
        <f>VLOOKUP(L897,'Copy of PMD Workday Constants -'!B866:Y1552,22,false)</f>
        <v>#N/A</v>
      </c>
      <c r="N897" s="1" t="s">
        <v>32</v>
      </c>
      <c r="O897" s="1" t="s">
        <v>33</v>
      </c>
      <c r="P897" s="1" t="s">
        <v>210</v>
      </c>
      <c r="Q897" s="1" t="s">
        <v>210</v>
      </c>
      <c r="R897" s="1" t="s">
        <v>211</v>
      </c>
      <c r="T897" s="1">
        <v>1.0062606E8</v>
      </c>
      <c r="W897" s="1" t="s">
        <v>436</v>
      </c>
      <c r="X897" s="1" t="s">
        <v>3281</v>
      </c>
    </row>
    <row r="898">
      <c r="A898" s="1" t="s">
        <v>3282</v>
      </c>
      <c r="B898" s="1" t="s">
        <v>3283</v>
      </c>
      <c r="C898" s="1" t="s">
        <v>3284</v>
      </c>
      <c r="D898" s="1" t="s">
        <v>28</v>
      </c>
      <c r="E898" s="1" t="s">
        <v>29</v>
      </c>
      <c r="F898" s="5">
        <v>1000000.0</v>
      </c>
      <c r="G898" s="1" t="s">
        <v>1114</v>
      </c>
      <c r="H898" s="4">
        <v>44626.0</v>
      </c>
      <c r="I898" s="1" t="s">
        <v>191</v>
      </c>
      <c r="K898" s="1">
        <v>0.0</v>
      </c>
      <c r="L898" s="1" t="s">
        <v>350</v>
      </c>
      <c r="M898" s="1" t="str">
        <f>VLOOKUP(L898,'Copy of PMD Workday Constants -'!B867:Y1553,22,false)</f>
        <v>#N/A</v>
      </c>
      <c r="N898" s="1" t="s">
        <v>32</v>
      </c>
      <c r="O898" s="1" t="s">
        <v>33</v>
      </c>
      <c r="P898" s="1" t="s">
        <v>82</v>
      </c>
      <c r="Q898" s="1" t="s">
        <v>82</v>
      </c>
      <c r="R898" s="1" t="s">
        <v>83</v>
      </c>
      <c r="S898" s="1" t="s">
        <v>180</v>
      </c>
      <c r="T898" s="1">
        <v>1.00582847E8</v>
      </c>
      <c r="W898" s="1" t="s">
        <v>85</v>
      </c>
      <c r="X898" s="1" t="s">
        <v>350</v>
      </c>
    </row>
    <row r="899">
      <c r="A899" s="1" t="s">
        <v>3285</v>
      </c>
      <c r="B899" s="1" t="s">
        <v>1364</v>
      </c>
      <c r="C899" s="1" t="s">
        <v>3286</v>
      </c>
      <c r="D899" s="1" t="s">
        <v>103</v>
      </c>
      <c r="E899" s="1" t="s">
        <v>29</v>
      </c>
      <c r="F899" s="5">
        <v>1000000.0</v>
      </c>
      <c r="G899" s="1" t="s">
        <v>1114</v>
      </c>
      <c r="H899" s="1" t="s">
        <v>2054</v>
      </c>
      <c r="I899" s="1" t="s">
        <v>248</v>
      </c>
      <c r="K899" s="1">
        <v>0.0</v>
      </c>
      <c r="L899" s="1" t="s">
        <v>2368</v>
      </c>
      <c r="M899" s="1" t="str">
        <f>VLOOKUP(L899,'Copy of PMD Workday Constants -'!B868:Y1554,22,false)</f>
        <v>#N/A</v>
      </c>
      <c r="N899" s="1" t="s">
        <v>32</v>
      </c>
      <c r="O899" s="1" t="s">
        <v>33</v>
      </c>
      <c r="P899" s="1" t="s">
        <v>64</v>
      </c>
      <c r="Q899" s="1" t="s">
        <v>64</v>
      </c>
      <c r="R899" s="1" t="s">
        <v>65</v>
      </c>
      <c r="S899" s="1" t="s">
        <v>229</v>
      </c>
      <c r="T899" s="1">
        <v>1.00648136E8</v>
      </c>
      <c r="W899" s="1" t="s">
        <v>85</v>
      </c>
      <c r="X899" s="1" t="s">
        <v>3287</v>
      </c>
    </row>
    <row r="900">
      <c r="A900" s="1" t="s">
        <v>3288</v>
      </c>
      <c r="B900" s="1" t="s">
        <v>507</v>
      </c>
      <c r="C900" s="1" t="s">
        <v>3289</v>
      </c>
      <c r="D900" s="1" t="s">
        <v>28</v>
      </c>
      <c r="E900" s="1" t="s">
        <v>29</v>
      </c>
      <c r="F900" s="5">
        <v>1000000.0</v>
      </c>
      <c r="G900" s="1" t="s">
        <v>1114</v>
      </c>
      <c r="H900" s="1" t="s">
        <v>563</v>
      </c>
      <c r="I900" s="1" t="s">
        <v>302</v>
      </c>
      <c r="K900" s="1">
        <v>0.0</v>
      </c>
      <c r="L900" s="1" t="s">
        <v>3290</v>
      </c>
      <c r="M900" s="1" t="str">
        <f>VLOOKUP(L900,'Copy of PMD Workday Constants -'!B869:Y1555,22,false)</f>
        <v>#N/A</v>
      </c>
      <c r="N900" s="1" t="s">
        <v>32</v>
      </c>
      <c r="O900" s="1" t="s">
        <v>33</v>
      </c>
      <c r="P900" s="1" t="s">
        <v>112</v>
      </c>
      <c r="Q900" s="1" t="s">
        <v>112</v>
      </c>
      <c r="R900" s="1" t="s">
        <v>113</v>
      </c>
      <c r="S900" s="1" t="s">
        <v>455</v>
      </c>
      <c r="T900" s="1">
        <v>1.00625578E8</v>
      </c>
      <c r="W900" s="1" t="s">
        <v>456</v>
      </c>
      <c r="X900" s="1" t="s">
        <v>3291</v>
      </c>
    </row>
    <row r="901">
      <c r="A901" s="1" t="s">
        <v>3292</v>
      </c>
      <c r="B901" s="1" t="s">
        <v>3293</v>
      </c>
      <c r="C901" s="1" t="s">
        <v>3294</v>
      </c>
      <c r="D901" s="1" t="s">
        <v>28</v>
      </c>
      <c r="E901" s="1" t="s">
        <v>29</v>
      </c>
      <c r="F901" s="5">
        <v>1000000.0</v>
      </c>
      <c r="G901" s="1" t="s">
        <v>1114</v>
      </c>
      <c r="H901" s="4">
        <v>44447.0</v>
      </c>
      <c r="I901" s="1" t="s">
        <v>80</v>
      </c>
      <c r="K901" s="1">
        <v>0.0</v>
      </c>
      <c r="L901" s="1" t="s">
        <v>146</v>
      </c>
      <c r="M901" s="1" t="str">
        <f>VLOOKUP(L901,'Copy of PMD Workday Constants -'!B870:Y1556,22,false)</f>
        <v>#N/A</v>
      </c>
      <c r="N901" s="1" t="s">
        <v>32</v>
      </c>
      <c r="O901" s="1" t="s">
        <v>33</v>
      </c>
      <c r="P901" s="1" t="s">
        <v>64</v>
      </c>
      <c r="Q901" s="1" t="s">
        <v>64</v>
      </c>
      <c r="R901" s="1" t="s">
        <v>65</v>
      </c>
      <c r="S901" s="1" t="s">
        <v>654</v>
      </c>
      <c r="T901" s="1">
        <v>1.00651441E8</v>
      </c>
      <c r="W901" s="1" t="s">
        <v>56</v>
      </c>
      <c r="X901" s="1" t="s">
        <v>146</v>
      </c>
    </row>
    <row r="902">
      <c r="A902" s="1" t="s">
        <v>3295</v>
      </c>
      <c r="B902" s="1" t="s">
        <v>70</v>
      </c>
      <c r="C902" s="1" t="s">
        <v>3296</v>
      </c>
      <c r="D902" s="1" t="s">
        <v>103</v>
      </c>
      <c r="E902" s="1" t="s">
        <v>29</v>
      </c>
      <c r="F902" s="5">
        <v>1000000.0</v>
      </c>
      <c r="G902" s="1" t="s">
        <v>1114</v>
      </c>
      <c r="H902" s="1" t="s">
        <v>556</v>
      </c>
      <c r="I902" s="4">
        <v>44813.0</v>
      </c>
      <c r="K902" s="1">
        <v>0.0</v>
      </c>
      <c r="L902" s="1" t="s">
        <v>3297</v>
      </c>
      <c r="M902" s="1" t="str">
        <f>VLOOKUP(L902,'Copy of PMD Workday Constants -'!B871:Y1557,22,false)</f>
        <v>#N/A</v>
      </c>
      <c r="N902" s="1" t="s">
        <v>32</v>
      </c>
      <c r="O902" s="1" t="s">
        <v>33</v>
      </c>
      <c r="P902" s="1" t="s">
        <v>54</v>
      </c>
      <c r="Q902" s="1" t="s">
        <v>54</v>
      </c>
      <c r="R902" s="1" t="s">
        <v>55</v>
      </c>
      <c r="T902" s="1">
        <v>1.00609005E8</v>
      </c>
      <c r="W902" s="1" t="s">
        <v>74</v>
      </c>
      <c r="X902" s="1" t="s">
        <v>3298</v>
      </c>
    </row>
    <row r="903">
      <c r="A903" s="1" t="s">
        <v>3299</v>
      </c>
      <c r="B903" s="1" t="s">
        <v>765</v>
      </c>
      <c r="C903" s="1" t="s">
        <v>3300</v>
      </c>
      <c r="D903" s="1" t="s">
        <v>28</v>
      </c>
      <c r="E903" s="1" t="s">
        <v>29</v>
      </c>
      <c r="F903" s="5">
        <v>1000000.0</v>
      </c>
      <c r="G903" s="1" t="s">
        <v>1114</v>
      </c>
      <c r="H903" s="1" t="s">
        <v>3301</v>
      </c>
      <c r="I903" s="4">
        <v>44929.0</v>
      </c>
      <c r="K903" s="1">
        <v>0.0</v>
      </c>
      <c r="L903" s="1" t="s">
        <v>3302</v>
      </c>
      <c r="M903" s="1" t="str">
        <f>VLOOKUP(L903,'Copy of PMD Workday Constants -'!B872:Y1558,22,false)</f>
        <v>#N/A</v>
      </c>
      <c r="N903" s="1" t="s">
        <v>32</v>
      </c>
      <c r="O903" s="1" t="s">
        <v>33</v>
      </c>
      <c r="P903" s="1" t="s">
        <v>34</v>
      </c>
      <c r="Q903" s="1" t="s">
        <v>34</v>
      </c>
      <c r="R903" s="1" t="s">
        <v>35</v>
      </c>
      <c r="S903" s="1" t="s">
        <v>1166</v>
      </c>
      <c r="T903" s="1">
        <v>1.00586233E8</v>
      </c>
      <c r="W903" s="1" t="s">
        <v>456</v>
      </c>
      <c r="X903" s="1" t="s">
        <v>3303</v>
      </c>
    </row>
    <row r="904">
      <c r="A904" s="1" t="s">
        <v>3304</v>
      </c>
      <c r="B904" s="1" t="s">
        <v>913</v>
      </c>
      <c r="C904" s="1" t="s">
        <v>3305</v>
      </c>
      <c r="D904" s="1" t="s">
        <v>51</v>
      </c>
      <c r="E904" s="1" t="s">
        <v>29</v>
      </c>
      <c r="F904" s="5">
        <v>1000000.0</v>
      </c>
      <c r="G904" s="1" t="s">
        <v>1114</v>
      </c>
      <c r="H904" s="1" t="s">
        <v>283</v>
      </c>
      <c r="I904" s="1" t="s">
        <v>302</v>
      </c>
      <c r="K904" s="1">
        <v>0.0</v>
      </c>
      <c r="L904" s="1" t="s">
        <v>1292</v>
      </c>
      <c r="M904" s="1" t="str">
        <f>VLOOKUP(L904,'Copy of PMD Workday Constants -'!B873:Y1559,22,false)</f>
        <v>#N/A</v>
      </c>
      <c r="N904" s="1" t="s">
        <v>32</v>
      </c>
      <c r="O904" s="1" t="s">
        <v>33</v>
      </c>
      <c r="P904" s="1" t="s">
        <v>82</v>
      </c>
      <c r="Q904" s="1" t="s">
        <v>82</v>
      </c>
      <c r="R904" s="1" t="s">
        <v>83</v>
      </c>
      <c r="S904" s="1" t="s">
        <v>180</v>
      </c>
      <c r="T904" s="1">
        <v>1.006299E8</v>
      </c>
      <c r="W904" s="1" t="s">
        <v>85</v>
      </c>
      <c r="X904" s="1" t="s">
        <v>1292</v>
      </c>
    </row>
    <row r="905">
      <c r="A905" s="1" t="s">
        <v>3306</v>
      </c>
      <c r="B905" s="1" t="s">
        <v>2277</v>
      </c>
      <c r="C905" s="1" t="s">
        <v>3307</v>
      </c>
      <c r="D905" s="1" t="s">
        <v>103</v>
      </c>
      <c r="E905" s="1" t="s">
        <v>29</v>
      </c>
      <c r="F905" s="5">
        <v>1000000.0</v>
      </c>
      <c r="G905" s="1" t="s">
        <v>1114</v>
      </c>
      <c r="H905" s="1" t="s">
        <v>3308</v>
      </c>
      <c r="I905" s="1" t="s">
        <v>1470</v>
      </c>
      <c r="K905" s="1">
        <v>0.0</v>
      </c>
      <c r="L905" s="1" t="s">
        <v>821</v>
      </c>
      <c r="M905" s="1" t="str">
        <f>VLOOKUP(L905,'Copy of PMD Workday Constants -'!B874:Y1560,22,false)</f>
        <v>#N/A</v>
      </c>
      <c r="N905" s="1" t="s">
        <v>32</v>
      </c>
      <c r="O905" s="1" t="s">
        <v>33</v>
      </c>
      <c r="P905" s="1" t="s">
        <v>210</v>
      </c>
      <c r="Q905" s="1" t="s">
        <v>210</v>
      </c>
      <c r="R905" s="1" t="s">
        <v>211</v>
      </c>
      <c r="S905" s="1" t="s">
        <v>297</v>
      </c>
      <c r="T905" s="1">
        <v>1.00647674E8</v>
      </c>
      <c r="W905" s="1" t="s">
        <v>258</v>
      </c>
      <c r="X905" s="1" t="s">
        <v>821</v>
      </c>
    </row>
    <row r="906">
      <c r="A906" s="1" t="s">
        <v>3309</v>
      </c>
      <c r="B906" s="1" t="s">
        <v>521</v>
      </c>
      <c r="C906" s="1" t="s">
        <v>3310</v>
      </c>
      <c r="D906" s="1" t="s">
        <v>51</v>
      </c>
      <c r="E906" s="1" t="s">
        <v>29</v>
      </c>
      <c r="F906" s="5">
        <v>1000000.0</v>
      </c>
      <c r="G906" s="1" t="s">
        <v>1114</v>
      </c>
      <c r="H906" s="4">
        <v>44053.0</v>
      </c>
      <c r="I906" s="1" t="s">
        <v>302</v>
      </c>
      <c r="K906" s="1">
        <v>0.0</v>
      </c>
      <c r="L906" s="1" t="s">
        <v>319</v>
      </c>
      <c r="M906" s="1" t="str">
        <f>VLOOKUP(L906,'Copy of PMD Workday Constants -'!B875:Y1561,22,false)</f>
        <v>#N/A</v>
      </c>
      <c r="N906" s="1" t="s">
        <v>32</v>
      </c>
      <c r="O906" s="1" t="s">
        <v>33</v>
      </c>
      <c r="P906" s="1" t="s">
        <v>82</v>
      </c>
      <c r="Q906" s="1" t="s">
        <v>82</v>
      </c>
      <c r="R906" s="1" t="s">
        <v>83</v>
      </c>
      <c r="S906" s="1" t="s">
        <v>84</v>
      </c>
      <c r="T906" s="1">
        <v>1.00654705E8</v>
      </c>
      <c r="W906" s="1" t="s">
        <v>85</v>
      </c>
      <c r="X906" s="1" t="s">
        <v>319</v>
      </c>
    </row>
    <row r="907">
      <c r="A907" s="1" t="s">
        <v>3311</v>
      </c>
      <c r="B907" s="1" t="s">
        <v>756</v>
      </c>
      <c r="C907" s="1" t="s">
        <v>3312</v>
      </c>
      <c r="D907" s="1" t="s">
        <v>28</v>
      </c>
      <c r="E907" s="1" t="s">
        <v>29</v>
      </c>
      <c r="F907" s="5">
        <v>1000000.0</v>
      </c>
      <c r="G907" s="1" t="s">
        <v>1114</v>
      </c>
      <c r="H907" s="1" t="s">
        <v>556</v>
      </c>
      <c r="I907" s="1" t="s">
        <v>191</v>
      </c>
      <c r="K907" s="1">
        <v>0.0</v>
      </c>
      <c r="L907" s="1" t="s">
        <v>759</v>
      </c>
      <c r="M907" s="1" t="str">
        <f>VLOOKUP(L907,'Copy of PMD Workday Constants -'!B876:Y1562,22,false)</f>
        <v>#N/A</v>
      </c>
      <c r="N907" s="1" t="s">
        <v>32</v>
      </c>
      <c r="O907" s="1" t="s">
        <v>33</v>
      </c>
      <c r="P907" s="1" t="s">
        <v>64</v>
      </c>
      <c r="Q907" s="1" t="s">
        <v>64</v>
      </c>
      <c r="R907" s="1" t="s">
        <v>65</v>
      </c>
      <c r="S907" s="1" t="s">
        <v>185</v>
      </c>
      <c r="T907" s="1">
        <v>1.00610205E8</v>
      </c>
      <c r="W907" s="1" t="s">
        <v>74</v>
      </c>
      <c r="X907" s="1" t="s">
        <v>3313</v>
      </c>
    </row>
    <row r="908">
      <c r="A908" s="1" t="s">
        <v>3314</v>
      </c>
      <c r="B908" s="1" t="s">
        <v>3315</v>
      </c>
      <c r="C908" s="1" t="s">
        <v>3316</v>
      </c>
      <c r="D908" s="1" t="s">
        <v>28</v>
      </c>
      <c r="E908" s="1" t="s">
        <v>29</v>
      </c>
      <c r="F908" s="5">
        <v>1000000.0</v>
      </c>
      <c r="G908" s="1" t="s">
        <v>1114</v>
      </c>
      <c r="H908" s="4">
        <v>43838.0</v>
      </c>
      <c r="I908" s="1" t="s">
        <v>661</v>
      </c>
      <c r="K908" s="1">
        <v>0.0</v>
      </c>
      <c r="L908" s="1" t="s">
        <v>3317</v>
      </c>
      <c r="M908" s="1" t="str">
        <f>VLOOKUP(L908,'Copy of PMD Workday Constants -'!B877:Y1563,22,false)</f>
        <v>#N/A</v>
      </c>
      <c r="N908" s="1" t="s">
        <v>32</v>
      </c>
      <c r="O908" s="1" t="s">
        <v>33</v>
      </c>
      <c r="P908" s="1" t="s">
        <v>34</v>
      </c>
      <c r="Q908" s="1" t="s">
        <v>34</v>
      </c>
      <c r="R908" s="1" t="s">
        <v>35</v>
      </c>
      <c r="T908" s="1">
        <v>1.00628085E8</v>
      </c>
      <c r="W908" s="1" t="s">
        <v>37</v>
      </c>
      <c r="X908" s="1" t="s">
        <v>3317</v>
      </c>
    </row>
    <row r="909">
      <c r="A909" s="1" t="s">
        <v>3318</v>
      </c>
      <c r="B909" s="1" t="s">
        <v>931</v>
      </c>
      <c r="C909" s="1" t="s">
        <v>3319</v>
      </c>
      <c r="D909" s="1" t="s">
        <v>51</v>
      </c>
      <c r="E909" s="1" t="s">
        <v>29</v>
      </c>
      <c r="F909" s="5">
        <v>1000000.0</v>
      </c>
      <c r="G909" s="1" t="s">
        <v>1114</v>
      </c>
      <c r="H909" s="4">
        <v>44173.0</v>
      </c>
      <c r="I909" s="1" t="s">
        <v>80</v>
      </c>
      <c r="K909" s="1">
        <v>0.0</v>
      </c>
      <c r="L909" s="1" t="s">
        <v>1130</v>
      </c>
      <c r="M909" s="1" t="str">
        <f>VLOOKUP(L909,'Copy of PMD Workday Constants -'!B878:Y1564,22,false)</f>
        <v>#N/A</v>
      </c>
      <c r="N909" s="1" t="s">
        <v>32</v>
      </c>
      <c r="O909" s="1" t="s">
        <v>33</v>
      </c>
      <c r="P909" s="1" t="s">
        <v>64</v>
      </c>
      <c r="Q909" s="1" t="s">
        <v>64</v>
      </c>
      <c r="R909" s="1" t="s">
        <v>65</v>
      </c>
      <c r="S909" s="1" t="s">
        <v>229</v>
      </c>
      <c r="T909" s="1">
        <v>1.00651298E8</v>
      </c>
      <c r="W909" s="1" t="s">
        <v>85</v>
      </c>
      <c r="X909" s="1" t="s">
        <v>1130</v>
      </c>
    </row>
    <row r="910">
      <c r="A910" s="1" t="s">
        <v>3320</v>
      </c>
      <c r="B910" s="1" t="s">
        <v>996</v>
      </c>
      <c r="C910" s="1" t="s">
        <v>3321</v>
      </c>
      <c r="D910" s="1" t="s">
        <v>51</v>
      </c>
      <c r="E910" s="1" t="s">
        <v>29</v>
      </c>
      <c r="F910" s="5">
        <v>1000000.0</v>
      </c>
      <c r="G910" s="1" t="s">
        <v>1114</v>
      </c>
      <c r="H910" s="1" t="s">
        <v>2049</v>
      </c>
      <c r="I910" s="1" t="s">
        <v>152</v>
      </c>
      <c r="K910" s="1">
        <v>0.0</v>
      </c>
      <c r="L910" s="1" t="s">
        <v>2050</v>
      </c>
      <c r="M910" s="1" t="str">
        <f>VLOOKUP(L910,'Copy of PMD Workday Constants -'!B879:Y1565,22,false)</f>
        <v>#N/A</v>
      </c>
      <c r="N910" s="1" t="s">
        <v>32</v>
      </c>
      <c r="O910" s="1" t="s">
        <v>33</v>
      </c>
      <c r="P910" s="1" t="s">
        <v>64</v>
      </c>
      <c r="Q910" s="1" t="s">
        <v>64</v>
      </c>
      <c r="R910" s="1" t="s">
        <v>65</v>
      </c>
      <c r="T910" s="1">
        <v>1.00624533E8</v>
      </c>
      <c r="W910" s="1" t="s">
        <v>391</v>
      </c>
      <c r="X910" s="1" t="s">
        <v>2051</v>
      </c>
    </row>
    <row r="911">
      <c r="A911" s="1" t="s">
        <v>3322</v>
      </c>
      <c r="B911" s="1" t="s">
        <v>993</v>
      </c>
      <c r="C911" s="1" t="s">
        <v>3323</v>
      </c>
      <c r="D911" s="1" t="s">
        <v>28</v>
      </c>
      <c r="E911" s="1" t="s">
        <v>29</v>
      </c>
      <c r="F911" s="5">
        <v>1000000.0</v>
      </c>
      <c r="G911" s="1" t="s">
        <v>1114</v>
      </c>
      <c r="H911" s="1" t="s">
        <v>3324</v>
      </c>
      <c r="I911" s="1" t="s">
        <v>80</v>
      </c>
      <c r="K911" s="1">
        <v>0.0</v>
      </c>
      <c r="L911" s="1" t="s">
        <v>1278</v>
      </c>
      <c r="M911" s="1" t="str">
        <f>VLOOKUP(L911,'Copy of PMD Workday Constants -'!B880:Y1566,22,false)</f>
        <v>#N/A</v>
      </c>
      <c r="N911" s="1" t="s">
        <v>32</v>
      </c>
      <c r="O911" s="1" t="s">
        <v>33</v>
      </c>
      <c r="P911" s="1" t="s">
        <v>112</v>
      </c>
      <c r="Q911" s="1" t="s">
        <v>112</v>
      </c>
      <c r="R911" s="1" t="s">
        <v>113</v>
      </c>
      <c r="T911" s="1">
        <v>1.00626753E8</v>
      </c>
      <c r="W911" s="1" t="s">
        <v>74</v>
      </c>
      <c r="X911" s="1" t="s">
        <v>1278</v>
      </c>
    </row>
    <row r="912">
      <c r="A912" s="1" t="s">
        <v>3325</v>
      </c>
      <c r="B912" s="1" t="s">
        <v>3326</v>
      </c>
      <c r="C912" s="1" t="s">
        <v>3327</v>
      </c>
      <c r="D912" s="1" t="s">
        <v>28</v>
      </c>
      <c r="E912" s="1" t="s">
        <v>29</v>
      </c>
      <c r="F912" s="5">
        <v>1000000.0</v>
      </c>
      <c r="G912" s="1" t="s">
        <v>1114</v>
      </c>
      <c r="H912" s="1" t="s">
        <v>2484</v>
      </c>
      <c r="I912" s="4">
        <v>44689.0</v>
      </c>
      <c r="K912" s="1">
        <v>0.0</v>
      </c>
      <c r="L912" s="1" t="s">
        <v>1120</v>
      </c>
      <c r="M912" s="1" t="str">
        <f>VLOOKUP(L912,'Copy of PMD Workday Constants -'!B881:Y1567,22,false)</f>
        <v>#N/A</v>
      </c>
      <c r="N912" s="1" t="s">
        <v>32</v>
      </c>
      <c r="O912" s="1" t="s">
        <v>33</v>
      </c>
      <c r="P912" s="1" t="s">
        <v>82</v>
      </c>
      <c r="Q912" s="1" t="s">
        <v>82</v>
      </c>
      <c r="R912" s="1" t="s">
        <v>83</v>
      </c>
      <c r="S912" s="1" t="s">
        <v>180</v>
      </c>
      <c r="T912" s="1">
        <v>1.00603613E8</v>
      </c>
      <c r="W912" s="1" t="s">
        <v>85</v>
      </c>
      <c r="X912" s="1" t="s">
        <v>3328</v>
      </c>
    </row>
    <row r="913">
      <c r="A913" s="1" t="s">
        <v>3329</v>
      </c>
      <c r="B913" s="1" t="s">
        <v>907</v>
      </c>
      <c r="C913" s="1" t="s">
        <v>3330</v>
      </c>
      <c r="D913" s="1" t="s">
        <v>28</v>
      </c>
      <c r="E913" s="1" t="s">
        <v>29</v>
      </c>
      <c r="F913" s="5">
        <v>1000000.0</v>
      </c>
      <c r="G913" s="1" t="s">
        <v>1114</v>
      </c>
      <c r="H913" s="4">
        <v>44355.0</v>
      </c>
      <c r="I913" s="1" t="s">
        <v>43</v>
      </c>
      <c r="K913" s="1">
        <v>0.0</v>
      </c>
      <c r="L913" s="1" t="s">
        <v>2310</v>
      </c>
      <c r="M913" s="1" t="str">
        <f>VLOOKUP(L913,'Copy of PMD Workday Constants -'!B882:Y1568,22,false)</f>
        <v>#N/A</v>
      </c>
      <c r="N913" s="1" t="s">
        <v>32</v>
      </c>
      <c r="O913" s="1" t="s">
        <v>33</v>
      </c>
      <c r="P913" s="1" t="s">
        <v>82</v>
      </c>
      <c r="Q913" s="1" t="s">
        <v>82</v>
      </c>
      <c r="R913" s="1" t="s">
        <v>83</v>
      </c>
      <c r="S913" s="1" t="s">
        <v>180</v>
      </c>
      <c r="T913" s="1">
        <v>1.01078216E8</v>
      </c>
      <c r="W913" s="1" t="s">
        <v>140</v>
      </c>
      <c r="X913" s="1" t="s">
        <v>2310</v>
      </c>
    </row>
    <row r="914">
      <c r="A914" s="1" t="s">
        <v>3331</v>
      </c>
      <c r="B914" s="1" t="s">
        <v>918</v>
      </c>
      <c r="C914" s="1" t="s">
        <v>3332</v>
      </c>
      <c r="D914" s="1" t="s">
        <v>51</v>
      </c>
      <c r="E914" s="1" t="s">
        <v>29</v>
      </c>
      <c r="F914" s="5">
        <v>1000000.0</v>
      </c>
      <c r="G914" s="1" t="s">
        <v>1114</v>
      </c>
      <c r="H914" s="4">
        <v>44626.0</v>
      </c>
      <c r="I914" s="1" t="s">
        <v>1327</v>
      </c>
      <c r="K914" s="1">
        <v>0.0</v>
      </c>
      <c r="L914" s="1" t="s">
        <v>3333</v>
      </c>
      <c r="M914" s="1" t="str">
        <f>VLOOKUP(L914,'Copy of PMD Workday Constants -'!B883:Y1569,22,false)</f>
        <v>#N/A</v>
      </c>
      <c r="N914" s="1" t="s">
        <v>32</v>
      </c>
      <c r="O914" s="1" t="s">
        <v>33</v>
      </c>
      <c r="P914" s="1" t="s">
        <v>210</v>
      </c>
      <c r="Q914" s="1" t="s">
        <v>210</v>
      </c>
      <c r="R914" s="1" t="s">
        <v>211</v>
      </c>
      <c r="S914" s="1" t="s">
        <v>212</v>
      </c>
      <c r="T914" s="1">
        <v>1.00636461E8</v>
      </c>
      <c r="W914" s="1" t="s">
        <v>56</v>
      </c>
      <c r="X914" s="1" t="s">
        <v>3334</v>
      </c>
    </row>
    <row r="915">
      <c r="A915" s="1" t="s">
        <v>3335</v>
      </c>
      <c r="B915" s="1" t="s">
        <v>2079</v>
      </c>
      <c r="C915" s="1" t="s">
        <v>3336</v>
      </c>
      <c r="D915" s="1" t="s">
        <v>28</v>
      </c>
      <c r="E915" s="1" t="s">
        <v>29</v>
      </c>
      <c r="F915" s="5">
        <v>1000000.0</v>
      </c>
      <c r="G915" s="1" t="s">
        <v>1114</v>
      </c>
      <c r="H915" s="4">
        <v>44653.0</v>
      </c>
      <c r="I915" s="1" t="s">
        <v>104</v>
      </c>
      <c r="K915" s="1">
        <v>0.0</v>
      </c>
      <c r="L915" s="1" t="s">
        <v>2146</v>
      </c>
      <c r="M915" s="1" t="str">
        <f>VLOOKUP(L915,'Copy of PMD Workday Constants -'!B884:Y1570,22,false)</f>
        <v>#N/A</v>
      </c>
      <c r="N915" s="1" t="s">
        <v>32</v>
      </c>
      <c r="O915" s="1" t="s">
        <v>33</v>
      </c>
      <c r="P915" s="1" t="s">
        <v>210</v>
      </c>
      <c r="Q915" s="1" t="s">
        <v>210</v>
      </c>
      <c r="R915" s="1" t="s">
        <v>211</v>
      </c>
      <c r="S915" s="1" t="s">
        <v>297</v>
      </c>
      <c r="T915" s="1">
        <v>1.00649726E8</v>
      </c>
      <c r="W915" s="1" t="s">
        <v>258</v>
      </c>
      <c r="X915" s="1" t="s">
        <v>2146</v>
      </c>
    </row>
    <row r="916">
      <c r="A916" s="1" t="s">
        <v>3337</v>
      </c>
      <c r="B916" s="1" t="s">
        <v>772</v>
      </c>
      <c r="C916" s="1" t="s">
        <v>3338</v>
      </c>
      <c r="D916" s="1" t="s">
        <v>51</v>
      </c>
      <c r="E916" s="1" t="s">
        <v>29</v>
      </c>
      <c r="F916" s="5">
        <v>1000000.0</v>
      </c>
      <c r="G916" s="1" t="s">
        <v>1114</v>
      </c>
      <c r="H916" s="1" t="s">
        <v>1715</v>
      </c>
      <c r="I916" s="1" t="s">
        <v>295</v>
      </c>
      <c r="K916" s="1">
        <v>0.0</v>
      </c>
      <c r="L916" s="1" t="s">
        <v>1324</v>
      </c>
      <c r="M916" s="1" t="str">
        <f>VLOOKUP(L916,'Copy of PMD Workday Constants -'!B885:Y1571,22,false)</f>
        <v>#N/A</v>
      </c>
      <c r="N916" s="1" t="s">
        <v>32</v>
      </c>
      <c r="O916" s="1" t="s">
        <v>33</v>
      </c>
      <c r="P916" s="1" t="s">
        <v>34</v>
      </c>
      <c r="Q916" s="1" t="s">
        <v>34</v>
      </c>
      <c r="R916" s="1" t="s">
        <v>35</v>
      </c>
      <c r="S916" s="1" t="s">
        <v>36</v>
      </c>
      <c r="T916" s="1">
        <v>1.00613915E8</v>
      </c>
      <c r="W916" s="1" t="s">
        <v>37</v>
      </c>
      <c r="X916" s="1" t="s">
        <v>1324</v>
      </c>
    </row>
    <row r="917">
      <c r="A917" s="1" t="s">
        <v>3339</v>
      </c>
      <c r="B917" s="1" t="s">
        <v>3340</v>
      </c>
      <c r="C917" s="1" t="s">
        <v>3341</v>
      </c>
      <c r="D917" s="1" t="s">
        <v>28</v>
      </c>
      <c r="E917" s="1" t="s">
        <v>29</v>
      </c>
      <c r="F917" s="5">
        <v>1000000.0</v>
      </c>
      <c r="G917" s="1" t="s">
        <v>1114</v>
      </c>
      <c r="H917" s="1" t="s">
        <v>920</v>
      </c>
      <c r="I917" s="1" t="s">
        <v>80</v>
      </c>
      <c r="K917" s="1">
        <v>0.0</v>
      </c>
      <c r="L917" s="1" t="s">
        <v>678</v>
      </c>
      <c r="M917" s="1" t="str">
        <f>VLOOKUP(L917,'Copy of PMD Workday Constants -'!B886:Y1572,22,false)</f>
        <v>#N/A</v>
      </c>
      <c r="N917" s="1" t="s">
        <v>32</v>
      </c>
      <c r="O917" s="1" t="s">
        <v>33</v>
      </c>
      <c r="P917" s="1" t="s">
        <v>210</v>
      </c>
      <c r="Q917" s="1" t="s">
        <v>210</v>
      </c>
      <c r="R917" s="1" t="s">
        <v>211</v>
      </c>
      <c r="T917" s="1">
        <v>1.00609073E8</v>
      </c>
      <c r="W917" s="1" t="s">
        <v>56</v>
      </c>
      <c r="X917" s="1" t="s">
        <v>921</v>
      </c>
    </row>
    <row r="918">
      <c r="A918" s="1" t="s">
        <v>3342</v>
      </c>
      <c r="B918" s="1" t="s">
        <v>3343</v>
      </c>
      <c r="C918" s="1" t="s">
        <v>3344</v>
      </c>
      <c r="D918" s="1" t="s">
        <v>28</v>
      </c>
      <c r="E918" s="1" t="s">
        <v>29</v>
      </c>
      <c r="F918" s="5">
        <v>1000000.0</v>
      </c>
      <c r="G918" s="1" t="s">
        <v>1114</v>
      </c>
      <c r="H918" s="1" t="s">
        <v>2884</v>
      </c>
      <c r="I918" s="1" t="s">
        <v>152</v>
      </c>
      <c r="K918" s="1">
        <v>0.0</v>
      </c>
      <c r="L918" s="1" t="s">
        <v>3345</v>
      </c>
      <c r="M918" s="1" t="str">
        <f>VLOOKUP(L918,'Copy of PMD Workday Constants -'!B887:Y1573,22,false)</f>
        <v>#N/A</v>
      </c>
      <c r="N918" s="1" t="s">
        <v>32</v>
      </c>
      <c r="O918" s="1" t="s">
        <v>33</v>
      </c>
      <c r="P918" s="1" t="s">
        <v>64</v>
      </c>
      <c r="Q918" s="1" t="s">
        <v>64</v>
      </c>
      <c r="R918" s="1" t="s">
        <v>65</v>
      </c>
      <c r="S918" s="1" t="s">
        <v>791</v>
      </c>
      <c r="T918" s="1">
        <v>1.0105484E8</v>
      </c>
      <c r="W918" s="1" t="s">
        <v>140</v>
      </c>
      <c r="X918" s="1" t="s">
        <v>3345</v>
      </c>
    </row>
    <row r="919">
      <c r="A919" s="1" t="s">
        <v>3346</v>
      </c>
      <c r="B919" s="1" t="s">
        <v>155</v>
      </c>
      <c r="C919" s="1" t="s">
        <v>3347</v>
      </c>
      <c r="D919" s="1" t="s">
        <v>28</v>
      </c>
      <c r="E919" s="1" t="s">
        <v>29</v>
      </c>
      <c r="F919" s="5">
        <v>1000000.0</v>
      </c>
      <c r="G919" s="1" t="s">
        <v>1114</v>
      </c>
      <c r="H919" s="1" t="s">
        <v>2360</v>
      </c>
      <c r="I919" s="1" t="s">
        <v>80</v>
      </c>
      <c r="K919" s="1">
        <v>0.0</v>
      </c>
      <c r="L919" s="1" t="s">
        <v>3348</v>
      </c>
      <c r="M919" s="1" t="str">
        <f>VLOOKUP(L919,'Copy of PMD Workday Constants -'!B888:Y1574,22,false)</f>
        <v>#N/A</v>
      </c>
      <c r="N919" s="1" t="s">
        <v>32</v>
      </c>
      <c r="O919" s="1" t="s">
        <v>33</v>
      </c>
      <c r="P919" s="1" t="s">
        <v>64</v>
      </c>
      <c r="Q919" s="1" t="s">
        <v>64</v>
      </c>
      <c r="R919" s="1" t="s">
        <v>65</v>
      </c>
      <c r="S919" s="1" t="s">
        <v>1336</v>
      </c>
      <c r="T919" s="1">
        <v>1.01213659E8</v>
      </c>
      <c r="W919" s="1" t="s">
        <v>91</v>
      </c>
      <c r="X919" s="1" t="s">
        <v>3349</v>
      </c>
    </row>
    <row r="920">
      <c r="A920" s="1" t="s">
        <v>3350</v>
      </c>
      <c r="B920" s="1" t="s">
        <v>129</v>
      </c>
      <c r="C920" s="1" t="s">
        <v>3351</v>
      </c>
      <c r="D920" s="1" t="s">
        <v>103</v>
      </c>
      <c r="E920" s="1" t="s">
        <v>29</v>
      </c>
      <c r="F920" s="5">
        <v>1000000.0</v>
      </c>
      <c r="G920" s="1" t="s">
        <v>1114</v>
      </c>
      <c r="H920" s="4">
        <v>44867.0</v>
      </c>
      <c r="I920" s="1" t="s">
        <v>816</v>
      </c>
      <c r="K920" s="1">
        <v>0.0</v>
      </c>
      <c r="L920" s="1" t="s">
        <v>3352</v>
      </c>
      <c r="M920" s="1" t="str">
        <f>VLOOKUP(L920,'Copy of PMD Workday Constants -'!B889:Y1575,22,false)</f>
        <v>#N/A</v>
      </c>
      <c r="N920" s="1" t="s">
        <v>32</v>
      </c>
      <c r="O920" s="1" t="s">
        <v>33</v>
      </c>
      <c r="P920" s="1" t="s">
        <v>54</v>
      </c>
      <c r="Q920" s="1" t="s">
        <v>54</v>
      </c>
      <c r="R920" s="1" t="s">
        <v>55</v>
      </c>
      <c r="S920" s="1" t="s">
        <v>701</v>
      </c>
      <c r="T920" s="1">
        <v>1.00904603E8</v>
      </c>
      <c r="W920" s="1" t="s">
        <v>74</v>
      </c>
      <c r="X920" s="1" t="s">
        <v>3353</v>
      </c>
    </row>
    <row r="921">
      <c r="A921" s="1" t="s">
        <v>3354</v>
      </c>
      <c r="B921" s="1" t="s">
        <v>3355</v>
      </c>
      <c r="C921" s="1" t="s">
        <v>3356</v>
      </c>
      <c r="D921" s="1" t="s">
        <v>28</v>
      </c>
      <c r="E921" s="1" t="s">
        <v>29</v>
      </c>
      <c r="F921" s="5">
        <v>1000000.0</v>
      </c>
      <c r="G921" s="1" t="s">
        <v>1114</v>
      </c>
      <c r="H921" s="4">
        <v>44567.0</v>
      </c>
      <c r="I921" s="4">
        <v>44840.0</v>
      </c>
      <c r="K921" s="1">
        <v>0.0</v>
      </c>
      <c r="L921" s="1" t="s">
        <v>618</v>
      </c>
      <c r="M921" s="1" t="str">
        <f>VLOOKUP(L921,'Copy of PMD Workday Constants -'!B890:Y1576,22,false)</f>
        <v>#N/A</v>
      </c>
      <c r="N921" s="1" t="s">
        <v>32</v>
      </c>
      <c r="O921" s="1" t="s">
        <v>33</v>
      </c>
      <c r="P921" s="1" t="s">
        <v>173</v>
      </c>
      <c r="Q921" s="1" t="s">
        <v>173</v>
      </c>
      <c r="R921" s="1" t="s">
        <v>174</v>
      </c>
      <c r="T921" s="1">
        <v>1.00591141E8</v>
      </c>
      <c r="W921" s="1" t="s">
        <v>74</v>
      </c>
      <c r="X921" s="1" t="s">
        <v>3357</v>
      </c>
    </row>
    <row r="922">
      <c r="A922" s="1" t="s">
        <v>3358</v>
      </c>
      <c r="B922" s="1" t="s">
        <v>1483</v>
      </c>
      <c r="C922" s="1" t="s">
        <v>3359</v>
      </c>
      <c r="D922" s="1" t="s">
        <v>28</v>
      </c>
      <c r="E922" s="1" t="s">
        <v>29</v>
      </c>
      <c r="F922" s="5">
        <v>1000000.0</v>
      </c>
      <c r="G922" s="1" t="s">
        <v>1114</v>
      </c>
      <c r="H922" s="1" t="s">
        <v>3360</v>
      </c>
      <c r="I922" s="4">
        <v>44987.0</v>
      </c>
      <c r="K922" s="1">
        <v>0.0</v>
      </c>
      <c r="L922" s="1" t="s">
        <v>1780</v>
      </c>
      <c r="M922" s="1" t="str">
        <f>VLOOKUP(L922,'Copy of PMD Workday Constants -'!B891:Y1577,22,false)</f>
        <v>#N/A</v>
      </c>
      <c r="N922" s="1" t="s">
        <v>32</v>
      </c>
      <c r="O922" s="1" t="s">
        <v>33</v>
      </c>
      <c r="P922" s="1" t="s">
        <v>82</v>
      </c>
      <c r="Q922" s="1" t="s">
        <v>82</v>
      </c>
      <c r="R922" s="1" t="s">
        <v>83</v>
      </c>
      <c r="S922" s="1" t="s">
        <v>583</v>
      </c>
      <c r="T922" s="1">
        <v>1.00617113E8</v>
      </c>
      <c r="W922" s="1" t="s">
        <v>456</v>
      </c>
      <c r="X922" s="1" t="s">
        <v>3361</v>
      </c>
    </row>
    <row r="923">
      <c r="A923" s="1" t="s">
        <v>3362</v>
      </c>
      <c r="B923" s="1" t="s">
        <v>2706</v>
      </c>
      <c r="C923" s="1" t="s">
        <v>3363</v>
      </c>
      <c r="D923" s="1" t="s">
        <v>28</v>
      </c>
      <c r="E923" s="1" t="s">
        <v>29</v>
      </c>
      <c r="F923" s="5">
        <v>1000000.0</v>
      </c>
      <c r="G923" s="1" t="s">
        <v>1114</v>
      </c>
      <c r="H923" s="1" t="s">
        <v>920</v>
      </c>
      <c r="I923" s="1" t="s">
        <v>80</v>
      </c>
      <c r="K923" s="1">
        <v>0.0</v>
      </c>
      <c r="L923" s="1" t="s">
        <v>678</v>
      </c>
      <c r="M923" s="1" t="str">
        <f>VLOOKUP(L923,'Copy of PMD Workday Constants -'!B892:Y1578,22,false)</f>
        <v>#N/A</v>
      </c>
      <c r="N923" s="1" t="s">
        <v>32</v>
      </c>
      <c r="O923" s="1" t="s">
        <v>33</v>
      </c>
      <c r="P923" s="1" t="s">
        <v>210</v>
      </c>
      <c r="Q923" s="1" t="s">
        <v>210</v>
      </c>
      <c r="R923" s="1" t="s">
        <v>211</v>
      </c>
      <c r="T923" s="1">
        <v>1.00609073E8</v>
      </c>
      <c r="W923" s="1" t="s">
        <v>56</v>
      </c>
      <c r="X923" s="1" t="s">
        <v>921</v>
      </c>
    </row>
    <row r="924">
      <c r="A924" s="1" t="s">
        <v>3364</v>
      </c>
      <c r="B924" s="1" t="s">
        <v>225</v>
      </c>
      <c r="C924" s="1" t="s">
        <v>3365</v>
      </c>
      <c r="D924" s="1" t="s">
        <v>28</v>
      </c>
      <c r="E924" s="1" t="s">
        <v>29</v>
      </c>
      <c r="F924" s="5">
        <v>1000000.0</v>
      </c>
      <c r="G924" s="1" t="s">
        <v>1114</v>
      </c>
      <c r="H924" s="4">
        <v>44655.0</v>
      </c>
      <c r="I924" s="1" t="s">
        <v>217</v>
      </c>
      <c r="K924" s="1">
        <v>0.0</v>
      </c>
      <c r="L924" s="1" t="s">
        <v>2330</v>
      </c>
      <c r="M924" s="1" t="str">
        <f>VLOOKUP(L924,'Copy of PMD Workday Constants -'!B893:Y1579,22,false)</f>
        <v>#N/A</v>
      </c>
      <c r="N924" s="1" t="s">
        <v>32</v>
      </c>
      <c r="O924" s="1" t="s">
        <v>33</v>
      </c>
      <c r="P924" s="1" t="s">
        <v>82</v>
      </c>
      <c r="Q924" s="1" t="s">
        <v>82</v>
      </c>
      <c r="R924" s="1" t="s">
        <v>83</v>
      </c>
      <c r="S924" s="1" t="s">
        <v>84</v>
      </c>
      <c r="T924" s="1">
        <v>1.00613761E8</v>
      </c>
      <c r="W924" s="1" t="s">
        <v>85</v>
      </c>
      <c r="X924" s="1" t="s">
        <v>2330</v>
      </c>
    </row>
    <row r="925">
      <c r="A925" s="1" t="s">
        <v>3366</v>
      </c>
      <c r="B925" s="1" t="s">
        <v>1234</v>
      </c>
      <c r="C925" s="1" t="s">
        <v>3367</v>
      </c>
      <c r="D925" s="1" t="s">
        <v>28</v>
      </c>
      <c r="E925" s="1" t="s">
        <v>29</v>
      </c>
      <c r="F925" s="5">
        <v>1000000.0</v>
      </c>
      <c r="G925" s="1" t="s">
        <v>1114</v>
      </c>
      <c r="H925" s="1" t="s">
        <v>2724</v>
      </c>
      <c r="I925" s="4">
        <v>44840.0</v>
      </c>
      <c r="K925" s="1">
        <v>0.0</v>
      </c>
      <c r="L925" s="1" t="s">
        <v>1206</v>
      </c>
      <c r="M925" s="1" t="str">
        <f>VLOOKUP(L925,'Copy of PMD Workday Constants -'!B894:Y1580,22,false)</f>
        <v>#N/A</v>
      </c>
      <c r="N925" s="1" t="s">
        <v>32</v>
      </c>
      <c r="O925" s="1" t="s">
        <v>33</v>
      </c>
      <c r="P925" s="1" t="s">
        <v>82</v>
      </c>
      <c r="Q925" s="1" t="s">
        <v>82</v>
      </c>
      <c r="R925" s="1" t="s">
        <v>83</v>
      </c>
      <c r="S925" s="1" t="s">
        <v>180</v>
      </c>
      <c r="T925" s="1">
        <v>1.00943277E8</v>
      </c>
      <c r="W925" s="1" t="s">
        <v>85</v>
      </c>
      <c r="X925" s="1" t="s">
        <v>1692</v>
      </c>
    </row>
    <row r="926">
      <c r="A926" s="1" t="s">
        <v>3368</v>
      </c>
      <c r="B926" s="1" t="s">
        <v>3369</v>
      </c>
      <c r="C926" s="1" t="s">
        <v>3370</v>
      </c>
      <c r="D926" s="1" t="s">
        <v>28</v>
      </c>
      <c r="E926" s="1" t="s">
        <v>29</v>
      </c>
      <c r="F926" s="5">
        <v>1000000.0</v>
      </c>
      <c r="G926" s="1" t="s">
        <v>1114</v>
      </c>
      <c r="H926" s="1" t="s">
        <v>2884</v>
      </c>
      <c r="I926" s="4">
        <v>44718.0</v>
      </c>
      <c r="K926" s="1">
        <v>0.0</v>
      </c>
      <c r="L926" s="1" t="s">
        <v>2154</v>
      </c>
      <c r="M926" s="1" t="str">
        <f>VLOOKUP(L926,'Copy of PMD Workday Constants -'!B895:Y1581,22,false)</f>
        <v>#N/A</v>
      </c>
      <c r="N926" s="1" t="s">
        <v>32</v>
      </c>
      <c r="O926" s="1" t="s">
        <v>33</v>
      </c>
      <c r="P926" s="1" t="s">
        <v>173</v>
      </c>
      <c r="Q926" s="1" t="s">
        <v>173</v>
      </c>
      <c r="R926" s="1" t="s">
        <v>174</v>
      </c>
      <c r="S926" s="1" t="s">
        <v>612</v>
      </c>
      <c r="T926" s="1">
        <v>1.00639477E8</v>
      </c>
      <c r="W926" s="1" t="s">
        <v>115</v>
      </c>
      <c r="X926" s="1" t="s">
        <v>3371</v>
      </c>
    </row>
    <row r="927">
      <c r="A927" s="1" t="s">
        <v>3372</v>
      </c>
      <c r="B927" s="1" t="s">
        <v>3369</v>
      </c>
      <c r="C927" s="1" t="s">
        <v>3373</v>
      </c>
      <c r="D927" s="1" t="s">
        <v>28</v>
      </c>
      <c r="E927" s="1" t="s">
        <v>29</v>
      </c>
      <c r="F927" s="5">
        <v>1000000.0</v>
      </c>
      <c r="G927" s="1" t="s">
        <v>1114</v>
      </c>
      <c r="H927" s="1" t="s">
        <v>2884</v>
      </c>
      <c r="I927" s="4">
        <v>44630.0</v>
      </c>
      <c r="K927" s="1">
        <v>0.0</v>
      </c>
      <c r="L927" s="1" t="s">
        <v>2154</v>
      </c>
      <c r="M927" s="1" t="str">
        <f>VLOOKUP(L927,'Copy of PMD Workday Constants -'!B896:Y1582,22,false)</f>
        <v>#N/A</v>
      </c>
      <c r="N927" s="1" t="s">
        <v>32</v>
      </c>
      <c r="O927" s="1" t="s">
        <v>33</v>
      </c>
      <c r="P927" s="1" t="s">
        <v>173</v>
      </c>
      <c r="Q927" s="1" t="s">
        <v>173</v>
      </c>
      <c r="R927" s="1" t="s">
        <v>174</v>
      </c>
      <c r="S927" s="1" t="s">
        <v>612</v>
      </c>
      <c r="T927" s="1">
        <v>1.00639477E8</v>
      </c>
      <c r="W927" s="1" t="s">
        <v>115</v>
      </c>
      <c r="X927" s="1" t="s">
        <v>3371</v>
      </c>
    </row>
    <row r="928">
      <c r="A928" s="1" t="s">
        <v>3374</v>
      </c>
      <c r="B928" s="1" t="s">
        <v>3369</v>
      </c>
      <c r="C928" s="1" t="s">
        <v>3375</v>
      </c>
      <c r="D928" s="1" t="s">
        <v>28</v>
      </c>
      <c r="E928" s="1" t="s">
        <v>29</v>
      </c>
      <c r="F928" s="5">
        <v>1000000.0</v>
      </c>
      <c r="G928" s="1" t="s">
        <v>1114</v>
      </c>
      <c r="H928" s="1" t="s">
        <v>2884</v>
      </c>
      <c r="I928" s="4">
        <v>44630.0</v>
      </c>
      <c r="K928" s="1">
        <v>0.0</v>
      </c>
      <c r="L928" s="1" t="s">
        <v>2154</v>
      </c>
      <c r="M928" s="1" t="str">
        <f>VLOOKUP(L928,'Copy of PMD Workday Constants -'!B897:Y1583,22,false)</f>
        <v>#N/A</v>
      </c>
      <c r="N928" s="1" t="s">
        <v>32</v>
      </c>
      <c r="O928" s="1" t="s">
        <v>33</v>
      </c>
      <c r="P928" s="1" t="s">
        <v>173</v>
      </c>
      <c r="Q928" s="1" t="s">
        <v>173</v>
      </c>
      <c r="R928" s="1" t="s">
        <v>174</v>
      </c>
      <c r="S928" s="1" t="s">
        <v>612</v>
      </c>
      <c r="T928" s="1">
        <v>1.00639477E8</v>
      </c>
      <c r="W928" s="1" t="s">
        <v>115</v>
      </c>
      <c r="X928" s="1" t="s">
        <v>3371</v>
      </c>
    </row>
    <row r="929">
      <c r="A929" s="1" t="s">
        <v>3376</v>
      </c>
      <c r="B929" s="1" t="s">
        <v>765</v>
      </c>
      <c r="C929" s="1" t="s">
        <v>3377</v>
      </c>
      <c r="D929" s="1" t="s">
        <v>28</v>
      </c>
      <c r="E929" s="1" t="s">
        <v>29</v>
      </c>
      <c r="F929" s="5">
        <v>1000000.0</v>
      </c>
      <c r="G929" s="1" t="s">
        <v>1114</v>
      </c>
      <c r="H929" s="1" t="s">
        <v>301</v>
      </c>
      <c r="I929" s="1" t="s">
        <v>104</v>
      </c>
      <c r="K929" s="1">
        <v>0.0</v>
      </c>
      <c r="L929" s="1" t="s">
        <v>1525</v>
      </c>
      <c r="M929" s="1" t="str">
        <f>VLOOKUP(L929,'Copy of PMD Workday Constants -'!B898:Y1584,22,false)</f>
        <v>#N/A</v>
      </c>
      <c r="N929" s="1" t="s">
        <v>32</v>
      </c>
      <c r="O929" s="1" t="s">
        <v>33</v>
      </c>
      <c r="P929" s="1" t="s">
        <v>34</v>
      </c>
      <c r="Q929" s="1" t="s">
        <v>34</v>
      </c>
      <c r="R929" s="1" t="s">
        <v>35</v>
      </c>
      <c r="S929" s="1" t="s">
        <v>1166</v>
      </c>
      <c r="T929" s="1">
        <v>1.00637597E8</v>
      </c>
      <c r="U929" s="1" t="s">
        <v>3378</v>
      </c>
      <c r="V929" s="1" t="s">
        <v>187</v>
      </c>
      <c r="W929" s="1" t="s">
        <v>456</v>
      </c>
      <c r="X929" s="1" t="s">
        <v>1525</v>
      </c>
    </row>
    <row r="930">
      <c r="A930" s="1" t="s">
        <v>3379</v>
      </c>
      <c r="B930" s="1" t="s">
        <v>70</v>
      </c>
      <c r="C930" s="1" t="s">
        <v>186</v>
      </c>
      <c r="D930" s="1" t="s">
        <v>103</v>
      </c>
      <c r="E930" s="1" t="s">
        <v>29</v>
      </c>
      <c r="F930" s="5">
        <v>1000000.0</v>
      </c>
      <c r="G930" s="1" t="s">
        <v>1114</v>
      </c>
      <c r="H930" s="4">
        <v>44810.0</v>
      </c>
      <c r="I930" s="4">
        <v>44780.0</v>
      </c>
      <c r="K930" s="1">
        <v>0.0</v>
      </c>
      <c r="L930" s="1" t="s">
        <v>184</v>
      </c>
      <c r="M930" s="1" t="str">
        <f>VLOOKUP(L930,'Copy of PMD Workday Constants -'!B899:Y1585,22,false)</f>
        <v>#N/A</v>
      </c>
      <c r="N930" s="1" t="s">
        <v>32</v>
      </c>
      <c r="O930" s="1" t="s">
        <v>33</v>
      </c>
      <c r="P930" s="1" t="s">
        <v>64</v>
      </c>
      <c r="Q930" s="1" t="s">
        <v>64</v>
      </c>
      <c r="R930" s="1" t="s">
        <v>65</v>
      </c>
      <c r="S930" s="1" t="s">
        <v>185</v>
      </c>
      <c r="T930" s="1">
        <v>1.00589741E8</v>
      </c>
      <c r="V930" s="1" t="s">
        <v>67</v>
      </c>
      <c r="W930" s="1" t="s">
        <v>74</v>
      </c>
      <c r="X930" s="1" t="s">
        <v>3380</v>
      </c>
    </row>
    <row r="931">
      <c r="A931" s="1" t="s">
        <v>3381</v>
      </c>
      <c r="B931" s="1" t="s">
        <v>1387</v>
      </c>
      <c r="C931" s="1" t="s">
        <v>3382</v>
      </c>
      <c r="D931" s="1" t="s">
        <v>51</v>
      </c>
      <c r="E931" s="1" t="s">
        <v>29</v>
      </c>
      <c r="F931" s="5">
        <v>1000000.0</v>
      </c>
      <c r="G931" s="1" t="s">
        <v>1114</v>
      </c>
      <c r="H931" s="4">
        <v>44868.0</v>
      </c>
      <c r="I931" s="1" t="s">
        <v>96</v>
      </c>
      <c r="K931" s="1">
        <v>0.0</v>
      </c>
      <c r="L931" s="1" t="s">
        <v>1389</v>
      </c>
      <c r="M931" s="1" t="str">
        <f>VLOOKUP(L931,'Copy of PMD Workday Constants -'!B900:Y1586,22,false)</f>
        <v>#N/A</v>
      </c>
      <c r="N931" s="1" t="s">
        <v>32</v>
      </c>
      <c r="O931" s="1" t="s">
        <v>33</v>
      </c>
      <c r="P931" s="1" t="s">
        <v>64</v>
      </c>
      <c r="Q931" s="1" t="s">
        <v>64</v>
      </c>
      <c r="R931" s="1" t="s">
        <v>65</v>
      </c>
      <c r="T931" s="1">
        <v>1.00610014E8</v>
      </c>
      <c r="W931" s="1" t="s">
        <v>91</v>
      </c>
      <c r="X931" s="1" t="s">
        <v>127</v>
      </c>
    </row>
    <row r="932">
      <c r="A932" s="1" t="s">
        <v>3383</v>
      </c>
      <c r="B932" s="1" t="s">
        <v>3384</v>
      </c>
      <c r="C932" s="1" t="s">
        <v>3385</v>
      </c>
      <c r="D932" s="1" t="s">
        <v>28</v>
      </c>
      <c r="E932" s="1" t="s">
        <v>29</v>
      </c>
      <c r="F932" s="5">
        <v>1000000.0</v>
      </c>
      <c r="G932" s="1" t="s">
        <v>1114</v>
      </c>
      <c r="H932" s="1" t="s">
        <v>3386</v>
      </c>
      <c r="I932" s="1" t="s">
        <v>152</v>
      </c>
      <c r="K932" s="1">
        <v>0.0</v>
      </c>
      <c r="L932" s="1" t="s">
        <v>415</v>
      </c>
      <c r="M932" s="1" t="str">
        <f>VLOOKUP(L932,'Copy of PMD Workday Constants -'!B901:Y1587,22,false)</f>
        <v>#N/A</v>
      </c>
      <c r="N932" s="1" t="s">
        <v>32</v>
      </c>
      <c r="O932" s="1" t="s">
        <v>33</v>
      </c>
      <c r="P932" s="1" t="s">
        <v>210</v>
      </c>
      <c r="Q932" s="1" t="s">
        <v>210</v>
      </c>
      <c r="R932" s="1" t="s">
        <v>211</v>
      </c>
      <c r="S932" s="1" t="s">
        <v>1313</v>
      </c>
      <c r="T932" s="1">
        <v>1.00650375E8</v>
      </c>
      <c r="W932" s="1" t="s">
        <v>436</v>
      </c>
      <c r="X932" s="1" t="s">
        <v>415</v>
      </c>
    </row>
    <row r="933">
      <c r="A933" s="1" t="s">
        <v>3387</v>
      </c>
      <c r="B933" s="1" t="s">
        <v>2513</v>
      </c>
      <c r="C933" s="1" t="s">
        <v>3388</v>
      </c>
      <c r="D933" s="1" t="s">
        <v>103</v>
      </c>
      <c r="E933" s="1" t="s">
        <v>29</v>
      </c>
      <c r="F933" s="5">
        <v>1000000.0</v>
      </c>
      <c r="G933" s="1" t="s">
        <v>1114</v>
      </c>
      <c r="H933" s="4">
        <v>44317.0</v>
      </c>
      <c r="I933" s="1" t="s">
        <v>302</v>
      </c>
      <c r="K933" s="1">
        <v>0.0</v>
      </c>
      <c r="L933" s="1" t="s">
        <v>2885</v>
      </c>
      <c r="M933" s="1" t="str">
        <f>VLOOKUP(L933,'Copy of PMD Workday Constants -'!B902:Y1588,22,false)</f>
        <v>#N/A</v>
      </c>
      <c r="N933" s="1" t="s">
        <v>32</v>
      </c>
      <c r="O933" s="1" t="s">
        <v>33</v>
      </c>
      <c r="P933" s="1" t="s">
        <v>210</v>
      </c>
      <c r="Q933" s="1" t="s">
        <v>210</v>
      </c>
      <c r="R933" s="1" t="s">
        <v>211</v>
      </c>
      <c r="S933" s="1" t="s">
        <v>601</v>
      </c>
      <c r="T933" s="1">
        <v>1.00647463E8</v>
      </c>
      <c r="W933" s="1" t="s">
        <v>56</v>
      </c>
      <c r="X933" s="1" t="s">
        <v>1511</v>
      </c>
    </row>
    <row r="934">
      <c r="A934" s="1" t="s">
        <v>3389</v>
      </c>
      <c r="B934" s="1" t="s">
        <v>3390</v>
      </c>
      <c r="C934" s="1" t="s">
        <v>3391</v>
      </c>
      <c r="D934" s="1" t="s">
        <v>28</v>
      </c>
      <c r="E934" s="1" t="s">
        <v>29</v>
      </c>
      <c r="F934" s="5">
        <v>1000000.0</v>
      </c>
      <c r="G934" s="1" t="s">
        <v>1114</v>
      </c>
      <c r="H934" s="1" t="s">
        <v>870</v>
      </c>
      <c r="I934" s="1" t="s">
        <v>80</v>
      </c>
      <c r="K934" s="1">
        <v>0.0</v>
      </c>
      <c r="L934" s="1" t="s">
        <v>3392</v>
      </c>
      <c r="M934" s="1" t="str">
        <f>VLOOKUP(L934,'Copy of PMD Workday Constants -'!B903:Y1589,22,false)</f>
        <v>#N/A</v>
      </c>
      <c r="N934" s="1" t="s">
        <v>32</v>
      </c>
      <c r="O934" s="1" t="s">
        <v>33</v>
      </c>
      <c r="P934" s="1" t="s">
        <v>64</v>
      </c>
      <c r="Q934" s="1" t="s">
        <v>64</v>
      </c>
      <c r="R934" s="1" t="s">
        <v>65</v>
      </c>
      <c r="T934" s="1">
        <v>1.00653021E8</v>
      </c>
      <c r="W934" s="1" t="s">
        <v>115</v>
      </c>
      <c r="X934" s="1" t="s">
        <v>3393</v>
      </c>
    </row>
    <row r="935">
      <c r="A935" s="1" t="s">
        <v>3394</v>
      </c>
      <c r="B935" s="1" t="s">
        <v>3395</v>
      </c>
      <c r="C935" s="1" t="s">
        <v>3396</v>
      </c>
      <c r="D935" s="1" t="s">
        <v>28</v>
      </c>
      <c r="E935" s="1" t="s">
        <v>29</v>
      </c>
      <c r="F935" s="5">
        <v>1000000.0</v>
      </c>
      <c r="G935" s="1" t="s">
        <v>1114</v>
      </c>
      <c r="H935" s="4">
        <v>44685.0</v>
      </c>
      <c r="I935" s="1" t="s">
        <v>732</v>
      </c>
      <c r="K935" s="1">
        <v>0.0</v>
      </c>
      <c r="L935" s="1" t="s">
        <v>2058</v>
      </c>
      <c r="M935" s="1" t="str">
        <f>VLOOKUP(L935,'Copy of PMD Workday Constants -'!B904:Y1590,22,false)</f>
        <v>#N/A</v>
      </c>
      <c r="N935" s="1" t="s">
        <v>32</v>
      </c>
      <c r="O935" s="1" t="s">
        <v>33</v>
      </c>
      <c r="P935" s="1" t="s">
        <v>34</v>
      </c>
      <c r="Q935" s="1" t="s">
        <v>34</v>
      </c>
      <c r="R935" s="1" t="s">
        <v>35</v>
      </c>
      <c r="S935" s="1" t="s">
        <v>383</v>
      </c>
      <c r="T935" s="1">
        <v>1.01076271E8</v>
      </c>
      <c r="X935" s="1" t="s">
        <v>2058</v>
      </c>
    </row>
    <row r="936">
      <c r="A936" s="1" t="s">
        <v>3397</v>
      </c>
      <c r="B936" s="1" t="s">
        <v>1483</v>
      </c>
      <c r="C936" s="1" t="s">
        <v>3398</v>
      </c>
      <c r="D936" s="1" t="s">
        <v>28</v>
      </c>
      <c r="E936" s="1" t="s">
        <v>29</v>
      </c>
      <c r="F936" s="5">
        <v>1000000.0</v>
      </c>
      <c r="G936" s="1" t="s">
        <v>1114</v>
      </c>
      <c r="H936" s="1" t="s">
        <v>3399</v>
      </c>
      <c r="I936" s="4">
        <v>44930.0</v>
      </c>
      <c r="K936" s="1">
        <v>0.0</v>
      </c>
      <c r="L936" s="1" t="s">
        <v>1780</v>
      </c>
      <c r="M936" s="1" t="str">
        <f>VLOOKUP(L936,'Copy of PMD Workday Constants -'!B905:Y1591,22,false)</f>
        <v>#N/A</v>
      </c>
      <c r="N936" s="1" t="s">
        <v>32</v>
      </c>
      <c r="O936" s="1" t="s">
        <v>33</v>
      </c>
      <c r="P936" s="1" t="s">
        <v>82</v>
      </c>
      <c r="Q936" s="1" t="s">
        <v>82</v>
      </c>
      <c r="R936" s="1" t="s">
        <v>83</v>
      </c>
      <c r="S936" s="1" t="s">
        <v>583</v>
      </c>
      <c r="T936" s="1">
        <v>1.00617113E8</v>
      </c>
      <c r="W936" s="1" t="s">
        <v>456</v>
      </c>
      <c r="X936" s="1" t="s">
        <v>768</v>
      </c>
    </row>
    <row r="937">
      <c r="A937" s="1" t="s">
        <v>3400</v>
      </c>
      <c r="B937" s="1" t="s">
        <v>931</v>
      </c>
      <c r="C937" s="1" t="s">
        <v>3401</v>
      </c>
      <c r="D937" s="1" t="s">
        <v>28</v>
      </c>
      <c r="E937" s="1" t="s">
        <v>29</v>
      </c>
      <c r="F937" s="5">
        <v>1000000.0</v>
      </c>
      <c r="G937" s="1" t="s">
        <v>1114</v>
      </c>
      <c r="H937" s="1" t="s">
        <v>3018</v>
      </c>
      <c r="I937" s="1" t="s">
        <v>132</v>
      </c>
      <c r="K937" s="1">
        <v>0.0</v>
      </c>
      <c r="L937" s="1" t="s">
        <v>1939</v>
      </c>
      <c r="M937" s="1" t="str">
        <f>VLOOKUP(L937,'Copy of PMD Workday Constants -'!B906:Y1592,22,false)</f>
        <v>#N/A</v>
      </c>
      <c r="N937" s="1" t="s">
        <v>32</v>
      </c>
      <c r="O937" s="1" t="s">
        <v>33</v>
      </c>
      <c r="P937" s="1" t="s">
        <v>173</v>
      </c>
      <c r="Q937" s="1" t="s">
        <v>173</v>
      </c>
      <c r="R937" s="1" t="s">
        <v>174</v>
      </c>
      <c r="S937" s="1" t="s">
        <v>153</v>
      </c>
      <c r="T937" s="1">
        <v>1.00649264E8</v>
      </c>
      <c r="W937" s="1" t="s">
        <v>85</v>
      </c>
      <c r="X937" s="1" t="s">
        <v>1940</v>
      </c>
    </row>
    <row r="938">
      <c r="A938" s="1" t="s">
        <v>3402</v>
      </c>
      <c r="B938" s="1" t="s">
        <v>993</v>
      </c>
      <c r="C938" s="1" t="s">
        <v>3403</v>
      </c>
      <c r="D938" s="1" t="s">
        <v>103</v>
      </c>
      <c r="E938" s="1" t="s">
        <v>29</v>
      </c>
      <c r="F938" s="5">
        <v>1000000.0</v>
      </c>
      <c r="G938" s="1" t="s">
        <v>1114</v>
      </c>
      <c r="H938" s="1" t="s">
        <v>569</v>
      </c>
      <c r="I938" s="1" t="s">
        <v>80</v>
      </c>
      <c r="K938" s="1">
        <v>0.0</v>
      </c>
      <c r="L938" s="1" t="s">
        <v>3404</v>
      </c>
      <c r="M938" s="1" t="str">
        <f>VLOOKUP(L938,'Copy of PMD Workday Constants -'!B907:Y1593,22,false)</f>
        <v>#N/A</v>
      </c>
      <c r="N938" s="1" t="s">
        <v>32</v>
      </c>
      <c r="O938" s="1" t="s">
        <v>33</v>
      </c>
      <c r="P938" s="1" t="s">
        <v>222</v>
      </c>
      <c r="Q938" s="1" t="s">
        <v>222</v>
      </c>
      <c r="R938" s="1" t="s">
        <v>223</v>
      </c>
      <c r="S938" s="1" t="s">
        <v>601</v>
      </c>
      <c r="T938" s="1">
        <v>1.00655073E8</v>
      </c>
      <c r="W938" s="1" t="s">
        <v>74</v>
      </c>
      <c r="X938" s="1" t="s">
        <v>3405</v>
      </c>
    </row>
    <row r="939">
      <c r="A939" s="1" t="s">
        <v>3406</v>
      </c>
      <c r="B939" s="1" t="s">
        <v>1744</v>
      </c>
      <c r="C939" s="1" t="s">
        <v>3407</v>
      </c>
      <c r="D939" s="1" t="s">
        <v>51</v>
      </c>
      <c r="E939" s="1" t="s">
        <v>29</v>
      </c>
      <c r="F939" s="5">
        <v>1000000.0</v>
      </c>
      <c r="G939" s="1" t="s">
        <v>1114</v>
      </c>
      <c r="H939" s="1" t="s">
        <v>1349</v>
      </c>
      <c r="I939" s="4">
        <v>44871.0</v>
      </c>
      <c r="K939" s="1">
        <v>0.0</v>
      </c>
      <c r="L939" s="1" t="s">
        <v>3408</v>
      </c>
      <c r="M939" s="1" t="str">
        <f>VLOOKUP(L939,'Copy of PMD Workday Constants -'!B908:Y1594,22,false)</f>
        <v>#N/A</v>
      </c>
      <c r="N939" s="1" t="s">
        <v>32</v>
      </c>
      <c r="O939" s="1" t="s">
        <v>33</v>
      </c>
      <c r="P939" s="1" t="s">
        <v>222</v>
      </c>
      <c r="Q939" s="1" t="s">
        <v>222</v>
      </c>
      <c r="R939" s="1" t="s">
        <v>223</v>
      </c>
      <c r="S939" s="1" t="s">
        <v>482</v>
      </c>
      <c r="T939" s="1">
        <v>1.0066189E8</v>
      </c>
      <c r="W939" s="1" t="s">
        <v>456</v>
      </c>
      <c r="X939" s="1" t="s">
        <v>3409</v>
      </c>
    </row>
    <row r="940">
      <c r="A940" s="1" t="s">
        <v>3410</v>
      </c>
      <c r="B940" s="1" t="s">
        <v>411</v>
      </c>
      <c r="C940" s="1" t="s">
        <v>3411</v>
      </c>
      <c r="D940" s="1" t="s">
        <v>103</v>
      </c>
      <c r="E940" s="1" t="s">
        <v>29</v>
      </c>
      <c r="F940" s="5">
        <v>1000000.0</v>
      </c>
      <c r="G940" s="1" t="s">
        <v>1114</v>
      </c>
      <c r="H940" s="4">
        <v>43990.0</v>
      </c>
      <c r="I940" s="1" t="s">
        <v>191</v>
      </c>
      <c r="K940" s="1">
        <v>0.0</v>
      </c>
      <c r="L940" s="1" t="s">
        <v>146</v>
      </c>
      <c r="M940" s="1" t="str">
        <f>VLOOKUP(L940,'Copy of PMD Workday Constants -'!B909:Y1595,22,false)</f>
        <v>#N/A</v>
      </c>
      <c r="N940" s="1" t="s">
        <v>32</v>
      </c>
      <c r="O940" s="1" t="s">
        <v>33</v>
      </c>
      <c r="P940" s="1" t="s">
        <v>64</v>
      </c>
      <c r="Q940" s="1" t="s">
        <v>64</v>
      </c>
      <c r="R940" s="1" t="s">
        <v>65</v>
      </c>
      <c r="S940" s="1" t="s">
        <v>98</v>
      </c>
      <c r="T940" s="1">
        <v>1.00651441E8</v>
      </c>
      <c r="W940" s="1" t="s">
        <v>56</v>
      </c>
      <c r="X940" s="1" t="s">
        <v>146</v>
      </c>
    </row>
    <row r="941">
      <c r="A941" s="1" t="s">
        <v>3412</v>
      </c>
      <c r="B941" s="1" t="s">
        <v>3270</v>
      </c>
      <c r="C941" s="1" t="s">
        <v>3413</v>
      </c>
      <c r="D941" s="1" t="s">
        <v>51</v>
      </c>
      <c r="E941" s="1" t="s">
        <v>29</v>
      </c>
      <c r="F941" s="5">
        <v>1000000.0</v>
      </c>
      <c r="G941" s="1" t="s">
        <v>1114</v>
      </c>
      <c r="H941" s="1" t="s">
        <v>3414</v>
      </c>
      <c r="I941" s="1" t="s">
        <v>166</v>
      </c>
      <c r="K941" s="1">
        <v>0.0</v>
      </c>
      <c r="L941" s="1" t="s">
        <v>2381</v>
      </c>
      <c r="M941" s="1" t="str">
        <f>VLOOKUP(L941,'Copy of PMD Workday Constants -'!B910:Y1596,22,false)</f>
        <v>#N/A</v>
      </c>
      <c r="N941" s="1" t="s">
        <v>32</v>
      </c>
      <c r="O941" s="1" t="s">
        <v>33</v>
      </c>
      <c r="P941" s="1" t="s">
        <v>112</v>
      </c>
      <c r="Q941" s="1" t="s">
        <v>112</v>
      </c>
      <c r="R941" s="1" t="s">
        <v>113</v>
      </c>
      <c r="S941" s="1" t="s">
        <v>134</v>
      </c>
      <c r="T941" s="1">
        <v>1.00625755E8</v>
      </c>
      <c r="W941" s="1" t="s">
        <v>74</v>
      </c>
      <c r="X941" s="1" t="s">
        <v>1278</v>
      </c>
    </row>
    <row r="942">
      <c r="A942" s="1" t="s">
        <v>3415</v>
      </c>
      <c r="B942" s="1" t="s">
        <v>3395</v>
      </c>
      <c r="C942" s="1" t="s">
        <v>3416</v>
      </c>
      <c r="D942" s="1" t="s">
        <v>103</v>
      </c>
      <c r="E942" s="1" t="s">
        <v>29</v>
      </c>
      <c r="F942" s="5">
        <v>1000000.0</v>
      </c>
      <c r="G942" s="1" t="s">
        <v>1114</v>
      </c>
      <c r="H942" s="4">
        <v>44626.0</v>
      </c>
      <c r="I942" s="4">
        <v>44840.0</v>
      </c>
      <c r="K942" s="1">
        <v>0.0</v>
      </c>
      <c r="L942" s="1" t="s">
        <v>2058</v>
      </c>
      <c r="M942" s="1" t="str">
        <f>VLOOKUP(L942,'Copy of PMD Workday Constants -'!B911:Y1597,22,false)</f>
        <v>#N/A</v>
      </c>
      <c r="N942" s="1" t="s">
        <v>32</v>
      </c>
      <c r="O942" s="1" t="s">
        <v>33</v>
      </c>
      <c r="P942" s="1" t="s">
        <v>34</v>
      </c>
      <c r="Q942" s="1" t="s">
        <v>34</v>
      </c>
      <c r="R942" s="1" t="s">
        <v>35</v>
      </c>
      <c r="T942" s="1">
        <v>1.01076271E8</v>
      </c>
      <c r="X942" s="1" t="s">
        <v>2963</v>
      </c>
    </row>
    <row r="943">
      <c r="A943" s="1" t="s">
        <v>3417</v>
      </c>
      <c r="B943" s="1" t="s">
        <v>1483</v>
      </c>
      <c r="C943" s="1" t="s">
        <v>3418</v>
      </c>
      <c r="D943" s="1" t="s">
        <v>28</v>
      </c>
      <c r="E943" s="1" t="s">
        <v>29</v>
      </c>
      <c r="F943" s="5">
        <v>1000000.0</v>
      </c>
      <c r="G943" s="1" t="s">
        <v>1114</v>
      </c>
      <c r="H943" s="1" t="s">
        <v>3399</v>
      </c>
      <c r="I943" s="4">
        <v>45295.0</v>
      </c>
      <c r="K943" s="1">
        <v>0.0</v>
      </c>
      <c r="L943" s="1" t="s">
        <v>1780</v>
      </c>
      <c r="M943" s="1" t="str">
        <f>VLOOKUP(L943,'Copy of PMD Workday Constants -'!B912:Y1598,22,false)</f>
        <v>#N/A</v>
      </c>
      <c r="N943" s="1" t="s">
        <v>32</v>
      </c>
      <c r="O943" s="1" t="s">
        <v>33</v>
      </c>
      <c r="P943" s="1" t="s">
        <v>82</v>
      </c>
      <c r="Q943" s="1" t="s">
        <v>82</v>
      </c>
      <c r="R943" s="1" t="s">
        <v>83</v>
      </c>
      <c r="S943" s="1" t="s">
        <v>583</v>
      </c>
      <c r="T943" s="1">
        <v>1.00617113E8</v>
      </c>
      <c r="W943" s="1" t="s">
        <v>456</v>
      </c>
      <c r="X943" s="1" t="s">
        <v>768</v>
      </c>
    </row>
    <row r="944">
      <c r="A944" s="1" t="s">
        <v>3419</v>
      </c>
      <c r="B944" s="1" t="s">
        <v>3420</v>
      </c>
      <c r="C944" s="1" t="s">
        <v>3421</v>
      </c>
      <c r="D944" s="1" t="s">
        <v>28</v>
      </c>
      <c r="E944" s="1" t="s">
        <v>29</v>
      </c>
      <c r="F944" s="5">
        <v>1000000.0</v>
      </c>
      <c r="G944" s="1" t="s">
        <v>1114</v>
      </c>
      <c r="H944" s="4">
        <v>44267.0</v>
      </c>
      <c r="I944" s="1" t="s">
        <v>152</v>
      </c>
      <c r="K944" s="1">
        <v>0.0</v>
      </c>
      <c r="L944" s="1" t="s">
        <v>3422</v>
      </c>
      <c r="M944" s="1" t="str">
        <f>VLOOKUP(L944,'Copy of PMD Workday Constants -'!B913:Y1599,22,false)</f>
        <v>#N/A</v>
      </c>
      <c r="N944" s="1" t="s">
        <v>32</v>
      </c>
      <c r="O944" s="1" t="s">
        <v>33</v>
      </c>
      <c r="P944" s="1" t="s">
        <v>173</v>
      </c>
      <c r="Q944" s="1" t="s">
        <v>173</v>
      </c>
      <c r="R944" s="1" t="s">
        <v>174</v>
      </c>
      <c r="S944" s="1" t="s">
        <v>612</v>
      </c>
      <c r="T944" s="1">
        <v>1.01141463E8</v>
      </c>
      <c r="W944" s="1" t="s">
        <v>140</v>
      </c>
      <c r="X944" s="1" t="s">
        <v>3423</v>
      </c>
    </row>
    <row r="945">
      <c r="A945" s="1" t="s">
        <v>3424</v>
      </c>
      <c r="B945" s="1" t="s">
        <v>3425</v>
      </c>
      <c r="C945" s="1" t="s">
        <v>3426</v>
      </c>
      <c r="D945" s="1" t="s">
        <v>103</v>
      </c>
      <c r="E945" s="1" t="s">
        <v>29</v>
      </c>
      <c r="F945" s="5">
        <v>1000000.0</v>
      </c>
      <c r="G945" s="1" t="s">
        <v>1114</v>
      </c>
      <c r="H945" s="1" t="s">
        <v>569</v>
      </c>
      <c r="I945" s="1" t="s">
        <v>80</v>
      </c>
      <c r="K945" s="1">
        <v>0.0</v>
      </c>
      <c r="L945" s="1" t="s">
        <v>3427</v>
      </c>
      <c r="M945" s="1" t="str">
        <f>VLOOKUP(L945,'Copy of PMD Workday Constants -'!B914:Y1600,22,false)</f>
        <v>#N/A</v>
      </c>
      <c r="N945" s="1" t="s">
        <v>32</v>
      </c>
      <c r="O945" s="1" t="s">
        <v>33</v>
      </c>
      <c r="P945" s="1" t="s">
        <v>112</v>
      </c>
      <c r="Q945" s="1" t="s">
        <v>112</v>
      </c>
      <c r="R945" s="1" t="s">
        <v>113</v>
      </c>
      <c r="T945" s="1">
        <v>1.01143771E8</v>
      </c>
      <c r="W945" s="1" t="s">
        <v>56</v>
      </c>
      <c r="X945" s="1" t="s">
        <v>3427</v>
      </c>
    </row>
    <row r="946">
      <c r="A946" s="1" t="s">
        <v>3428</v>
      </c>
      <c r="B946" s="1" t="s">
        <v>1339</v>
      </c>
      <c r="C946" s="1" t="s">
        <v>3429</v>
      </c>
      <c r="D946" s="1" t="s">
        <v>103</v>
      </c>
      <c r="E946" s="1" t="s">
        <v>29</v>
      </c>
      <c r="F946" s="5">
        <v>1000000.0</v>
      </c>
      <c r="G946" s="1" t="s">
        <v>1114</v>
      </c>
      <c r="H946" s="4">
        <v>43444.0</v>
      </c>
      <c r="I946" s="1" t="s">
        <v>1528</v>
      </c>
      <c r="K946" s="1">
        <v>0.0</v>
      </c>
      <c r="L946" s="1" t="s">
        <v>968</v>
      </c>
      <c r="M946" s="1" t="str">
        <f>VLOOKUP(L946,'Copy of PMD Workday Constants -'!B915:Y1601,22,false)</f>
        <v>#N/A</v>
      </c>
      <c r="N946" s="1" t="s">
        <v>32</v>
      </c>
      <c r="O946" s="1" t="s">
        <v>33</v>
      </c>
      <c r="P946" s="1" t="s">
        <v>210</v>
      </c>
      <c r="Q946" s="1" t="s">
        <v>210</v>
      </c>
      <c r="R946" s="1" t="s">
        <v>211</v>
      </c>
      <c r="S946" s="1" t="s">
        <v>416</v>
      </c>
      <c r="T946" s="1">
        <v>1.00647262E8</v>
      </c>
      <c r="W946" s="1" t="s">
        <v>56</v>
      </c>
      <c r="X946" s="1" t="s">
        <v>968</v>
      </c>
    </row>
    <row r="947">
      <c r="A947" s="1" t="s">
        <v>3430</v>
      </c>
      <c r="B947" s="1" t="s">
        <v>1580</v>
      </c>
      <c r="C947" s="1" t="s">
        <v>3431</v>
      </c>
      <c r="D947" s="1" t="s">
        <v>51</v>
      </c>
      <c r="E947" s="1" t="s">
        <v>29</v>
      </c>
      <c r="F947" s="5">
        <v>1000000.0</v>
      </c>
      <c r="G947" s="1" t="s">
        <v>1114</v>
      </c>
      <c r="H947" s="1" t="s">
        <v>920</v>
      </c>
      <c r="I947" s="1" t="s">
        <v>217</v>
      </c>
      <c r="K947" s="1">
        <v>0.0</v>
      </c>
      <c r="L947" s="1" t="s">
        <v>1587</v>
      </c>
      <c r="M947" s="1" t="str">
        <f>VLOOKUP(L947,'Copy of PMD Workday Constants -'!B916:Y1602,22,false)</f>
        <v>#N/A</v>
      </c>
      <c r="N947" s="1" t="s">
        <v>32</v>
      </c>
      <c r="O947" s="1" t="s">
        <v>33</v>
      </c>
      <c r="P947" s="1" t="s">
        <v>64</v>
      </c>
      <c r="Q947" s="1" t="s">
        <v>64</v>
      </c>
      <c r="R947" s="1" t="s">
        <v>65</v>
      </c>
      <c r="S947" s="1" t="s">
        <v>1336</v>
      </c>
      <c r="T947" s="1">
        <v>1.01141441E8</v>
      </c>
      <c r="W947" s="1" t="s">
        <v>91</v>
      </c>
      <c r="X947" s="1" t="s">
        <v>3432</v>
      </c>
    </row>
    <row r="948">
      <c r="A948" s="1" t="s">
        <v>3433</v>
      </c>
      <c r="B948" s="1" t="s">
        <v>808</v>
      </c>
      <c r="C948" s="1" t="s">
        <v>3434</v>
      </c>
      <c r="D948" s="1" t="s">
        <v>28</v>
      </c>
      <c r="E948" s="1" t="s">
        <v>29</v>
      </c>
      <c r="F948" s="5">
        <v>1000000.0</v>
      </c>
      <c r="G948" s="1" t="s">
        <v>1114</v>
      </c>
      <c r="H948" s="1" t="s">
        <v>2290</v>
      </c>
      <c r="I948" s="1" t="s">
        <v>80</v>
      </c>
      <c r="K948" s="1">
        <v>0.0</v>
      </c>
      <c r="L948" s="1" t="s">
        <v>505</v>
      </c>
      <c r="M948" s="1" t="str">
        <f>VLOOKUP(L948,'Copy of PMD Workday Constants -'!B917:Y1603,22,false)</f>
        <v>#N/A</v>
      </c>
      <c r="N948" s="1" t="s">
        <v>32</v>
      </c>
      <c r="O948" s="1" t="s">
        <v>33</v>
      </c>
      <c r="P948" s="1" t="s">
        <v>112</v>
      </c>
      <c r="Q948" s="1" t="s">
        <v>112</v>
      </c>
      <c r="R948" s="1" t="s">
        <v>113</v>
      </c>
      <c r="S948" s="1" t="s">
        <v>126</v>
      </c>
      <c r="T948" s="1">
        <v>1.0062347E8</v>
      </c>
      <c r="W948" s="1" t="s">
        <v>308</v>
      </c>
      <c r="X948" s="1" t="s">
        <v>3435</v>
      </c>
    </row>
    <row r="949">
      <c r="A949" s="1" t="s">
        <v>3436</v>
      </c>
      <c r="B949" s="1" t="s">
        <v>311</v>
      </c>
      <c r="C949" s="1" t="s">
        <v>3437</v>
      </c>
      <c r="D949" s="1" t="s">
        <v>28</v>
      </c>
      <c r="E949" s="1" t="s">
        <v>29</v>
      </c>
      <c r="F949" s="5">
        <v>1000000.0</v>
      </c>
      <c r="G949" s="1" t="s">
        <v>1114</v>
      </c>
      <c r="H949" s="1" t="s">
        <v>1287</v>
      </c>
      <c r="I949" s="4">
        <v>44780.0</v>
      </c>
      <c r="K949" s="1">
        <v>0.0</v>
      </c>
      <c r="L949" s="1" t="s">
        <v>2133</v>
      </c>
      <c r="M949" s="1" t="str">
        <f>VLOOKUP(L949,'Copy of PMD Workday Constants -'!B918:Y1604,22,false)</f>
        <v>#N/A</v>
      </c>
      <c r="N949" s="1" t="s">
        <v>32</v>
      </c>
      <c r="O949" s="1" t="s">
        <v>33</v>
      </c>
      <c r="P949" s="1" t="s">
        <v>64</v>
      </c>
      <c r="Q949" s="1" t="s">
        <v>64</v>
      </c>
      <c r="R949" s="1" t="s">
        <v>65</v>
      </c>
      <c r="T949" s="1">
        <v>1.00653977E8</v>
      </c>
      <c r="W949" s="1" t="s">
        <v>140</v>
      </c>
      <c r="X949" s="1" t="s">
        <v>547</v>
      </c>
    </row>
    <row r="950">
      <c r="A950" s="1" t="s">
        <v>3438</v>
      </c>
      <c r="B950" s="1" t="s">
        <v>530</v>
      </c>
      <c r="C950" s="1" t="s">
        <v>3439</v>
      </c>
      <c r="D950" s="1" t="s">
        <v>51</v>
      </c>
      <c r="E950" s="1" t="s">
        <v>29</v>
      </c>
      <c r="F950" s="5">
        <v>1000000.0</v>
      </c>
      <c r="G950" s="1" t="s">
        <v>1114</v>
      </c>
      <c r="H950" s="1" t="s">
        <v>2484</v>
      </c>
      <c r="I950" s="4">
        <v>44569.0</v>
      </c>
      <c r="K950" s="1">
        <v>0.0</v>
      </c>
      <c r="L950" s="1" t="s">
        <v>338</v>
      </c>
      <c r="M950" s="1" t="str">
        <f>VLOOKUP(L950,'Copy of PMD Workday Constants -'!B919:Y1605,22,false)</f>
        <v>#N/A</v>
      </c>
      <c r="N950" s="1" t="s">
        <v>32</v>
      </c>
      <c r="O950" s="1" t="s">
        <v>33</v>
      </c>
      <c r="P950" s="1" t="s">
        <v>34</v>
      </c>
      <c r="Q950" s="1" t="s">
        <v>34</v>
      </c>
      <c r="R950" s="1" t="s">
        <v>35</v>
      </c>
      <c r="S950" s="1" t="s">
        <v>383</v>
      </c>
      <c r="T950" s="1">
        <v>1.00619817E8</v>
      </c>
      <c r="W950" s="1" t="s">
        <v>533</v>
      </c>
      <c r="X950" s="1" t="s">
        <v>3440</v>
      </c>
    </row>
    <row r="951">
      <c r="A951" s="1" t="s">
        <v>3441</v>
      </c>
      <c r="B951" s="1" t="s">
        <v>1817</v>
      </c>
      <c r="C951" s="1" t="s">
        <v>3442</v>
      </c>
      <c r="D951" s="1" t="s">
        <v>103</v>
      </c>
      <c r="E951" s="1" t="s">
        <v>29</v>
      </c>
      <c r="F951" s="5">
        <v>1000000.0</v>
      </c>
      <c r="G951" s="1" t="s">
        <v>1114</v>
      </c>
      <c r="H951" s="1" t="s">
        <v>3443</v>
      </c>
      <c r="I951" s="1" t="s">
        <v>104</v>
      </c>
      <c r="K951" s="1">
        <v>0.0</v>
      </c>
      <c r="L951" s="1" t="s">
        <v>198</v>
      </c>
      <c r="M951" s="1" t="str">
        <f>VLOOKUP(L951,'Copy of PMD Workday Constants -'!B920:Y1606,22,false)</f>
        <v>#N/A</v>
      </c>
      <c r="N951" s="1" t="s">
        <v>32</v>
      </c>
      <c r="O951" s="1" t="s">
        <v>33</v>
      </c>
      <c r="P951" s="1" t="s">
        <v>82</v>
      </c>
      <c r="Q951" s="1" t="s">
        <v>82</v>
      </c>
      <c r="R951" s="1" t="s">
        <v>83</v>
      </c>
      <c r="S951" s="1" t="s">
        <v>180</v>
      </c>
      <c r="T951" s="1">
        <v>1.00590896E8</v>
      </c>
      <c r="W951" s="1" t="s">
        <v>85</v>
      </c>
      <c r="X951" s="1" t="s">
        <v>198</v>
      </c>
    </row>
    <row r="952">
      <c r="A952" s="1" t="s">
        <v>3444</v>
      </c>
      <c r="B952" s="1" t="s">
        <v>129</v>
      </c>
      <c r="C952" s="1" t="s">
        <v>3445</v>
      </c>
      <c r="D952" s="1" t="s">
        <v>51</v>
      </c>
      <c r="E952" s="1" t="s">
        <v>29</v>
      </c>
      <c r="F952" s="5">
        <v>1000000.0</v>
      </c>
      <c r="G952" s="1" t="s">
        <v>1114</v>
      </c>
      <c r="H952" s="1" t="s">
        <v>52</v>
      </c>
      <c r="I952" s="4">
        <v>44568.0</v>
      </c>
      <c r="K952" s="1">
        <v>0.0</v>
      </c>
      <c r="L952" s="1" t="s">
        <v>1357</v>
      </c>
      <c r="M952" s="1" t="str">
        <f>VLOOKUP(L952,'Copy of PMD Workday Constants -'!B921:Y1607,22,false)</f>
        <v>#N/A</v>
      </c>
      <c r="N952" s="1" t="s">
        <v>32</v>
      </c>
      <c r="O952" s="1" t="s">
        <v>33</v>
      </c>
      <c r="P952" s="1" t="s">
        <v>64</v>
      </c>
      <c r="Q952" s="1" t="s">
        <v>64</v>
      </c>
      <c r="R952" s="1" t="s">
        <v>65</v>
      </c>
      <c r="T952" s="1">
        <v>1.00589587E8</v>
      </c>
      <c r="W952" s="1" t="s">
        <v>74</v>
      </c>
      <c r="X952" s="1" t="s">
        <v>3446</v>
      </c>
    </row>
    <row r="953">
      <c r="A953" s="1" t="s">
        <v>3447</v>
      </c>
      <c r="B953" s="1" t="s">
        <v>3448</v>
      </c>
      <c r="C953" s="1" t="s">
        <v>3449</v>
      </c>
      <c r="D953" s="1" t="s">
        <v>51</v>
      </c>
      <c r="E953" s="1" t="s">
        <v>29</v>
      </c>
      <c r="F953" s="5">
        <v>1000000.0</v>
      </c>
      <c r="G953" s="1" t="s">
        <v>1114</v>
      </c>
      <c r="H953" s="1" t="s">
        <v>3450</v>
      </c>
      <c r="I953" s="1" t="s">
        <v>104</v>
      </c>
      <c r="K953" s="1">
        <v>0.0</v>
      </c>
      <c r="L953" s="1" t="s">
        <v>139</v>
      </c>
      <c r="M953" s="1" t="str">
        <f>VLOOKUP(L953,'Copy of PMD Workday Constants -'!B922:Y1608,22,false)</f>
        <v>#N/A</v>
      </c>
      <c r="N953" s="1" t="s">
        <v>32</v>
      </c>
      <c r="O953" s="1" t="s">
        <v>33</v>
      </c>
      <c r="P953" s="1" t="s">
        <v>112</v>
      </c>
      <c r="Q953" s="1" t="s">
        <v>112</v>
      </c>
      <c r="R953" s="1" t="s">
        <v>113</v>
      </c>
      <c r="S953" s="1" t="s">
        <v>3451</v>
      </c>
      <c r="T953" s="1">
        <v>1.00592496E8</v>
      </c>
      <c r="W953" s="1" t="s">
        <v>1303</v>
      </c>
      <c r="X953" s="1" t="s">
        <v>3452</v>
      </c>
    </row>
    <row r="954">
      <c r="A954" s="1" t="s">
        <v>3453</v>
      </c>
      <c r="B954" s="1" t="s">
        <v>756</v>
      </c>
      <c r="C954" s="1" t="s">
        <v>3454</v>
      </c>
      <c r="D954" s="1" t="s">
        <v>79</v>
      </c>
      <c r="E954" s="1" t="s">
        <v>29</v>
      </c>
      <c r="F954" s="5">
        <v>1000000.0</v>
      </c>
      <c r="G954" s="1" t="s">
        <v>1114</v>
      </c>
      <c r="H954" s="1" t="s">
        <v>2290</v>
      </c>
      <c r="I954" s="1" t="s">
        <v>810</v>
      </c>
      <c r="K954" s="1">
        <v>0.0</v>
      </c>
      <c r="L954" s="1" t="s">
        <v>1344</v>
      </c>
      <c r="M954" s="1" t="str">
        <f>VLOOKUP(L954,'Copy of PMD Workday Constants -'!B923:Y1609,22,false)</f>
        <v>#N/A</v>
      </c>
      <c r="N954" s="1" t="s">
        <v>32</v>
      </c>
      <c r="O954" s="1" t="s">
        <v>33</v>
      </c>
      <c r="P954" s="1" t="s">
        <v>112</v>
      </c>
      <c r="Q954" s="1" t="s">
        <v>112</v>
      </c>
      <c r="R954" s="1" t="s">
        <v>113</v>
      </c>
      <c r="S954" s="1" t="s">
        <v>134</v>
      </c>
      <c r="T954" s="1">
        <v>1.0061941E8</v>
      </c>
      <c r="W954" s="1" t="s">
        <v>74</v>
      </c>
      <c r="X954" s="1" t="s">
        <v>1711</v>
      </c>
    </row>
    <row r="955">
      <c r="A955" s="1" t="s">
        <v>3455</v>
      </c>
      <c r="B955" s="1" t="s">
        <v>3456</v>
      </c>
      <c r="C955" s="1" t="s">
        <v>3457</v>
      </c>
      <c r="D955" s="1" t="s">
        <v>28</v>
      </c>
      <c r="E955" s="1" t="s">
        <v>29</v>
      </c>
      <c r="F955" s="5">
        <v>1000000.0</v>
      </c>
      <c r="G955" s="1" t="s">
        <v>1114</v>
      </c>
      <c r="H955" s="1" t="s">
        <v>1022</v>
      </c>
      <c r="I955" s="1" t="s">
        <v>510</v>
      </c>
      <c r="K955" s="1">
        <v>0.0</v>
      </c>
      <c r="L955" s="1" t="s">
        <v>3458</v>
      </c>
      <c r="M955" s="1" t="str">
        <f>VLOOKUP(L955,'Copy of PMD Workday Constants -'!B924:Y1610,22,false)</f>
        <v>#N/A</v>
      </c>
      <c r="N955" s="1" t="s">
        <v>32</v>
      </c>
      <c r="O955" s="1" t="s">
        <v>33</v>
      </c>
      <c r="P955" s="1" t="s">
        <v>112</v>
      </c>
      <c r="Q955" s="1" t="s">
        <v>112</v>
      </c>
      <c r="R955" s="1" t="s">
        <v>113</v>
      </c>
      <c r="T955" s="1">
        <v>1.00618416E8</v>
      </c>
      <c r="W955" s="1" t="s">
        <v>140</v>
      </c>
      <c r="X955" s="1" t="s">
        <v>3458</v>
      </c>
    </row>
    <row r="956">
      <c r="A956" s="1" t="s">
        <v>3459</v>
      </c>
      <c r="B956" s="1" t="s">
        <v>403</v>
      </c>
      <c r="C956" s="1" t="s">
        <v>3460</v>
      </c>
      <c r="D956" s="1" t="s">
        <v>28</v>
      </c>
      <c r="E956" s="1" t="s">
        <v>29</v>
      </c>
      <c r="F956" s="5">
        <v>1000000.0</v>
      </c>
      <c r="G956" s="1" t="s">
        <v>1114</v>
      </c>
      <c r="H956" s="1" t="s">
        <v>3399</v>
      </c>
      <c r="I956" s="1" t="s">
        <v>302</v>
      </c>
      <c r="K956" s="1">
        <v>0.0</v>
      </c>
      <c r="L956" s="1" t="s">
        <v>2136</v>
      </c>
      <c r="M956" s="1" t="str">
        <f>VLOOKUP(L956,'Copy of PMD Workday Constants -'!B925:Y1611,22,false)</f>
        <v>#N/A</v>
      </c>
      <c r="N956" s="1" t="s">
        <v>32</v>
      </c>
      <c r="O956" s="1" t="s">
        <v>33</v>
      </c>
      <c r="P956" s="1" t="s">
        <v>34</v>
      </c>
      <c r="Q956" s="1" t="s">
        <v>34</v>
      </c>
      <c r="R956" s="1" t="s">
        <v>35</v>
      </c>
      <c r="T956" s="1">
        <v>1.00610903E8</v>
      </c>
      <c r="U956" s="1" t="s">
        <v>3461</v>
      </c>
      <c r="V956" s="1" t="s">
        <v>46</v>
      </c>
      <c r="W956" s="1" t="s">
        <v>37</v>
      </c>
      <c r="X956" s="1" t="s">
        <v>3462</v>
      </c>
    </row>
    <row r="957">
      <c r="A957" s="1" t="s">
        <v>3463</v>
      </c>
      <c r="B957" s="1" t="s">
        <v>1664</v>
      </c>
      <c r="C957" s="1" t="s">
        <v>3464</v>
      </c>
      <c r="D957" s="1" t="s">
        <v>28</v>
      </c>
      <c r="E957" s="1" t="s">
        <v>29</v>
      </c>
      <c r="F957" s="5">
        <v>1000000.0</v>
      </c>
      <c r="G957" s="1" t="s">
        <v>1114</v>
      </c>
      <c r="H957" s="4">
        <v>44685.0</v>
      </c>
      <c r="I957" s="4">
        <v>44626.0</v>
      </c>
      <c r="K957" s="1">
        <v>0.0</v>
      </c>
      <c r="L957" s="1" t="s">
        <v>3465</v>
      </c>
      <c r="M957" s="1" t="str">
        <f>VLOOKUP(L957,'Copy of PMD Workday Constants -'!B926:Y1612,22,false)</f>
        <v>#N/A</v>
      </c>
      <c r="N957" s="1" t="s">
        <v>32</v>
      </c>
      <c r="O957" s="1" t="s">
        <v>33</v>
      </c>
      <c r="P957" s="1" t="s">
        <v>34</v>
      </c>
      <c r="Q957" s="1" t="s">
        <v>34</v>
      </c>
      <c r="R957" s="1" t="s">
        <v>35</v>
      </c>
      <c r="S957" s="1" t="s">
        <v>383</v>
      </c>
      <c r="T957" s="1">
        <v>1.00588959E8</v>
      </c>
      <c r="W957" s="1" t="s">
        <v>147</v>
      </c>
      <c r="X957" s="1" t="s">
        <v>2194</v>
      </c>
    </row>
    <row r="958">
      <c r="A958" s="1" t="s">
        <v>3466</v>
      </c>
      <c r="B958" s="1" t="s">
        <v>40</v>
      </c>
      <c r="C958" s="1" t="s">
        <v>3467</v>
      </c>
      <c r="D958" s="1" t="s">
        <v>51</v>
      </c>
      <c r="E958" s="1" t="s">
        <v>29</v>
      </c>
      <c r="F958" s="5">
        <v>1000000.0</v>
      </c>
      <c r="G958" s="1" t="s">
        <v>1114</v>
      </c>
      <c r="H958" s="4">
        <v>44836.0</v>
      </c>
      <c r="I958" s="1" t="s">
        <v>406</v>
      </c>
      <c r="K958" s="1">
        <v>0.0</v>
      </c>
      <c r="L958" s="1" t="s">
        <v>3201</v>
      </c>
      <c r="M958" s="1" t="str">
        <f>VLOOKUP(L958,'Copy of PMD Workday Constants -'!B927:Y1613,22,false)</f>
        <v>#N/A</v>
      </c>
      <c r="N958" s="1" t="s">
        <v>32</v>
      </c>
      <c r="O958" s="1" t="s">
        <v>33</v>
      </c>
      <c r="P958" s="1" t="s">
        <v>34</v>
      </c>
      <c r="Q958" s="1" t="s">
        <v>34</v>
      </c>
      <c r="R958" s="1" t="s">
        <v>35</v>
      </c>
      <c r="S958" s="1" t="s">
        <v>126</v>
      </c>
      <c r="T958" s="1">
        <v>1.00651946E8</v>
      </c>
      <c r="W958" s="1" t="s">
        <v>47</v>
      </c>
      <c r="X958" s="1" t="s">
        <v>127</v>
      </c>
    </row>
    <row r="959">
      <c r="A959" s="1" t="s">
        <v>3468</v>
      </c>
      <c r="B959" s="1" t="s">
        <v>2263</v>
      </c>
      <c r="C959" s="1" t="s">
        <v>3469</v>
      </c>
      <c r="D959" s="1" t="s">
        <v>51</v>
      </c>
      <c r="E959" s="1" t="s">
        <v>29</v>
      </c>
      <c r="F959" s="5">
        <v>1000000.0</v>
      </c>
      <c r="G959" s="1" t="s">
        <v>1114</v>
      </c>
      <c r="H959" s="1" t="s">
        <v>2290</v>
      </c>
      <c r="I959" s="1" t="s">
        <v>526</v>
      </c>
      <c r="K959" s="1">
        <v>0.0</v>
      </c>
      <c r="L959" s="1" t="s">
        <v>3470</v>
      </c>
      <c r="M959" s="1" t="str">
        <f>VLOOKUP(L959,'Copy of PMD Workday Constants -'!B928:Y1614,22,false)</f>
        <v>#N/A</v>
      </c>
      <c r="N959" s="1" t="s">
        <v>32</v>
      </c>
      <c r="O959" s="1" t="s">
        <v>33</v>
      </c>
      <c r="P959" s="1" t="s">
        <v>112</v>
      </c>
      <c r="Q959" s="1" t="s">
        <v>112</v>
      </c>
      <c r="R959" s="1" t="s">
        <v>113</v>
      </c>
      <c r="T959" s="1">
        <v>1.00643097E8</v>
      </c>
      <c r="W959" s="1" t="s">
        <v>47</v>
      </c>
      <c r="X959" s="1" t="s">
        <v>3470</v>
      </c>
    </row>
    <row r="960">
      <c r="A960" s="1" t="s">
        <v>3471</v>
      </c>
      <c r="B960" s="1" t="s">
        <v>2513</v>
      </c>
      <c r="C960" s="1" t="s">
        <v>3472</v>
      </c>
      <c r="D960" s="1" t="s">
        <v>28</v>
      </c>
      <c r="E960" s="1" t="s">
        <v>29</v>
      </c>
      <c r="F960" s="5">
        <v>1000000.0</v>
      </c>
      <c r="G960" s="1" t="s">
        <v>1114</v>
      </c>
      <c r="H960" s="1" t="s">
        <v>2884</v>
      </c>
      <c r="I960" s="1" t="s">
        <v>302</v>
      </c>
      <c r="K960" s="1">
        <v>0.0</v>
      </c>
      <c r="L960" s="1" t="s">
        <v>2885</v>
      </c>
      <c r="M960" s="1" t="str">
        <f>VLOOKUP(L960,'Copy of PMD Workday Constants -'!B929:Y1615,22,false)</f>
        <v>#N/A</v>
      </c>
      <c r="N960" s="1" t="s">
        <v>32</v>
      </c>
      <c r="O960" s="1" t="s">
        <v>33</v>
      </c>
      <c r="P960" s="1" t="s">
        <v>210</v>
      </c>
      <c r="Q960" s="1" t="s">
        <v>210</v>
      </c>
      <c r="R960" s="1" t="s">
        <v>211</v>
      </c>
      <c r="S960" s="1" t="s">
        <v>3473</v>
      </c>
      <c r="T960" s="1">
        <v>1.00647463E8</v>
      </c>
      <c r="W960" s="1" t="s">
        <v>56</v>
      </c>
      <c r="X960" s="1" t="s">
        <v>2885</v>
      </c>
    </row>
    <row r="961">
      <c r="A961" s="1" t="s">
        <v>3474</v>
      </c>
      <c r="B961" s="1" t="s">
        <v>3420</v>
      </c>
      <c r="C961" s="1" t="s">
        <v>3475</v>
      </c>
      <c r="D961" s="1" t="s">
        <v>28</v>
      </c>
      <c r="E961" s="1" t="s">
        <v>29</v>
      </c>
      <c r="F961" s="5">
        <v>1000000.0</v>
      </c>
      <c r="G961" s="1" t="s">
        <v>1114</v>
      </c>
      <c r="H961" s="1" t="s">
        <v>1919</v>
      </c>
      <c r="I961" s="1" t="s">
        <v>313</v>
      </c>
      <c r="K961" s="1">
        <v>0.0</v>
      </c>
      <c r="L961" s="1" t="s">
        <v>3476</v>
      </c>
      <c r="M961" s="1" t="str">
        <f>VLOOKUP(L961,'Copy of PMD Workday Constants -'!B930:Y1616,22,false)</f>
        <v>#N/A</v>
      </c>
      <c r="N961" s="1" t="s">
        <v>32</v>
      </c>
      <c r="O961" s="1" t="s">
        <v>33</v>
      </c>
      <c r="P961" s="1" t="s">
        <v>112</v>
      </c>
      <c r="Q961" s="1" t="s">
        <v>112</v>
      </c>
      <c r="R961" s="1" t="s">
        <v>113</v>
      </c>
      <c r="S961" s="1" t="s">
        <v>114</v>
      </c>
      <c r="T961" s="1">
        <v>1.00702554E8</v>
      </c>
      <c r="W961" s="1" t="s">
        <v>140</v>
      </c>
      <c r="X961" s="1" t="s">
        <v>3423</v>
      </c>
    </row>
    <row r="962">
      <c r="A962" s="1" t="s">
        <v>3477</v>
      </c>
      <c r="B962" s="1" t="s">
        <v>3478</v>
      </c>
      <c r="C962" s="1" t="s">
        <v>3479</v>
      </c>
      <c r="D962" s="1" t="s">
        <v>28</v>
      </c>
      <c r="E962" s="1" t="s">
        <v>29</v>
      </c>
      <c r="F962" s="5">
        <v>1000000.0</v>
      </c>
      <c r="G962" s="1" t="s">
        <v>1114</v>
      </c>
      <c r="H962" s="4">
        <v>44321.0</v>
      </c>
      <c r="I962" s="4">
        <v>44569.0</v>
      </c>
      <c r="K962" s="1">
        <v>0.0</v>
      </c>
      <c r="L962" s="1" t="s">
        <v>3480</v>
      </c>
      <c r="M962" s="1" t="str">
        <f>VLOOKUP(L962,'Copy of PMD Workday Constants -'!B931:Y1617,22,false)</f>
        <v>#N/A</v>
      </c>
      <c r="N962" s="1" t="s">
        <v>32</v>
      </c>
      <c r="O962" s="1" t="s">
        <v>33</v>
      </c>
      <c r="P962" s="1" t="s">
        <v>112</v>
      </c>
      <c r="Q962" s="1" t="s">
        <v>112</v>
      </c>
      <c r="R962" s="1" t="s">
        <v>113</v>
      </c>
      <c r="S962" s="1" t="s">
        <v>114</v>
      </c>
      <c r="T962" s="1">
        <v>1.00628223E8</v>
      </c>
      <c r="W962" s="1" t="s">
        <v>947</v>
      </c>
      <c r="X962" s="1" t="s">
        <v>3481</v>
      </c>
    </row>
    <row r="963">
      <c r="A963" s="1" t="s">
        <v>3482</v>
      </c>
      <c r="B963" s="1" t="s">
        <v>143</v>
      </c>
      <c r="C963" s="1" t="s">
        <v>3483</v>
      </c>
      <c r="D963" s="1" t="s">
        <v>51</v>
      </c>
      <c r="E963" s="1" t="s">
        <v>29</v>
      </c>
      <c r="F963" s="5">
        <v>1000000.0</v>
      </c>
      <c r="G963" s="1" t="s">
        <v>1114</v>
      </c>
      <c r="H963" s="1" t="s">
        <v>1915</v>
      </c>
      <c r="I963" s="1" t="s">
        <v>414</v>
      </c>
      <c r="K963" s="1">
        <v>0.0</v>
      </c>
      <c r="L963" s="1" t="s">
        <v>806</v>
      </c>
      <c r="M963" s="1" t="str">
        <f>VLOOKUP(L963,'Copy of PMD Workday Constants -'!B932:Y1618,22,false)</f>
        <v>#N/A</v>
      </c>
      <c r="N963" s="1" t="s">
        <v>32</v>
      </c>
      <c r="O963" s="1" t="s">
        <v>33</v>
      </c>
      <c r="P963" s="1" t="s">
        <v>173</v>
      </c>
      <c r="Q963" s="1" t="s">
        <v>173</v>
      </c>
      <c r="R963" s="1" t="s">
        <v>174</v>
      </c>
      <c r="S963" s="1" t="s">
        <v>612</v>
      </c>
      <c r="T963" s="1">
        <v>1.00581784E8</v>
      </c>
      <c r="W963" s="1" t="s">
        <v>147</v>
      </c>
      <c r="X963" s="1" t="s">
        <v>806</v>
      </c>
    </row>
    <row r="964">
      <c r="A964" s="1" t="s">
        <v>3484</v>
      </c>
      <c r="B964" s="1" t="s">
        <v>324</v>
      </c>
      <c r="C964" s="1" t="s">
        <v>3485</v>
      </c>
      <c r="D964" s="1" t="s">
        <v>79</v>
      </c>
      <c r="E964" s="1" t="s">
        <v>29</v>
      </c>
      <c r="F964" s="5">
        <v>1000000.0</v>
      </c>
      <c r="G964" s="1" t="s">
        <v>1114</v>
      </c>
      <c r="H964" s="1" t="s">
        <v>110</v>
      </c>
      <c r="I964" s="1" t="s">
        <v>152</v>
      </c>
      <c r="K964" s="1">
        <v>0.0</v>
      </c>
      <c r="L964" s="1" t="s">
        <v>1674</v>
      </c>
      <c r="M964" s="1" t="str">
        <f>VLOOKUP(L964,'Copy of PMD Workday Constants -'!B933:Y1619,22,false)</f>
        <v>#N/A</v>
      </c>
      <c r="N964" s="1" t="s">
        <v>32</v>
      </c>
      <c r="O964" s="1" t="s">
        <v>33</v>
      </c>
      <c r="P964" s="1" t="s">
        <v>210</v>
      </c>
      <c r="Q964" s="1" t="s">
        <v>210</v>
      </c>
      <c r="R964" s="1" t="s">
        <v>211</v>
      </c>
      <c r="S964" s="1" t="s">
        <v>212</v>
      </c>
      <c r="T964" s="1">
        <v>1.00648421E8</v>
      </c>
      <c r="W964" s="1" t="s">
        <v>56</v>
      </c>
      <c r="X964" s="1" t="s">
        <v>1674</v>
      </c>
    </row>
    <row r="965">
      <c r="A965" s="1" t="s">
        <v>3486</v>
      </c>
      <c r="B965" s="1" t="s">
        <v>49</v>
      </c>
      <c r="C965" s="1" t="s">
        <v>3487</v>
      </c>
      <c r="D965" s="1" t="s">
        <v>28</v>
      </c>
      <c r="E965" s="1" t="s">
        <v>29</v>
      </c>
      <c r="F965" s="5">
        <v>1000000.0</v>
      </c>
      <c r="G965" s="1" t="s">
        <v>1114</v>
      </c>
      <c r="H965" s="1" t="s">
        <v>52</v>
      </c>
      <c r="I965" s="1" t="s">
        <v>152</v>
      </c>
      <c r="K965" s="1">
        <v>0.0</v>
      </c>
      <c r="L965" s="1" t="s">
        <v>53</v>
      </c>
      <c r="M965" s="1" t="str">
        <f>VLOOKUP(L965,'Copy of PMD Workday Constants -'!B934:Y1620,22,false)</f>
        <v>#N/A</v>
      </c>
      <c r="N965" s="1" t="s">
        <v>32</v>
      </c>
      <c r="O965" s="1" t="s">
        <v>33</v>
      </c>
      <c r="P965" s="1" t="s">
        <v>54</v>
      </c>
      <c r="Q965" s="1" t="s">
        <v>54</v>
      </c>
      <c r="R965" s="1" t="s">
        <v>55</v>
      </c>
      <c r="S965" s="1" t="s">
        <v>654</v>
      </c>
      <c r="T965" s="1">
        <v>1.00690767E8</v>
      </c>
      <c r="W965" s="1" t="s">
        <v>56</v>
      </c>
      <c r="X965" s="1" t="s">
        <v>1266</v>
      </c>
    </row>
    <row r="966">
      <c r="A966" s="1" t="s">
        <v>3488</v>
      </c>
      <c r="B966" s="1" t="s">
        <v>3489</v>
      </c>
      <c r="C966" s="1" t="s">
        <v>3490</v>
      </c>
      <c r="D966" s="1" t="s">
        <v>103</v>
      </c>
      <c r="E966" s="1" t="s">
        <v>29</v>
      </c>
      <c r="F966" s="5">
        <v>1000000.0</v>
      </c>
      <c r="G966" s="1" t="s">
        <v>1114</v>
      </c>
      <c r="H966" s="1" t="s">
        <v>1134</v>
      </c>
      <c r="I966" s="1" t="s">
        <v>80</v>
      </c>
      <c r="K966" s="1">
        <v>0.0</v>
      </c>
      <c r="L966" s="1" t="s">
        <v>3491</v>
      </c>
      <c r="M966" s="1" t="str">
        <f>VLOOKUP(L966,'Copy of PMD Workday Constants -'!B935:Y1621,22,false)</f>
        <v>#N/A</v>
      </c>
      <c r="N966" s="1" t="s">
        <v>32</v>
      </c>
      <c r="O966" s="1" t="s">
        <v>33</v>
      </c>
      <c r="P966" s="1" t="s">
        <v>54</v>
      </c>
      <c r="Q966" s="1" t="s">
        <v>54</v>
      </c>
      <c r="R966" s="1" t="s">
        <v>55</v>
      </c>
      <c r="S966" s="1" t="s">
        <v>1457</v>
      </c>
      <c r="T966" s="1">
        <v>1.00611003E8</v>
      </c>
      <c r="U966" s="1" t="s">
        <v>3492</v>
      </c>
      <c r="V966" s="1" t="s">
        <v>46</v>
      </c>
      <c r="W966" s="1" t="s">
        <v>85</v>
      </c>
      <c r="X966" s="1" t="s">
        <v>3493</v>
      </c>
    </row>
    <row r="967">
      <c r="A967" s="1" t="s">
        <v>3494</v>
      </c>
      <c r="B967" s="1" t="s">
        <v>954</v>
      </c>
      <c r="C967" s="1" t="s">
        <v>3495</v>
      </c>
      <c r="D967" s="1" t="s">
        <v>28</v>
      </c>
      <c r="E967" s="1" t="s">
        <v>29</v>
      </c>
      <c r="F967" s="5">
        <v>1000000.0</v>
      </c>
      <c r="G967" s="1" t="s">
        <v>1114</v>
      </c>
      <c r="H967" s="1" t="s">
        <v>3496</v>
      </c>
      <c r="I967" s="1" t="s">
        <v>810</v>
      </c>
      <c r="K967" s="1">
        <v>0.0</v>
      </c>
      <c r="L967" s="1" t="s">
        <v>2703</v>
      </c>
      <c r="M967" s="1" t="str">
        <f>VLOOKUP(L967,'Copy of PMD Workday Constants -'!B936:Y1622,22,false)</f>
        <v>#N/A</v>
      </c>
      <c r="N967" s="1" t="s">
        <v>32</v>
      </c>
      <c r="O967" s="1" t="s">
        <v>33</v>
      </c>
      <c r="P967" s="1" t="s">
        <v>34</v>
      </c>
      <c r="Q967" s="1" t="s">
        <v>34</v>
      </c>
      <c r="R967" s="1" t="s">
        <v>35</v>
      </c>
      <c r="S967" s="1" t="s">
        <v>612</v>
      </c>
      <c r="T967" s="1">
        <v>1.00866856E8</v>
      </c>
      <c r="W967" s="1" t="s">
        <v>147</v>
      </c>
      <c r="X967" s="1" t="s">
        <v>2703</v>
      </c>
    </row>
    <row r="968">
      <c r="A968" s="1" t="s">
        <v>3497</v>
      </c>
      <c r="B968" s="1" t="s">
        <v>973</v>
      </c>
      <c r="C968" s="1" t="s">
        <v>3498</v>
      </c>
      <c r="D968" s="1" t="s">
        <v>28</v>
      </c>
      <c r="E968" s="1" t="s">
        <v>29</v>
      </c>
      <c r="F968" s="5">
        <v>1000000.0</v>
      </c>
      <c r="G968" s="1" t="s">
        <v>1114</v>
      </c>
      <c r="H968" s="1" t="s">
        <v>975</v>
      </c>
      <c r="I968" s="1" t="s">
        <v>171</v>
      </c>
      <c r="K968" s="1">
        <v>0.0</v>
      </c>
      <c r="L968" s="1" t="s">
        <v>3499</v>
      </c>
      <c r="M968" s="1" t="str">
        <f>VLOOKUP(L968,'Copy of PMD Workday Constants -'!B937:Y1623,22,false)</f>
        <v>#N/A</v>
      </c>
      <c r="N968" s="1" t="s">
        <v>32</v>
      </c>
      <c r="O968" s="1" t="s">
        <v>33</v>
      </c>
      <c r="P968" s="1" t="s">
        <v>222</v>
      </c>
      <c r="Q968" s="1" t="s">
        <v>222</v>
      </c>
      <c r="R968" s="1" t="s">
        <v>223</v>
      </c>
      <c r="S968" s="1" t="s">
        <v>601</v>
      </c>
      <c r="T968" s="1">
        <v>1.00662113E8</v>
      </c>
      <c r="W968" s="1" t="s">
        <v>456</v>
      </c>
      <c r="X968" s="1" t="s">
        <v>977</v>
      </c>
    </row>
    <row r="969">
      <c r="A969" s="1" t="s">
        <v>3500</v>
      </c>
      <c r="B969" s="1" t="s">
        <v>3501</v>
      </c>
      <c r="C969" s="1" t="s">
        <v>3502</v>
      </c>
      <c r="D969" s="1" t="s">
        <v>51</v>
      </c>
      <c r="E969" s="1" t="s">
        <v>29</v>
      </c>
      <c r="F969" s="5">
        <v>1000000.0</v>
      </c>
      <c r="G969" s="1" t="s">
        <v>1114</v>
      </c>
      <c r="H969" s="1" t="s">
        <v>1134</v>
      </c>
      <c r="I969" s="1" t="s">
        <v>104</v>
      </c>
      <c r="K969" s="1">
        <v>0.0</v>
      </c>
      <c r="L969" s="1" t="s">
        <v>119</v>
      </c>
      <c r="M969" s="1" t="str">
        <f>VLOOKUP(L969,'Copy of PMD Workday Constants -'!B938:Y1624,22,false)</f>
        <v>#N/A</v>
      </c>
      <c r="N969" s="1" t="s">
        <v>32</v>
      </c>
      <c r="O969" s="1" t="s">
        <v>33</v>
      </c>
      <c r="P969" s="1" t="s">
        <v>112</v>
      </c>
      <c r="Q969" s="1" t="s">
        <v>112</v>
      </c>
      <c r="R969" s="1" t="s">
        <v>113</v>
      </c>
      <c r="S969" s="1" t="s">
        <v>120</v>
      </c>
      <c r="T969" s="1">
        <v>1.00641038E8</v>
      </c>
      <c r="W969" s="1" t="s">
        <v>436</v>
      </c>
      <c r="X969" s="1" t="s">
        <v>359</v>
      </c>
    </row>
    <row r="970">
      <c r="A970" s="1" t="s">
        <v>3503</v>
      </c>
      <c r="B970" s="1" t="s">
        <v>3504</v>
      </c>
      <c r="C970" s="1" t="s">
        <v>3505</v>
      </c>
      <c r="D970" s="1" t="s">
        <v>51</v>
      </c>
      <c r="E970" s="1" t="s">
        <v>29</v>
      </c>
      <c r="F970" s="5">
        <v>1000000.0</v>
      </c>
      <c r="G970" s="1" t="s">
        <v>1114</v>
      </c>
      <c r="H970" s="1" t="s">
        <v>509</v>
      </c>
      <c r="I970" s="4">
        <v>44568.0</v>
      </c>
      <c r="K970" s="1">
        <v>0.0</v>
      </c>
      <c r="L970" s="1" t="s">
        <v>370</v>
      </c>
      <c r="M970" s="1" t="str">
        <f>VLOOKUP(L970,'Copy of PMD Workday Constants -'!B939:Y1625,22,false)</f>
        <v>#N/A</v>
      </c>
      <c r="N970" s="1" t="s">
        <v>32</v>
      </c>
      <c r="O970" s="1" t="s">
        <v>33</v>
      </c>
      <c r="P970" s="1" t="s">
        <v>210</v>
      </c>
      <c r="Q970" s="1" t="s">
        <v>210</v>
      </c>
      <c r="R970" s="1" t="s">
        <v>211</v>
      </c>
      <c r="S970" s="1" t="s">
        <v>297</v>
      </c>
      <c r="T970" s="1">
        <v>1.00658132E8</v>
      </c>
      <c r="W970" s="1" t="s">
        <v>258</v>
      </c>
      <c r="X970" s="1" t="s">
        <v>370</v>
      </c>
    </row>
    <row r="971">
      <c r="A971" s="1" t="s">
        <v>3506</v>
      </c>
      <c r="B971" s="1" t="s">
        <v>3507</v>
      </c>
      <c r="C971" s="1" t="s">
        <v>3508</v>
      </c>
      <c r="D971" s="1" t="s">
        <v>103</v>
      </c>
      <c r="E971" s="1" t="s">
        <v>29</v>
      </c>
      <c r="F971" s="5">
        <v>1000000.0</v>
      </c>
      <c r="G971" s="1" t="s">
        <v>1114</v>
      </c>
      <c r="H971" s="1" t="s">
        <v>2142</v>
      </c>
      <c r="I971" s="1" t="s">
        <v>80</v>
      </c>
      <c r="K971" s="1">
        <v>0.0</v>
      </c>
      <c r="L971" s="1" t="s">
        <v>3509</v>
      </c>
      <c r="M971" s="1" t="str">
        <f>VLOOKUP(L971,'Copy of PMD Workday Constants -'!B940:Y1626,22,false)</f>
        <v>#N/A</v>
      </c>
      <c r="N971" s="1" t="s">
        <v>32</v>
      </c>
      <c r="O971" s="1" t="s">
        <v>33</v>
      </c>
      <c r="P971" s="1" t="s">
        <v>34</v>
      </c>
      <c r="Q971" s="1" t="s">
        <v>34</v>
      </c>
      <c r="R971" s="1" t="s">
        <v>35</v>
      </c>
      <c r="T971" s="1">
        <v>1.00610426E8</v>
      </c>
      <c r="U971" s="1" t="s">
        <v>3510</v>
      </c>
      <c r="V971" s="1" t="s">
        <v>187</v>
      </c>
      <c r="W971" s="1" t="s">
        <v>37</v>
      </c>
      <c r="X971" s="1" t="s">
        <v>175</v>
      </c>
    </row>
    <row r="972">
      <c r="A972" s="1" t="s">
        <v>3511</v>
      </c>
      <c r="B972" s="1" t="s">
        <v>361</v>
      </c>
      <c r="C972" s="1" t="s">
        <v>3512</v>
      </c>
      <c r="D972" s="1" t="s">
        <v>28</v>
      </c>
      <c r="E972" s="1" t="s">
        <v>29</v>
      </c>
      <c r="F972" s="5">
        <v>1000000.0</v>
      </c>
      <c r="G972" s="1" t="s">
        <v>1114</v>
      </c>
      <c r="H972" s="1" t="s">
        <v>3513</v>
      </c>
      <c r="I972" s="1" t="s">
        <v>302</v>
      </c>
      <c r="K972" s="1">
        <v>0.0</v>
      </c>
      <c r="L972" s="1" t="s">
        <v>1757</v>
      </c>
      <c r="M972" s="1" t="str">
        <f>VLOOKUP(L972,'Copy of PMD Workday Constants -'!B941:Y1627,22,false)</f>
        <v>#N/A</v>
      </c>
      <c r="N972" s="1" t="s">
        <v>32</v>
      </c>
      <c r="O972" s="1" t="s">
        <v>33</v>
      </c>
      <c r="P972" s="1" t="s">
        <v>112</v>
      </c>
      <c r="Q972" s="1" t="s">
        <v>112</v>
      </c>
      <c r="R972" s="1" t="s">
        <v>113</v>
      </c>
      <c r="S972" s="1" t="s">
        <v>256</v>
      </c>
      <c r="T972" s="1">
        <v>1.00597983E8</v>
      </c>
      <c r="W972" s="1" t="s">
        <v>258</v>
      </c>
      <c r="X972" s="1" t="s">
        <v>3514</v>
      </c>
    </row>
    <row r="973">
      <c r="A973" s="1" t="s">
        <v>3515</v>
      </c>
      <c r="B973" s="1" t="s">
        <v>673</v>
      </c>
      <c r="C973" s="1" t="s">
        <v>3516</v>
      </c>
      <c r="D973" s="1" t="s">
        <v>28</v>
      </c>
      <c r="E973" s="1" t="s">
        <v>29</v>
      </c>
      <c r="F973" s="5">
        <v>1000000.0</v>
      </c>
      <c r="G973" s="1" t="s">
        <v>1114</v>
      </c>
      <c r="H973" s="1" t="s">
        <v>3513</v>
      </c>
      <c r="I973" s="1" t="s">
        <v>302</v>
      </c>
      <c r="K973" s="1">
        <v>0.0</v>
      </c>
      <c r="L973" s="1" t="s">
        <v>1757</v>
      </c>
      <c r="M973" s="1" t="str">
        <f>VLOOKUP(L973,'Copy of PMD Workday Constants -'!B942:Y1628,22,false)</f>
        <v>#N/A</v>
      </c>
      <c r="N973" s="1" t="s">
        <v>32</v>
      </c>
      <c r="O973" s="1" t="s">
        <v>33</v>
      </c>
      <c r="P973" s="1" t="s">
        <v>112</v>
      </c>
      <c r="Q973" s="1" t="s">
        <v>112</v>
      </c>
      <c r="R973" s="1" t="s">
        <v>113</v>
      </c>
      <c r="S973" s="1" t="s">
        <v>204</v>
      </c>
      <c r="T973" s="1">
        <v>1.00597983E8</v>
      </c>
      <c r="W973" s="1" t="s">
        <v>47</v>
      </c>
      <c r="X973" s="1" t="s">
        <v>3514</v>
      </c>
    </row>
    <row r="974">
      <c r="A974" s="1" t="s">
        <v>3517</v>
      </c>
      <c r="B974" s="1" t="s">
        <v>3518</v>
      </c>
      <c r="C974" s="1" t="s">
        <v>3519</v>
      </c>
      <c r="D974" s="1" t="s">
        <v>28</v>
      </c>
      <c r="E974" s="1" t="s">
        <v>29</v>
      </c>
      <c r="F974" s="5">
        <v>1000000.0</v>
      </c>
      <c r="G974" s="1" t="s">
        <v>1114</v>
      </c>
      <c r="H974" s="1" t="s">
        <v>3513</v>
      </c>
      <c r="I974" s="1" t="s">
        <v>302</v>
      </c>
      <c r="K974" s="1">
        <v>0.0</v>
      </c>
      <c r="L974" s="1" t="s">
        <v>1757</v>
      </c>
      <c r="M974" s="1" t="str">
        <f>VLOOKUP(L974,'Copy of PMD Workday Constants -'!B943:Y1629,22,false)</f>
        <v>#N/A</v>
      </c>
      <c r="N974" s="1" t="s">
        <v>32</v>
      </c>
      <c r="O974" s="1" t="s">
        <v>33</v>
      </c>
      <c r="P974" s="1" t="s">
        <v>112</v>
      </c>
      <c r="Q974" s="1" t="s">
        <v>112</v>
      </c>
      <c r="R974" s="1" t="s">
        <v>113</v>
      </c>
      <c r="S974" s="1" t="s">
        <v>114</v>
      </c>
      <c r="T974" s="1">
        <v>1.00597983E8</v>
      </c>
      <c r="W974" s="1" t="s">
        <v>140</v>
      </c>
      <c r="X974" s="1" t="s">
        <v>3514</v>
      </c>
    </row>
    <row r="975">
      <c r="A975" s="1" t="s">
        <v>3520</v>
      </c>
      <c r="B975" s="1" t="s">
        <v>3521</v>
      </c>
      <c r="C975" s="1" t="s">
        <v>3522</v>
      </c>
      <c r="D975" s="1" t="s">
        <v>103</v>
      </c>
      <c r="E975" s="1" t="s">
        <v>29</v>
      </c>
      <c r="F975" s="5">
        <v>1000000.0</v>
      </c>
      <c r="G975" s="1" t="s">
        <v>1114</v>
      </c>
      <c r="H975" s="1" t="s">
        <v>434</v>
      </c>
      <c r="I975" s="4">
        <v>44573.0</v>
      </c>
      <c r="K975" s="1">
        <v>0.0</v>
      </c>
      <c r="L975" s="1" t="s">
        <v>3523</v>
      </c>
      <c r="M975" s="1" t="str">
        <f>VLOOKUP(L975,'Copy of PMD Workday Constants -'!B944:Y1630,22,false)</f>
        <v>#N/A</v>
      </c>
      <c r="N975" s="1" t="s">
        <v>32</v>
      </c>
      <c r="O975" s="1" t="s">
        <v>33</v>
      </c>
      <c r="P975" s="1" t="s">
        <v>173</v>
      </c>
      <c r="Q975" s="1" t="s">
        <v>173</v>
      </c>
      <c r="R975" s="1" t="s">
        <v>174</v>
      </c>
      <c r="S975" s="1" t="s">
        <v>153</v>
      </c>
      <c r="T975" s="1">
        <v>1.00652203E8</v>
      </c>
      <c r="W975" s="1" t="s">
        <v>85</v>
      </c>
      <c r="X975" s="1" t="s">
        <v>3523</v>
      </c>
    </row>
    <row r="976">
      <c r="A976" s="1" t="s">
        <v>3524</v>
      </c>
      <c r="B976" s="1" t="s">
        <v>1589</v>
      </c>
      <c r="C976" s="1" t="s">
        <v>3525</v>
      </c>
      <c r="D976" s="1" t="s">
        <v>28</v>
      </c>
      <c r="E976" s="1" t="s">
        <v>29</v>
      </c>
      <c r="F976" s="5">
        <v>1000000.0</v>
      </c>
      <c r="G976" s="1" t="s">
        <v>1114</v>
      </c>
      <c r="H976" s="1" t="s">
        <v>3513</v>
      </c>
      <c r="I976" s="1" t="s">
        <v>302</v>
      </c>
      <c r="K976" s="1">
        <v>0.0</v>
      </c>
      <c r="L976" s="1" t="s">
        <v>1757</v>
      </c>
      <c r="M976" s="1" t="str">
        <f>VLOOKUP(L976,'Copy of PMD Workday Constants -'!B945:Y1631,22,false)</f>
        <v>#N/A</v>
      </c>
      <c r="N976" s="1" t="s">
        <v>32</v>
      </c>
      <c r="O976" s="1" t="s">
        <v>33</v>
      </c>
      <c r="P976" s="1" t="s">
        <v>112</v>
      </c>
      <c r="Q976" s="1" t="s">
        <v>112</v>
      </c>
      <c r="R976" s="1" t="s">
        <v>113</v>
      </c>
      <c r="S976" s="1" t="s">
        <v>114</v>
      </c>
      <c r="T976" s="1">
        <v>1.00597983E8</v>
      </c>
      <c r="W976" s="1" t="s">
        <v>140</v>
      </c>
      <c r="X976" s="1" t="s">
        <v>3514</v>
      </c>
    </row>
    <row r="977">
      <c r="A977" s="1" t="s">
        <v>3526</v>
      </c>
      <c r="B977" s="1" t="s">
        <v>1580</v>
      </c>
      <c r="C977" s="1" t="s">
        <v>3527</v>
      </c>
      <c r="D977" s="1" t="s">
        <v>28</v>
      </c>
      <c r="E977" s="1" t="s">
        <v>29</v>
      </c>
      <c r="F977" s="5">
        <v>1000000.0</v>
      </c>
      <c r="G977" s="1" t="s">
        <v>1114</v>
      </c>
      <c r="H977" s="1" t="s">
        <v>3513</v>
      </c>
      <c r="I977" s="1" t="s">
        <v>302</v>
      </c>
      <c r="K977" s="1">
        <v>0.0</v>
      </c>
      <c r="L977" s="1" t="s">
        <v>1757</v>
      </c>
      <c r="M977" s="1" t="str">
        <f>VLOOKUP(L977,'Copy of PMD Workday Constants -'!B946:Y1632,22,false)</f>
        <v>#N/A</v>
      </c>
      <c r="N977" s="1" t="s">
        <v>32</v>
      </c>
      <c r="O977" s="1" t="s">
        <v>33</v>
      </c>
      <c r="P977" s="1" t="s">
        <v>112</v>
      </c>
      <c r="Q977" s="1" t="s">
        <v>112</v>
      </c>
      <c r="R977" s="1" t="s">
        <v>113</v>
      </c>
      <c r="S977" s="1" t="s">
        <v>204</v>
      </c>
      <c r="T977" s="1">
        <v>1.00597983E8</v>
      </c>
      <c r="W977" s="1" t="s">
        <v>91</v>
      </c>
      <c r="X977" s="1" t="s">
        <v>3514</v>
      </c>
    </row>
    <row r="978">
      <c r="A978" s="1" t="s">
        <v>3528</v>
      </c>
      <c r="B978" s="1" t="s">
        <v>3529</v>
      </c>
      <c r="C978" s="1" t="s">
        <v>3530</v>
      </c>
      <c r="D978" s="1" t="s">
        <v>28</v>
      </c>
      <c r="E978" s="1" t="s">
        <v>29</v>
      </c>
      <c r="F978" s="5">
        <v>1000000.0</v>
      </c>
      <c r="G978" s="1" t="s">
        <v>1114</v>
      </c>
      <c r="H978" s="1" t="s">
        <v>3513</v>
      </c>
      <c r="I978" s="1" t="s">
        <v>302</v>
      </c>
      <c r="K978" s="1">
        <v>0.0</v>
      </c>
      <c r="L978" s="1" t="s">
        <v>1757</v>
      </c>
      <c r="M978" s="1" t="str">
        <f>VLOOKUP(L978,'Copy of PMD Workday Constants -'!B947:Y1633,22,false)</f>
        <v>#N/A</v>
      </c>
      <c r="N978" s="1" t="s">
        <v>32</v>
      </c>
      <c r="O978" s="1" t="s">
        <v>33</v>
      </c>
      <c r="P978" s="1" t="s">
        <v>112</v>
      </c>
      <c r="Q978" s="1" t="s">
        <v>112</v>
      </c>
      <c r="R978" s="1" t="s">
        <v>113</v>
      </c>
      <c r="S978" s="1" t="s">
        <v>256</v>
      </c>
      <c r="T978" s="1">
        <v>1.00597983E8</v>
      </c>
      <c r="W978" s="1" t="s">
        <v>258</v>
      </c>
      <c r="X978" s="1" t="s">
        <v>3514</v>
      </c>
    </row>
    <row r="979">
      <c r="A979" s="1" t="s">
        <v>3531</v>
      </c>
      <c r="B979" s="1" t="s">
        <v>3355</v>
      </c>
      <c r="C979" s="1" t="s">
        <v>3532</v>
      </c>
      <c r="D979" s="1" t="s">
        <v>28</v>
      </c>
      <c r="E979" s="1" t="s">
        <v>29</v>
      </c>
      <c r="F979" s="5">
        <v>1000000.0</v>
      </c>
      <c r="G979" s="1" t="s">
        <v>1114</v>
      </c>
      <c r="H979" s="1" t="s">
        <v>3513</v>
      </c>
      <c r="I979" s="1" t="s">
        <v>302</v>
      </c>
      <c r="K979" s="1">
        <v>0.0</v>
      </c>
      <c r="L979" s="1" t="s">
        <v>1757</v>
      </c>
      <c r="M979" s="1" t="str">
        <f>VLOOKUP(L979,'Copy of PMD Workday Constants -'!B948:Y1634,22,false)</f>
        <v>#N/A</v>
      </c>
      <c r="N979" s="1" t="s">
        <v>32</v>
      </c>
      <c r="O979" s="1" t="s">
        <v>33</v>
      </c>
      <c r="P979" s="1" t="s">
        <v>112</v>
      </c>
      <c r="Q979" s="1" t="s">
        <v>112</v>
      </c>
      <c r="R979" s="1" t="s">
        <v>113</v>
      </c>
      <c r="S979" s="1" t="s">
        <v>134</v>
      </c>
      <c r="T979" s="1">
        <v>1.00597983E8</v>
      </c>
      <c r="W979" s="1" t="s">
        <v>74</v>
      </c>
      <c r="X979" s="1" t="s">
        <v>3514</v>
      </c>
    </row>
    <row r="980">
      <c r="A980" s="1" t="s">
        <v>3533</v>
      </c>
      <c r="B980" s="1" t="s">
        <v>3534</v>
      </c>
      <c r="C980" s="1" t="s">
        <v>3535</v>
      </c>
      <c r="D980" s="1" t="s">
        <v>28</v>
      </c>
      <c r="E980" s="1" t="s">
        <v>29</v>
      </c>
      <c r="F980" s="5">
        <v>1000000.0</v>
      </c>
      <c r="G980" s="1" t="s">
        <v>1114</v>
      </c>
      <c r="H980" s="1" t="s">
        <v>3513</v>
      </c>
      <c r="I980" s="1" t="s">
        <v>302</v>
      </c>
      <c r="K980" s="1">
        <v>0.0</v>
      </c>
      <c r="L980" s="1" t="s">
        <v>1757</v>
      </c>
      <c r="M980" s="1" t="str">
        <f>VLOOKUP(L980,'Copy of PMD Workday Constants -'!B949:Y1635,22,false)</f>
        <v>#N/A</v>
      </c>
      <c r="N980" s="1" t="s">
        <v>32</v>
      </c>
      <c r="O980" s="1" t="s">
        <v>33</v>
      </c>
      <c r="P980" s="1" t="s">
        <v>112</v>
      </c>
      <c r="Q980" s="1" t="s">
        <v>112</v>
      </c>
      <c r="R980" s="1" t="s">
        <v>113</v>
      </c>
      <c r="S980" s="1" t="s">
        <v>256</v>
      </c>
      <c r="T980" s="1">
        <v>1.00597983E8</v>
      </c>
      <c r="W980" s="1" t="s">
        <v>258</v>
      </c>
      <c r="X980" s="1" t="s">
        <v>3514</v>
      </c>
    </row>
    <row r="981">
      <c r="A981" s="1" t="s">
        <v>3536</v>
      </c>
      <c r="B981" s="1" t="s">
        <v>168</v>
      </c>
      <c r="C981" s="1" t="s">
        <v>3537</v>
      </c>
      <c r="D981" s="1" t="s">
        <v>28</v>
      </c>
      <c r="E981" s="1" t="s">
        <v>29</v>
      </c>
      <c r="F981" s="5">
        <v>1000000.0</v>
      </c>
      <c r="G981" s="1" t="s">
        <v>1114</v>
      </c>
      <c r="H981" s="1" t="s">
        <v>3513</v>
      </c>
      <c r="I981" s="1" t="s">
        <v>302</v>
      </c>
      <c r="K981" s="1">
        <v>0.0</v>
      </c>
      <c r="L981" s="1" t="s">
        <v>1757</v>
      </c>
      <c r="M981" s="1" t="str">
        <f>VLOOKUP(L981,'Copy of PMD Workday Constants -'!B950:Y1636,22,false)</f>
        <v>#N/A</v>
      </c>
      <c r="N981" s="1" t="s">
        <v>32</v>
      </c>
      <c r="O981" s="1" t="s">
        <v>33</v>
      </c>
      <c r="P981" s="1" t="s">
        <v>112</v>
      </c>
      <c r="Q981" s="1" t="s">
        <v>112</v>
      </c>
      <c r="R981" s="1" t="s">
        <v>113</v>
      </c>
      <c r="S981" s="1" t="s">
        <v>204</v>
      </c>
      <c r="T981" s="1">
        <v>1.00597983E8</v>
      </c>
      <c r="W981" s="1" t="s">
        <v>37</v>
      </c>
      <c r="X981" s="1" t="s">
        <v>3514</v>
      </c>
    </row>
    <row r="982">
      <c r="A982" s="1" t="s">
        <v>3538</v>
      </c>
      <c r="B982" s="1" t="s">
        <v>3539</v>
      </c>
      <c r="C982" s="1" t="s">
        <v>3540</v>
      </c>
      <c r="D982" s="1" t="s">
        <v>28</v>
      </c>
      <c r="E982" s="1" t="s">
        <v>29</v>
      </c>
      <c r="F982" s="5">
        <v>1000000.0</v>
      </c>
      <c r="G982" s="1" t="s">
        <v>1114</v>
      </c>
      <c r="H982" s="1" t="s">
        <v>3513</v>
      </c>
      <c r="I982" s="1" t="s">
        <v>302</v>
      </c>
      <c r="K982" s="1">
        <v>0.0</v>
      </c>
      <c r="L982" s="1" t="s">
        <v>1757</v>
      </c>
      <c r="M982" s="1" t="str">
        <f>VLOOKUP(L982,'Copy of PMD Workday Constants -'!B951:Y1637,22,false)</f>
        <v>#N/A</v>
      </c>
      <c r="N982" s="1" t="s">
        <v>32</v>
      </c>
      <c r="O982" s="1" t="s">
        <v>33</v>
      </c>
      <c r="P982" s="1" t="s">
        <v>112</v>
      </c>
      <c r="Q982" s="1" t="s">
        <v>112</v>
      </c>
      <c r="R982" s="1" t="s">
        <v>113</v>
      </c>
      <c r="S982" s="1" t="s">
        <v>256</v>
      </c>
      <c r="T982" s="1">
        <v>1.00597983E8</v>
      </c>
      <c r="W982" s="1" t="s">
        <v>258</v>
      </c>
      <c r="X982" s="1" t="s">
        <v>3514</v>
      </c>
    </row>
    <row r="983">
      <c r="A983" s="1" t="s">
        <v>3541</v>
      </c>
      <c r="B983" s="1" t="s">
        <v>3542</v>
      </c>
      <c r="C983" s="1" t="s">
        <v>3543</v>
      </c>
      <c r="D983" s="1" t="s">
        <v>28</v>
      </c>
      <c r="E983" s="1" t="s">
        <v>29</v>
      </c>
      <c r="F983" s="5">
        <v>1000000.0</v>
      </c>
      <c r="G983" s="1" t="s">
        <v>1114</v>
      </c>
      <c r="H983" s="1" t="s">
        <v>3399</v>
      </c>
      <c r="I983" s="1" t="s">
        <v>302</v>
      </c>
      <c r="K983" s="1">
        <v>0.0</v>
      </c>
      <c r="L983" s="1" t="s">
        <v>499</v>
      </c>
      <c r="M983" s="1" t="str">
        <f>VLOOKUP(L983,'Copy of PMD Workday Constants -'!B952:Y1638,22,false)</f>
        <v>#N/A</v>
      </c>
      <c r="N983" s="1" t="s">
        <v>32</v>
      </c>
      <c r="O983" s="1" t="s">
        <v>33</v>
      </c>
      <c r="P983" s="1" t="s">
        <v>34</v>
      </c>
      <c r="Q983" s="1" t="s">
        <v>34</v>
      </c>
      <c r="R983" s="1" t="s">
        <v>35</v>
      </c>
      <c r="S983" s="1" t="s">
        <v>36</v>
      </c>
      <c r="T983" s="1">
        <v>1.00627768E8</v>
      </c>
      <c r="W983" s="1" t="s">
        <v>947</v>
      </c>
      <c r="X983" s="1" t="s">
        <v>89</v>
      </c>
    </row>
    <row r="984">
      <c r="A984" s="1" t="s">
        <v>3544</v>
      </c>
      <c r="B984" s="1" t="s">
        <v>973</v>
      </c>
      <c r="C984" s="1" t="s">
        <v>3545</v>
      </c>
      <c r="D984" s="1" t="s">
        <v>28</v>
      </c>
      <c r="E984" s="1" t="s">
        <v>29</v>
      </c>
      <c r="F984" s="5">
        <v>1000000.0</v>
      </c>
      <c r="G984" s="1" t="s">
        <v>1114</v>
      </c>
      <c r="H984" s="4">
        <v>44717.0</v>
      </c>
      <c r="I984" s="1" t="s">
        <v>237</v>
      </c>
      <c r="K984" s="1">
        <v>0.0</v>
      </c>
      <c r="L984" s="1" t="s">
        <v>1505</v>
      </c>
      <c r="M984" s="1" t="str">
        <f>VLOOKUP(L984,'Copy of PMD Workday Constants -'!B953:Y1639,22,false)</f>
        <v>#N/A</v>
      </c>
      <c r="N984" s="1" t="s">
        <v>32</v>
      </c>
      <c r="O984" s="1" t="s">
        <v>33</v>
      </c>
      <c r="P984" s="1" t="s">
        <v>112</v>
      </c>
      <c r="Q984" s="1" t="s">
        <v>112</v>
      </c>
      <c r="R984" s="1" t="s">
        <v>113</v>
      </c>
      <c r="S984" s="1" t="s">
        <v>583</v>
      </c>
      <c r="T984" s="1">
        <v>1.00651554E8</v>
      </c>
      <c r="W984" s="1" t="s">
        <v>456</v>
      </c>
      <c r="X984" s="1" t="s">
        <v>977</v>
      </c>
    </row>
    <row r="985">
      <c r="A985" s="1" t="s">
        <v>3546</v>
      </c>
      <c r="B985" s="1" t="s">
        <v>973</v>
      </c>
      <c r="C985" s="1" t="s">
        <v>3547</v>
      </c>
      <c r="D985" s="1" t="s">
        <v>28</v>
      </c>
      <c r="E985" s="1" t="s">
        <v>29</v>
      </c>
      <c r="F985" s="5">
        <v>1000000.0</v>
      </c>
      <c r="G985" s="1" t="s">
        <v>1114</v>
      </c>
      <c r="H985" s="4">
        <v>44717.0</v>
      </c>
      <c r="I985" s="1" t="s">
        <v>237</v>
      </c>
      <c r="K985" s="1">
        <v>0.0</v>
      </c>
      <c r="L985" s="1" t="s">
        <v>1505</v>
      </c>
      <c r="M985" s="1" t="str">
        <f>VLOOKUP(L985,'Copy of PMD Workday Constants -'!B954:Y1640,22,false)</f>
        <v>#N/A</v>
      </c>
      <c r="N985" s="1" t="s">
        <v>32</v>
      </c>
      <c r="O985" s="1" t="s">
        <v>33</v>
      </c>
      <c r="P985" s="1" t="s">
        <v>112</v>
      </c>
      <c r="Q985" s="1" t="s">
        <v>112</v>
      </c>
      <c r="R985" s="1" t="s">
        <v>113</v>
      </c>
      <c r="S985" s="1" t="s">
        <v>455</v>
      </c>
      <c r="T985" s="1">
        <v>1.00651554E8</v>
      </c>
      <c r="W985" s="1" t="s">
        <v>456</v>
      </c>
      <c r="X985" s="1" t="s">
        <v>977</v>
      </c>
    </row>
    <row r="986">
      <c r="A986" s="1" t="s">
        <v>3548</v>
      </c>
      <c r="B986" s="1" t="s">
        <v>3549</v>
      </c>
      <c r="C986" s="1" t="s">
        <v>3550</v>
      </c>
      <c r="D986" s="1" t="s">
        <v>103</v>
      </c>
      <c r="E986" s="1" t="s">
        <v>29</v>
      </c>
      <c r="F986" s="5">
        <v>1000000.0</v>
      </c>
      <c r="G986" s="1" t="s">
        <v>1114</v>
      </c>
      <c r="H986" s="4">
        <v>44776.0</v>
      </c>
      <c r="I986" s="1" t="s">
        <v>104</v>
      </c>
      <c r="K986" s="1">
        <v>0.0</v>
      </c>
      <c r="L986" s="1" t="s">
        <v>338</v>
      </c>
      <c r="M986" s="1" t="str">
        <f>VLOOKUP(L986,'Copy of PMD Workday Constants -'!B955:Y1641,22,false)</f>
        <v>#N/A</v>
      </c>
      <c r="N986" s="1" t="s">
        <v>32</v>
      </c>
      <c r="O986" s="1" t="s">
        <v>33</v>
      </c>
      <c r="P986" s="1" t="s">
        <v>34</v>
      </c>
      <c r="Q986" s="1" t="s">
        <v>34</v>
      </c>
      <c r="R986" s="1" t="s">
        <v>35</v>
      </c>
      <c r="S986" s="1" t="s">
        <v>383</v>
      </c>
      <c r="T986" s="1">
        <v>1.00619817E8</v>
      </c>
      <c r="W986" s="1" t="s">
        <v>308</v>
      </c>
      <c r="X986" s="1" t="s">
        <v>3551</v>
      </c>
    </row>
    <row r="987">
      <c r="A987" s="1" t="s">
        <v>3552</v>
      </c>
      <c r="B987" s="1" t="s">
        <v>973</v>
      </c>
      <c r="C987" s="1" t="s">
        <v>3553</v>
      </c>
      <c r="D987" s="1" t="s">
        <v>28</v>
      </c>
      <c r="E987" s="1" t="s">
        <v>29</v>
      </c>
      <c r="F987" s="5">
        <v>1000000.0</v>
      </c>
      <c r="G987" s="1" t="s">
        <v>1114</v>
      </c>
      <c r="H987" s="4">
        <v>44717.0</v>
      </c>
      <c r="I987" s="1" t="s">
        <v>237</v>
      </c>
      <c r="K987" s="1">
        <v>0.0</v>
      </c>
      <c r="L987" s="1" t="s">
        <v>1505</v>
      </c>
      <c r="M987" s="1" t="str">
        <f>VLOOKUP(L987,'Copy of PMD Workday Constants -'!B956:Y1642,22,false)</f>
        <v>#N/A</v>
      </c>
      <c r="N987" s="1" t="s">
        <v>32</v>
      </c>
      <c r="O987" s="1" t="s">
        <v>33</v>
      </c>
      <c r="P987" s="1" t="s">
        <v>112</v>
      </c>
      <c r="Q987" s="1" t="s">
        <v>112</v>
      </c>
      <c r="R987" s="1" t="s">
        <v>113</v>
      </c>
      <c r="S987" s="1" t="s">
        <v>583</v>
      </c>
      <c r="T987" s="1">
        <v>1.00651554E8</v>
      </c>
      <c r="W987" s="1" t="s">
        <v>456</v>
      </c>
      <c r="X987" s="1" t="s">
        <v>977</v>
      </c>
    </row>
    <row r="988">
      <c r="A988" s="1" t="s">
        <v>3554</v>
      </c>
      <c r="B988" s="1" t="s">
        <v>973</v>
      </c>
      <c r="C988" s="1" t="s">
        <v>3555</v>
      </c>
      <c r="D988" s="1" t="s">
        <v>28</v>
      </c>
      <c r="E988" s="1" t="s">
        <v>29</v>
      </c>
      <c r="F988" s="5">
        <v>1000000.0</v>
      </c>
      <c r="G988" s="1" t="s">
        <v>1114</v>
      </c>
      <c r="H988" s="4">
        <v>44717.0</v>
      </c>
      <c r="I988" s="1" t="s">
        <v>237</v>
      </c>
      <c r="K988" s="1">
        <v>0.0</v>
      </c>
      <c r="L988" s="1" t="s">
        <v>1505</v>
      </c>
      <c r="M988" s="1" t="str">
        <f>VLOOKUP(L988,'Copy of PMD Workday Constants -'!B957:Y1643,22,false)</f>
        <v>#N/A</v>
      </c>
      <c r="N988" s="1" t="s">
        <v>32</v>
      </c>
      <c r="O988" s="1" t="s">
        <v>33</v>
      </c>
      <c r="P988" s="1" t="s">
        <v>112</v>
      </c>
      <c r="Q988" s="1" t="s">
        <v>112</v>
      </c>
      <c r="R988" s="1" t="s">
        <v>113</v>
      </c>
      <c r="S988" s="1" t="s">
        <v>1336</v>
      </c>
      <c r="T988" s="1">
        <v>1.00651554E8</v>
      </c>
      <c r="W988" s="1" t="s">
        <v>456</v>
      </c>
      <c r="X988" s="1" t="s">
        <v>977</v>
      </c>
    </row>
    <row r="989">
      <c r="A989" s="1" t="s">
        <v>3556</v>
      </c>
      <c r="B989" s="1" t="s">
        <v>3557</v>
      </c>
      <c r="C989" s="1" t="s">
        <v>3558</v>
      </c>
      <c r="D989" s="1" t="s">
        <v>103</v>
      </c>
      <c r="E989" s="1" t="s">
        <v>29</v>
      </c>
      <c r="F989" s="5">
        <v>1000000.0</v>
      </c>
      <c r="G989" s="1" t="s">
        <v>1114</v>
      </c>
      <c r="H989" s="4">
        <v>44717.0</v>
      </c>
      <c r="I989" s="4">
        <v>44688.0</v>
      </c>
      <c r="K989" s="1">
        <v>0.0</v>
      </c>
      <c r="L989" s="1" t="s">
        <v>3559</v>
      </c>
      <c r="M989" s="1" t="str">
        <f>VLOOKUP(L989,'Copy of PMD Workday Constants -'!B958:Y1644,22,false)</f>
        <v>#N/A</v>
      </c>
      <c r="N989" s="1" t="s">
        <v>32</v>
      </c>
      <c r="O989" s="1" t="s">
        <v>33</v>
      </c>
      <c r="P989" s="1" t="s">
        <v>34</v>
      </c>
      <c r="Q989" s="1" t="s">
        <v>34</v>
      </c>
      <c r="R989" s="1" t="s">
        <v>35</v>
      </c>
      <c r="S989" s="1" t="s">
        <v>383</v>
      </c>
      <c r="T989" s="1">
        <v>1.00586786E8</v>
      </c>
      <c r="W989" s="1" t="s">
        <v>140</v>
      </c>
      <c r="X989" s="1" t="s">
        <v>3559</v>
      </c>
    </row>
    <row r="990">
      <c r="A990" s="1" t="s">
        <v>3560</v>
      </c>
      <c r="B990" s="1" t="s">
        <v>1744</v>
      </c>
      <c r="C990" s="1" t="s">
        <v>3561</v>
      </c>
      <c r="D990" s="1" t="s">
        <v>79</v>
      </c>
      <c r="E990" s="1" t="s">
        <v>29</v>
      </c>
      <c r="F990" s="5">
        <v>1000000.0</v>
      </c>
      <c r="G990" s="1" t="s">
        <v>1114</v>
      </c>
      <c r="H990" s="1" t="s">
        <v>699</v>
      </c>
      <c r="I990" s="1" t="s">
        <v>96</v>
      </c>
      <c r="K990" s="1">
        <v>0.0</v>
      </c>
      <c r="L990" s="1" t="s">
        <v>1748</v>
      </c>
      <c r="M990" s="1" t="str">
        <f>VLOOKUP(L990,'Copy of PMD Workday Constants -'!B959:Y1645,22,false)</f>
        <v>#N/A</v>
      </c>
      <c r="N990" s="1" t="s">
        <v>32</v>
      </c>
      <c r="O990" s="1" t="s">
        <v>33</v>
      </c>
      <c r="P990" s="1" t="s">
        <v>34</v>
      </c>
      <c r="Q990" s="1" t="s">
        <v>34</v>
      </c>
      <c r="R990" s="1" t="s">
        <v>35</v>
      </c>
      <c r="S990" s="1" t="s">
        <v>1166</v>
      </c>
      <c r="T990" s="1">
        <v>1.00610242E8</v>
      </c>
      <c r="W990" s="1" t="s">
        <v>456</v>
      </c>
      <c r="X990" s="1" t="s">
        <v>3562</v>
      </c>
    </row>
    <row r="991">
      <c r="A991" s="1" t="s">
        <v>3563</v>
      </c>
      <c r="B991" s="1" t="s">
        <v>1154</v>
      </c>
      <c r="C991" s="1" t="s">
        <v>3564</v>
      </c>
      <c r="D991" s="1" t="s">
        <v>28</v>
      </c>
      <c r="E991" s="1" t="s">
        <v>29</v>
      </c>
      <c r="F991" s="5">
        <v>1000000.0</v>
      </c>
      <c r="G991" s="1" t="s">
        <v>1114</v>
      </c>
      <c r="H991" s="1" t="s">
        <v>3443</v>
      </c>
      <c r="I991" s="4">
        <v>44571.0</v>
      </c>
      <c r="K991" s="1">
        <v>0.0</v>
      </c>
      <c r="L991" s="1" t="s">
        <v>3565</v>
      </c>
      <c r="M991" s="1" t="str">
        <f>VLOOKUP(L991,'Copy of PMD Workday Constants -'!B960:Y1646,22,false)</f>
        <v>#N/A</v>
      </c>
      <c r="N991" s="1" t="s">
        <v>32</v>
      </c>
      <c r="O991" s="1" t="s">
        <v>33</v>
      </c>
      <c r="P991" s="1" t="s">
        <v>112</v>
      </c>
      <c r="Q991" s="1" t="s">
        <v>112</v>
      </c>
      <c r="R991" s="1" t="s">
        <v>113</v>
      </c>
      <c r="S991" s="1" t="s">
        <v>114</v>
      </c>
      <c r="T991" s="1">
        <v>1.00658777E8</v>
      </c>
      <c r="W991" s="1" t="s">
        <v>947</v>
      </c>
      <c r="X991" s="1" t="s">
        <v>2833</v>
      </c>
    </row>
    <row r="992">
      <c r="A992" s="1" t="s">
        <v>3566</v>
      </c>
      <c r="B992" s="1" t="s">
        <v>1387</v>
      </c>
      <c r="C992" s="1" t="s">
        <v>3567</v>
      </c>
      <c r="D992" s="1" t="s">
        <v>79</v>
      </c>
      <c r="E992" s="1" t="s">
        <v>29</v>
      </c>
      <c r="F992" s="5">
        <v>1000000.0</v>
      </c>
      <c r="G992" s="1" t="s">
        <v>1114</v>
      </c>
      <c r="H992" s="1" t="s">
        <v>3568</v>
      </c>
      <c r="I992" s="4">
        <v>44569.0</v>
      </c>
      <c r="K992" s="1">
        <v>0.0</v>
      </c>
      <c r="L992" s="1" t="s">
        <v>1389</v>
      </c>
      <c r="M992" s="1" t="str">
        <f>VLOOKUP(L992,'Copy of PMD Workday Constants -'!B961:Y1647,22,false)</f>
        <v>#N/A</v>
      </c>
      <c r="N992" s="1" t="s">
        <v>32</v>
      </c>
      <c r="O992" s="1" t="s">
        <v>33</v>
      </c>
      <c r="P992" s="1" t="s">
        <v>64</v>
      </c>
      <c r="Q992" s="1" t="s">
        <v>64</v>
      </c>
      <c r="R992" s="1" t="s">
        <v>65</v>
      </c>
      <c r="S992" s="1" t="s">
        <v>126</v>
      </c>
      <c r="T992" s="1">
        <v>1.00610014E8</v>
      </c>
      <c r="W992" s="1" t="s">
        <v>91</v>
      </c>
      <c r="X992" s="1" t="s">
        <v>127</v>
      </c>
    </row>
    <row r="993">
      <c r="A993" s="1" t="s">
        <v>3569</v>
      </c>
      <c r="B993" s="1" t="s">
        <v>1058</v>
      </c>
      <c r="C993" s="1" t="s">
        <v>3570</v>
      </c>
      <c r="D993" s="1" t="s">
        <v>28</v>
      </c>
      <c r="E993" s="1" t="s">
        <v>29</v>
      </c>
      <c r="F993" s="5">
        <v>1000000.0</v>
      </c>
      <c r="G993" s="1" t="s">
        <v>1114</v>
      </c>
      <c r="H993" s="4">
        <v>43871.0</v>
      </c>
      <c r="I993" s="1" t="s">
        <v>414</v>
      </c>
      <c r="K993" s="1">
        <v>0.0</v>
      </c>
      <c r="L993" s="1" t="s">
        <v>3571</v>
      </c>
      <c r="M993" s="1" t="str">
        <f>VLOOKUP(L993,'Copy of PMD Workday Constants -'!B962:Y1648,22,false)</f>
        <v>#N/A</v>
      </c>
      <c r="N993" s="1" t="s">
        <v>32</v>
      </c>
      <c r="O993" s="1" t="s">
        <v>33</v>
      </c>
      <c r="P993" s="1" t="s">
        <v>173</v>
      </c>
      <c r="Q993" s="1" t="s">
        <v>173</v>
      </c>
      <c r="R993" s="1" t="s">
        <v>174</v>
      </c>
      <c r="S993" s="1" t="s">
        <v>612</v>
      </c>
      <c r="T993" s="1">
        <v>1.00651086E8</v>
      </c>
      <c r="W993" s="1" t="s">
        <v>147</v>
      </c>
      <c r="X993" s="1" t="s">
        <v>3157</v>
      </c>
    </row>
    <row r="994">
      <c r="A994" s="1" t="s">
        <v>3572</v>
      </c>
      <c r="B994" s="1" t="s">
        <v>931</v>
      </c>
      <c r="C994" s="1" t="s">
        <v>3573</v>
      </c>
      <c r="D994" s="1" t="s">
        <v>28</v>
      </c>
      <c r="E994" s="1" t="s">
        <v>29</v>
      </c>
      <c r="F994" s="5">
        <v>1000000.0</v>
      </c>
      <c r="G994" s="1" t="s">
        <v>1114</v>
      </c>
      <c r="H994" s="1" t="s">
        <v>3574</v>
      </c>
      <c r="I994" s="1" t="s">
        <v>132</v>
      </c>
      <c r="K994" s="1">
        <v>0.0</v>
      </c>
      <c r="L994" s="1" t="s">
        <v>3575</v>
      </c>
      <c r="M994" s="1" t="str">
        <f>VLOOKUP(L994,'Copy of PMD Workday Constants -'!B963:Y1649,22,false)</f>
        <v>#N/A</v>
      </c>
      <c r="N994" s="1" t="s">
        <v>32</v>
      </c>
      <c r="O994" s="1" t="s">
        <v>33</v>
      </c>
      <c r="P994" s="1" t="s">
        <v>64</v>
      </c>
      <c r="Q994" s="1" t="s">
        <v>64</v>
      </c>
      <c r="R994" s="1" t="s">
        <v>65</v>
      </c>
      <c r="S994" s="1" t="s">
        <v>229</v>
      </c>
      <c r="T994" s="1">
        <v>1.00652666E8</v>
      </c>
      <c r="U994" s="1" t="s">
        <v>1129</v>
      </c>
      <c r="V994" s="1" t="s">
        <v>46</v>
      </c>
      <c r="W994" s="1" t="s">
        <v>85</v>
      </c>
      <c r="X994" s="1" t="s">
        <v>3575</v>
      </c>
    </row>
    <row r="995">
      <c r="A995" s="1" t="s">
        <v>3576</v>
      </c>
      <c r="B995" s="1" t="s">
        <v>464</v>
      </c>
      <c r="C995" s="1" t="s">
        <v>3577</v>
      </c>
      <c r="D995" s="1" t="s">
        <v>51</v>
      </c>
      <c r="E995" s="1" t="s">
        <v>29</v>
      </c>
      <c r="F995" s="5">
        <v>1000000.0</v>
      </c>
      <c r="G995" s="1" t="s">
        <v>1114</v>
      </c>
      <c r="H995" s="4">
        <v>44809.0</v>
      </c>
      <c r="I995" s="4">
        <v>44568.0</v>
      </c>
      <c r="K995" s="1">
        <v>0.0</v>
      </c>
      <c r="L995" s="1" t="s">
        <v>467</v>
      </c>
      <c r="M995" s="1" t="str">
        <f>VLOOKUP(L995,'Copy of PMD Workday Constants -'!B964:Y1650,22,false)</f>
        <v>#N/A</v>
      </c>
      <c r="N995" s="1" t="s">
        <v>32</v>
      </c>
      <c r="O995" s="1" t="s">
        <v>33</v>
      </c>
      <c r="P995" s="1" t="s">
        <v>64</v>
      </c>
      <c r="Q995" s="1" t="s">
        <v>64</v>
      </c>
      <c r="R995" s="1" t="s">
        <v>65</v>
      </c>
      <c r="T995" s="1">
        <v>1.01170594E8</v>
      </c>
      <c r="W995" s="1" t="s">
        <v>56</v>
      </c>
      <c r="X995" s="1" t="s">
        <v>3029</v>
      </c>
    </row>
    <row r="996">
      <c r="A996" s="1" t="s">
        <v>3578</v>
      </c>
      <c r="B996" s="1" t="s">
        <v>931</v>
      </c>
      <c r="C996" s="1" t="s">
        <v>3579</v>
      </c>
      <c r="D996" s="1" t="s">
        <v>28</v>
      </c>
      <c r="E996" s="1" t="s">
        <v>29</v>
      </c>
      <c r="F996" s="5">
        <v>1000000.0</v>
      </c>
      <c r="G996" s="1" t="s">
        <v>1114</v>
      </c>
      <c r="H996" s="1" t="s">
        <v>3574</v>
      </c>
      <c r="I996" s="1" t="s">
        <v>43</v>
      </c>
      <c r="K996" s="1">
        <v>0.0</v>
      </c>
      <c r="L996" s="1" t="s">
        <v>3575</v>
      </c>
      <c r="M996" s="1" t="str">
        <f>VLOOKUP(L996,'Copy of PMD Workday Constants -'!B965:Y1651,22,false)</f>
        <v>#N/A</v>
      </c>
      <c r="N996" s="1" t="s">
        <v>32</v>
      </c>
      <c r="O996" s="1" t="s">
        <v>33</v>
      </c>
      <c r="P996" s="1" t="s">
        <v>64</v>
      </c>
      <c r="Q996" s="1" t="s">
        <v>64</v>
      </c>
      <c r="R996" s="1" t="s">
        <v>65</v>
      </c>
      <c r="S996" s="1" t="s">
        <v>229</v>
      </c>
      <c r="T996" s="1">
        <v>1.00652666E8</v>
      </c>
      <c r="W996" s="1" t="s">
        <v>85</v>
      </c>
      <c r="X996" s="1" t="s">
        <v>3575</v>
      </c>
    </row>
    <row r="997">
      <c r="A997" s="1" t="s">
        <v>3580</v>
      </c>
      <c r="B997" s="1" t="s">
        <v>324</v>
      </c>
      <c r="C997" s="1" t="s">
        <v>3581</v>
      </c>
      <c r="D997" s="1" t="s">
        <v>103</v>
      </c>
      <c r="E997" s="1" t="s">
        <v>29</v>
      </c>
      <c r="F997" s="5">
        <v>1000000.0</v>
      </c>
      <c r="G997" s="1" t="s">
        <v>1114</v>
      </c>
      <c r="H997" s="4">
        <v>44294.0</v>
      </c>
      <c r="I997" s="1" t="s">
        <v>326</v>
      </c>
      <c r="K997" s="1">
        <v>0.0</v>
      </c>
      <c r="L997" s="1" t="s">
        <v>1674</v>
      </c>
      <c r="M997" s="1" t="str">
        <f>VLOOKUP(L997,'Copy of PMD Workday Constants -'!B966:Y1652,22,false)</f>
        <v>#N/A</v>
      </c>
      <c r="N997" s="1" t="s">
        <v>32</v>
      </c>
      <c r="O997" s="1" t="s">
        <v>33</v>
      </c>
      <c r="P997" s="1" t="s">
        <v>210</v>
      </c>
      <c r="Q997" s="1" t="s">
        <v>210</v>
      </c>
      <c r="R997" s="1" t="s">
        <v>211</v>
      </c>
      <c r="S997" s="1" t="s">
        <v>212</v>
      </c>
      <c r="T997" s="1">
        <v>1.00648421E8</v>
      </c>
      <c r="W997" s="1" t="s">
        <v>56</v>
      </c>
      <c r="X997" s="1" t="s">
        <v>1674</v>
      </c>
    </row>
    <row r="998">
      <c r="A998" s="1" t="s">
        <v>3582</v>
      </c>
      <c r="B998" s="1" t="s">
        <v>1589</v>
      </c>
      <c r="C998" s="1" t="s">
        <v>3583</v>
      </c>
      <c r="D998" s="1" t="s">
        <v>28</v>
      </c>
      <c r="E998" s="1" t="s">
        <v>29</v>
      </c>
      <c r="F998" s="5">
        <v>1000000.0</v>
      </c>
      <c r="G998" s="1" t="s">
        <v>1114</v>
      </c>
      <c r="H998" s="1" t="s">
        <v>785</v>
      </c>
      <c r="I998" s="4">
        <v>44569.0</v>
      </c>
      <c r="K998" s="1">
        <v>0.0</v>
      </c>
      <c r="L998" s="1" t="s">
        <v>1591</v>
      </c>
      <c r="M998" s="1" t="str">
        <f>VLOOKUP(L998,'Copy of PMD Workday Constants -'!B967:Y1653,22,false)</f>
        <v>#N/A</v>
      </c>
      <c r="N998" s="1" t="s">
        <v>32</v>
      </c>
      <c r="O998" s="1" t="s">
        <v>33</v>
      </c>
      <c r="P998" s="1" t="s">
        <v>34</v>
      </c>
      <c r="Q998" s="1" t="s">
        <v>34</v>
      </c>
      <c r="R998" s="1" t="s">
        <v>35</v>
      </c>
      <c r="T998" s="1">
        <v>1.00587799E8</v>
      </c>
      <c r="W998" s="1" t="s">
        <v>140</v>
      </c>
      <c r="X998" s="1" t="s">
        <v>1591</v>
      </c>
    </row>
    <row r="999">
      <c r="A999" s="1" t="s">
        <v>3584</v>
      </c>
      <c r="B999" s="1" t="s">
        <v>3585</v>
      </c>
      <c r="C999" s="1" t="s">
        <v>3586</v>
      </c>
      <c r="D999" s="1" t="s">
        <v>28</v>
      </c>
      <c r="E999" s="1" t="s">
        <v>29</v>
      </c>
      <c r="F999" s="5">
        <v>1000000.0</v>
      </c>
      <c r="G999" s="1" t="s">
        <v>1114</v>
      </c>
      <c r="H999" s="4">
        <v>44717.0</v>
      </c>
      <c r="I999" s="1" t="s">
        <v>104</v>
      </c>
      <c r="K999" s="1">
        <v>0.0</v>
      </c>
      <c r="L999" s="1" t="s">
        <v>1039</v>
      </c>
      <c r="M999" s="1" t="str">
        <f>VLOOKUP(L999,'Copy of PMD Workday Constants -'!B968:Y1654,22,false)</f>
        <v>#N/A</v>
      </c>
      <c r="N999" s="1" t="s">
        <v>32</v>
      </c>
      <c r="O999" s="1" t="s">
        <v>33</v>
      </c>
      <c r="P999" s="1" t="s">
        <v>112</v>
      </c>
      <c r="Q999" s="1" t="s">
        <v>112</v>
      </c>
      <c r="R999" s="1" t="s">
        <v>113</v>
      </c>
      <c r="S999" s="1" t="s">
        <v>134</v>
      </c>
      <c r="T999" s="1">
        <v>1.00633489E8</v>
      </c>
      <c r="X999" s="1" t="s">
        <v>3587</v>
      </c>
    </row>
    <row r="1000">
      <c r="A1000" s="1" t="s">
        <v>3588</v>
      </c>
      <c r="B1000" s="1" t="s">
        <v>3585</v>
      </c>
      <c r="C1000" s="1" t="s">
        <v>3589</v>
      </c>
      <c r="D1000" s="1" t="s">
        <v>28</v>
      </c>
      <c r="E1000" s="1" t="s">
        <v>29</v>
      </c>
      <c r="F1000" s="5">
        <v>1000000.0</v>
      </c>
      <c r="G1000" s="1" t="s">
        <v>1114</v>
      </c>
      <c r="H1000" s="4">
        <v>44717.0</v>
      </c>
      <c r="I1000" s="1" t="s">
        <v>593</v>
      </c>
      <c r="K1000" s="1">
        <v>0.0</v>
      </c>
      <c r="L1000" s="1" t="s">
        <v>1039</v>
      </c>
      <c r="M1000" s="1" t="str">
        <f>VLOOKUP(L1000,'Copy of PMD Workday Constants -'!B969:Y1655,22,false)</f>
        <v>#N/A</v>
      </c>
      <c r="N1000" s="1" t="s">
        <v>32</v>
      </c>
      <c r="O1000" s="1" t="s">
        <v>33</v>
      </c>
      <c r="P1000" s="1" t="s">
        <v>112</v>
      </c>
      <c r="Q1000" s="1" t="s">
        <v>112</v>
      </c>
      <c r="R1000" s="1" t="s">
        <v>113</v>
      </c>
      <c r="S1000" s="1" t="s">
        <v>134</v>
      </c>
      <c r="T1000" s="1">
        <v>1.00633489E8</v>
      </c>
      <c r="X1000" s="1" t="s">
        <v>3587</v>
      </c>
    </row>
    <row r="1001">
      <c r="A1001" s="1" t="s">
        <v>3590</v>
      </c>
      <c r="B1001" s="1" t="s">
        <v>2372</v>
      </c>
      <c r="C1001" s="1" t="s">
        <v>3591</v>
      </c>
      <c r="D1001" s="1" t="s">
        <v>51</v>
      </c>
      <c r="E1001" s="1" t="s">
        <v>29</v>
      </c>
      <c r="F1001" s="5">
        <v>1000000.0</v>
      </c>
      <c r="G1001" s="1" t="s">
        <v>1114</v>
      </c>
      <c r="H1001" s="1" t="s">
        <v>110</v>
      </c>
      <c r="I1001" s="1" t="s">
        <v>3592</v>
      </c>
      <c r="K1001" s="1">
        <v>0.0</v>
      </c>
      <c r="L1001" s="1" t="s">
        <v>1238</v>
      </c>
      <c r="M1001" s="1" t="str">
        <f>VLOOKUP(L1001,'Copy of PMD Workday Constants -'!B970:Y1656,22,false)</f>
        <v>#N/A</v>
      </c>
      <c r="N1001" s="1" t="s">
        <v>32</v>
      </c>
      <c r="O1001" s="1" t="s">
        <v>33</v>
      </c>
      <c r="P1001" s="1" t="s">
        <v>210</v>
      </c>
      <c r="Q1001" s="1" t="s">
        <v>210</v>
      </c>
      <c r="R1001" s="1" t="s">
        <v>211</v>
      </c>
      <c r="S1001" s="1" t="s">
        <v>416</v>
      </c>
      <c r="T1001" s="1">
        <v>1.00586959E8</v>
      </c>
      <c r="W1001" s="1" t="s">
        <v>56</v>
      </c>
      <c r="X1001" s="1" t="s">
        <v>968</v>
      </c>
    </row>
    <row r="1002">
      <c r="A1002" s="1" t="s">
        <v>3593</v>
      </c>
      <c r="B1002" s="1" t="s">
        <v>3594</v>
      </c>
      <c r="C1002" s="1" t="s">
        <v>3595</v>
      </c>
      <c r="D1002" s="1" t="s">
        <v>51</v>
      </c>
      <c r="E1002" s="1" t="s">
        <v>29</v>
      </c>
      <c r="F1002" s="5">
        <v>1000000.0</v>
      </c>
      <c r="G1002" s="1" t="s">
        <v>1114</v>
      </c>
      <c r="H1002" s="1" t="s">
        <v>3513</v>
      </c>
      <c r="I1002" s="1" t="s">
        <v>810</v>
      </c>
      <c r="K1002" s="1">
        <v>0.0</v>
      </c>
      <c r="L1002" s="1" t="s">
        <v>3596</v>
      </c>
      <c r="M1002" s="1" t="str">
        <f>VLOOKUP(L1002,'Copy of PMD Workday Constants -'!B971:Y1657,22,false)</f>
        <v>#N/A</v>
      </c>
      <c r="N1002" s="1" t="s">
        <v>32</v>
      </c>
      <c r="O1002" s="1" t="s">
        <v>33</v>
      </c>
      <c r="P1002" s="1" t="s">
        <v>210</v>
      </c>
      <c r="Q1002" s="1" t="s">
        <v>210</v>
      </c>
      <c r="R1002" s="1" t="s">
        <v>211</v>
      </c>
      <c r="T1002" s="1">
        <v>1.00659524E8</v>
      </c>
      <c r="W1002" s="1" t="s">
        <v>56</v>
      </c>
      <c r="X1002" s="1" t="s">
        <v>3597</v>
      </c>
    </row>
    <row r="1003">
      <c r="A1003" s="1" t="s">
        <v>3598</v>
      </c>
      <c r="B1003" s="1" t="s">
        <v>665</v>
      </c>
      <c r="C1003" s="1" t="s">
        <v>3599</v>
      </c>
      <c r="D1003" s="1" t="s">
        <v>51</v>
      </c>
      <c r="E1003" s="1" t="s">
        <v>29</v>
      </c>
      <c r="F1003" s="5">
        <v>1000000.0</v>
      </c>
      <c r="G1003" s="1" t="s">
        <v>1114</v>
      </c>
      <c r="H1003" s="1" t="s">
        <v>2994</v>
      </c>
      <c r="I1003" s="4">
        <v>44630.0</v>
      </c>
      <c r="K1003" s="1">
        <v>0.0</v>
      </c>
      <c r="L1003" s="1" t="s">
        <v>667</v>
      </c>
      <c r="M1003" s="1" t="str">
        <f>VLOOKUP(L1003,'Copy of PMD Workday Constants -'!B972:Y1658,22,false)</f>
        <v>#N/A</v>
      </c>
      <c r="N1003" s="1" t="s">
        <v>32</v>
      </c>
      <c r="O1003" s="1" t="s">
        <v>33</v>
      </c>
      <c r="P1003" s="1" t="s">
        <v>112</v>
      </c>
      <c r="Q1003" s="1" t="s">
        <v>112</v>
      </c>
      <c r="R1003" s="1" t="s">
        <v>113</v>
      </c>
      <c r="S1003" s="1" t="s">
        <v>307</v>
      </c>
      <c r="T1003" s="1">
        <v>1.00616804E8</v>
      </c>
      <c r="W1003" s="1" t="s">
        <v>115</v>
      </c>
      <c r="X1003" s="1" t="s">
        <v>667</v>
      </c>
    </row>
    <row r="1004">
      <c r="A1004" s="1" t="s">
        <v>3600</v>
      </c>
      <c r="B1004" s="1" t="s">
        <v>1703</v>
      </c>
      <c r="C1004" s="1" t="s">
        <v>3601</v>
      </c>
      <c r="D1004" s="1" t="s">
        <v>28</v>
      </c>
      <c r="E1004" s="1" t="s">
        <v>29</v>
      </c>
      <c r="F1004" s="5">
        <v>1000000.0</v>
      </c>
      <c r="G1004" s="1" t="s">
        <v>1114</v>
      </c>
      <c r="H1004" s="4">
        <v>44481.0</v>
      </c>
      <c r="I1004" s="1" t="s">
        <v>302</v>
      </c>
      <c r="K1004" s="1">
        <v>0.0</v>
      </c>
      <c r="L1004" s="1" t="s">
        <v>3148</v>
      </c>
      <c r="M1004" s="1" t="str">
        <f>VLOOKUP(L1004,'Copy of PMD Workday Constants -'!B973:Y1659,22,false)</f>
        <v>#N/A</v>
      </c>
      <c r="N1004" s="1" t="s">
        <v>32</v>
      </c>
      <c r="O1004" s="1" t="s">
        <v>33</v>
      </c>
      <c r="P1004" s="1" t="s">
        <v>112</v>
      </c>
      <c r="Q1004" s="1" t="s">
        <v>112</v>
      </c>
      <c r="R1004" s="1" t="s">
        <v>113</v>
      </c>
      <c r="S1004" s="1" t="s">
        <v>455</v>
      </c>
      <c r="T1004" s="1">
        <v>1.00620159E8</v>
      </c>
      <c r="W1004" s="1" t="s">
        <v>456</v>
      </c>
      <c r="X1004" s="1" t="s">
        <v>3148</v>
      </c>
    </row>
    <row r="1005">
      <c r="A1005" s="1" t="s">
        <v>3602</v>
      </c>
      <c r="B1005" s="1" t="s">
        <v>3603</v>
      </c>
      <c r="C1005" s="1" t="s">
        <v>3604</v>
      </c>
      <c r="D1005" s="1" t="s">
        <v>28</v>
      </c>
      <c r="E1005" s="1" t="s">
        <v>29</v>
      </c>
      <c r="F1005" s="5">
        <v>1000000.0</v>
      </c>
      <c r="G1005" s="1" t="s">
        <v>1114</v>
      </c>
      <c r="H1005" s="1" t="s">
        <v>3605</v>
      </c>
      <c r="I1005" s="1" t="s">
        <v>625</v>
      </c>
      <c r="K1005" s="1">
        <v>0.0</v>
      </c>
      <c r="L1005" s="1" t="s">
        <v>2042</v>
      </c>
      <c r="M1005" s="1" t="str">
        <f>VLOOKUP(L1005,'Copy of PMD Workday Constants -'!B974:Y1660,22,false)</f>
        <v>#N/A</v>
      </c>
      <c r="N1005" s="1" t="s">
        <v>32</v>
      </c>
      <c r="O1005" s="1" t="s">
        <v>33</v>
      </c>
      <c r="P1005" s="1" t="s">
        <v>34</v>
      </c>
      <c r="Q1005" s="1" t="s">
        <v>34</v>
      </c>
      <c r="R1005" s="1" t="s">
        <v>35</v>
      </c>
      <c r="S1005" s="1" t="s">
        <v>126</v>
      </c>
      <c r="T1005" s="1">
        <v>1.00611284E8</v>
      </c>
      <c r="W1005" s="1" t="s">
        <v>47</v>
      </c>
      <c r="X1005" s="1" t="s">
        <v>3606</v>
      </c>
    </row>
    <row r="1006">
      <c r="A1006" s="1" t="s">
        <v>3607</v>
      </c>
      <c r="B1006" s="1" t="s">
        <v>1817</v>
      </c>
      <c r="C1006" s="1" t="s">
        <v>3608</v>
      </c>
      <c r="D1006" s="1" t="s">
        <v>103</v>
      </c>
      <c r="E1006" s="1" t="s">
        <v>29</v>
      </c>
      <c r="F1006" s="5">
        <v>1000000.0</v>
      </c>
      <c r="G1006" s="1" t="s">
        <v>1114</v>
      </c>
      <c r="H1006" s="1" t="s">
        <v>1015</v>
      </c>
      <c r="I1006" s="4">
        <v>44568.0</v>
      </c>
      <c r="K1006" s="1">
        <v>0.0</v>
      </c>
      <c r="L1006" s="1" t="s">
        <v>1120</v>
      </c>
      <c r="M1006" s="1" t="str">
        <f>VLOOKUP(L1006,'Copy of PMD Workday Constants -'!B975:Y1661,22,false)</f>
        <v>#N/A</v>
      </c>
      <c r="N1006" s="1" t="s">
        <v>32</v>
      </c>
      <c r="O1006" s="1" t="s">
        <v>33</v>
      </c>
      <c r="P1006" s="1" t="s">
        <v>82</v>
      </c>
      <c r="Q1006" s="1" t="s">
        <v>82</v>
      </c>
      <c r="R1006" s="1" t="s">
        <v>83</v>
      </c>
      <c r="S1006" s="1" t="s">
        <v>180</v>
      </c>
      <c r="T1006" s="1">
        <v>1.00603613E8</v>
      </c>
      <c r="W1006" s="1" t="s">
        <v>2098</v>
      </c>
      <c r="X1006" s="1" t="s">
        <v>3609</v>
      </c>
    </row>
    <row r="1007">
      <c r="A1007" s="1" t="s">
        <v>3610</v>
      </c>
      <c r="B1007" s="1" t="s">
        <v>3611</v>
      </c>
      <c r="C1007" s="1" t="s">
        <v>3612</v>
      </c>
      <c r="D1007" s="1" t="s">
        <v>28</v>
      </c>
      <c r="E1007" s="1" t="s">
        <v>29</v>
      </c>
      <c r="F1007" s="5">
        <v>1000000.0</v>
      </c>
      <c r="G1007" s="1" t="s">
        <v>1114</v>
      </c>
      <c r="H1007" s="1" t="s">
        <v>3613</v>
      </c>
      <c r="I1007" s="1" t="s">
        <v>633</v>
      </c>
      <c r="K1007" s="1">
        <v>0.0</v>
      </c>
      <c r="L1007" s="1" t="s">
        <v>1659</v>
      </c>
      <c r="M1007" s="1" t="str">
        <f>VLOOKUP(L1007,'Copy of PMD Workday Constants -'!B976:Y1662,22,false)</f>
        <v>#N/A</v>
      </c>
      <c r="N1007" s="1" t="s">
        <v>32</v>
      </c>
      <c r="O1007" s="1" t="s">
        <v>33</v>
      </c>
      <c r="P1007" s="1" t="s">
        <v>173</v>
      </c>
      <c r="Q1007" s="1" t="s">
        <v>173</v>
      </c>
      <c r="R1007" s="1" t="s">
        <v>174</v>
      </c>
      <c r="S1007" s="1" t="s">
        <v>612</v>
      </c>
      <c r="T1007" s="1">
        <v>1.00650786E8</v>
      </c>
      <c r="W1007" s="1" t="s">
        <v>147</v>
      </c>
      <c r="X1007" s="1" t="s">
        <v>1659</v>
      </c>
    </row>
    <row r="1008">
      <c r="A1008" s="1" t="s">
        <v>3614</v>
      </c>
      <c r="B1008" s="1" t="s">
        <v>3615</v>
      </c>
      <c r="C1008" s="1" t="s">
        <v>3616</v>
      </c>
      <c r="D1008" s="1" t="s">
        <v>28</v>
      </c>
      <c r="E1008" s="1" t="s">
        <v>29</v>
      </c>
      <c r="F1008" s="5">
        <v>1000000.0</v>
      </c>
      <c r="G1008" s="1" t="s">
        <v>1114</v>
      </c>
      <c r="H1008" s="4">
        <v>44598.0</v>
      </c>
      <c r="I1008" s="1" t="s">
        <v>593</v>
      </c>
      <c r="K1008" s="1">
        <v>0.0</v>
      </c>
      <c r="L1008" s="1" t="s">
        <v>3617</v>
      </c>
      <c r="M1008" s="1" t="str">
        <f>VLOOKUP(L1008,'Copy of PMD Workday Constants -'!B977:Y1663,22,false)</f>
        <v>#N/A</v>
      </c>
      <c r="N1008" s="1" t="s">
        <v>32</v>
      </c>
      <c r="O1008" s="1" t="s">
        <v>33</v>
      </c>
      <c r="P1008" s="1" t="s">
        <v>173</v>
      </c>
      <c r="Q1008" s="1" t="s">
        <v>173</v>
      </c>
      <c r="R1008" s="1" t="s">
        <v>174</v>
      </c>
      <c r="T1008" s="1">
        <v>1.00574828E8</v>
      </c>
      <c r="W1008" s="1" t="s">
        <v>74</v>
      </c>
      <c r="X1008" s="1" t="s">
        <v>3618</v>
      </c>
    </row>
    <row r="1009">
      <c r="A1009" s="1" t="s">
        <v>3619</v>
      </c>
      <c r="B1009" s="1" t="s">
        <v>1062</v>
      </c>
      <c r="C1009" s="1" t="s">
        <v>3620</v>
      </c>
      <c r="D1009" s="1" t="s">
        <v>28</v>
      </c>
      <c r="E1009" s="1" t="s">
        <v>29</v>
      </c>
      <c r="F1009" s="5">
        <v>1000000.0</v>
      </c>
      <c r="G1009" s="1" t="s">
        <v>1114</v>
      </c>
      <c r="H1009" s="1" t="s">
        <v>1064</v>
      </c>
      <c r="I1009" s="1" t="s">
        <v>152</v>
      </c>
      <c r="K1009" s="1">
        <v>0.0</v>
      </c>
      <c r="L1009" s="1" t="s">
        <v>1065</v>
      </c>
      <c r="M1009" s="1" t="str">
        <f>VLOOKUP(L1009,'Copy of PMD Workday Constants -'!B978:Y1664,22,false)</f>
        <v>#N/A</v>
      </c>
      <c r="N1009" s="1" t="s">
        <v>32</v>
      </c>
      <c r="O1009" s="1" t="s">
        <v>33</v>
      </c>
      <c r="P1009" s="1" t="s">
        <v>173</v>
      </c>
      <c r="Q1009" s="1" t="s">
        <v>173</v>
      </c>
      <c r="R1009" s="1" t="s">
        <v>174</v>
      </c>
      <c r="S1009" s="1" t="s">
        <v>540</v>
      </c>
      <c r="T1009" s="1">
        <v>1.00594872E8</v>
      </c>
      <c r="W1009" s="1" t="s">
        <v>493</v>
      </c>
      <c r="X1009" s="1" t="s">
        <v>1065</v>
      </c>
    </row>
    <row r="1010">
      <c r="A1010" s="1" t="s">
        <v>3621</v>
      </c>
      <c r="B1010" s="1" t="s">
        <v>931</v>
      </c>
      <c r="C1010" s="1" t="s">
        <v>3622</v>
      </c>
      <c r="D1010" s="1" t="s">
        <v>103</v>
      </c>
      <c r="E1010" s="1" t="s">
        <v>29</v>
      </c>
      <c r="F1010" s="5">
        <v>1000000.0</v>
      </c>
      <c r="G1010" s="1" t="s">
        <v>1114</v>
      </c>
      <c r="H1010" s="4">
        <v>44415.0</v>
      </c>
      <c r="I1010" s="1" t="s">
        <v>152</v>
      </c>
      <c r="K1010" s="1">
        <v>0.0</v>
      </c>
      <c r="L1010" s="1" t="s">
        <v>3623</v>
      </c>
      <c r="M1010" s="1" t="str">
        <f>VLOOKUP(L1010,'Copy of PMD Workday Constants -'!B979:Y1665,22,false)</f>
        <v>#N/A</v>
      </c>
      <c r="N1010" s="1" t="s">
        <v>32</v>
      </c>
      <c r="O1010" s="1" t="s">
        <v>33</v>
      </c>
      <c r="P1010" s="1" t="s">
        <v>82</v>
      </c>
      <c r="Q1010" s="1" t="s">
        <v>82</v>
      </c>
      <c r="R1010" s="1" t="s">
        <v>83</v>
      </c>
      <c r="S1010" s="1" t="s">
        <v>84</v>
      </c>
      <c r="T1010" s="1">
        <v>1.00929557E8</v>
      </c>
      <c r="W1010" s="1" t="s">
        <v>85</v>
      </c>
      <c r="X1010" s="1" t="s">
        <v>3623</v>
      </c>
    </row>
    <row r="1011">
      <c r="A1011" s="1" t="s">
        <v>3624</v>
      </c>
      <c r="B1011" s="1" t="s">
        <v>610</v>
      </c>
      <c r="C1011" s="1" t="s">
        <v>3625</v>
      </c>
      <c r="D1011" s="1" t="s">
        <v>51</v>
      </c>
      <c r="E1011" s="1" t="s">
        <v>29</v>
      </c>
      <c r="F1011" s="5">
        <v>1000000.0</v>
      </c>
      <c r="G1011" s="1" t="s">
        <v>1114</v>
      </c>
      <c r="H1011" s="1" t="s">
        <v>1785</v>
      </c>
      <c r="I1011" s="1" t="s">
        <v>152</v>
      </c>
      <c r="K1011" s="1">
        <v>0.0</v>
      </c>
      <c r="L1011" s="1" t="s">
        <v>255</v>
      </c>
      <c r="M1011" s="1" t="str">
        <f>VLOOKUP(L1011,'Copy of PMD Workday Constants -'!B980:Y1666,22,false)</f>
        <v>#N/A</v>
      </c>
      <c r="N1011" s="1" t="s">
        <v>32</v>
      </c>
      <c r="O1011" s="1" t="s">
        <v>33</v>
      </c>
      <c r="P1011" s="1" t="s">
        <v>112</v>
      </c>
      <c r="Q1011" s="1" t="s">
        <v>112</v>
      </c>
      <c r="R1011" s="1" t="s">
        <v>113</v>
      </c>
      <c r="S1011" s="1" t="s">
        <v>256</v>
      </c>
      <c r="T1011" s="1">
        <v>1.00659114E8</v>
      </c>
      <c r="W1011" s="1" t="s">
        <v>258</v>
      </c>
      <c r="X1011" s="1" t="s">
        <v>1068</v>
      </c>
    </row>
    <row r="1012">
      <c r="A1012" s="1" t="s">
        <v>3626</v>
      </c>
      <c r="B1012" s="1" t="s">
        <v>2513</v>
      </c>
      <c r="C1012" s="1" t="s">
        <v>3472</v>
      </c>
      <c r="D1012" s="1" t="s">
        <v>28</v>
      </c>
      <c r="E1012" s="1" t="s">
        <v>29</v>
      </c>
      <c r="F1012" s="5">
        <v>1000000.0</v>
      </c>
      <c r="G1012" s="1" t="s">
        <v>1114</v>
      </c>
      <c r="H1012" s="4">
        <v>44420.0</v>
      </c>
      <c r="I1012" s="1" t="s">
        <v>80</v>
      </c>
      <c r="K1012" s="1">
        <v>0.0</v>
      </c>
      <c r="L1012" s="1" t="s">
        <v>2516</v>
      </c>
      <c r="M1012" s="1" t="str">
        <f>VLOOKUP(L1012,'Copy of PMD Workday Constants -'!B981:Y1667,22,false)</f>
        <v>#N/A</v>
      </c>
      <c r="N1012" s="1" t="s">
        <v>32</v>
      </c>
      <c r="O1012" s="1" t="s">
        <v>33</v>
      </c>
      <c r="P1012" s="1" t="s">
        <v>173</v>
      </c>
      <c r="Q1012" s="1" t="s">
        <v>173</v>
      </c>
      <c r="R1012" s="1" t="s">
        <v>174</v>
      </c>
      <c r="S1012" s="1" t="s">
        <v>3473</v>
      </c>
      <c r="T1012" s="1">
        <v>1.00690774E8</v>
      </c>
      <c r="W1012" s="1" t="s">
        <v>56</v>
      </c>
      <c r="X1012" s="1" t="s">
        <v>3627</v>
      </c>
    </row>
    <row r="1013">
      <c r="A1013" s="1" t="s">
        <v>3628</v>
      </c>
      <c r="B1013" s="1" t="s">
        <v>1373</v>
      </c>
      <c r="C1013" s="1" t="s">
        <v>3629</v>
      </c>
      <c r="D1013" s="1" t="s">
        <v>28</v>
      </c>
      <c r="E1013" s="1" t="s">
        <v>29</v>
      </c>
      <c r="F1013" s="5">
        <v>1000000.0</v>
      </c>
      <c r="G1013" s="1" t="s">
        <v>1114</v>
      </c>
      <c r="H1013" s="1" t="s">
        <v>1785</v>
      </c>
      <c r="I1013" s="4">
        <v>44573.0</v>
      </c>
      <c r="K1013" s="1">
        <v>0.0</v>
      </c>
      <c r="L1013" s="1" t="s">
        <v>3630</v>
      </c>
      <c r="M1013" s="1" t="str">
        <f>VLOOKUP(L1013,'Copy of PMD Workday Constants -'!B982:Y1668,22,false)</f>
        <v>#N/A</v>
      </c>
      <c r="N1013" s="1" t="s">
        <v>32</v>
      </c>
      <c r="O1013" s="1" t="s">
        <v>33</v>
      </c>
      <c r="P1013" s="1" t="s">
        <v>64</v>
      </c>
      <c r="Q1013" s="1" t="s">
        <v>64</v>
      </c>
      <c r="R1013" s="1" t="s">
        <v>65</v>
      </c>
      <c r="S1013" s="1" t="s">
        <v>185</v>
      </c>
      <c r="T1013" s="1">
        <v>1.00650382E8</v>
      </c>
      <c r="W1013" s="1" t="s">
        <v>74</v>
      </c>
      <c r="X1013" s="1" t="s">
        <v>3630</v>
      </c>
    </row>
    <row r="1014">
      <c r="A1014" s="1" t="s">
        <v>3631</v>
      </c>
      <c r="B1014" s="1" t="s">
        <v>1232</v>
      </c>
      <c r="C1014" s="1" t="s">
        <v>3632</v>
      </c>
      <c r="D1014" s="1" t="s">
        <v>103</v>
      </c>
      <c r="E1014" s="1" t="s">
        <v>29</v>
      </c>
      <c r="F1014" s="5">
        <v>1000000.0</v>
      </c>
      <c r="G1014" s="1" t="s">
        <v>1114</v>
      </c>
      <c r="H1014" s="4">
        <v>44351.0</v>
      </c>
      <c r="I1014" s="1" t="s">
        <v>302</v>
      </c>
      <c r="K1014" s="1">
        <v>0.0</v>
      </c>
      <c r="L1014" s="1" t="s">
        <v>1036</v>
      </c>
      <c r="M1014" s="1" t="str">
        <f>VLOOKUP(L1014,'Copy of PMD Workday Constants -'!B983:Y1669,22,false)</f>
        <v>#N/A</v>
      </c>
      <c r="N1014" s="1" t="s">
        <v>32</v>
      </c>
      <c r="O1014" s="1" t="s">
        <v>33</v>
      </c>
      <c r="P1014" s="1" t="s">
        <v>82</v>
      </c>
      <c r="Q1014" s="1" t="s">
        <v>82</v>
      </c>
      <c r="R1014" s="1" t="s">
        <v>83</v>
      </c>
      <c r="S1014" s="1" t="s">
        <v>180</v>
      </c>
      <c r="T1014" s="1">
        <v>1.0090037E8</v>
      </c>
      <c r="W1014" s="1" t="s">
        <v>85</v>
      </c>
      <c r="X1014" s="1" t="s">
        <v>3633</v>
      </c>
    </row>
    <row r="1015">
      <c r="A1015" s="1" t="s">
        <v>3634</v>
      </c>
      <c r="B1015" s="1" t="s">
        <v>2212</v>
      </c>
      <c r="C1015" s="1" t="s">
        <v>3635</v>
      </c>
      <c r="D1015" s="1" t="s">
        <v>103</v>
      </c>
      <c r="E1015" s="1" t="s">
        <v>29</v>
      </c>
      <c r="F1015" s="5">
        <v>1000000.0</v>
      </c>
      <c r="G1015" s="1" t="s">
        <v>1114</v>
      </c>
      <c r="H1015" s="4">
        <v>44717.0</v>
      </c>
      <c r="I1015" s="4">
        <v>44780.0</v>
      </c>
      <c r="K1015" s="1">
        <v>0.0</v>
      </c>
      <c r="L1015" s="1" t="s">
        <v>866</v>
      </c>
      <c r="M1015" s="1" t="str">
        <f>VLOOKUP(L1015,'Copy of PMD Workday Constants -'!B984:Y1670,22,false)</f>
        <v>#N/A</v>
      </c>
      <c r="N1015" s="1" t="s">
        <v>32</v>
      </c>
      <c r="O1015" s="1" t="s">
        <v>33</v>
      </c>
      <c r="P1015" s="1" t="s">
        <v>82</v>
      </c>
      <c r="Q1015" s="1" t="s">
        <v>82</v>
      </c>
      <c r="R1015" s="1" t="s">
        <v>83</v>
      </c>
      <c r="S1015" s="1" t="s">
        <v>84</v>
      </c>
      <c r="T1015" s="1">
        <v>1.00941744E8</v>
      </c>
      <c r="W1015" s="1" t="s">
        <v>85</v>
      </c>
      <c r="X1015" s="1" t="s">
        <v>3636</v>
      </c>
    </row>
    <row r="1016">
      <c r="A1016" s="1" t="s">
        <v>3637</v>
      </c>
      <c r="B1016" s="1" t="s">
        <v>993</v>
      </c>
      <c r="C1016" s="1" t="s">
        <v>3638</v>
      </c>
      <c r="D1016" s="1" t="s">
        <v>28</v>
      </c>
      <c r="E1016" s="1" t="s">
        <v>29</v>
      </c>
      <c r="F1016" s="5">
        <v>1000000.0</v>
      </c>
      <c r="G1016" s="1" t="s">
        <v>1114</v>
      </c>
      <c r="H1016" s="4">
        <v>44451.0</v>
      </c>
      <c r="I1016" s="1" t="s">
        <v>80</v>
      </c>
      <c r="K1016" s="1">
        <v>0.0</v>
      </c>
      <c r="L1016" s="1" t="s">
        <v>2540</v>
      </c>
      <c r="M1016" s="1" t="str">
        <f>VLOOKUP(L1016,'Copy of PMD Workday Constants -'!B985:Y1671,22,false)</f>
        <v>#N/A</v>
      </c>
      <c r="N1016" s="1" t="s">
        <v>32</v>
      </c>
      <c r="O1016" s="1" t="s">
        <v>33</v>
      </c>
      <c r="P1016" s="1" t="s">
        <v>222</v>
      </c>
      <c r="Q1016" s="1" t="s">
        <v>222</v>
      </c>
      <c r="R1016" s="1" t="s">
        <v>223</v>
      </c>
      <c r="S1016" s="1" t="s">
        <v>601</v>
      </c>
      <c r="T1016" s="1">
        <v>1.00599268E8</v>
      </c>
      <c r="W1016" s="1" t="s">
        <v>74</v>
      </c>
      <c r="X1016" s="1" t="s">
        <v>3639</v>
      </c>
    </row>
    <row r="1017">
      <c r="A1017" s="1" t="s">
        <v>3640</v>
      </c>
      <c r="B1017" s="1" t="s">
        <v>993</v>
      </c>
      <c r="C1017" s="1" t="s">
        <v>3641</v>
      </c>
      <c r="D1017" s="1" t="s">
        <v>51</v>
      </c>
      <c r="E1017" s="1" t="s">
        <v>29</v>
      </c>
      <c r="F1017" s="5">
        <v>1000000.0</v>
      </c>
      <c r="G1017" s="1" t="s">
        <v>1114</v>
      </c>
      <c r="H1017" s="4">
        <v>44451.0</v>
      </c>
      <c r="I1017" s="1" t="s">
        <v>406</v>
      </c>
      <c r="K1017" s="1">
        <v>0.0</v>
      </c>
      <c r="L1017" s="1" t="s">
        <v>759</v>
      </c>
      <c r="M1017" s="1" t="str">
        <f>VLOOKUP(L1017,'Copy of PMD Workday Constants -'!B986:Y1672,22,false)</f>
        <v>#N/A</v>
      </c>
      <c r="N1017" s="1" t="s">
        <v>32</v>
      </c>
      <c r="O1017" s="1" t="s">
        <v>33</v>
      </c>
      <c r="P1017" s="1" t="s">
        <v>64</v>
      </c>
      <c r="Q1017" s="1" t="s">
        <v>64</v>
      </c>
      <c r="R1017" s="1" t="s">
        <v>65</v>
      </c>
      <c r="S1017" s="1" t="s">
        <v>185</v>
      </c>
      <c r="T1017" s="1">
        <v>1.00610205E8</v>
      </c>
      <c r="W1017" s="1" t="s">
        <v>74</v>
      </c>
      <c r="X1017" s="1" t="s">
        <v>3642</v>
      </c>
    </row>
    <row r="1018">
      <c r="A1018" s="1" t="s">
        <v>3643</v>
      </c>
      <c r="B1018" s="1" t="s">
        <v>485</v>
      </c>
      <c r="C1018" s="1" t="s">
        <v>3644</v>
      </c>
      <c r="D1018" s="1" t="s">
        <v>28</v>
      </c>
      <c r="E1018" s="1" t="s">
        <v>29</v>
      </c>
      <c r="F1018" s="5">
        <v>1000000.0</v>
      </c>
      <c r="G1018" s="1" t="s">
        <v>1114</v>
      </c>
      <c r="H1018" s="4">
        <v>44686.0</v>
      </c>
      <c r="I1018" s="1" t="s">
        <v>104</v>
      </c>
      <c r="K1018" s="1">
        <v>0.0</v>
      </c>
      <c r="L1018" s="1" t="s">
        <v>2616</v>
      </c>
      <c r="M1018" s="1" t="str">
        <f>VLOOKUP(L1018,'Copy of PMD Workday Constants -'!B987:Y1673,22,false)</f>
        <v>#N/A</v>
      </c>
      <c r="N1018" s="1" t="s">
        <v>32</v>
      </c>
      <c r="O1018" s="1" t="s">
        <v>33</v>
      </c>
      <c r="P1018" s="1" t="s">
        <v>112</v>
      </c>
      <c r="Q1018" s="1" t="s">
        <v>112</v>
      </c>
      <c r="R1018" s="1" t="s">
        <v>113</v>
      </c>
      <c r="T1018" s="1">
        <v>1.01054651E8</v>
      </c>
      <c r="W1018" s="1" t="s">
        <v>1303</v>
      </c>
      <c r="X1018" s="1" t="s">
        <v>203</v>
      </c>
    </row>
    <row r="1019">
      <c r="A1019" s="1" t="s">
        <v>3645</v>
      </c>
      <c r="B1019" s="1" t="s">
        <v>3646</v>
      </c>
      <c r="C1019" s="1" t="s">
        <v>3647</v>
      </c>
      <c r="D1019" s="1" t="s">
        <v>51</v>
      </c>
      <c r="E1019" s="1" t="s">
        <v>29</v>
      </c>
      <c r="F1019" s="5">
        <v>1000000.0</v>
      </c>
      <c r="G1019" s="1" t="s">
        <v>1114</v>
      </c>
      <c r="H1019" s="1" t="s">
        <v>3648</v>
      </c>
      <c r="I1019" s="4">
        <v>44568.0</v>
      </c>
      <c r="K1019" s="1">
        <v>0.0</v>
      </c>
      <c r="L1019" s="1" t="s">
        <v>255</v>
      </c>
      <c r="M1019" s="1" t="str">
        <f>VLOOKUP(L1019,'Copy of PMD Workday Constants -'!B988:Y1674,22,false)</f>
        <v>#N/A</v>
      </c>
      <c r="N1019" s="1" t="s">
        <v>32</v>
      </c>
      <c r="O1019" s="1" t="s">
        <v>33</v>
      </c>
      <c r="P1019" s="1" t="s">
        <v>112</v>
      </c>
      <c r="Q1019" s="1" t="s">
        <v>112</v>
      </c>
      <c r="R1019" s="1" t="s">
        <v>113</v>
      </c>
      <c r="S1019" s="1" t="s">
        <v>256</v>
      </c>
      <c r="T1019" s="1">
        <v>1.00659114E8</v>
      </c>
      <c r="W1019" s="1" t="s">
        <v>258</v>
      </c>
      <c r="X1019" s="1" t="s">
        <v>2847</v>
      </c>
    </row>
    <row r="1020">
      <c r="A1020" s="1" t="s">
        <v>3649</v>
      </c>
      <c r="B1020" s="1" t="s">
        <v>3650</v>
      </c>
      <c r="C1020" s="1" t="s">
        <v>3651</v>
      </c>
      <c r="D1020" s="1" t="s">
        <v>28</v>
      </c>
      <c r="E1020" s="1" t="s">
        <v>29</v>
      </c>
      <c r="F1020" s="5">
        <v>1000000.0</v>
      </c>
      <c r="G1020" s="1" t="s">
        <v>1114</v>
      </c>
      <c r="H1020" s="1" t="s">
        <v>273</v>
      </c>
      <c r="I1020" s="1" t="s">
        <v>80</v>
      </c>
      <c r="K1020" s="1">
        <v>0.0</v>
      </c>
      <c r="L1020" s="1" t="s">
        <v>678</v>
      </c>
      <c r="M1020" s="1" t="str">
        <f>VLOOKUP(L1020,'Copy of PMD Workday Constants -'!B989:Y1675,22,false)</f>
        <v>#N/A</v>
      </c>
      <c r="N1020" s="1" t="s">
        <v>32</v>
      </c>
      <c r="O1020" s="1" t="s">
        <v>33</v>
      </c>
      <c r="P1020" s="1" t="s">
        <v>210</v>
      </c>
      <c r="Q1020" s="1" t="s">
        <v>210</v>
      </c>
      <c r="R1020" s="1" t="s">
        <v>211</v>
      </c>
      <c r="S1020" s="1" t="s">
        <v>416</v>
      </c>
      <c r="T1020" s="1">
        <v>1.00609073E8</v>
      </c>
      <c r="W1020" s="1" t="s">
        <v>56</v>
      </c>
      <c r="X1020" s="1" t="s">
        <v>921</v>
      </c>
    </row>
    <row r="1021">
      <c r="A1021" s="1" t="s">
        <v>3652</v>
      </c>
      <c r="B1021" s="1" t="s">
        <v>808</v>
      </c>
      <c r="C1021" s="1" t="s">
        <v>3653</v>
      </c>
      <c r="D1021" s="1" t="s">
        <v>51</v>
      </c>
      <c r="E1021" s="1" t="s">
        <v>29</v>
      </c>
      <c r="F1021" s="5">
        <v>1000000.0</v>
      </c>
      <c r="G1021" s="1" t="s">
        <v>1114</v>
      </c>
      <c r="H1021" s="4">
        <v>44837.0</v>
      </c>
      <c r="I1021" s="1" t="s">
        <v>575</v>
      </c>
      <c r="K1021" s="1">
        <v>0.0</v>
      </c>
      <c r="L1021" s="1" t="s">
        <v>1400</v>
      </c>
      <c r="M1021" s="1" t="str">
        <f>VLOOKUP(L1021,'Copy of PMD Workday Constants -'!B990:Y1676,22,false)</f>
        <v>#N/A</v>
      </c>
      <c r="N1021" s="1" t="s">
        <v>32</v>
      </c>
      <c r="O1021" s="1" t="s">
        <v>33</v>
      </c>
      <c r="P1021" s="1" t="s">
        <v>64</v>
      </c>
      <c r="Q1021" s="1" t="s">
        <v>64</v>
      </c>
      <c r="R1021" s="1" t="s">
        <v>65</v>
      </c>
      <c r="S1021" s="1" t="s">
        <v>126</v>
      </c>
      <c r="T1021" s="1">
        <v>1.0059033E8</v>
      </c>
      <c r="W1021" s="1" t="s">
        <v>308</v>
      </c>
      <c r="X1021" s="1" t="s">
        <v>309</v>
      </c>
    </row>
    <row r="1022">
      <c r="A1022" s="1" t="s">
        <v>3654</v>
      </c>
      <c r="B1022" s="1" t="s">
        <v>1184</v>
      </c>
      <c r="C1022" s="1" t="s">
        <v>3655</v>
      </c>
      <c r="D1022" s="1" t="s">
        <v>51</v>
      </c>
      <c r="E1022" s="1" t="s">
        <v>29</v>
      </c>
      <c r="F1022" s="5">
        <v>1000000.0</v>
      </c>
      <c r="G1022" s="1" t="s">
        <v>1114</v>
      </c>
      <c r="H1022" s="1" t="s">
        <v>2463</v>
      </c>
      <c r="I1022" s="1" t="s">
        <v>80</v>
      </c>
      <c r="K1022" s="1">
        <v>0.0</v>
      </c>
      <c r="L1022" s="1" t="s">
        <v>3656</v>
      </c>
      <c r="M1022" s="1" t="str">
        <f>VLOOKUP(L1022,'Copy of PMD Workday Constants -'!B991:Y1677,22,false)</f>
        <v>#N/A</v>
      </c>
      <c r="N1022" s="1" t="s">
        <v>32</v>
      </c>
      <c r="O1022" s="1" t="s">
        <v>33</v>
      </c>
      <c r="P1022" s="1" t="s">
        <v>210</v>
      </c>
      <c r="Q1022" s="1" t="s">
        <v>210</v>
      </c>
      <c r="R1022" s="1" t="s">
        <v>211</v>
      </c>
      <c r="S1022" s="1" t="s">
        <v>416</v>
      </c>
      <c r="T1022" s="1">
        <v>1.00658814E8</v>
      </c>
      <c r="W1022" s="1" t="s">
        <v>56</v>
      </c>
      <c r="X1022" s="1" t="s">
        <v>3656</v>
      </c>
    </row>
    <row r="1023">
      <c r="A1023" s="1" t="s">
        <v>3657</v>
      </c>
      <c r="B1023" s="1" t="s">
        <v>225</v>
      </c>
      <c r="C1023" s="1" t="s">
        <v>3658</v>
      </c>
      <c r="D1023" s="1" t="s">
        <v>28</v>
      </c>
      <c r="E1023" s="1" t="s">
        <v>29</v>
      </c>
      <c r="F1023" s="5">
        <v>1000000.0</v>
      </c>
      <c r="G1023" s="1" t="s">
        <v>1114</v>
      </c>
      <c r="H1023" s="1" t="s">
        <v>1015</v>
      </c>
      <c r="I1023" s="1" t="s">
        <v>104</v>
      </c>
      <c r="K1023" s="1">
        <v>0.0</v>
      </c>
      <c r="L1023" s="1" t="s">
        <v>2330</v>
      </c>
      <c r="M1023" s="1" t="str">
        <f>VLOOKUP(L1023,'Copy of PMD Workday Constants -'!B992:Y1678,22,false)</f>
        <v>#N/A</v>
      </c>
      <c r="N1023" s="1" t="s">
        <v>32</v>
      </c>
      <c r="O1023" s="1" t="s">
        <v>33</v>
      </c>
      <c r="P1023" s="1" t="s">
        <v>82</v>
      </c>
      <c r="Q1023" s="1" t="s">
        <v>82</v>
      </c>
      <c r="R1023" s="1" t="s">
        <v>83</v>
      </c>
      <c r="S1023" s="1" t="s">
        <v>84</v>
      </c>
      <c r="T1023" s="1">
        <v>1.00613761E8</v>
      </c>
      <c r="W1023" s="1" t="s">
        <v>85</v>
      </c>
      <c r="X1023" s="1" t="s">
        <v>1617</v>
      </c>
    </row>
    <row r="1024">
      <c r="A1024" s="1" t="s">
        <v>3659</v>
      </c>
      <c r="B1024" s="1" t="s">
        <v>40</v>
      </c>
      <c r="C1024" s="1" t="s">
        <v>3660</v>
      </c>
      <c r="D1024" s="1" t="s">
        <v>51</v>
      </c>
      <c r="E1024" s="1" t="s">
        <v>29</v>
      </c>
      <c r="F1024" s="5">
        <v>1000000.0</v>
      </c>
      <c r="G1024" s="1" t="s">
        <v>1114</v>
      </c>
      <c r="H1024" s="1" t="s">
        <v>3661</v>
      </c>
      <c r="I1024" s="1" t="s">
        <v>3662</v>
      </c>
      <c r="K1024" s="1">
        <v>0.0</v>
      </c>
      <c r="L1024" s="1" t="s">
        <v>275</v>
      </c>
      <c r="M1024" s="1" t="str">
        <f>VLOOKUP(L1024,'Copy of PMD Workday Constants -'!B993:Y1679,22,false)</f>
        <v>#N/A</v>
      </c>
      <c r="N1024" s="1" t="s">
        <v>32</v>
      </c>
      <c r="O1024" s="1" t="s">
        <v>33</v>
      </c>
      <c r="P1024" s="1" t="s">
        <v>34</v>
      </c>
      <c r="Q1024" s="1" t="s">
        <v>34</v>
      </c>
      <c r="R1024" s="1" t="s">
        <v>35</v>
      </c>
      <c r="S1024" s="1" t="s">
        <v>126</v>
      </c>
      <c r="T1024" s="1">
        <v>1.00608828E8</v>
      </c>
      <c r="W1024" s="1" t="s">
        <v>47</v>
      </c>
      <c r="X1024" s="1" t="s">
        <v>127</v>
      </c>
    </row>
    <row r="1025">
      <c r="A1025" s="1" t="s">
        <v>3663</v>
      </c>
      <c r="B1025" s="1" t="s">
        <v>368</v>
      </c>
      <c r="C1025" s="1" t="s">
        <v>3664</v>
      </c>
      <c r="D1025" s="1" t="s">
        <v>28</v>
      </c>
      <c r="E1025" s="1" t="s">
        <v>29</v>
      </c>
      <c r="F1025" s="5">
        <v>1000000.0</v>
      </c>
      <c r="G1025" s="1" t="s">
        <v>1114</v>
      </c>
      <c r="H1025" s="4">
        <v>44686.0</v>
      </c>
      <c r="I1025" s="4">
        <v>44601.0</v>
      </c>
      <c r="K1025" s="1">
        <v>0.0</v>
      </c>
      <c r="L1025" s="1" t="s">
        <v>2991</v>
      </c>
      <c r="M1025" s="1" t="str">
        <f>VLOOKUP(L1025,'Copy of PMD Workday Constants -'!B994:Y1680,22,false)</f>
        <v>#N/A</v>
      </c>
      <c r="N1025" s="1" t="s">
        <v>32</v>
      </c>
      <c r="O1025" s="1" t="s">
        <v>33</v>
      </c>
      <c r="P1025" s="1" t="s">
        <v>210</v>
      </c>
      <c r="Q1025" s="1" t="s">
        <v>210</v>
      </c>
      <c r="R1025" s="1" t="s">
        <v>211</v>
      </c>
      <c r="S1025" s="1" t="s">
        <v>297</v>
      </c>
      <c r="T1025" s="1">
        <v>1.00647935E8</v>
      </c>
      <c r="U1025" s="1" t="s">
        <v>3665</v>
      </c>
      <c r="V1025" s="1" t="s">
        <v>187</v>
      </c>
      <c r="W1025" s="1" t="s">
        <v>258</v>
      </c>
      <c r="X1025" s="1" t="s">
        <v>2991</v>
      </c>
    </row>
    <row r="1026">
      <c r="A1026" s="1" t="s">
        <v>3666</v>
      </c>
      <c r="B1026" s="1" t="s">
        <v>954</v>
      </c>
      <c r="C1026" s="1" t="s">
        <v>3667</v>
      </c>
      <c r="D1026" s="1" t="s">
        <v>28</v>
      </c>
      <c r="E1026" s="1" t="s">
        <v>29</v>
      </c>
      <c r="F1026" s="5">
        <v>1000000.0</v>
      </c>
      <c r="G1026" s="1" t="s">
        <v>1114</v>
      </c>
      <c r="H1026" s="1" t="s">
        <v>283</v>
      </c>
      <c r="I1026" s="1" t="s">
        <v>80</v>
      </c>
      <c r="K1026" s="1">
        <v>0.0</v>
      </c>
      <c r="L1026" s="1" t="s">
        <v>2703</v>
      </c>
      <c r="M1026" s="1" t="str">
        <f>VLOOKUP(L1026,'Copy of PMD Workday Constants -'!B995:Y1681,22,false)</f>
        <v>#N/A</v>
      </c>
      <c r="N1026" s="1" t="s">
        <v>32</v>
      </c>
      <c r="O1026" s="1" t="s">
        <v>33</v>
      </c>
      <c r="P1026" s="1" t="s">
        <v>34</v>
      </c>
      <c r="Q1026" s="1" t="s">
        <v>34</v>
      </c>
      <c r="R1026" s="1" t="s">
        <v>35</v>
      </c>
      <c r="S1026" s="1" t="s">
        <v>383</v>
      </c>
      <c r="T1026" s="1">
        <v>1.00866856E8</v>
      </c>
      <c r="W1026" s="1" t="s">
        <v>147</v>
      </c>
      <c r="X1026" s="1" t="s">
        <v>2703</v>
      </c>
    </row>
    <row r="1027">
      <c r="A1027" s="1" t="s">
        <v>3668</v>
      </c>
      <c r="B1027" s="1" t="s">
        <v>3669</v>
      </c>
      <c r="C1027" s="1" t="s">
        <v>3670</v>
      </c>
      <c r="D1027" s="1" t="s">
        <v>51</v>
      </c>
      <c r="E1027" s="1" t="s">
        <v>29</v>
      </c>
      <c r="F1027" s="5">
        <v>1000000.0</v>
      </c>
      <c r="G1027" s="1" t="s">
        <v>1114</v>
      </c>
      <c r="H1027" s="1" t="s">
        <v>283</v>
      </c>
      <c r="I1027" s="1" t="s">
        <v>104</v>
      </c>
      <c r="K1027" s="1">
        <v>0.0</v>
      </c>
      <c r="L1027" s="1" t="s">
        <v>3596</v>
      </c>
      <c r="M1027" s="1" t="str">
        <f>VLOOKUP(L1027,'Copy of PMD Workday Constants -'!B996:Y1682,22,false)</f>
        <v>#N/A</v>
      </c>
      <c r="N1027" s="1" t="s">
        <v>32</v>
      </c>
      <c r="O1027" s="1" t="s">
        <v>33</v>
      </c>
      <c r="P1027" s="1" t="s">
        <v>210</v>
      </c>
      <c r="Q1027" s="1" t="s">
        <v>210</v>
      </c>
      <c r="R1027" s="1" t="s">
        <v>211</v>
      </c>
      <c r="S1027" s="1" t="s">
        <v>416</v>
      </c>
      <c r="T1027" s="1">
        <v>1.00659524E8</v>
      </c>
      <c r="W1027" s="1" t="s">
        <v>74</v>
      </c>
      <c r="X1027" s="1" t="s">
        <v>3596</v>
      </c>
    </row>
    <row r="1028">
      <c r="A1028" s="1" t="s">
        <v>3671</v>
      </c>
      <c r="B1028" s="1" t="s">
        <v>1703</v>
      </c>
      <c r="C1028" s="1" t="s">
        <v>3672</v>
      </c>
      <c r="D1028" s="1" t="s">
        <v>28</v>
      </c>
      <c r="E1028" s="1" t="s">
        <v>29</v>
      </c>
      <c r="F1028" s="5">
        <v>1000000.0</v>
      </c>
      <c r="G1028" s="1" t="s">
        <v>1114</v>
      </c>
      <c r="H1028" s="1" t="s">
        <v>3673</v>
      </c>
      <c r="I1028" s="1" t="s">
        <v>302</v>
      </c>
      <c r="K1028" s="1">
        <v>0.0</v>
      </c>
      <c r="L1028" s="1" t="s">
        <v>3674</v>
      </c>
      <c r="M1028" s="1" t="str">
        <f>VLOOKUP(L1028,'Copy of PMD Workday Constants -'!B997:Y1683,22,false)</f>
        <v>#N/A</v>
      </c>
      <c r="N1028" s="1" t="s">
        <v>32</v>
      </c>
      <c r="O1028" s="1" t="s">
        <v>33</v>
      </c>
      <c r="P1028" s="1" t="s">
        <v>173</v>
      </c>
      <c r="Q1028" s="1" t="s">
        <v>173</v>
      </c>
      <c r="R1028" s="1" t="s">
        <v>174</v>
      </c>
      <c r="S1028" s="1" t="s">
        <v>153</v>
      </c>
      <c r="T1028" s="1">
        <v>1.0058537E8</v>
      </c>
      <c r="W1028" s="1" t="s">
        <v>456</v>
      </c>
      <c r="X1028" s="1" t="s">
        <v>3675</v>
      </c>
    </row>
    <row r="1029">
      <c r="A1029" s="1" t="s">
        <v>3676</v>
      </c>
      <c r="B1029" s="1" t="s">
        <v>40</v>
      </c>
      <c r="C1029" s="1" t="s">
        <v>3677</v>
      </c>
      <c r="D1029" s="1" t="s">
        <v>28</v>
      </c>
      <c r="E1029" s="1" t="s">
        <v>29</v>
      </c>
      <c r="F1029" s="5">
        <v>1000000.0</v>
      </c>
      <c r="G1029" s="1" t="s">
        <v>1114</v>
      </c>
      <c r="H1029" s="1" t="s">
        <v>283</v>
      </c>
      <c r="I1029" s="1" t="s">
        <v>302</v>
      </c>
      <c r="K1029" s="1">
        <v>0.0</v>
      </c>
      <c r="L1029" s="1" t="s">
        <v>825</v>
      </c>
      <c r="M1029" s="1" t="str">
        <f>VLOOKUP(L1029,'Copy of PMD Workday Constants -'!B998:Y1684,22,false)</f>
        <v>#N/A</v>
      </c>
      <c r="N1029" s="1" t="s">
        <v>32</v>
      </c>
      <c r="O1029" s="1" t="s">
        <v>33</v>
      </c>
      <c r="P1029" s="1" t="s">
        <v>112</v>
      </c>
      <c r="Q1029" s="1" t="s">
        <v>112</v>
      </c>
      <c r="R1029" s="1" t="s">
        <v>113</v>
      </c>
      <c r="S1029" s="1" t="s">
        <v>307</v>
      </c>
      <c r="T1029" s="1">
        <v>1.00621664E8</v>
      </c>
      <c r="U1029" s="1" t="s">
        <v>332</v>
      </c>
      <c r="V1029" s="1" t="s">
        <v>46</v>
      </c>
      <c r="W1029" s="1" t="s">
        <v>47</v>
      </c>
      <c r="X1029" s="1" t="s">
        <v>826</v>
      </c>
    </row>
    <row r="1030">
      <c r="A1030" s="1" t="s">
        <v>3678</v>
      </c>
      <c r="B1030" s="1" t="s">
        <v>3679</v>
      </c>
      <c r="C1030" s="1" t="s">
        <v>3680</v>
      </c>
      <c r="D1030" s="1" t="s">
        <v>103</v>
      </c>
      <c r="E1030" s="1" t="s">
        <v>29</v>
      </c>
      <c r="F1030" s="5">
        <v>1000000.0</v>
      </c>
      <c r="G1030" s="1" t="s">
        <v>1114</v>
      </c>
      <c r="H1030" s="4">
        <v>44870.0</v>
      </c>
      <c r="I1030" s="1" t="s">
        <v>132</v>
      </c>
      <c r="K1030" s="1">
        <v>0.0</v>
      </c>
      <c r="L1030" s="1" t="s">
        <v>2556</v>
      </c>
      <c r="M1030" s="1" t="str">
        <f>VLOOKUP(L1030,'Copy of PMD Workday Constants -'!B999:Y1685,22,false)</f>
        <v>#N/A</v>
      </c>
      <c r="N1030" s="1" t="s">
        <v>32</v>
      </c>
      <c r="O1030" s="1" t="s">
        <v>33</v>
      </c>
      <c r="P1030" s="1" t="s">
        <v>82</v>
      </c>
      <c r="Q1030" s="1" t="s">
        <v>82</v>
      </c>
      <c r="R1030" s="1" t="s">
        <v>83</v>
      </c>
      <c r="S1030" s="1" t="s">
        <v>84</v>
      </c>
      <c r="T1030" s="1">
        <v>1.01082364E8</v>
      </c>
      <c r="W1030" s="1" t="s">
        <v>74</v>
      </c>
      <c r="X1030" s="1" t="s">
        <v>2556</v>
      </c>
    </row>
    <row r="1031">
      <c r="A1031" s="1" t="s">
        <v>3681</v>
      </c>
      <c r="B1031" s="1" t="s">
        <v>1047</v>
      </c>
      <c r="C1031" s="1" t="s">
        <v>3682</v>
      </c>
      <c r="D1031" s="1" t="s">
        <v>28</v>
      </c>
      <c r="E1031" s="1" t="s">
        <v>29</v>
      </c>
      <c r="F1031" s="5">
        <v>1000000.0</v>
      </c>
      <c r="G1031" s="1" t="s">
        <v>1114</v>
      </c>
      <c r="H1031" s="1" t="s">
        <v>2510</v>
      </c>
      <c r="I1031" s="1" t="s">
        <v>80</v>
      </c>
      <c r="K1031" s="1">
        <v>0.0</v>
      </c>
      <c r="L1031" s="1" t="s">
        <v>733</v>
      </c>
      <c r="M1031" s="1" t="str">
        <f>VLOOKUP(L1031,'Copy of PMD Workday Constants -'!B1000:Y1686,22,false)</f>
        <v>#N/A</v>
      </c>
      <c r="N1031" s="1" t="s">
        <v>32</v>
      </c>
      <c r="O1031" s="1" t="s">
        <v>33</v>
      </c>
      <c r="P1031" s="1" t="s">
        <v>210</v>
      </c>
      <c r="Q1031" s="1" t="s">
        <v>210</v>
      </c>
      <c r="R1031" s="1" t="s">
        <v>211</v>
      </c>
      <c r="S1031" s="1" t="s">
        <v>297</v>
      </c>
      <c r="T1031" s="1">
        <v>1.00616656E8</v>
      </c>
      <c r="W1031" s="1" t="s">
        <v>258</v>
      </c>
      <c r="X1031" s="1" t="s">
        <v>733</v>
      </c>
    </row>
    <row r="1032">
      <c r="A1032" s="1" t="s">
        <v>3683</v>
      </c>
      <c r="B1032" s="1" t="s">
        <v>3684</v>
      </c>
      <c r="C1032" s="1" t="s">
        <v>3685</v>
      </c>
      <c r="D1032" s="1" t="s">
        <v>28</v>
      </c>
      <c r="E1032" s="1" t="s">
        <v>29</v>
      </c>
      <c r="F1032" s="5">
        <v>1000000.0</v>
      </c>
      <c r="G1032" s="1" t="s">
        <v>1114</v>
      </c>
      <c r="H1032" s="4">
        <v>44598.0</v>
      </c>
      <c r="I1032" s="1" t="s">
        <v>166</v>
      </c>
      <c r="K1032" s="1">
        <v>0.0</v>
      </c>
      <c r="L1032" s="1" t="s">
        <v>3686</v>
      </c>
      <c r="M1032" s="1" t="str">
        <f>VLOOKUP(L1032,'Copy of PMD Workday Constants -'!B1001:Y1687,22,false)</f>
        <v>#N/A</v>
      </c>
      <c r="N1032" s="1" t="s">
        <v>32</v>
      </c>
      <c r="O1032" s="1" t="s">
        <v>33</v>
      </c>
      <c r="P1032" s="1" t="s">
        <v>54</v>
      </c>
      <c r="Q1032" s="1" t="s">
        <v>54</v>
      </c>
      <c r="R1032" s="1" t="s">
        <v>55</v>
      </c>
      <c r="T1032" s="1">
        <v>1.00598931E8</v>
      </c>
      <c r="W1032" s="1" t="s">
        <v>250</v>
      </c>
      <c r="X1032" s="1" t="s">
        <v>3687</v>
      </c>
    </row>
    <row r="1033">
      <c r="A1033" s="1" t="s">
        <v>3688</v>
      </c>
      <c r="B1033" s="1" t="s">
        <v>1573</v>
      </c>
      <c r="C1033" s="1" t="s">
        <v>3689</v>
      </c>
      <c r="D1033" s="1" t="s">
        <v>28</v>
      </c>
      <c r="E1033" s="1" t="s">
        <v>29</v>
      </c>
      <c r="F1033" s="5">
        <v>1000000.0</v>
      </c>
      <c r="G1033" s="1" t="s">
        <v>1114</v>
      </c>
      <c r="H1033" s="1" t="s">
        <v>1575</v>
      </c>
      <c r="I1033" s="1" t="s">
        <v>96</v>
      </c>
      <c r="K1033" s="1">
        <v>0.0</v>
      </c>
      <c r="L1033" s="1" t="s">
        <v>1011</v>
      </c>
      <c r="M1033" s="1" t="str">
        <f>VLOOKUP(L1033,'Copy of PMD Workday Constants -'!B1002:Y1688,22,false)</f>
        <v>#N/A</v>
      </c>
      <c r="N1033" s="1" t="s">
        <v>32</v>
      </c>
      <c r="O1033" s="1" t="s">
        <v>33</v>
      </c>
      <c r="P1033" s="1" t="s">
        <v>82</v>
      </c>
      <c r="Q1033" s="1" t="s">
        <v>82</v>
      </c>
      <c r="R1033" s="1" t="s">
        <v>83</v>
      </c>
      <c r="S1033" s="1" t="s">
        <v>583</v>
      </c>
      <c r="T1033" s="1">
        <v>1.00609514E8</v>
      </c>
      <c r="U1033" s="1" t="s">
        <v>3690</v>
      </c>
      <c r="V1033" s="1" t="s">
        <v>187</v>
      </c>
      <c r="W1033" s="1" t="s">
        <v>456</v>
      </c>
      <c r="X1033" s="1" t="s">
        <v>1012</v>
      </c>
    </row>
    <row r="1034">
      <c r="A1034" s="1" t="s">
        <v>3691</v>
      </c>
      <c r="B1034" s="1" t="s">
        <v>485</v>
      </c>
      <c r="C1034" s="1" t="s">
        <v>3692</v>
      </c>
      <c r="D1034" s="1" t="s">
        <v>28</v>
      </c>
      <c r="E1034" s="1" t="s">
        <v>29</v>
      </c>
      <c r="F1034" s="5">
        <v>1000000.0</v>
      </c>
      <c r="G1034" s="1" t="s">
        <v>1114</v>
      </c>
      <c r="H1034" s="4">
        <v>44327.0</v>
      </c>
      <c r="I1034" s="1" t="s">
        <v>43</v>
      </c>
      <c r="K1034" s="1">
        <v>0.0</v>
      </c>
      <c r="L1034" s="1" t="s">
        <v>2310</v>
      </c>
      <c r="M1034" s="1" t="str">
        <f>VLOOKUP(L1034,'Copy of PMD Workday Constants -'!B1003:Y1689,22,false)</f>
        <v>#N/A</v>
      </c>
      <c r="N1034" s="1" t="s">
        <v>32</v>
      </c>
      <c r="O1034" s="1" t="s">
        <v>33</v>
      </c>
      <c r="P1034" s="1" t="s">
        <v>82</v>
      </c>
      <c r="Q1034" s="1" t="s">
        <v>82</v>
      </c>
      <c r="R1034" s="1" t="s">
        <v>83</v>
      </c>
      <c r="S1034" s="1" t="s">
        <v>180</v>
      </c>
      <c r="T1034" s="1">
        <v>1.01078216E8</v>
      </c>
      <c r="W1034" s="1" t="s">
        <v>85</v>
      </c>
      <c r="X1034" s="1" t="s">
        <v>2310</v>
      </c>
    </row>
    <row r="1035">
      <c r="A1035" s="1" t="s">
        <v>3693</v>
      </c>
      <c r="B1035" s="1" t="s">
        <v>993</v>
      </c>
      <c r="C1035" s="1" t="s">
        <v>3694</v>
      </c>
      <c r="D1035" s="1" t="s">
        <v>28</v>
      </c>
      <c r="E1035" s="1" t="s">
        <v>29</v>
      </c>
      <c r="F1035" s="5">
        <v>1000000.0</v>
      </c>
      <c r="G1035" s="1" t="s">
        <v>1114</v>
      </c>
      <c r="H1035" s="1" t="s">
        <v>1553</v>
      </c>
      <c r="I1035" s="1" t="s">
        <v>152</v>
      </c>
      <c r="K1035" s="1">
        <v>0.0</v>
      </c>
      <c r="L1035" s="1" t="s">
        <v>1760</v>
      </c>
      <c r="M1035" s="1" t="str">
        <f>VLOOKUP(L1035,'Copy of PMD Workday Constants -'!B1004:Y1690,22,false)</f>
        <v>#N/A</v>
      </c>
      <c r="N1035" s="1" t="s">
        <v>32</v>
      </c>
      <c r="O1035" s="1" t="s">
        <v>33</v>
      </c>
      <c r="P1035" s="1" t="s">
        <v>112</v>
      </c>
      <c r="Q1035" s="1" t="s">
        <v>112</v>
      </c>
      <c r="R1035" s="1" t="s">
        <v>113</v>
      </c>
      <c r="S1035" s="1" t="s">
        <v>134</v>
      </c>
      <c r="T1035" s="1">
        <v>1.00610489E8</v>
      </c>
      <c r="W1035" s="1" t="s">
        <v>74</v>
      </c>
      <c r="X1035" s="1" t="s">
        <v>1760</v>
      </c>
    </row>
    <row r="1036">
      <c r="A1036" s="1" t="s">
        <v>3695</v>
      </c>
      <c r="B1036" s="1" t="s">
        <v>973</v>
      </c>
      <c r="C1036" s="1" t="s">
        <v>3696</v>
      </c>
      <c r="D1036" s="1" t="s">
        <v>28</v>
      </c>
      <c r="E1036" s="1" t="s">
        <v>29</v>
      </c>
      <c r="F1036" s="5">
        <v>1000000.0</v>
      </c>
      <c r="G1036" s="1" t="s">
        <v>1114</v>
      </c>
      <c r="H1036" s="4">
        <v>44389.0</v>
      </c>
      <c r="I1036" s="1" t="s">
        <v>302</v>
      </c>
      <c r="K1036" s="1">
        <v>0.0</v>
      </c>
      <c r="L1036" s="1" t="s">
        <v>1505</v>
      </c>
      <c r="M1036" s="1" t="str">
        <f>VLOOKUP(L1036,'Copy of PMD Workday Constants -'!B1005:Y1691,22,false)</f>
        <v>#N/A</v>
      </c>
      <c r="N1036" s="1" t="s">
        <v>32</v>
      </c>
      <c r="O1036" s="1" t="s">
        <v>33</v>
      </c>
      <c r="P1036" s="1" t="s">
        <v>112</v>
      </c>
      <c r="Q1036" s="1" t="s">
        <v>112</v>
      </c>
      <c r="R1036" s="1" t="s">
        <v>113</v>
      </c>
      <c r="S1036" s="1" t="s">
        <v>455</v>
      </c>
      <c r="T1036" s="1">
        <v>1.00651554E8</v>
      </c>
      <c r="W1036" s="1" t="s">
        <v>456</v>
      </c>
      <c r="X1036" s="1" t="s">
        <v>1505</v>
      </c>
    </row>
    <row r="1037">
      <c r="A1037" s="1" t="s">
        <v>3697</v>
      </c>
      <c r="B1037" s="1" t="s">
        <v>973</v>
      </c>
      <c r="C1037" s="1" t="s">
        <v>3698</v>
      </c>
      <c r="D1037" s="1" t="s">
        <v>28</v>
      </c>
      <c r="E1037" s="1" t="s">
        <v>29</v>
      </c>
      <c r="F1037" s="5">
        <v>1000000.0</v>
      </c>
      <c r="G1037" s="1" t="s">
        <v>1114</v>
      </c>
      <c r="H1037" s="4">
        <v>44389.0</v>
      </c>
      <c r="I1037" s="1" t="s">
        <v>302</v>
      </c>
      <c r="K1037" s="1">
        <v>0.0</v>
      </c>
      <c r="L1037" s="1" t="s">
        <v>1505</v>
      </c>
      <c r="M1037" s="1" t="str">
        <f>VLOOKUP(L1037,'Copy of PMD Workday Constants -'!B1006:Y1692,22,false)</f>
        <v>#N/A</v>
      </c>
      <c r="N1037" s="1" t="s">
        <v>32</v>
      </c>
      <c r="O1037" s="1" t="s">
        <v>33</v>
      </c>
      <c r="P1037" s="1" t="s">
        <v>112</v>
      </c>
      <c r="Q1037" s="1" t="s">
        <v>112</v>
      </c>
      <c r="R1037" s="1" t="s">
        <v>113</v>
      </c>
      <c r="S1037" s="1" t="s">
        <v>455</v>
      </c>
      <c r="T1037" s="1">
        <v>1.00651554E8</v>
      </c>
      <c r="W1037" s="1" t="s">
        <v>456</v>
      </c>
      <c r="X1037" s="1" t="s">
        <v>1505</v>
      </c>
    </row>
    <row r="1038">
      <c r="A1038" s="1" t="s">
        <v>3699</v>
      </c>
      <c r="B1038" s="1" t="s">
        <v>988</v>
      </c>
      <c r="C1038" s="1" t="s">
        <v>3700</v>
      </c>
      <c r="D1038" s="1" t="s">
        <v>51</v>
      </c>
      <c r="E1038" s="1" t="s">
        <v>29</v>
      </c>
      <c r="F1038" s="5">
        <v>1000000.0</v>
      </c>
      <c r="G1038" s="1" t="s">
        <v>1114</v>
      </c>
      <c r="H1038" s="4">
        <v>44567.0</v>
      </c>
      <c r="I1038" s="4">
        <v>44569.0</v>
      </c>
      <c r="K1038" s="1">
        <v>0.0</v>
      </c>
      <c r="L1038" s="1" t="s">
        <v>3063</v>
      </c>
      <c r="M1038" s="1" t="str">
        <f>VLOOKUP(L1038,'Copy of PMD Workday Constants -'!B1007:Y1693,22,false)</f>
        <v>#N/A</v>
      </c>
      <c r="N1038" s="1" t="s">
        <v>32</v>
      </c>
      <c r="O1038" s="1" t="s">
        <v>33</v>
      </c>
      <c r="P1038" s="1" t="s">
        <v>34</v>
      </c>
      <c r="Q1038" s="1" t="s">
        <v>34</v>
      </c>
      <c r="R1038" s="1" t="s">
        <v>35</v>
      </c>
      <c r="T1038" s="1">
        <v>1.00622716E8</v>
      </c>
      <c r="W1038" s="1" t="s">
        <v>37</v>
      </c>
      <c r="X1038" s="1" t="s">
        <v>3701</v>
      </c>
    </row>
    <row r="1039">
      <c r="A1039" s="1" t="s">
        <v>3702</v>
      </c>
      <c r="B1039" s="1" t="s">
        <v>1648</v>
      </c>
      <c r="C1039" s="1" t="s">
        <v>3703</v>
      </c>
      <c r="D1039" s="1" t="s">
        <v>28</v>
      </c>
      <c r="E1039" s="1" t="s">
        <v>29</v>
      </c>
      <c r="F1039" s="5">
        <v>1000000.0</v>
      </c>
      <c r="G1039" s="1" t="s">
        <v>1114</v>
      </c>
      <c r="H1039" s="1" t="s">
        <v>698</v>
      </c>
      <c r="I1039" s="1" t="s">
        <v>104</v>
      </c>
      <c r="K1039" s="1">
        <v>0.0</v>
      </c>
      <c r="L1039" s="1" t="s">
        <v>1739</v>
      </c>
      <c r="M1039" s="1" t="str">
        <f>VLOOKUP(L1039,'Copy of PMD Workday Constants -'!B1008:Y1694,22,false)</f>
        <v>#N/A</v>
      </c>
      <c r="N1039" s="1" t="s">
        <v>32</v>
      </c>
      <c r="O1039" s="1" t="s">
        <v>33</v>
      </c>
      <c r="P1039" s="1" t="s">
        <v>210</v>
      </c>
      <c r="Q1039" s="1" t="s">
        <v>210</v>
      </c>
      <c r="R1039" s="1" t="s">
        <v>211</v>
      </c>
      <c r="T1039" s="1">
        <v>1.00964362E8</v>
      </c>
      <c r="W1039" s="1" t="s">
        <v>56</v>
      </c>
      <c r="X1039" s="1" t="s">
        <v>2569</v>
      </c>
    </row>
    <row r="1040">
      <c r="A1040" s="1" t="s">
        <v>3704</v>
      </c>
      <c r="B1040" s="1" t="s">
        <v>1586</v>
      </c>
      <c r="C1040" s="1" t="s">
        <v>3705</v>
      </c>
      <c r="D1040" s="1" t="s">
        <v>28</v>
      </c>
      <c r="E1040" s="1" t="s">
        <v>29</v>
      </c>
      <c r="F1040" s="5">
        <v>1000000.0</v>
      </c>
      <c r="G1040" s="1" t="s">
        <v>1114</v>
      </c>
      <c r="H1040" s="4">
        <v>44563.0</v>
      </c>
      <c r="I1040" s="4">
        <v>44568.0</v>
      </c>
      <c r="K1040" s="1">
        <v>0.0</v>
      </c>
      <c r="L1040" s="1" t="s">
        <v>1587</v>
      </c>
      <c r="M1040" s="1" t="str">
        <f>VLOOKUP(L1040,'Copy of PMD Workday Constants -'!B1009:Y1695,22,false)</f>
        <v>#N/A</v>
      </c>
      <c r="N1040" s="1" t="s">
        <v>32</v>
      </c>
      <c r="O1040" s="1" t="s">
        <v>33</v>
      </c>
      <c r="P1040" s="1" t="s">
        <v>64</v>
      </c>
      <c r="Q1040" s="1" t="s">
        <v>64</v>
      </c>
      <c r="R1040" s="1" t="s">
        <v>65</v>
      </c>
      <c r="S1040" s="1" t="s">
        <v>1336</v>
      </c>
      <c r="T1040" s="1">
        <v>1.01141441E8</v>
      </c>
      <c r="W1040" s="1" t="s">
        <v>91</v>
      </c>
      <c r="X1040" s="1" t="s">
        <v>1337</v>
      </c>
    </row>
    <row r="1041">
      <c r="A1041" s="1" t="s">
        <v>3706</v>
      </c>
      <c r="B1041" s="1" t="s">
        <v>2728</v>
      </c>
      <c r="C1041" s="1" t="s">
        <v>1581</v>
      </c>
      <c r="D1041" s="1" t="s">
        <v>28</v>
      </c>
      <c r="E1041" s="1" t="s">
        <v>29</v>
      </c>
      <c r="F1041" s="5">
        <v>1000000.0</v>
      </c>
      <c r="G1041" s="1" t="s">
        <v>1114</v>
      </c>
      <c r="H1041" s="4">
        <v>44563.0</v>
      </c>
      <c r="I1041" s="1" t="s">
        <v>538</v>
      </c>
      <c r="K1041" s="1">
        <v>0.0</v>
      </c>
      <c r="L1041" s="1" t="s">
        <v>491</v>
      </c>
      <c r="M1041" s="1" t="str">
        <f>VLOOKUP(L1041,'Copy of PMD Workday Constants -'!B1010:Y1696,22,false)</f>
        <v>#N/A</v>
      </c>
      <c r="N1041" s="1" t="s">
        <v>32</v>
      </c>
      <c r="O1041" s="1" t="s">
        <v>33</v>
      </c>
      <c r="P1041" s="1" t="s">
        <v>112</v>
      </c>
      <c r="Q1041" s="1" t="s">
        <v>112</v>
      </c>
      <c r="R1041" s="1" t="s">
        <v>113</v>
      </c>
      <c r="S1041" s="1" t="s">
        <v>1336</v>
      </c>
      <c r="T1041" s="1">
        <v>1.00623914E8</v>
      </c>
      <c r="W1041" s="1" t="s">
        <v>91</v>
      </c>
      <c r="X1041" s="1" t="s">
        <v>1337</v>
      </c>
    </row>
    <row r="1042">
      <c r="A1042" s="1" t="s">
        <v>3707</v>
      </c>
      <c r="B1042" s="1" t="s">
        <v>3708</v>
      </c>
      <c r="C1042" s="1" t="s">
        <v>1581</v>
      </c>
      <c r="D1042" s="1" t="s">
        <v>28</v>
      </c>
      <c r="E1042" s="1" t="s">
        <v>29</v>
      </c>
      <c r="F1042" s="5">
        <v>1000000.0</v>
      </c>
      <c r="G1042" s="1" t="s">
        <v>1114</v>
      </c>
      <c r="H1042" s="4">
        <v>44563.0</v>
      </c>
      <c r="I1042" s="1" t="s">
        <v>538</v>
      </c>
      <c r="K1042" s="1">
        <v>0.0</v>
      </c>
      <c r="L1042" s="1" t="s">
        <v>491</v>
      </c>
      <c r="M1042" s="1" t="str">
        <f>VLOOKUP(L1042,'Copy of PMD Workday Constants -'!B1011:Y1697,22,false)</f>
        <v>#N/A</v>
      </c>
      <c r="N1042" s="1" t="s">
        <v>32</v>
      </c>
      <c r="O1042" s="1" t="s">
        <v>33</v>
      </c>
      <c r="P1042" s="1" t="s">
        <v>112</v>
      </c>
      <c r="Q1042" s="1" t="s">
        <v>112</v>
      </c>
      <c r="R1042" s="1" t="s">
        <v>113</v>
      </c>
      <c r="S1042" s="1" t="s">
        <v>1336</v>
      </c>
      <c r="T1042" s="1">
        <v>1.00623914E8</v>
      </c>
      <c r="W1042" s="1" t="s">
        <v>91</v>
      </c>
      <c r="X1042" s="1" t="s">
        <v>1337</v>
      </c>
    </row>
    <row r="1043">
      <c r="A1043" s="1" t="s">
        <v>3709</v>
      </c>
      <c r="B1043" s="1" t="s">
        <v>1713</v>
      </c>
      <c r="C1043" s="1" t="s">
        <v>1581</v>
      </c>
      <c r="D1043" s="1" t="s">
        <v>28</v>
      </c>
      <c r="E1043" s="1" t="s">
        <v>29</v>
      </c>
      <c r="F1043" s="5">
        <v>1000000.0</v>
      </c>
      <c r="G1043" s="1" t="s">
        <v>1114</v>
      </c>
      <c r="H1043" s="4">
        <v>44563.0</v>
      </c>
      <c r="I1043" s="1" t="s">
        <v>538</v>
      </c>
      <c r="K1043" s="1">
        <v>0.0</v>
      </c>
      <c r="L1043" s="1" t="s">
        <v>491</v>
      </c>
      <c r="M1043" s="1" t="str">
        <f>VLOOKUP(L1043,'Copy of PMD Workday Constants -'!B1012:Y1698,22,false)</f>
        <v>#N/A</v>
      </c>
      <c r="N1043" s="1" t="s">
        <v>32</v>
      </c>
      <c r="O1043" s="1" t="s">
        <v>33</v>
      </c>
      <c r="P1043" s="1" t="s">
        <v>112</v>
      </c>
      <c r="Q1043" s="1" t="s">
        <v>112</v>
      </c>
      <c r="R1043" s="1" t="s">
        <v>113</v>
      </c>
      <c r="S1043" s="1" t="s">
        <v>1336</v>
      </c>
      <c r="T1043" s="1">
        <v>1.00623914E8</v>
      </c>
      <c r="W1043" s="1" t="s">
        <v>91</v>
      </c>
      <c r="X1043" s="1" t="s">
        <v>1337</v>
      </c>
    </row>
    <row r="1044">
      <c r="A1044" s="1" t="s">
        <v>3710</v>
      </c>
      <c r="B1044" s="1" t="s">
        <v>3711</v>
      </c>
      <c r="C1044" s="1" t="s">
        <v>1581</v>
      </c>
      <c r="D1044" s="1" t="s">
        <v>28</v>
      </c>
      <c r="E1044" s="1" t="s">
        <v>29</v>
      </c>
      <c r="F1044" s="5">
        <v>1000000.0</v>
      </c>
      <c r="G1044" s="1" t="s">
        <v>1114</v>
      </c>
      <c r="H1044" s="4">
        <v>44563.0</v>
      </c>
      <c r="I1044" s="1" t="s">
        <v>538</v>
      </c>
      <c r="K1044" s="1">
        <v>0.0</v>
      </c>
      <c r="L1044" s="1" t="s">
        <v>491</v>
      </c>
      <c r="M1044" s="1" t="str">
        <f>VLOOKUP(L1044,'Copy of PMD Workday Constants -'!B1013:Y1699,22,false)</f>
        <v>#N/A</v>
      </c>
      <c r="N1044" s="1" t="s">
        <v>32</v>
      </c>
      <c r="O1044" s="1" t="s">
        <v>33</v>
      </c>
      <c r="P1044" s="1" t="s">
        <v>112</v>
      </c>
      <c r="Q1044" s="1" t="s">
        <v>112</v>
      </c>
      <c r="R1044" s="1" t="s">
        <v>113</v>
      </c>
      <c r="S1044" s="1" t="s">
        <v>1336</v>
      </c>
      <c r="T1044" s="1">
        <v>1.00623914E8</v>
      </c>
      <c r="W1044" s="1" t="s">
        <v>91</v>
      </c>
      <c r="X1044" s="1" t="s">
        <v>1337</v>
      </c>
    </row>
    <row r="1045">
      <c r="A1045" s="1" t="s">
        <v>3712</v>
      </c>
      <c r="B1045" s="1" t="s">
        <v>3343</v>
      </c>
      <c r="C1045" s="1" t="s">
        <v>3713</v>
      </c>
      <c r="D1045" s="1" t="s">
        <v>28</v>
      </c>
      <c r="E1045" s="1" t="s">
        <v>29</v>
      </c>
      <c r="F1045" s="5">
        <v>1000000.0</v>
      </c>
      <c r="G1045" s="1" t="s">
        <v>1114</v>
      </c>
      <c r="H1045" s="4">
        <v>44449.0</v>
      </c>
      <c r="I1045" s="1" t="s">
        <v>302</v>
      </c>
      <c r="K1045" s="1">
        <v>0.0</v>
      </c>
      <c r="L1045" s="1" t="s">
        <v>2275</v>
      </c>
      <c r="M1045" s="1" t="str">
        <f>VLOOKUP(L1045,'Copy of PMD Workday Constants -'!B1014:Y1700,22,false)</f>
        <v>#N/A</v>
      </c>
      <c r="N1045" s="1" t="s">
        <v>32</v>
      </c>
      <c r="O1045" s="1" t="s">
        <v>33</v>
      </c>
      <c r="P1045" s="1" t="s">
        <v>173</v>
      </c>
      <c r="Q1045" s="1" t="s">
        <v>173</v>
      </c>
      <c r="R1045" s="1" t="s">
        <v>174</v>
      </c>
      <c r="S1045" s="1" t="s">
        <v>153</v>
      </c>
      <c r="T1045" s="1">
        <v>1.00650783E8</v>
      </c>
      <c r="W1045" s="1" t="s">
        <v>140</v>
      </c>
      <c r="X1045" s="1" t="s">
        <v>3714</v>
      </c>
    </row>
    <row r="1046">
      <c r="A1046" s="1" t="s">
        <v>3715</v>
      </c>
      <c r="B1046" s="1" t="s">
        <v>913</v>
      </c>
      <c r="C1046" s="1" t="s">
        <v>3716</v>
      </c>
      <c r="D1046" s="1" t="s">
        <v>28</v>
      </c>
      <c r="E1046" s="1" t="s">
        <v>29</v>
      </c>
      <c r="F1046" s="5">
        <v>1000000.0</v>
      </c>
      <c r="G1046" s="1" t="s">
        <v>1114</v>
      </c>
      <c r="H1046" s="1" t="s">
        <v>587</v>
      </c>
      <c r="I1046" s="1" t="s">
        <v>302</v>
      </c>
      <c r="K1046" s="1">
        <v>0.0</v>
      </c>
      <c r="L1046" s="1" t="s">
        <v>1456</v>
      </c>
      <c r="M1046" s="1" t="str">
        <f>VLOOKUP(L1046,'Copy of PMD Workday Constants -'!B1015:Y1701,22,false)</f>
        <v>#N/A</v>
      </c>
      <c r="N1046" s="1" t="s">
        <v>32</v>
      </c>
      <c r="O1046" s="1" t="s">
        <v>33</v>
      </c>
      <c r="P1046" s="1" t="s">
        <v>82</v>
      </c>
      <c r="Q1046" s="1" t="s">
        <v>82</v>
      </c>
      <c r="R1046" s="1" t="s">
        <v>83</v>
      </c>
      <c r="S1046" s="1" t="s">
        <v>84</v>
      </c>
      <c r="T1046" s="1">
        <v>1.00649673E8</v>
      </c>
      <c r="W1046" s="1" t="s">
        <v>85</v>
      </c>
      <c r="X1046" s="1" t="s">
        <v>1456</v>
      </c>
    </row>
    <row r="1047">
      <c r="A1047" s="1" t="s">
        <v>3717</v>
      </c>
      <c r="B1047" s="1" t="s">
        <v>2333</v>
      </c>
      <c r="C1047" s="1" t="s">
        <v>3718</v>
      </c>
      <c r="D1047" s="1" t="s">
        <v>51</v>
      </c>
      <c r="E1047" s="1" t="s">
        <v>29</v>
      </c>
      <c r="F1047" s="5">
        <v>1000000.0</v>
      </c>
      <c r="G1047" s="1" t="s">
        <v>1114</v>
      </c>
      <c r="H1047" s="4">
        <v>44808.0</v>
      </c>
      <c r="I1047" s="1" t="s">
        <v>96</v>
      </c>
      <c r="K1047" s="1">
        <v>0.0</v>
      </c>
      <c r="L1047" s="1" t="s">
        <v>2339</v>
      </c>
      <c r="M1047" s="1" t="str">
        <f>VLOOKUP(L1047,'Copy of PMD Workday Constants -'!B1016:Y1702,22,false)</f>
        <v>#N/A</v>
      </c>
      <c r="N1047" s="1" t="s">
        <v>32</v>
      </c>
      <c r="O1047" s="1" t="s">
        <v>33</v>
      </c>
      <c r="P1047" s="1" t="s">
        <v>210</v>
      </c>
      <c r="Q1047" s="1" t="s">
        <v>210</v>
      </c>
      <c r="R1047" s="1" t="s">
        <v>211</v>
      </c>
      <c r="S1047" s="1" t="s">
        <v>1496</v>
      </c>
      <c r="T1047" s="1">
        <v>1.00647488E8</v>
      </c>
      <c r="W1047" s="1" t="s">
        <v>258</v>
      </c>
      <c r="X1047" s="1" t="s">
        <v>2339</v>
      </c>
    </row>
    <row r="1048">
      <c r="A1048" s="1" t="s">
        <v>3719</v>
      </c>
      <c r="B1048" s="1" t="s">
        <v>1387</v>
      </c>
      <c r="C1048" s="1" t="s">
        <v>3720</v>
      </c>
      <c r="D1048" s="1" t="s">
        <v>103</v>
      </c>
      <c r="E1048" s="1" t="s">
        <v>29</v>
      </c>
      <c r="F1048" s="5">
        <v>1000000.0</v>
      </c>
      <c r="G1048" s="1" t="s">
        <v>1114</v>
      </c>
      <c r="H1048" s="4">
        <v>44777.0</v>
      </c>
      <c r="I1048" s="4">
        <v>44717.0</v>
      </c>
      <c r="K1048" s="1">
        <v>0.0</v>
      </c>
      <c r="L1048" s="1" t="s">
        <v>527</v>
      </c>
      <c r="M1048" s="1" t="str">
        <f>VLOOKUP(L1048,'Copy of PMD Workday Constants -'!B1017:Y1703,22,false)</f>
        <v>#N/A</v>
      </c>
      <c r="N1048" s="1" t="s">
        <v>32</v>
      </c>
      <c r="O1048" s="1" t="s">
        <v>33</v>
      </c>
      <c r="P1048" s="1" t="s">
        <v>54</v>
      </c>
      <c r="Q1048" s="1" t="s">
        <v>54</v>
      </c>
      <c r="R1048" s="1" t="s">
        <v>55</v>
      </c>
      <c r="S1048" s="1" t="s">
        <v>285</v>
      </c>
      <c r="T1048" s="1">
        <v>1.00662144E8</v>
      </c>
      <c r="U1048" s="1" t="s">
        <v>3721</v>
      </c>
      <c r="V1048" s="1" t="s">
        <v>46</v>
      </c>
      <c r="W1048" s="1" t="s">
        <v>91</v>
      </c>
      <c r="X1048" s="1" t="s">
        <v>3722</v>
      </c>
    </row>
    <row r="1049">
      <c r="A1049" s="1" t="s">
        <v>3723</v>
      </c>
      <c r="B1049" s="1" t="s">
        <v>225</v>
      </c>
      <c r="C1049" s="1" t="s">
        <v>3724</v>
      </c>
      <c r="D1049" s="1" t="s">
        <v>28</v>
      </c>
      <c r="E1049" s="1" t="s">
        <v>29</v>
      </c>
      <c r="F1049" s="5">
        <v>1000000.0</v>
      </c>
      <c r="G1049" s="1" t="s">
        <v>1114</v>
      </c>
      <c r="H1049" s="4">
        <v>44808.0</v>
      </c>
      <c r="I1049" s="4">
        <v>45019.0</v>
      </c>
      <c r="K1049" s="1">
        <v>0.0</v>
      </c>
      <c r="L1049" s="1" t="s">
        <v>146</v>
      </c>
      <c r="M1049" s="1" t="str">
        <f>VLOOKUP(L1049,'Copy of PMD Workday Constants -'!B1018:Y1704,22,false)</f>
        <v>#N/A</v>
      </c>
      <c r="N1049" s="1" t="s">
        <v>32</v>
      </c>
      <c r="O1049" s="1" t="s">
        <v>33</v>
      </c>
      <c r="P1049" s="1" t="s">
        <v>64</v>
      </c>
      <c r="Q1049" s="1" t="s">
        <v>64</v>
      </c>
      <c r="R1049" s="1" t="s">
        <v>65</v>
      </c>
      <c r="S1049" s="1" t="s">
        <v>229</v>
      </c>
      <c r="T1049" s="1">
        <v>1.00651441E8</v>
      </c>
      <c r="W1049" s="1" t="s">
        <v>85</v>
      </c>
      <c r="X1049" s="1" t="s">
        <v>228</v>
      </c>
    </row>
    <row r="1050">
      <c r="A1050" s="1" t="s">
        <v>3725</v>
      </c>
      <c r="B1050" s="1" t="s">
        <v>1449</v>
      </c>
      <c r="C1050" s="1" t="s">
        <v>3726</v>
      </c>
      <c r="D1050" s="1" t="s">
        <v>51</v>
      </c>
      <c r="E1050" s="1" t="s">
        <v>29</v>
      </c>
      <c r="F1050" s="5">
        <v>1000000.0</v>
      </c>
      <c r="G1050" s="1" t="s">
        <v>1114</v>
      </c>
      <c r="H1050" s="1" t="s">
        <v>3513</v>
      </c>
      <c r="I1050" s="1" t="s">
        <v>406</v>
      </c>
      <c r="K1050" s="1">
        <v>0.0</v>
      </c>
      <c r="L1050" s="1" t="s">
        <v>3727</v>
      </c>
      <c r="M1050" s="1" t="str">
        <f>VLOOKUP(L1050,'Copy of PMD Workday Constants -'!B1019:Y1705,22,false)</f>
        <v>#N/A</v>
      </c>
      <c r="N1050" s="1" t="s">
        <v>32</v>
      </c>
      <c r="O1050" s="1" t="s">
        <v>33</v>
      </c>
      <c r="P1050" s="1" t="s">
        <v>222</v>
      </c>
      <c r="Q1050" s="1" t="s">
        <v>222</v>
      </c>
      <c r="R1050" s="1" t="s">
        <v>223</v>
      </c>
      <c r="S1050" s="1" t="s">
        <v>482</v>
      </c>
      <c r="T1050" s="1">
        <v>1.00611158E8</v>
      </c>
      <c r="W1050" s="1" t="s">
        <v>493</v>
      </c>
      <c r="X1050" s="1" t="s">
        <v>3728</v>
      </c>
    </row>
    <row r="1051">
      <c r="A1051" s="1" t="s">
        <v>3729</v>
      </c>
      <c r="B1051" s="1" t="s">
        <v>324</v>
      </c>
      <c r="C1051" s="1" t="s">
        <v>3730</v>
      </c>
      <c r="D1051" s="1" t="s">
        <v>28</v>
      </c>
      <c r="E1051" s="1" t="s">
        <v>29</v>
      </c>
      <c r="F1051" s="5">
        <v>1000000.0</v>
      </c>
      <c r="G1051" s="1" t="s">
        <v>1114</v>
      </c>
      <c r="H1051" s="1" t="s">
        <v>1810</v>
      </c>
      <c r="I1051" s="1" t="s">
        <v>1673</v>
      </c>
      <c r="K1051" s="1">
        <v>0.0</v>
      </c>
      <c r="L1051" s="1" t="s">
        <v>415</v>
      </c>
      <c r="M1051" s="1" t="str">
        <f>VLOOKUP(L1051,'Copy of PMD Workday Constants -'!B1020:Y1706,22,false)</f>
        <v>#N/A</v>
      </c>
      <c r="N1051" s="1" t="s">
        <v>32</v>
      </c>
      <c r="O1051" s="1" t="s">
        <v>33</v>
      </c>
      <c r="P1051" s="1" t="s">
        <v>210</v>
      </c>
      <c r="Q1051" s="1" t="s">
        <v>210</v>
      </c>
      <c r="R1051" s="1" t="s">
        <v>211</v>
      </c>
      <c r="S1051" s="1" t="s">
        <v>1313</v>
      </c>
      <c r="T1051" s="1">
        <v>1.00650375E8</v>
      </c>
      <c r="W1051" s="1" t="s">
        <v>56</v>
      </c>
      <c r="X1051" s="1" t="s">
        <v>3731</v>
      </c>
    </row>
    <row r="1052">
      <c r="A1052" s="1" t="s">
        <v>3732</v>
      </c>
      <c r="B1052" s="1" t="s">
        <v>1112</v>
      </c>
      <c r="C1052" s="1" t="s">
        <v>3733</v>
      </c>
      <c r="D1052" s="1" t="s">
        <v>51</v>
      </c>
      <c r="E1052" s="1" t="s">
        <v>29</v>
      </c>
      <c r="F1052" s="5">
        <v>1000000.0</v>
      </c>
      <c r="G1052" s="1" t="s">
        <v>1114</v>
      </c>
      <c r="H1052" s="1" t="s">
        <v>466</v>
      </c>
      <c r="I1052" s="1" t="s">
        <v>326</v>
      </c>
      <c r="K1052" s="1">
        <v>0.0</v>
      </c>
      <c r="L1052" s="1" t="s">
        <v>3734</v>
      </c>
      <c r="M1052" s="1" t="str">
        <f>VLOOKUP(L1052,'Copy of PMD Workday Constants -'!B1021:Y1707,22,false)</f>
        <v>#N/A</v>
      </c>
      <c r="N1052" s="1" t="s">
        <v>32</v>
      </c>
      <c r="O1052" s="1" t="s">
        <v>33</v>
      </c>
      <c r="P1052" s="1" t="s">
        <v>173</v>
      </c>
      <c r="Q1052" s="1" t="s">
        <v>173</v>
      </c>
      <c r="R1052" s="1" t="s">
        <v>174</v>
      </c>
      <c r="T1052" s="1">
        <v>1.00589248E8</v>
      </c>
      <c r="W1052" s="1" t="s">
        <v>56</v>
      </c>
      <c r="X1052" s="1" t="s">
        <v>3735</v>
      </c>
    </row>
    <row r="1053">
      <c r="A1053" s="1" t="s">
        <v>3736</v>
      </c>
      <c r="B1053" s="1" t="s">
        <v>299</v>
      </c>
      <c r="C1053" s="1" t="s">
        <v>3737</v>
      </c>
      <c r="D1053" s="1" t="s">
        <v>28</v>
      </c>
      <c r="E1053" s="1" t="s">
        <v>29</v>
      </c>
      <c r="F1053" s="5">
        <v>1000000.0</v>
      </c>
      <c r="G1053" s="1" t="s">
        <v>1114</v>
      </c>
      <c r="H1053" s="1" t="s">
        <v>1055</v>
      </c>
      <c r="I1053" s="4">
        <v>44604.0</v>
      </c>
      <c r="K1053" s="1">
        <v>0.0</v>
      </c>
      <c r="L1053" s="1" t="s">
        <v>265</v>
      </c>
      <c r="M1053" s="1" t="str">
        <f>VLOOKUP(L1053,'Copy of PMD Workday Constants -'!B1022:Y1708,22,false)</f>
        <v>#N/A</v>
      </c>
      <c r="N1053" s="1" t="s">
        <v>32</v>
      </c>
      <c r="O1053" s="1" t="s">
        <v>33</v>
      </c>
      <c r="P1053" s="1" t="s">
        <v>112</v>
      </c>
      <c r="Q1053" s="1" t="s">
        <v>112</v>
      </c>
      <c r="R1053" s="1" t="s">
        <v>113</v>
      </c>
      <c r="S1053" s="1" t="s">
        <v>204</v>
      </c>
      <c r="T1053" s="1">
        <v>1.00633579E8</v>
      </c>
      <c r="W1053" s="1" t="s">
        <v>37</v>
      </c>
      <c r="X1053" s="1" t="s">
        <v>1056</v>
      </c>
    </row>
    <row r="1054">
      <c r="A1054" s="1" t="s">
        <v>3738</v>
      </c>
      <c r="B1054" s="1" t="s">
        <v>1009</v>
      </c>
      <c r="C1054" s="1" t="s">
        <v>3739</v>
      </c>
      <c r="D1054" s="1" t="s">
        <v>51</v>
      </c>
      <c r="E1054" s="1" t="s">
        <v>29</v>
      </c>
      <c r="F1054" s="5">
        <v>1000000.0</v>
      </c>
      <c r="G1054" s="1" t="s">
        <v>1114</v>
      </c>
      <c r="H1054" s="1" t="s">
        <v>3740</v>
      </c>
      <c r="I1054" s="1" t="s">
        <v>941</v>
      </c>
      <c r="K1054" s="1">
        <v>0.0</v>
      </c>
      <c r="L1054" s="1" t="s">
        <v>2762</v>
      </c>
      <c r="M1054" s="1" t="str">
        <f>VLOOKUP(L1054,'Copy of PMD Workday Constants -'!B1023:Y1709,22,false)</f>
        <v>#N/A</v>
      </c>
      <c r="N1054" s="1" t="s">
        <v>32</v>
      </c>
      <c r="O1054" s="1" t="s">
        <v>33</v>
      </c>
      <c r="P1054" s="1" t="s">
        <v>82</v>
      </c>
      <c r="Q1054" s="1" t="s">
        <v>82</v>
      </c>
      <c r="R1054" s="1" t="s">
        <v>83</v>
      </c>
      <c r="S1054" s="1" t="s">
        <v>583</v>
      </c>
      <c r="T1054" s="1">
        <v>1.00637221E8</v>
      </c>
      <c r="W1054" s="1" t="s">
        <v>115</v>
      </c>
      <c r="X1054" s="1" t="s">
        <v>3741</v>
      </c>
    </row>
    <row r="1055">
      <c r="A1055" s="1" t="s">
        <v>3742</v>
      </c>
      <c r="B1055" s="1" t="s">
        <v>3743</v>
      </c>
      <c r="C1055" s="1" t="s">
        <v>3744</v>
      </c>
      <c r="D1055" s="1" t="s">
        <v>51</v>
      </c>
      <c r="E1055" s="1" t="s">
        <v>29</v>
      </c>
      <c r="F1055" s="5">
        <v>1000000.0</v>
      </c>
      <c r="G1055" s="1" t="s">
        <v>1114</v>
      </c>
      <c r="H1055" s="1" t="s">
        <v>466</v>
      </c>
      <c r="I1055" s="1" t="s">
        <v>732</v>
      </c>
      <c r="K1055" s="1">
        <v>0.0</v>
      </c>
      <c r="L1055" s="1" t="s">
        <v>2442</v>
      </c>
      <c r="M1055" s="1" t="str">
        <f>VLOOKUP(L1055,'Copy of PMD Workday Constants -'!B1024:Y1710,22,false)</f>
        <v>#N/A</v>
      </c>
      <c r="N1055" s="1" t="s">
        <v>32</v>
      </c>
      <c r="O1055" s="1" t="s">
        <v>33</v>
      </c>
      <c r="P1055" s="1" t="s">
        <v>64</v>
      </c>
      <c r="Q1055" s="1" t="s">
        <v>64</v>
      </c>
      <c r="R1055" s="1" t="s">
        <v>65</v>
      </c>
      <c r="T1055" s="1">
        <v>1.00652454E8</v>
      </c>
      <c r="W1055" s="1" t="s">
        <v>56</v>
      </c>
      <c r="X1055" s="1" t="s">
        <v>3745</v>
      </c>
    </row>
    <row r="1056">
      <c r="A1056" s="1" t="s">
        <v>3746</v>
      </c>
      <c r="B1056" s="1" t="s">
        <v>77</v>
      </c>
      <c r="C1056" s="1" t="s">
        <v>3747</v>
      </c>
      <c r="D1056" s="1" t="s">
        <v>51</v>
      </c>
      <c r="E1056" s="1" t="s">
        <v>29</v>
      </c>
      <c r="F1056" s="5">
        <v>1000000.0</v>
      </c>
      <c r="G1056" s="1" t="s">
        <v>1114</v>
      </c>
      <c r="H1056" s="1" t="s">
        <v>556</v>
      </c>
      <c r="I1056" s="1" t="s">
        <v>104</v>
      </c>
      <c r="K1056" s="1">
        <v>0.0</v>
      </c>
      <c r="L1056" s="1" t="s">
        <v>2093</v>
      </c>
      <c r="M1056" s="1" t="str">
        <f>VLOOKUP(L1056,'Copy of PMD Workday Constants -'!B1025:Y1711,22,false)</f>
        <v>#N/A</v>
      </c>
      <c r="N1056" s="1" t="s">
        <v>32</v>
      </c>
      <c r="O1056" s="1" t="s">
        <v>33</v>
      </c>
      <c r="P1056" s="1" t="s">
        <v>222</v>
      </c>
      <c r="Q1056" s="1" t="s">
        <v>222</v>
      </c>
      <c r="R1056" s="1" t="s">
        <v>223</v>
      </c>
      <c r="S1056" s="1" t="s">
        <v>646</v>
      </c>
      <c r="T1056" s="1">
        <v>1.00612055E8</v>
      </c>
      <c r="W1056" s="1" t="s">
        <v>85</v>
      </c>
      <c r="X1056" s="1" t="s">
        <v>2093</v>
      </c>
    </row>
    <row r="1057">
      <c r="A1057" s="1" t="s">
        <v>3748</v>
      </c>
      <c r="B1057" s="1" t="s">
        <v>2641</v>
      </c>
      <c r="C1057" s="1" t="s">
        <v>3749</v>
      </c>
      <c r="D1057" s="1" t="s">
        <v>28</v>
      </c>
      <c r="E1057" s="1" t="s">
        <v>29</v>
      </c>
      <c r="F1057" s="5">
        <v>1000000.0</v>
      </c>
      <c r="G1057" s="1" t="s">
        <v>1114</v>
      </c>
      <c r="H1057" s="1" t="s">
        <v>1082</v>
      </c>
      <c r="I1057" s="1" t="s">
        <v>191</v>
      </c>
      <c r="K1057" s="1">
        <v>0.0</v>
      </c>
      <c r="L1057" s="1" t="s">
        <v>1525</v>
      </c>
      <c r="M1057" s="1" t="str">
        <f>VLOOKUP(L1057,'Copy of PMD Workday Constants -'!B1026:Y1712,22,false)</f>
        <v>#N/A</v>
      </c>
      <c r="N1057" s="1" t="s">
        <v>32</v>
      </c>
      <c r="O1057" s="1" t="s">
        <v>33</v>
      </c>
      <c r="P1057" s="1" t="s">
        <v>34</v>
      </c>
      <c r="Q1057" s="1" t="s">
        <v>34</v>
      </c>
      <c r="R1057" s="1" t="s">
        <v>35</v>
      </c>
      <c r="S1057" s="1" t="s">
        <v>1166</v>
      </c>
      <c r="T1057" s="1">
        <v>1.00637597E8</v>
      </c>
      <c r="U1057" s="1" t="s">
        <v>3750</v>
      </c>
      <c r="V1057" s="1" t="s">
        <v>187</v>
      </c>
      <c r="W1057" s="1" t="s">
        <v>456</v>
      </c>
      <c r="X1057" s="1" t="s">
        <v>1525</v>
      </c>
    </row>
    <row r="1058">
      <c r="A1058" s="1" t="s">
        <v>3751</v>
      </c>
      <c r="B1058" s="1" t="s">
        <v>143</v>
      </c>
      <c r="C1058" s="1" t="s">
        <v>3752</v>
      </c>
      <c r="D1058" s="1" t="s">
        <v>28</v>
      </c>
      <c r="E1058" s="1" t="s">
        <v>29</v>
      </c>
      <c r="F1058" s="5">
        <v>1000000.0</v>
      </c>
      <c r="G1058" s="1" t="s">
        <v>1114</v>
      </c>
      <c r="H1058" s="1" t="s">
        <v>170</v>
      </c>
      <c r="I1058" s="4">
        <v>44569.0</v>
      </c>
      <c r="K1058" s="1">
        <v>0.0</v>
      </c>
      <c r="L1058" s="1" t="s">
        <v>2133</v>
      </c>
      <c r="M1058" s="1" t="str">
        <f>VLOOKUP(L1058,'Copy of PMD Workday Constants -'!B1027:Y1713,22,false)</f>
        <v>#N/A</v>
      </c>
      <c r="N1058" s="1" t="s">
        <v>32</v>
      </c>
      <c r="O1058" s="1" t="s">
        <v>33</v>
      </c>
      <c r="P1058" s="1" t="s">
        <v>64</v>
      </c>
      <c r="Q1058" s="1" t="s">
        <v>64</v>
      </c>
      <c r="R1058" s="1" t="s">
        <v>65</v>
      </c>
      <c r="T1058" s="1">
        <v>1.00653977E8</v>
      </c>
      <c r="W1058" s="1" t="s">
        <v>147</v>
      </c>
      <c r="X1058" s="1" t="s">
        <v>3074</v>
      </c>
    </row>
    <row r="1059">
      <c r="A1059" s="1" t="s">
        <v>3753</v>
      </c>
      <c r="B1059" s="1" t="s">
        <v>2641</v>
      </c>
      <c r="C1059" s="1" t="s">
        <v>3754</v>
      </c>
      <c r="D1059" s="1" t="s">
        <v>28</v>
      </c>
      <c r="E1059" s="1" t="s">
        <v>29</v>
      </c>
      <c r="F1059" s="5">
        <v>1000000.0</v>
      </c>
      <c r="G1059" s="1" t="s">
        <v>1114</v>
      </c>
      <c r="H1059" s="1" t="s">
        <v>3755</v>
      </c>
      <c r="I1059" s="1" t="s">
        <v>43</v>
      </c>
      <c r="K1059" s="1">
        <v>0.0</v>
      </c>
      <c r="L1059" s="1" t="s">
        <v>2970</v>
      </c>
      <c r="M1059" s="1" t="str">
        <f>VLOOKUP(L1059,'Copy of PMD Workday Constants -'!B1028:Y1714,22,false)</f>
        <v>#N/A</v>
      </c>
      <c r="N1059" s="1" t="s">
        <v>32</v>
      </c>
      <c r="O1059" s="1" t="s">
        <v>33</v>
      </c>
      <c r="P1059" s="1" t="s">
        <v>173</v>
      </c>
      <c r="Q1059" s="1" t="s">
        <v>173</v>
      </c>
      <c r="R1059" s="1" t="s">
        <v>174</v>
      </c>
      <c r="S1059" s="1" t="s">
        <v>612</v>
      </c>
      <c r="T1059" s="1">
        <v>1.00616377E8</v>
      </c>
      <c r="W1059" s="1" t="s">
        <v>456</v>
      </c>
      <c r="X1059" s="1" t="s">
        <v>3756</v>
      </c>
    </row>
    <row r="1060">
      <c r="A1060" s="1" t="s">
        <v>3757</v>
      </c>
      <c r="B1060" s="1" t="s">
        <v>3758</v>
      </c>
      <c r="C1060" s="1" t="s">
        <v>3759</v>
      </c>
      <c r="D1060" s="1" t="s">
        <v>28</v>
      </c>
      <c r="E1060" s="1" t="s">
        <v>29</v>
      </c>
      <c r="F1060" s="5">
        <v>1000000.0</v>
      </c>
      <c r="G1060" s="1" t="s">
        <v>1114</v>
      </c>
      <c r="H1060" s="1" t="s">
        <v>3760</v>
      </c>
      <c r="I1060" s="1" t="s">
        <v>3761</v>
      </c>
      <c r="K1060" s="1">
        <v>0.0</v>
      </c>
      <c r="L1060" s="1" t="s">
        <v>3762</v>
      </c>
      <c r="M1060" s="1" t="str">
        <f>VLOOKUP(L1060,'Copy of PMD Workday Constants -'!B1029:Y1715,22,false)</f>
        <v>#N/A</v>
      </c>
      <c r="N1060" s="1" t="s">
        <v>32</v>
      </c>
      <c r="O1060" s="1" t="s">
        <v>33</v>
      </c>
      <c r="P1060" s="1" t="s">
        <v>112</v>
      </c>
      <c r="Q1060" s="1" t="s">
        <v>112</v>
      </c>
      <c r="R1060" s="1" t="s">
        <v>113</v>
      </c>
      <c r="S1060" s="1" t="s">
        <v>3763</v>
      </c>
      <c r="T1060" s="1">
        <v>1.00953783E8</v>
      </c>
      <c r="W1060" s="1" t="s">
        <v>308</v>
      </c>
      <c r="X1060" s="1" t="s">
        <v>2596</v>
      </c>
    </row>
    <row r="1061">
      <c r="A1061" s="1" t="s">
        <v>3764</v>
      </c>
      <c r="B1061" s="1" t="s">
        <v>631</v>
      </c>
      <c r="C1061" s="1" t="s">
        <v>1581</v>
      </c>
      <c r="D1061" s="1" t="s">
        <v>28</v>
      </c>
      <c r="E1061" s="1" t="s">
        <v>29</v>
      </c>
      <c r="F1061" s="5">
        <v>1000000.0</v>
      </c>
      <c r="G1061" s="1" t="s">
        <v>1114</v>
      </c>
      <c r="H1061" s="4">
        <v>44867.0</v>
      </c>
      <c r="I1061" s="4">
        <v>44570.0</v>
      </c>
      <c r="K1061" s="1">
        <v>0.0</v>
      </c>
      <c r="L1061" s="1" t="s">
        <v>3765</v>
      </c>
      <c r="M1061" s="1" t="str">
        <f>VLOOKUP(L1061,'Copy of PMD Workday Constants -'!B1030:Y1716,22,false)</f>
        <v>#N/A</v>
      </c>
      <c r="N1061" s="1" t="s">
        <v>32</v>
      </c>
      <c r="O1061" s="1" t="s">
        <v>33</v>
      </c>
      <c r="P1061" s="1" t="s">
        <v>64</v>
      </c>
      <c r="Q1061" s="1" t="s">
        <v>64</v>
      </c>
      <c r="R1061" s="1" t="s">
        <v>65</v>
      </c>
      <c r="S1061" s="1" t="s">
        <v>1336</v>
      </c>
      <c r="T1061" s="1">
        <v>1.00649472E8</v>
      </c>
      <c r="W1061" s="1" t="s">
        <v>37</v>
      </c>
      <c r="X1061" s="1" t="s">
        <v>1337</v>
      </c>
    </row>
    <row r="1062">
      <c r="A1062" s="1" t="s">
        <v>3766</v>
      </c>
      <c r="B1062" s="1" t="s">
        <v>93</v>
      </c>
      <c r="C1062" s="1" t="s">
        <v>3767</v>
      </c>
      <c r="D1062" s="1" t="s">
        <v>103</v>
      </c>
      <c r="E1062" s="1" t="s">
        <v>29</v>
      </c>
      <c r="F1062" s="5">
        <v>1000000.0</v>
      </c>
      <c r="G1062" s="1" t="s">
        <v>1114</v>
      </c>
      <c r="H1062" s="4">
        <v>44567.0</v>
      </c>
      <c r="I1062" s="4">
        <v>44569.0</v>
      </c>
      <c r="K1062" s="1">
        <v>0.0</v>
      </c>
      <c r="L1062" s="1" t="s">
        <v>209</v>
      </c>
      <c r="M1062" s="1" t="str">
        <f>VLOOKUP(L1062,'Copy of PMD Workday Constants -'!B1031:Y1717,22,false)</f>
        <v>#N/A</v>
      </c>
      <c r="N1062" s="1" t="s">
        <v>32</v>
      </c>
      <c r="O1062" s="1" t="s">
        <v>33</v>
      </c>
      <c r="P1062" s="1" t="s">
        <v>210</v>
      </c>
      <c r="Q1062" s="1" t="s">
        <v>210</v>
      </c>
      <c r="R1062" s="1" t="s">
        <v>211</v>
      </c>
      <c r="S1062" s="1" t="s">
        <v>212</v>
      </c>
      <c r="T1062" s="1">
        <v>1.00628186E8</v>
      </c>
      <c r="W1062" s="1" t="s">
        <v>56</v>
      </c>
      <c r="X1062" s="1" t="s">
        <v>3768</v>
      </c>
    </row>
    <row r="1063">
      <c r="A1063" s="1" t="s">
        <v>3769</v>
      </c>
      <c r="B1063" s="1" t="s">
        <v>1305</v>
      </c>
      <c r="C1063" s="1" t="s">
        <v>3770</v>
      </c>
      <c r="D1063" s="1" t="s">
        <v>28</v>
      </c>
      <c r="E1063" s="1" t="s">
        <v>29</v>
      </c>
      <c r="F1063" s="5">
        <v>1000000.0</v>
      </c>
      <c r="G1063" s="1" t="s">
        <v>1114</v>
      </c>
      <c r="H1063" s="1" t="s">
        <v>466</v>
      </c>
      <c r="I1063" s="4">
        <v>44569.0</v>
      </c>
      <c r="K1063" s="1">
        <v>0.0</v>
      </c>
      <c r="L1063" s="1" t="s">
        <v>3771</v>
      </c>
      <c r="M1063" s="1" t="str">
        <f>VLOOKUP(L1063,'Copy of PMD Workday Constants -'!B1032:Y1718,22,false)</f>
        <v>#N/A</v>
      </c>
      <c r="N1063" s="1" t="s">
        <v>32</v>
      </c>
      <c r="O1063" s="1" t="s">
        <v>33</v>
      </c>
      <c r="P1063" s="1" t="s">
        <v>34</v>
      </c>
      <c r="Q1063" s="1" t="s">
        <v>34</v>
      </c>
      <c r="R1063" s="1" t="s">
        <v>35</v>
      </c>
      <c r="S1063" s="1" t="s">
        <v>1166</v>
      </c>
      <c r="T1063" s="1">
        <v>1.00651998E8</v>
      </c>
      <c r="W1063" s="1" t="s">
        <v>456</v>
      </c>
      <c r="X1063" s="1" t="s">
        <v>3772</v>
      </c>
    </row>
    <row r="1064">
      <c r="A1064" s="1" t="s">
        <v>3773</v>
      </c>
      <c r="B1064" s="1" t="s">
        <v>507</v>
      </c>
      <c r="C1064" s="1" t="s">
        <v>3774</v>
      </c>
      <c r="D1064" s="1" t="s">
        <v>28</v>
      </c>
      <c r="E1064" s="1" t="s">
        <v>29</v>
      </c>
      <c r="F1064" s="5">
        <v>1000000.0</v>
      </c>
      <c r="G1064" s="1" t="s">
        <v>1114</v>
      </c>
      <c r="H1064" s="4">
        <v>44563.0</v>
      </c>
      <c r="I1064" s="1" t="s">
        <v>941</v>
      </c>
      <c r="K1064" s="1">
        <v>0.0</v>
      </c>
      <c r="L1064" s="1" t="s">
        <v>1616</v>
      </c>
      <c r="M1064" s="1" t="str">
        <f>VLOOKUP(L1064,'Copy of PMD Workday Constants -'!B1033:Y1719,22,false)</f>
        <v>#N/A</v>
      </c>
      <c r="N1064" s="1" t="s">
        <v>32</v>
      </c>
      <c r="O1064" s="1" t="s">
        <v>33</v>
      </c>
      <c r="P1064" s="1" t="s">
        <v>64</v>
      </c>
      <c r="Q1064" s="1" t="s">
        <v>64</v>
      </c>
      <c r="R1064" s="1" t="s">
        <v>65</v>
      </c>
      <c r="S1064" s="1" t="s">
        <v>791</v>
      </c>
      <c r="T1064" s="1">
        <v>1.0065462E8</v>
      </c>
      <c r="W1064" s="1" t="s">
        <v>456</v>
      </c>
      <c r="X1064" s="1" t="s">
        <v>1616</v>
      </c>
    </row>
    <row r="1065">
      <c r="A1065" s="1" t="s">
        <v>3775</v>
      </c>
      <c r="B1065" s="1" t="s">
        <v>458</v>
      </c>
      <c r="C1065" s="1" t="s">
        <v>3776</v>
      </c>
      <c r="D1065" s="1" t="s">
        <v>28</v>
      </c>
      <c r="E1065" s="1" t="s">
        <v>29</v>
      </c>
      <c r="F1065" s="5">
        <v>1000000.0</v>
      </c>
      <c r="G1065" s="1" t="s">
        <v>1114</v>
      </c>
      <c r="H1065" s="1" t="s">
        <v>3777</v>
      </c>
      <c r="I1065" s="1" t="s">
        <v>302</v>
      </c>
      <c r="K1065" s="1">
        <v>0.0</v>
      </c>
      <c r="L1065" s="1" t="s">
        <v>1739</v>
      </c>
      <c r="M1065" s="1" t="str">
        <f>VLOOKUP(L1065,'Copy of PMD Workday Constants -'!B1034:Y1720,22,false)</f>
        <v>#N/A</v>
      </c>
      <c r="N1065" s="1" t="s">
        <v>32</v>
      </c>
      <c r="O1065" s="1" t="s">
        <v>33</v>
      </c>
      <c r="P1065" s="1" t="s">
        <v>210</v>
      </c>
      <c r="Q1065" s="1" t="s">
        <v>210</v>
      </c>
      <c r="R1065" s="1" t="s">
        <v>211</v>
      </c>
      <c r="S1065" s="1" t="s">
        <v>416</v>
      </c>
      <c r="T1065" s="1">
        <v>1.00964362E8</v>
      </c>
      <c r="W1065" s="1" t="s">
        <v>56</v>
      </c>
      <c r="X1065" s="1" t="s">
        <v>3778</v>
      </c>
    </row>
    <row r="1066">
      <c r="A1066" s="1" t="s">
        <v>3779</v>
      </c>
      <c r="B1066" s="1" t="s">
        <v>627</v>
      </c>
      <c r="C1066" s="1" t="s">
        <v>3780</v>
      </c>
      <c r="D1066" s="1" t="s">
        <v>51</v>
      </c>
      <c r="E1066" s="1" t="s">
        <v>29</v>
      </c>
      <c r="F1066" s="5">
        <v>1000000.0</v>
      </c>
      <c r="G1066" s="1" t="s">
        <v>1114</v>
      </c>
      <c r="H1066" s="1" t="s">
        <v>3781</v>
      </c>
      <c r="I1066" s="1" t="s">
        <v>80</v>
      </c>
      <c r="K1066" s="1">
        <v>0.0</v>
      </c>
      <c r="L1066" s="1" t="s">
        <v>1351</v>
      </c>
      <c r="M1066" s="1" t="str">
        <f>VLOOKUP(L1066,'Copy of PMD Workday Constants -'!B1035:Y1721,22,false)</f>
        <v>#N/A</v>
      </c>
      <c r="N1066" s="1" t="s">
        <v>32</v>
      </c>
      <c r="O1066" s="1" t="s">
        <v>33</v>
      </c>
      <c r="P1066" s="1" t="s">
        <v>34</v>
      </c>
      <c r="Q1066" s="1" t="s">
        <v>34</v>
      </c>
      <c r="R1066" s="1" t="s">
        <v>35</v>
      </c>
      <c r="S1066" s="1" t="s">
        <v>126</v>
      </c>
      <c r="T1066" s="1">
        <v>1.00585872E8</v>
      </c>
      <c r="W1066" s="1" t="s">
        <v>47</v>
      </c>
      <c r="X1066" s="1" t="s">
        <v>1351</v>
      </c>
    </row>
    <row r="1067">
      <c r="A1067" s="1" t="s">
        <v>3782</v>
      </c>
      <c r="B1067" s="1" t="s">
        <v>289</v>
      </c>
      <c r="C1067" s="1" t="s">
        <v>3783</v>
      </c>
      <c r="D1067" s="1" t="s">
        <v>51</v>
      </c>
      <c r="E1067" s="1" t="s">
        <v>29</v>
      </c>
      <c r="F1067" s="5">
        <v>1000000.0</v>
      </c>
      <c r="G1067" s="1" t="s">
        <v>1114</v>
      </c>
      <c r="H1067" s="4">
        <v>44835.0</v>
      </c>
      <c r="I1067" s="4">
        <v>44717.0</v>
      </c>
      <c r="K1067" s="1">
        <v>0.0</v>
      </c>
      <c r="L1067" s="1" t="s">
        <v>3784</v>
      </c>
      <c r="M1067" s="1" t="str">
        <f>VLOOKUP(L1067,'Copy of PMD Workday Constants -'!B1036:Y1722,22,false)</f>
        <v>#N/A</v>
      </c>
      <c r="N1067" s="1" t="s">
        <v>32</v>
      </c>
      <c r="O1067" s="1" t="s">
        <v>33</v>
      </c>
      <c r="P1067" s="1" t="s">
        <v>210</v>
      </c>
      <c r="Q1067" s="1" t="s">
        <v>210</v>
      </c>
      <c r="R1067" s="1" t="s">
        <v>211</v>
      </c>
      <c r="S1067" s="1" t="s">
        <v>416</v>
      </c>
      <c r="T1067" s="1">
        <v>1.00637651E8</v>
      </c>
      <c r="W1067" s="1" t="s">
        <v>74</v>
      </c>
      <c r="X1067" s="1" t="s">
        <v>3784</v>
      </c>
    </row>
    <row r="1068">
      <c r="A1068" s="1" t="s">
        <v>3785</v>
      </c>
      <c r="B1068" s="1" t="s">
        <v>3786</v>
      </c>
      <c r="C1068" s="1" t="s">
        <v>3787</v>
      </c>
      <c r="D1068" s="1" t="s">
        <v>51</v>
      </c>
      <c r="E1068" s="1" t="s">
        <v>29</v>
      </c>
      <c r="F1068" s="5">
        <v>1000000.0</v>
      </c>
      <c r="G1068" s="1" t="s">
        <v>1114</v>
      </c>
      <c r="H1068" s="1" t="s">
        <v>2062</v>
      </c>
      <c r="I1068" s="4">
        <v>44568.0</v>
      </c>
      <c r="K1068" s="1">
        <v>0.0</v>
      </c>
      <c r="L1068" s="1" t="s">
        <v>3788</v>
      </c>
      <c r="M1068" s="1" t="str">
        <f>VLOOKUP(L1068,'Copy of PMD Workday Constants -'!B1037:Y1723,22,false)</f>
        <v>#N/A</v>
      </c>
      <c r="N1068" s="1" t="s">
        <v>32</v>
      </c>
      <c r="O1068" s="1" t="s">
        <v>33</v>
      </c>
      <c r="P1068" s="1" t="s">
        <v>64</v>
      </c>
      <c r="Q1068" s="1" t="s">
        <v>64</v>
      </c>
      <c r="R1068" s="1" t="s">
        <v>65</v>
      </c>
      <c r="S1068" s="1" t="s">
        <v>185</v>
      </c>
      <c r="T1068" s="1">
        <v>1.00652316E8</v>
      </c>
      <c r="W1068" s="1" t="s">
        <v>74</v>
      </c>
      <c r="X1068" s="1" t="s">
        <v>3788</v>
      </c>
    </row>
    <row r="1069">
      <c r="A1069" s="1" t="s">
        <v>3789</v>
      </c>
      <c r="B1069" s="1" t="s">
        <v>931</v>
      </c>
      <c r="C1069" s="1" t="s">
        <v>3790</v>
      </c>
      <c r="D1069" s="1" t="s">
        <v>28</v>
      </c>
      <c r="E1069" s="1" t="s">
        <v>29</v>
      </c>
      <c r="F1069" s="5">
        <v>1000000.0</v>
      </c>
      <c r="G1069" s="1" t="s">
        <v>1114</v>
      </c>
      <c r="H1069" s="1" t="s">
        <v>3791</v>
      </c>
      <c r="I1069" s="1" t="s">
        <v>152</v>
      </c>
      <c r="K1069" s="1">
        <v>0.0</v>
      </c>
      <c r="L1069" s="1" t="s">
        <v>934</v>
      </c>
      <c r="M1069" s="1" t="str">
        <f>VLOOKUP(L1069,'Copy of PMD Workday Constants -'!B1038:Y1724,22,false)</f>
        <v>#N/A</v>
      </c>
      <c r="N1069" s="1" t="s">
        <v>32</v>
      </c>
      <c r="O1069" s="1" t="s">
        <v>33</v>
      </c>
      <c r="P1069" s="1" t="s">
        <v>173</v>
      </c>
      <c r="Q1069" s="1" t="s">
        <v>173</v>
      </c>
      <c r="R1069" s="1" t="s">
        <v>174</v>
      </c>
      <c r="S1069" s="1" t="s">
        <v>153</v>
      </c>
      <c r="T1069" s="1">
        <v>1.00653269E8</v>
      </c>
      <c r="W1069" s="1" t="s">
        <v>85</v>
      </c>
      <c r="X1069" s="1" t="s">
        <v>934</v>
      </c>
    </row>
    <row r="1070">
      <c r="A1070" s="1" t="s">
        <v>3792</v>
      </c>
      <c r="B1070" s="1" t="s">
        <v>3793</v>
      </c>
      <c r="C1070" s="1" t="s">
        <v>3794</v>
      </c>
      <c r="D1070" s="1" t="s">
        <v>28</v>
      </c>
      <c r="E1070" s="1" t="s">
        <v>29</v>
      </c>
      <c r="F1070" s="5">
        <v>1000000.0</v>
      </c>
      <c r="G1070" s="1" t="s">
        <v>1114</v>
      </c>
      <c r="H1070" s="4">
        <v>44563.0</v>
      </c>
      <c r="I1070" s="1" t="s">
        <v>400</v>
      </c>
      <c r="K1070" s="1">
        <v>0.0</v>
      </c>
      <c r="L1070" s="1" t="s">
        <v>2093</v>
      </c>
      <c r="M1070" s="1" t="str">
        <f>VLOOKUP(L1070,'Copy of PMD Workday Constants -'!B1039:Y1725,22,false)</f>
        <v>#N/A</v>
      </c>
      <c r="N1070" s="1" t="s">
        <v>32</v>
      </c>
      <c r="O1070" s="1" t="s">
        <v>33</v>
      </c>
      <c r="P1070" s="1" t="s">
        <v>222</v>
      </c>
      <c r="Q1070" s="1" t="s">
        <v>222</v>
      </c>
      <c r="R1070" s="1" t="s">
        <v>223</v>
      </c>
      <c r="S1070" s="1" t="s">
        <v>646</v>
      </c>
      <c r="T1070" s="1">
        <v>1.00612055E8</v>
      </c>
      <c r="W1070" s="1" t="s">
        <v>947</v>
      </c>
      <c r="X1070" s="1" t="s">
        <v>3795</v>
      </c>
    </row>
    <row r="1071">
      <c r="A1071" s="1" t="s">
        <v>3796</v>
      </c>
      <c r="B1071" s="1" t="s">
        <v>859</v>
      </c>
      <c r="C1071" s="1" t="s">
        <v>3797</v>
      </c>
      <c r="D1071" s="1" t="s">
        <v>28</v>
      </c>
      <c r="E1071" s="1" t="s">
        <v>29</v>
      </c>
      <c r="F1071" s="5">
        <v>1000000.0</v>
      </c>
      <c r="G1071" s="1" t="s">
        <v>1114</v>
      </c>
      <c r="H1071" s="1" t="s">
        <v>3798</v>
      </c>
      <c r="I1071" s="1" t="s">
        <v>152</v>
      </c>
      <c r="K1071" s="1">
        <v>0.0</v>
      </c>
      <c r="L1071" s="1" t="s">
        <v>843</v>
      </c>
      <c r="M1071" s="1" t="str">
        <f>VLOOKUP(L1071,'Copy of PMD Workday Constants -'!B1040:Y1726,22,false)</f>
        <v>#N/A</v>
      </c>
      <c r="N1071" s="1" t="s">
        <v>32</v>
      </c>
      <c r="O1071" s="1" t="s">
        <v>33</v>
      </c>
      <c r="P1071" s="1" t="s">
        <v>173</v>
      </c>
      <c r="Q1071" s="1" t="s">
        <v>173</v>
      </c>
      <c r="R1071" s="1" t="s">
        <v>174</v>
      </c>
      <c r="S1071" s="1" t="s">
        <v>612</v>
      </c>
      <c r="T1071" s="1">
        <v>1.00655091E8</v>
      </c>
      <c r="W1071" s="1" t="s">
        <v>147</v>
      </c>
      <c r="X1071" s="1" t="s">
        <v>3423</v>
      </c>
    </row>
    <row r="1072">
      <c r="A1072" s="1" t="s">
        <v>3799</v>
      </c>
      <c r="B1072" s="1" t="s">
        <v>219</v>
      </c>
      <c r="C1072" s="1" t="s">
        <v>3800</v>
      </c>
      <c r="D1072" s="1" t="s">
        <v>28</v>
      </c>
      <c r="E1072" s="1" t="s">
        <v>29</v>
      </c>
      <c r="F1072" s="5">
        <v>1000000.0</v>
      </c>
      <c r="G1072" s="1" t="s">
        <v>1114</v>
      </c>
      <c r="H1072" s="4">
        <v>44563.0</v>
      </c>
      <c r="I1072" s="4">
        <v>44570.0</v>
      </c>
      <c r="K1072" s="1">
        <v>0.0</v>
      </c>
      <c r="L1072" s="1" t="s">
        <v>1587</v>
      </c>
      <c r="M1072" s="1" t="str">
        <f>VLOOKUP(L1072,'Copy of PMD Workday Constants -'!B1041:Y1727,22,false)</f>
        <v>#N/A</v>
      </c>
      <c r="N1072" s="1" t="s">
        <v>32</v>
      </c>
      <c r="O1072" s="1" t="s">
        <v>33</v>
      </c>
      <c r="P1072" s="1" t="s">
        <v>64</v>
      </c>
      <c r="Q1072" s="1" t="s">
        <v>64</v>
      </c>
      <c r="R1072" s="1" t="s">
        <v>65</v>
      </c>
      <c r="S1072" s="1" t="s">
        <v>1336</v>
      </c>
      <c r="T1072" s="1">
        <v>1.01141441E8</v>
      </c>
      <c r="W1072" s="1" t="s">
        <v>91</v>
      </c>
      <c r="X1072" s="1" t="s">
        <v>1337</v>
      </c>
    </row>
    <row r="1073">
      <c r="A1073" s="1" t="s">
        <v>3801</v>
      </c>
      <c r="B1073" s="1" t="s">
        <v>3343</v>
      </c>
      <c r="C1073" s="1" t="s">
        <v>3802</v>
      </c>
      <c r="D1073" s="1" t="s">
        <v>28</v>
      </c>
      <c r="E1073" s="1" t="s">
        <v>29</v>
      </c>
      <c r="F1073" s="5">
        <v>1000000.0</v>
      </c>
      <c r="G1073" s="1" t="s">
        <v>1114</v>
      </c>
      <c r="H1073" s="4">
        <v>44625.0</v>
      </c>
      <c r="I1073" s="4">
        <v>44569.0</v>
      </c>
      <c r="K1073" s="1">
        <v>0.0</v>
      </c>
      <c r="L1073" s="1" t="s">
        <v>3345</v>
      </c>
      <c r="M1073" s="1" t="str">
        <f>VLOOKUP(L1073,'Copy of PMD Workday Constants -'!B1042:Y1728,22,false)</f>
        <v>#N/A</v>
      </c>
      <c r="N1073" s="1" t="s">
        <v>32</v>
      </c>
      <c r="O1073" s="1" t="s">
        <v>33</v>
      </c>
      <c r="P1073" s="1" t="s">
        <v>64</v>
      </c>
      <c r="Q1073" s="1" t="s">
        <v>64</v>
      </c>
      <c r="R1073" s="1" t="s">
        <v>65</v>
      </c>
      <c r="S1073" s="1" t="s">
        <v>153</v>
      </c>
      <c r="T1073" s="1">
        <v>1.0105484E8</v>
      </c>
      <c r="W1073" s="1" t="s">
        <v>140</v>
      </c>
      <c r="X1073" s="1" t="s">
        <v>547</v>
      </c>
    </row>
    <row r="1074">
      <c r="A1074" s="1" t="s">
        <v>3803</v>
      </c>
      <c r="B1074" s="1" t="s">
        <v>3804</v>
      </c>
      <c r="C1074" s="1" t="s">
        <v>3805</v>
      </c>
      <c r="D1074" s="1" t="s">
        <v>28</v>
      </c>
      <c r="E1074" s="1" t="s">
        <v>29</v>
      </c>
      <c r="F1074" s="5">
        <v>1000000.0</v>
      </c>
      <c r="G1074" s="1" t="s">
        <v>1114</v>
      </c>
      <c r="H1074" s="1" t="s">
        <v>778</v>
      </c>
      <c r="I1074" s="1" t="s">
        <v>191</v>
      </c>
      <c r="K1074" s="1">
        <v>0.0</v>
      </c>
      <c r="L1074" s="1" t="s">
        <v>836</v>
      </c>
      <c r="M1074" s="1" t="str">
        <f>VLOOKUP(L1074,'Copy of PMD Workday Constants -'!B1043:Y1729,22,false)</f>
        <v>#N/A</v>
      </c>
      <c r="N1074" s="1" t="s">
        <v>32</v>
      </c>
      <c r="O1074" s="1" t="s">
        <v>33</v>
      </c>
      <c r="P1074" s="1" t="s">
        <v>173</v>
      </c>
      <c r="Q1074" s="1" t="s">
        <v>173</v>
      </c>
      <c r="R1074" s="1" t="s">
        <v>174</v>
      </c>
      <c r="S1074" s="1" t="s">
        <v>612</v>
      </c>
      <c r="T1074" s="1">
        <v>1.00648457E8</v>
      </c>
      <c r="W1074" s="1" t="s">
        <v>1303</v>
      </c>
      <c r="X1074" s="1" t="s">
        <v>836</v>
      </c>
    </row>
    <row r="1075">
      <c r="A1075" s="1" t="s">
        <v>3806</v>
      </c>
      <c r="B1075" s="1" t="s">
        <v>954</v>
      </c>
      <c r="C1075" s="1" t="s">
        <v>3807</v>
      </c>
      <c r="D1075" s="1" t="s">
        <v>28</v>
      </c>
      <c r="E1075" s="1" t="s">
        <v>29</v>
      </c>
      <c r="F1075" s="5">
        <v>1000000.0</v>
      </c>
      <c r="G1075" s="1" t="s">
        <v>1114</v>
      </c>
      <c r="H1075" s="1" t="s">
        <v>3808</v>
      </c>
      <c r="I1075" s="4">
        <v>44570.0</v>
      </c>
      <c r="K1075" s="1">
        <v>0.0</v>
      </c>
      <c r="L1075" s="1" t="s">
        <v>963</v>
      </c>
      <c r="M1075" s="1" t="str">
        <f>VLOOKUP(L1075,'Copy of PMD Workday Constants -'!B1044:Y1730,22,false)</f>
        <v>#N/A</v>
      </c>
      <c r="N1075" s="1" t="s">
        <v>32</v>
      </c>
      <c r="O1075" s="1" t="s">
        <v>33</v>
      </c>
      <c r="P1075" s="1" t="s">
        <v>173</v>
      </c>
      <c r="Q1075" s="1" t="s">
        <v>173</v>
      </c>
      <c r="R1075" s="1" t="s">
        <v>174</v>
      </c>
      <c r="S1075" s="1" t="s">
        <v>612</v>
      </c>
      <c r="T1075" s="1">
        <v>1.00708984E8</v>
      </c>
      <c r="W1075" s="1" t="s">
        <v>147</v>
      </c>
      <c r="X1075" s="1" t="s">
        <v>3809</v>
      </c>
    </row>
    <row r="1076">
      <c r="A1076" s="1" t="s">
        <v>3810</v>
      </c>
      <c r="B1076" s="1" t="s">
        <v>3811</v>
      </c>
      <c r="C1076" s="1" t="s">
        <v>3812</v>
      </c>
      <c r="D1076" s="1" t="s">
        <v>28</v>
      </c>
      <c r="E1076" s="1" t="s">
        <v>29</v>
      </c>
      <c r="F1076" s="5">
        <v>1000000.0</v>
      </c>
      <c r="G1076" s="1" t="s">
        <v>1114</v>
      </c>
      <c r="H1076" s="4">
        <v>44623.0</v>
      </c>
      <c r="I1076" s="1" t="s">
        <v>191</v>
      </c>
      <c r="K1076" s="1">
        <v>0.0</v>
      </c>
      <c r="L1076" s="1" t="s">
        <v>3813</v>
      </c>
      <c r="M1076" s="1" t="str">
        <f>VLOOKUP(L1076,'Copy of PMD Workday Constants -'!B1045:Y1731,22,false)</f>
        <v>#N/A</v>
      </c>
      <c r="N1076" s="1" t="s">
        <v>32</v>
      </c>
      <c r="O1076" s="1" t="s">
        <v>33</v>
      </c>
      <c r="P1076" s="1" t="s">
        <v>112</v>
      </c>
      <c r="Q1076" s="1" t="s">
        <v>112</v>
      </c>
      <c r="R1076" s="1" t="s">
        <v>113</v>
      </c>
      <c r="T1076" s="1">
        <v>1.00650841E8</v>
      </c>
      <c r="W1076" s="1" t="s">
        <v>456</v>
      </c>
      <c r="X1076" s="1" t="s">
        <v>3813</v>
      </c>
    </row>
    <row r="1077">
      <c r="A1077" s="1" t="s">
        <v>3814</v>
      </c>
      <c r="B1077" s="1" t="s">
        <v>2641</v>
      </c>
      <c r="C1077" s="1" t="s">
        <v>3805</v>
      </c>
      <c r="D1077" s="1" t="s">
        <v>28</v>
      </c>
      <c r="E1077" s="1" t="s">
        <v>29</v>
      </c>
      <c r="F1077" s="5">
        <v>1000000.0</v>
      </c>
      <c r="G1077" s="1" t="s">
        <v>1114</v>
      </c>
      <c r="H1077" s="1" t="s">
        <v>778</v>
      </c>
      <c r="I1077" s="1" t="s">
        <v>191</v>
      </c>
      <c r="K1077" s="1">
        <v>0.0</v>
      </c>
      <c r="L1077" s="1" t="s">
        <v>836</v>
      </c>
      <c r="M1077" s="1" t="str">
        <f>VLOOKUP(L1077,'Copy of PMD Workday Constants -'!B1046:Y1732,22,false)</f>
        <v>#N/A</v>
      </c>
      <c r="N1077" s="1" t="s">
        <v>32</v>
      </c>
      <c r="O1077" s="1" t="s">
        <v>33</v>
      </c>
      <c r="P1077" s="1" t="s">
        <v>173</v>
      </c>
      <c r="Q1077" s="1" t="s">
        <v>173</v>
      </c>
      <c r="R1077" s="1" t="s">
        <v>174</v>
      </c>
      <c r="S1077" s="1" t="s">
        <v>612</v>
      </c>
      <c r="T1077" s="1">
        <v>1.00648457E8</v>
      </c>
      <c r="W1077" s="1" t="s">
        <v>456</v>
      </c>
      <c r="X1077" s="1" t="s">
        <v>836</v>
      </c>
    </row>
    <row r="1078">
      <c r="A1078" s="1" t="s">
        <v>3815</v>
      </c>
      <c r="B1078" s="1" t="s">
        <v>1568</v>
      </c>
      <c r="C1078" s="1" t="s">
        <v>3816</v>
      </c>
      <c r="D1078" s="1" t="s">
        <v>51</v>
      </c>
      <c r="E1078" s="1" t="s">
        <v>29</v>
      </c>
      <c r="F1078" s="5">
        <v>1000000.0</v>
      </c>
      <c r="G1078" s="1" t="s">
        <v>1114</v>
      </c>
      <c r="H1078" s="1" t="s">
        <v>778</v>
      </c>
      <c r="I1078" s="1" t="s">
        <v>191</v>
      </c>
      <c r="K1078" s="1">
        <v>0.0</v>
      </c>
      <c r="L1078" s="1" t="s">
        <v>836</v>
      </c>
      <c r="M1078" s="1" t="str">
        <f>VLOOKUP(L1078,'Copy of PMD Workday Constants -'!B1047:Y1733,22,false)</f>
        <v>#N/A</v>
      </c>
      <c r="N1078" s="1" t="s">
        <v>32</v>
      </c>
      <c r="O1078" s="1" t="s">
        <v>33</v>
      </c>
      <c r="P1078" s="1" t="s">
        <v>173</v>
      </c>
      <c r="Q1078" s="1" t="s">
        <v>173</v>
      </c>
      <c r="R1078" s="1" t="s">
        <v>174</v>
      </c>
      <c r="S1078" s="1" t="s">
        <v>612</v>
      </c>
      <c r="T1078" s="1">
        <v>1.00648457E8</v>
      </c>
      <c r="W1078" s="1" t="s">
        <v>147</v>
      </c>
      <c r="X1078" s="1" t="s">
        <v>836</v>
      </c>
    </row>
    <row r="1079">
      <c r="A1079" s="1" t="s">
        <v>3817</v>
      </c>
      <c r="B1079" s="1" t="s">
        <v>304</v>
      </c>
      <c r="C1079" s="1" t="s">
        <v>3818</v>
      </c>
      <c r="D1079" s="1" t="s">
        <v>28</v>
      </c>
      <c r="E1079" s="1" t="s">
        <v>29</v>
      </c>
      <c r="F1079" s="5">
        <v>1000000.0</v>
      </c>
      <c r="G1079" s="1" t="s">
        <v>1114</v>
      </c>
      <c r="H1079" s="4">
        <v>44144.0</v>
      </c>
      <c r="I1079" s="1" t="s">
        <v>80</v>
      </c>
      <c r="K1079" s="1">
        <v>0.0</v>
      </c>
      <c r="L1079" s="1" t="s">
        <v>309</v>
      </c>
      <c r="M1079" s="1" t="str">
        <f>VLOOKUP(L1079,'Copy of PMD Workday Constants -'!B1048:Y1734,22,false)</f>
        <v>#N/A</v>
      </c>
      <c r="N1079" s="1" t="s">
        <v>32</v>
      </c>
      <c r="O1079" s="1" t="s">
        <v>33</v>
      </c>
      <c r="P1079" s="1" t="s">
        <v>34</v>
      </c>
      <c r="Q1079" s="1" t="s">
        <v>34</v>
      </c>
      <c r="R1079" s="1" t="s">
        <v>35</v>
      </c>
      <c r="S1079" s="1" t="s">
        <v>126</v>
      </c>
      <c r="T1079" s="1">
        <v>1.00608155E8</v>
      </c>
      <c r="W1079" s="1" t="s">
        <v>308</v>
      </c>
      <c r="X1079" s="1" t="s">
        <v>309</v>
      </c>
    </row>
    <row r="1080">
      <c r="A1080" s="1" t="s">
        <v>3819</v>
      </c>
      <c r="B1080" s="1" t="s">
        <v>3820</v>
      </c>
      <c r="C1080" s="1" t="s">
        <v>3821</v>
      </c>
      <c r="D1080" s="1" t="s">
        <v>28</v>
      </c>
      <c r="E1080" s="1" t="s">
        <v>29</v>
      </c>
      <c r="F1080" s="5">
        <v>1000000.0</v>
      </c>
      <c r="G1080" s="1" t="s">
        <v>1114</v>
      </c>
      <c r="H1080" s="1" t="s">
        <v>3018</v>
      </c>
      <c r="I1080" s="1" t="s">
        <v>302</v>
      </c>
      <c r="K1080" s="1">
        <v>0.0</v>
      </c>
      <c r="L1080" s="1" t="s">
        <v>1238</v>
      </c>
      <c r="M1080" s="1" t="str">
        <f>VLOOKUP(L1080,'Copy of PMD Workday Constants -'!B1049:Y1735,22,false)</f>
        <v>#N/A</v>
      </c>
      <c r="N1080" s="1" t="s">
        <v>32</v>
      </c>
      <c r="O1080" s="1" t="s">
        <v>33</v>
      </c>
      <c r="P1080" s="1" t="s">
        <v>210</v>
      </c>
      <c r="Q1080" s="1" t="s">
        <v>210</v>
      </c>
      <c r="R1080" s="1" t="s">
        <v>211</v>
      </c>
      <c r="S1080" s="1" t="s">
        <v>416</v>
      </c>
      <c r="T1080" s="1">
        <v>1.00586959E8</v>
      </c>
      <c r="W1080" s="1" t="s">
        <v>56</v>
      </c>
      <c r="X1080" s="1" t="s">
        <v>1238</v>
      </c>
    </row>
    <row r="1081">
      <c r="A1081" s="1" t="s">
        <v>3822</v>
      </c>
      <c r="B1081" s="1" t="s">
        <v>3820</v>
      </c>
      <c r="C1081" s="1" t="s">
        <v>3823</v>
      </c>
      <c r="D1081" s="1" t="s">
        <v>28</v>
      </c>
      <c r="E1081" s="1" t="s">
        <v>29</v>
      </c>
      <c r="F1081" s="5">
        <v>1000000.0</v>
      </c>
      <c r="G1081" s="1" t="s">
        <v>1114</v>
      </c>
      <c r="H1081" s="1" t="s">
        <v>3018</v>
      </c>
      <c r="I1081" s="1" t="s">
        <v>302</v>
      </c>
      <c r="K1081" s="1">
        <v>0.0</v>
      </c>
      <c r="L1081" s="1" t="s">
        <v>1238</v>
      </c>
      <c r="M1081" s="1" t="str">
        <f>VLOOKUP(L1081,'Copy of PMD Workday Constants -'!B1050:Y1736,22,false)</f>
        <v>#N/A</v>
      </c>
      <c r="N1081" s="1" t="s">
        <v>32</v>
      </c>
      <c r="O1081" s="1" t="s">
        <v>33</v>
      </c>
      <c r="P1081" s="1" t="s">
        <v>210</v>
      </c>
      <c r="Q1081" s="1" t="s">
        <v>210</v>
      </c>
      <c r="R1081" s="1" t="s">
        <v>211</v>
      </c>
      <c r="S1081" s="1" t="s">
        <v>416</v>
      </c>
      <c r="T1081" s="1">
        <v>1.00586959E8</v>
      </c>
      <c r="W1081" s="1" t="s">
        <v>56</v>
      </c>
      <c r="X1081" s="1" t="s">
        <v>1238</v>
      </c>
    </row>
    <row r="1082">
      <c r="A1082" s="1" t="s">
        <v>3824</v>
      </c>
      <c r="B1082" s="1" t="s">
        <v>2976</v>
      </c>
      <c r="C1082" s="1" t="s">
        <v>3825</v>
      </c>
      <c r="D1082" s="1" t="s">
        <v>28</v>
      </c>
      <c r="E1082" s="1" t="s">
        <v>29</v>
      </c>
      <c r="F1082" s="5">
        <v>1000000.0</v>
      </c>
      <c r="G1082" s="1" t="s">
        <v>1114</v>
      </c>
      <c r="H1082" s="1" t="s">
        <v>3034</v>
      </c>
      <c r="I1082" s="1" t="s">
        <v>43</v>
      </c>
      <c r="K1082" s="1">
        <v>0.0</v>
      </c>
      <c r="L1082" s="1" t="s">
        <v>1288</v>
      </c>
      <c r="M1082" s="1" t="str">
        <f>VLOOKUP(L1082,'Copy of PMD Workday Constants -'!B1051:Y1737,22,false)</f>
        <v>#N/A</v>
      </c>
      <c r="N1082" s="1" t="s">
        <v>32</v>
      </c>
      <c r="O1082" s="1" t="s">
        <v>33</v>
      </c>
      <c r="P1082" s="1" t="s">
        <v>173</v>
      </c>
      <c r="Q1082" s="1" t="s">
        <v>173</v>
      </c>
      <c r="R1082" s="1" t="s">
        <v>174</v>
      </c>
      <c r="T1082" s="1">
        <v>1.00584043E8</v>
      </c>
      <c r="W1082" s="1" t="s">
        <v>250</v>
      </c>
      <c r="X1082" s="1" t="s">
        <v>1288</v>
      </c>
    </row>
    <row r="1083">
      <c r="A1083" s="1" t="s">
        <v>3826</v>
      </c>
      <c r="B1083" s="1" t="s">
        <v>804</v>
      </c>
      <c r="C1083" s="1" t="s">
        <v>3827</v>
      </c>
      <c r="D1083" s="1" t="s">
        <v>28</v>
      </c>
      <c r="E1083" s="1" t="s">
        <v>29</v>
      </c>
      <c r="F1083" s="5">
        <v>1000000.0</v>
      </c>
      <c r="G1083" s="1" t="s">
        <v>1114</v>
      </c>
      <c r="H1083" s="4">
        <v>44257.0</v>
      </c>
      <c r="I1083" s="1" t="s">
        <v>191</v>
      </c>
      <c r="K1083" s="1">
        <v>0.0</v>
      </c>
      <c r="L1083" s="1" t="s">
        <v>843</v>
      </c>
      <c r="M1083" s="1" t="str">
        <f>VLOOKUP(L1083,'Copy of PMD Workday Constants -'!B1052:Y1738,22,false)</f>
        <v>#N/A</v>
      </c>
      <c r="N1083" s="1" t="s">
        <v>32</v>
      </c>
      <c r="O1083" s="1" t="s">
        <v>33</v>
      </c>
      <c r="P1083" s="1" t="s">
        <v>173</v>
      </c>
      <c r="Q1083" s="1" t="s">
        <v>173</v>
      </c>
      <c r="R1083" s="1" t="s">
        <v>174</v>
      </c>
      <c r="S1083" s="1" t="s">
        <v>612</v>
      </c>
      <c r="T1083" s="1">
        <v>1.00655091E8</v>
      </c>
      <c r="W1083" s="1" t="s">
        <v>147</v>
      </c>
      <c r="X1083" s="1" t="s">
        <v>3828</v>
      </c>
    </row>
    <row r="1084">
      <c r="A1084" s="1" t="s">
        <v>3829</v>
      </c>
      <c r="B1084" s="1" t="s">
        <v>304</v>
      </c>
      <c r="C1084" s="1" t="s">
        <v>3830</v>
      </c>
      <c r="D1084" s="1" t="s">
        <v>28</v>
      </c>
      <c r="E1084" s="1" t="s">
        <v>29</v>
      </c>
      <c r="F1084" s="5">
        <v>1000000.0</v>
      </c>
      <c r="G1084" s="1" t="s">
        <v>1114</v>
      </c>
      <c r="H1084" s="4">
        <v>44144.0</v>
      </c>
      <c r="I1084" s="1" t="s">
        <v>3831</v>
      </c>
      <c r="K1084" s="1">
        <v>0.0</v>
      </c>
      <c r="L1084" s="1" t="s">
        <v>1400</v>
      </c>
      <c r="M1084" s="1" t="str">
        <f>VLOOKUP(L1084,'Copy of PMD Workday Constants -'!B1053:Y1739,22,false)</f>
        <v>#N/A</v>
      </c>
      <c r="N1084" s="1" t="s">
        <v>32</v>
      </c>
      <c r="O1084" s="1" t="s">
        <v>33</v>
      </c>
      <c r="P1084" s="1" t="s">
        <v>64</v>
      </c>
      <c r="Q1084" s="1" t="s">
        <v>64</v>
      </c>
      <c r="R1084" s="1" t="s">
        <v>65</v>
      </c>
      <c r="S1084" s="1" t="s">
        <v>126</v>
      </c>
      <c r="T1084" s="1">
        <v>1.0059033E8</v>
      </c>
      <c r="W1084" s="1" t="s">
        <v>308</v>
      </c>
      <c r="X1084" s="1" t="s">
        <v>309</v>
      </c>
    </row>
    <row r="1085">
      <c r="A1085" s="1" t="s">
        <v>3832</v>
      </c>
      <c r="B1085" s="1" t="s">
        <v>143</v>
      </c>
      <c r="C1085" s="1" t="s">
        <v>3833</v>
      </c>
      <c r="D1085" s="1" t="s">
        <v>28</v>
      </c>
      <c r="E1085" s="1" t="s">
        <v>29</v>
      </c>
      <c r="F1085" s="5">
        <v>1000000.0</v>
      </c>
      <c r="G1085" s="1" t="s">
        <v>1114</v>
      </c>
      <c r="H1085" s="4">
        <v>44777.0</v>
      </c>
      <c r="I1085" s="1" t="s">
        <v>414</v>
      </c>
      <c r="K1085" s="1">
        <v>0.0</v>
      </c>
      <c r="L1085" s="1" t="s">
        <v>2133</v>
      </c>
      <c r="M1085" s="1" t="str">
        <f>VLOOKUP(L1085,'Copy of PMD Workday Constants -'!B1054:Y1740,22,false)</f>
        <v>#N/A</v>
      </c>
      <c r="N1085" s="1" t="s">
        <v>32</v>
      </c>
      <c r="O1085" s="1" t="s">
        <v>33</v>
      </c>
      <c r="P1085" s="1" t="s">
        <v>64</v>
      </c>
      <c r="Q1085" s="1" t="s">
        <v>64</v>
      </c>
      <c r="R1085" s="1" t="s">
        <v>65</v>
      </c>
      <c r="T1085" s="1">
        <v>1.00653977E8</v>
      </c>
      <c r="W1085" s="1" t="s">
        <v>147</v>
      </c>
      <c r="X1085" s="1" t="s">
        <v>3834</v>
      </c>
    </row>
    <row r="1086">
      <c r="A1086" s="1" t="s">
        <v>3835</v>
      </c>
      <c r="B1086" s="1" t="s">
        <v>507</v>
      </c>
      <c r="C1086" s="1" t="s">
        <v>3836</v>
      </c>
      <c r="D1086" s="1" t="s">
        <v>28</v>
      </c>
      <c r="E1086" s="1" t="s">
        <v>29</v>
      </c>
      <c r="F1086" s="5">
        <v>1000000.0</v>
      </c>
      <c r="G1086" s="1" t="s">
        <v>1114</v>
      </c>
      <c r="H1086" s="4">
        <v>44564.0</v>
      </c>
      <c r="I1086" s="1" t="s">
        <v>302</v>
      </c>
      <c r="K1086" s="1">
        <v>0.0</v>
      </c>
      <c r="L1086" s="1" t="s">
        <v>3290</v>
      </c>
      <c r="M1086" s="1" t="str">
        <f>VLOOKUP(L1086,'Copy of PMD Workday Constants -'!B1055:Y1741,22,false)</f>
        <v>#N/A</v>
      </c>
      <c r="N1086" s="1" t="s">
        <v>32</v>
      </c>
      <c r="O1086" s="1" t="s">
        <v>33</v>
      </c>
      <c r="P1086" s="1" t="s">
        <v>112</v>
      </c>
      <c r="Q1086" s="1" t="s">
        <v>112</v>
      </c>
      <c r="R1086" s="1" t="s">
        <v>113</v>
      </c>
      <c r="S1086" s="1" t="s">
        <v>455</v>
      </c>
      <c r="T1086" s="1">
        <v>1.00625578E8</v>
      </c>
      <c r="W1086" s="1" t="s">
        <v>456</v>
      </c>
      <c r="X1086" s="1" t="s">
        <v>3290</v>
      </c>
    </row>
    <row r="1087">
      <c r="A1087" s="1" t="s">
        <v>3837</v>
      </c>
      <c r="B1087" s="1" t="s">
        <v>489</v>
      </c>
      <c r="C1087" s="1" t="s">
        <v>3838</v>
      </c>
      <c r="D1087" s="1" t="s">
        <v>28</v>
      </c>
      <c r="E1087" s="1" t="s">
        <v>29</v>
      </c>
      <c r="F1087" s="5">
        <v>1000000.0</v>
      </c>
      <c r="G1087" s="1" t="s">
        <v>1114</v>
      </c>
      <c r="H1087" s="1" t="s">
        <v>42</v>
      </c>
      <c r="I1087" s="1" t="s">
        <v>414</v>
      </c>
      <c r="K1087" s="1">
        <v>0.0</v>
      </c>
      <c r="L1087" s="1" t="s">
        <v>1039</v>
      </c>
      <c r="M1087" s="1" t="str">
        <f>VLOOKUP(L1087,'Copy of PMD Workday Constants -'!B1056:Y1742,22,false)</f>
        <v>#N/A</v>
      </c>
      <c r="N1087" s="1" t="s">
        <v>32</v>
      </c>
      <c r="O1087" s="1" t="s">
        <v>33</v>
      </c>
      <c r="P1087" s="1" t="s">
        <v>112</v>
      </c>
      <c r="Q1087" s="1" t="s">
        <v>112</v>
      </c>
      <c r="R1087" s="1" t="s">
        <v>113</v>
      </c>
      <c r="S1087" s="1" t="s">
        <v>134</v>
      </c>
      <c r="T1087" s="1">
        <v>1.00633489E8</v>
      </c>
      <c r="W1087" s="1" t="s">
        <v>493</v>
      </c>
      <c r="X1087" s="1" t="s">
        <v>1039</v>
      </c>
    </row>
    <row r="1088">
      <c r="A1088" s="1" t="s">
        <v>3839</v>
      </c>
      <c r="B1088" s="1" t="s">
        <v>2790</v>
      </c>
      <c r="C1088" s="1" t="s">
        <v>3840</v>
      </c>
      <c r="D1088" s="1" t="s">
        <v>28</v>
      </c>
      <c r="E1088" s="1" t="s">
        <v>29</v>
      </c>
      <c r="F1088" s="5">
        <v>1000000.0</v>
      </c>
      <c r="G1088" s="1" t="s">
        <v>1114</v>
      </c>
      <c r="H1088" s="4">
        <v>44656.0</v>
      </c>
      <c r="I1088" s="1" t="s">
        <v>104</v>
      </c>
      <c r="K1088" s="1">
        <v>0.0</v>
      </c>
      <c r="L1088" s="1" t="s">
        <v>1031</v>
      </c>
      <c r="M1088" s="1" t="str">
        <f>VLOOKUP(L1088,'Copy of PMD Workday Constants -'!B1057:Y1743,22,false)</f>
        <v>#N/A</v>
      </c>
      <c r="N1088" s="1" t="s">
        <v>32</v>
      </c>
      <c r="O1088" s="1" t="s">
        <v>33</v>
      </c>
      <c r="P1088" s="1" t="s">
        <v>64</v>
      </c>
      <c r="Q1088" s="1" t="s">
        <v>64</v>
      </c>
      <c r="R1088" s="1" t="s">
        <v>65</v>
      </c>
      <c r="T1088" s="1">
        <v>1.00879751E8</v>
      </c>
      <c r="W1088" s="1" t="s">
        <v>85</v>
      </c>
      <c r="X1088" s="1" t="s">
        <v>3841</v>
      </c>
    </row>
    <row r="1089">
      <c r="A1089" s="1" t="s">
        <v>3842</v>
      </c>
      <c r="B1089" s="1" t="s">
        <v>776</v>
      </c>
      <c r="C1089" s="1" t="s">
        <v>3843</v>
      </c>
      <c r="D1089" s="1" t="s">
        <v>51</v>
      </c>
      <c r="E1089" s="1" t="s">
        <v>29</v>
      </c>
      <c r="F1089" s="5">
        <v>1000000.0</v>
      </c>
      <c r="G1089" s="1" t="s">
        <v>1114</v>
      </c>
      <c r="H1089" s="1" t="s">
        <v>3844</v>
      </c>
      <c r="I1089" s="1" t="s">
        <v>80</v>
      </c>
      <c r="K1089" s="1">
        <v>0.0</v>
      </c>
      <c r="L1089" s="1" t="s">
        <v>3845</v>
      </c>
      <c r="M1089" s="1" t="str">
        <f>VLOOKUP(L1089,'Copy of PMD Workday Constants -'!B1058:Y1744,22,false)</f>
        <v>#N/A</v>
      </c>
      <c r="N1089" s="1" t="s">
        <v>32</v>
      </c>
      <c r="O1089" s="1" t="s">
        <v>33</v>
      </c>
      <c r="P1089" s="1" t="s">
        <v>112</v>
      </c>
      <c r="Q1089" s="1" t="s">
        <v>112</v>
      </c>
      <c r="R1089" s="1" t="s">
        <v>113</v>
      </c>
      <c r="S1089" s="1" t="s">
        <v>134</v>
      </c>
      <c r="T1089" s="1">
        <v>1.00638855E8</v>
      </c>
      <c r="W1089" s="1" t="s">
        <v>74</v>
      </c>
      <c r="X1089" s="1" t="s">
        <v>3845</v>
      </c>
    </row>
    <row r="1090">
      <c r="A1090" s="1" t="s">
        <v>3846</v>
      </c>
      <c r="B1090" s="1" t="s">
        <v>993</v>
      </c>
      <c r="C1090" s="1" t="s">
        <v>3847</v>
      </c>
      <c r="D1090" s="1" t="s">
        <v>28</v>
      </c>
      <c r="E1090" s="1" t="s">
        <v>29</v>
      </c>
      <c r="F1090" s="5">
        <v>1000000.0</v>
      </c>
      <c r="G1090" s="1" t="s">
        <v>1114</v>
      </c>
      <c r="H1090" s="4">
        <v>44625.0</v>
      </c>
      <c r="I1090" s="1" t="s">
        <v>80</v>
      </c>
      <c r="K1090" s="1">
        <v>0.0</v>
      </c>
      <c r="L1090" s="1" t="s">
        <v>3848</v>
      </c>
      <c r="M1090" s="1" t="str">
        <f>VLOOKUP(L1090,'Copy of PMD Workday Constants -'!B1059:Y1745,22,false)</f>
        <v>#N/A</v>
      </c>
      <c r="N1090" s="1" t="s">
        <v>32</v>
      </c>
      <c r="O1090" s="1" t="s">
        <v>33</v>
      </c>
      <c r="P1090" s="1" t="s">
        <v>173</v>
      </c>
      <c r="Q1090" s="1" t="s">
        <v>173</v>
      </c>
      <c r="R1090" s="1" t="s">
        <v>174</v>
      </c>
      <c r="S1090" s="1" t="s">
        <v>612</v>
      </c>
      <c r="T1090" s="1">
        <v>1.00654914E8</v>
      </c>
      <c r="W1090" s="1" t="s">
        <v>74</v>
      </c>
      <c r="X1090" s="1" t="s">
        <v>3849</v>
      </c>
    </row>
    <row r="1091">
      <c r="A1091" s="1" t="s">
        <v>3850</v>
      </c>
      <c r="B1091" s="1" t="s">
        <v>744</v>
      </c>
      <c r="C1091" s="1" t="s">
        <v>3851</v>
      </c>
      <c r="D1091" s="1" t="s">
        <v>51</v>
      </c>
      <c r="E1091" s="1" t="s">
        <v>29</v>
      </c>
      <c r="F1091" s="5">
        <v>1000000.0</v>
      </c>
      <c r="G1091" s="1" t="s">
        <v>1114</v>
      </c>
      <c r="H1091" s="4">
        <v>44478.0</v>
      </c>
      <c r="I1091" s="1" t="s">
        <v>152</v>
      </c>
      <c r="K1091" s="1">
        <v>0.0</v>
      </c>
      <c r="L1091" s="1" t="s">
        <v>1312</v>
      </c>
      <c r="M1091" s="1" t="str">
        <f>VLOOKUP(L1091,'Copy of PMD Workday Constants -'!B1060:Y1746,22,false)</f>
        <v>#N/A</v>
      </c>
      <c r="N1091" s="1" t="s">
        <v>32</v>
      </c>
      <c r="O1091" s="1" t="s">
        <v>33</v>
      </c>
      <c r="P1091" s="1" t="s">
        <v>210</v>
      </c>
      <c r="Q1091" s="1" t="s">
        <v>210</v>
      </c>
      <c r="R1091" s="1" t="s">
        <v>211</v>
      </c>
      <c r="S1091" s="1" t="s">
        <v>1313</v>
      </c>
      <c r="T1091" s="1">
        <v>1.00660608E8</v>
      </c>
      <c r="W1091" s="1" t="s">
        <v>258</v>
      </c>
      <c r="X1091" s="1" t="s">
        <v>3852</v>
      </c>
    </row>
    <row r="1092">
      <c r="A1092" s="1" t="s">
        <v>3853</v>
      </c>
      <c r="B1092" s="1" t="s">
        <v>503</v>
      </c>
      <c r="C1092" s="1" t="s">
        <v>3854</v>
      </c>
      <c r="D1092" s="1" t="s">
        <v>28</v>
      </c>
      <c r="E1092" s="1" t="s">
        <v>29</v>
      </c>
      <c r="F1092" s="5">
        <v>1000000.0</v>
      </c>
      <c r="G1092" s="1" t="s">
        <v>1114</v>
      </c>
      <c r="H1092" s="4">
        <v>44297.0</v>
      </c>
      <c r="I1092" s="1" t="s">
        <v>301</v>
      </c>
      <c r="K1092" s="1">
        <v>0.0</v>
      </c>
      <c r="L1092" s="1" t="s">
        <v>2747</v>
      </c>
      <c r="M1092" s="1" t="str">
        <f>VLOOKUP(L1092,'Copy of PMD Workday Constants -'!B1061:Y1747,22,false)</f>
        <v>#N/A</v>
      </c>
      <c r="N1092" s="1" t="s">
        <v>32</v>
      </c>
      <c r="O1092" s="1" t="s">
        <v>33</v>
      </c>
      <c r="P1092" s="1" t="s">
        <v>64</v>
      </c>
      <c r="Q1092" s="1" t="s">
        <v>64</v>
      </c>
      <c r="R1092" s="1" t="s">
        <v>65</v>
      </c>
      <c r="T1092" s="1">
        <v>1.00586524E8</v>
      </c>
      <c r="U1092" s="1" t="s">
        <v>3855</v>
      </c>
      <c r="V1092" s="1" t="s">
        <v>46</v>
      </c>
      <c r="W1092" s="1" t="s">
        <v>391</v>
      </c>
      <c r="X1092" s="1" t="s">
        <v>2747</v>
      </c>
    </row>
    <row r="1093">
      <c r="A1093" s="1" t="s">
        <v>3856</v>
      </c>
      <c r="B1093" s="1" t="s">
        <v>503</v>
      </c>
      <c r="C1093" s="1" t="s">
        <v>3855</v>
      </c>
      <c r="D1093" s="1" t="s">
        <v>103</v>
      </c>
      <c r="E1093" s="1" t="s">
        <v>29</v>
      </c>
      <c r="F1093" s="5">
        <v>1000000.0</v>
      </c>
      <c r="G1093" s="1" t="s">
        <v>1114</v>
      </c>
      <c r="H1093" s="4">
        <v>44297.0</v>
      </c>
      <c r="I1093" s="4">
        <v>44569.0</v>
      </c>
      <c r="K1093" s="1">
        <v>0.0</v>
      </c>
      <c r="L1093" s="1" t="s">
        <v>2747</v>
      </c>
      <c r="M1093" s="1" t="str">
        <f>VLOOKUP(L1093,'Copy of PMD Workday Constants -'!B1062:Y1748,22,false)</f>
        <v>#N/A</v>
      </c>
      <c r="N1093" s="1" t="s">
        <v>32</v>
      </c>
      <c r="O1093" s="1" t="s">
        <v>33</v>
      </c>
      <c r="P1093" s="1" t="s">
        <v>64</v>
      </c>
      <c r="Q1093" s="1" t="s">
        <v>64</v>
      </c>
      <c r="R1093" s="1" t="s">
        <v>65</v>
      </c>
      <c r="T1093" s="1">
        <v>1.00586524E8</v>
      </c>
      <c r="U1093" s="1" t="s">
        <v>3857</v>
      </c>
      <c r="V1093" s="1" t="s">
        <v>46</v>
      </c>
      <c r="W1093" s="1" t="s">
        <v>391</v>
      </c>
      <c r="X1093" s="1" t="s">
        <v>2747</v>
      </c>
    </row>
    <row r="1094">
      <c r="A1094" s="1" t="s">
        <v>3858</v>
      </c>
      <c r="B1094" s="1" t="s">
        <v>458</v>
      </c>
      <c r="C1094" s="1" t="s">
        <v>3859</v>
      </c>
      <c r="D1094" s="1" t="s">
        <v>28</v>
      </c>
      <c r="E1094" s="1" t="s">
        <v>29</v>
      </c>
      <c r="F1094" s="5">
        <v>1000000.0</v>
      </c>
      <c r="G1094" s="1" t="s">
        <v>1114</v>
      </c>
      <c r="H1094" s="4">
        <v>44567.0</v>
      </c>
      <c r="I1094" s="4">
        <v>44568.0</v>
      </c>
      <c r="K1094" s="1">
        <v>0.0</v>
      </c>
      <c r="L1094" s="1" t="s">
        <v>1739</v>
      </c>
      <c r="M1094" s="1" t="str">
        <f>VLOOKUP(L1094,'Copy of PMD Workday Constants -'!B1063:Y1749,22,false)</f>
        <v>#N/A</v>
      </c>
      <c r="N1094" s="1" t="s">
        <v>32</v>
      </c>
      <c r="O1094" s="1" t="s">
        <v>33</v>
      </c>
      <c r="P1094" s="1" t="s">
        <v>210</v>
      </c>
      <c r="Q1094" s="1" t="s">
        <v>210</v>
      </c>
      <c r="R1094" s="1" t="s">
        <v>211</v>
      </c>
      <c r="T1094" s="1">
        <v>1.00964362E8</v>
      </c>
      <c r="W1094" s="1" t="s">
        <v>56</v>
      </c>
      <c r="X1094" s="1" t="s">
        <v>2569</v>
      </c>
    </row>
    <row r="1095">
      <c r="A1095" s="1" t="s">
        <v>3860</v>
      </c>
      <c r="B1095" s="1" t="s">
        <v>3270</v>
      </c>
      <c r="C1095" s="1" t="s">
        <v>3861</v>
      </c>
      <c r="D1095" s="1" t="s">
        <v>51</v>
      </c>
      <c r="E1095" s="1" t="s">
        <v>29</v>
      </c>
      <c r="F1095" s="5">
        <v>1000000.0</v>
      </c>
      <c r="G1095" s="1" t="s">
        <v>1114</v>
      </c>
      <c r="H1095" s="4">
        <v>44387.0</v>
      </c>
      <c r="I1095" s="1" t="s">
        <v>1281</v>
      </c>
      <c r="K1095" s="1">
        <v>0.0</v>
      </c>
      <c r="L1095" s="1" t="s">
        <v>1278</v>
      </c>
      <c r="M1095" s="1" t="str">
        <f>VLOOKUP(L1095,'Copy of PMD Workday Constants -'!B1064:Y1750,22,false)</f>
        <v>#N/A</v>
      </c>
      <c r="N1095" s="1" t="s">
        <v>32</v>
      </c>
      <c r="O1095" s="1" t="s">
        <v>33</v>
      </c>
      <c r="P1095" s="1" t="s">
        <v>112</v>
      </c>
      <c r="Q1095" s="1" t="s">
        <v>112</v>
      </c>
      <c r="R1095" s="1" t="s">
        <v>113</v>
      </c>
      <c r="T1095" s="1">
        <v>1.00626753E8</v>
      </c>
      <c r="W1095" s="1" t="s">
        <v>74</v>
      </c>
      <c r="X1095" s="1" t="s">
        <v>3862</v>
      </c>
    </row>
    <row r="1096">
      <c r="A1096" s="1" t="s">
        <v>3863</v>
      </c>
      <c r="B1096" s="1" t="s">
        <v>143</v>
      </c>
      <c r="C1096" s="1" t="s">
        <v>3864</v>
      </c>
      <c r="D1096" s="1" t="s">
        <v>28</v>
      </c>
      <c r="E1096" s="1" t="s">
        <v>29</v>
      </c>
      <c r="F1096" s="5">
        <v>1000000.0</v>
      </c>
      <c r="G1096" s="1" t="s">
        <v>1114</v>
      </c>
      <c r="H1096" s="4">
        <v>44718.0</v>
      </c>
      <c r="I1096" s="1" t="s">
        <v>295</v>
      </c>
      <c r="K1096" s="1">
        <v>0.0</v>
      </c>
      <c r="L1096" s="1" t="s">
        <v>2954</v>
      </c>
      <c r="M1096" s="1" t="str">
        <f>VLOOKUP(L1096,'Copy of PMD Workday Constants -'!B1065:Y1751,22,false)</f>
        <v>#N/A</v>
      </c>
      <c r="N1096" s="1" t="s">
        <v>32</v>
      </c>
      <c r="O1096" s="1" t="s">
        <v>33</v>
      </c>
      <c r="P1096" s="1" t="s">
        <v>34</v>
      </c>
      <c r="Q1096" s="1" t="s">
        <v>34</v>
      </c>
      <c r="R1096" s="1" t="s">
        <v>35</v>
      </c>
      <c r="T1096" s="1">
        <v>1.00589948E8</v>
      </c>
      <c r="W1096" s="1" t="s">
        <v>147</v>
      </c>
      <c r="X1096" s="1" t="s">
        <v>2955</v>
      </c>
    </row>
    <row r="1097">
      <c r="A1097" s="1" t="s">
        <v>3865</v>
      </c>
      <c r="B1097" s="1" t="s">
        <v>289</v>
      </c>
      <c r="C1097" s="1" t="s">
        <v>3866</v>
      </c>
      <c r="D1097" s="1" t="s">
        <v>28</v>
      </c>
      <c r="E1097" s="1" t="s">
        <v>29</v>
      </c>
      <c r="F1097" s="5">
        <v>1000000.0</v>
      </c>
      <c r="G1097" s="1" t="s">
        <v>1114</v>
      </c>
      <c r="H1097" s="1" t="s">
        <v>375</v>
      </c>
      <c r="I1097" s="4">
        <v>44567.0</v>
      </c>
      <c r="K1097" s="1">
        <v>0.0</v>
      </c>
      <c r="L1097" s="1" t="s">
        <v>2174</v>
      </c>
      <c r="M1097" s="1" t="str">
        <f>VLOOKUP(L1097,'Copy of PMD Workday Constants -'!B1066:Y1752,22,false)</f>
        <v>#N/A</v>
      </c>
      <c r="N1097" s="1" t="s">
        <v>32</v>
      </c>
      <c r="O1097" s="1" t="s">
        <v>33</v>
      </c>
      <c r="P1097" s="1" t="s">
        <v>112</v>
      </c>
      <c r="Q1097" s="1" t="s">
        <v>112</v>
      </c>
      <c r="R1097" s="1" t="s">
        <v>113</v>
      </c>
      <c r="S1097" s="1" t="s">
        <v>134</v>
      </c>
      <c r="T1097" s="1">
        <v>1.00631322E8</v>
      </c>
      <c r="W1097" s="1" t="s">
        <v>74</v>
      </c>
      <c r="X1097" s="1" t="s">
        <v>852</v>
      </c>
    </row>
    <row r="1098">
      <c r="A1098" s="1" t="s">
        <v>3867</v>
      </c>
      <c r="B1098" s="1" t="s">
        <v>3270</v>
      </c>
      <c r="C1098" s="1" t="s">
        <v>3868</v>
      </c>
      <c r="D1098" s="1" t="s">
        <v>51</v>
      </c>
      <c r="E1098" s="1" t="s">
        <v>29</v>
      </c>
      <c r="F1098" s="5">
        <v>1000000.0</v>
      </c>
      <c r="G1098" s="1" t="s">
        <v>1114</v>
      </c>
      <c r="H1098" s="4">
        <v>44387.0</v>
      </c>
      <c r="I1098" s="1" t="s">
        <v>104</v>
      </c>
      <c r="K1098" s="1">
        <v>0.0</v>
      </c>
      <c r="L1098" s="1" t="s">
        <v>3869</v>
      </c>
      <c r="M1098" s="1" t="str">
        <f>VLOOKUP(L1098,'Copy of PMD Workday Constants -'!B1067:Y1753,22,false)</f>
        <v>#N/A</v>
      </c>
      <c r="N1098" s="1" t="s">
        <v>32</v>
      </c>
      <c r="O1098" s="1" t="s">
        <v>33</v>
      </c>
      <c r="P1098" s="1" t="s">
        <v>64</v>
      </c>
      <c r="Q1098" s="1" t="s">
        <v>64</v>
      </c>
      <c r="R1098" s="1" t="s">
        <v>65</v>
      </c>
      <c r="S1098" s="1" t="s">
        <v>185</v>
      </c>
      <c r="T1098" s="1">
        <v>1.00608164E8</v>
      </c>
      <c r="W1098" s="1" t="s">
        <v>74</v>
      </c>
      <c r="X1098" s="1" t="s">
        <v>3862</v>
      </c>
    </row>
    <row r="1099">
      <c r="A1099" s="1" t="s">
        <v>3870</v>
      </c>
      <c r="B1099" s="1" t="s">
        <v>1062</v>
      </c>
      <c r="C1099" s="1" t="s">
        <v>3871</v>
      </c>
      <c r="D1099" s="1" t="s">
        <v>28</v>
      </c>
      <c r="E1099" s="1" t="s">
        <v>29</v>
      </c>
      <c r="F1099" s="5">
        <v>1000000.0</v>
      </c>
      <c r="G1099" s="1" t="s">
        <v>1114</v>
      </c>
      <c r="H1099" s="4">
        <v>44748.0</v>
      </c>
      <c r="I1099" s="1" t="s">
        <v>414</v>
      </c>
      <c r="K1099" s="1">
        <v>0.0</v>
      </c>
      <c r="L1099" s="1" t="s">
        <v>1065</v>
      </c>
      <c r="M1099" s="1" t="str">
        <f>VLOOKUP(L1099,'Copy of PMD Workday Constants -'!B1068:Y1754,22,false)</f>
        <v>#N/A</v>
      </c>
      <c r="N1099" s="1" t="s">
        <v>32</v>
      </c>
      <c r="O1099" s="1" t="s">
        <v>33</v>
      </c>
      <c r="P1099" s="1" t="s">
        <v>173</v>
      </c>
      <c r="Q1099" s="1" t="s">
        <v>173</v>
      </c>
      <c r="R1099" s="1" t="s">
        <v>174</v>
      </c>
      <c r="S1099" s="1" t="s">
        <v>540</v>
      </c>
      <c r="T1099" s="1">
        <v>1.00594872E8</v>
      </c>
      <c r="W1099" s="1" t="s">
        <v>493</v>
      </c>
      <c r="X1099" s="1" t="s">
        <v>1065</v>
      </c>
    </row>
    <row r="1100">
      <c r="A1100" s="1" t="s">
        <v>3872</v>
      </c>
      <c r="B1100" s="1" t="s">
        <v>489</v>
      </c>
      <c r="C1100" s="1" t="s">
        <v>3873</v>
      </c>
      <c r="D1100" s="1" t="s">
        <v>51</v>
      </c>
      <c r="E1100" s="1" t="s">
        <v>29</v>
      </c>
      <c r="F1100" s="5">
        <v>1000000.0</v>
      </c>
      <c r="G1100" s="1" t="s">
        <v>1114</v>
      </c>
      <c r="H1100" s="4">
        <v>43929.0</v>
      </c>
      <c r="I1100" s="1" t="s">
        <v>538</v>
      </c>
      <c r="K1100" s="1">
        <v>0.0</v>
      </c>
      <c r="L1100" s="1" t="s">
        <v>1039</v>
      </c>
      <c r="M1100" s="1" t="str">
        <f>VLOOKUP(L1100,'Copy of PMD Workday Constants -'!B1069:Y1755,22,false)</f>
        <v>#N/A</v>
      </c>
      <c r="N1100" s="1" t="s">
        <v>32</v>
      </c>
      <c r="O1100" s="1" t="s">
        <v>33</v>
      </c>
      <c r="P1100" s="1" t="s">
        <v>112</v>
      </c>
      <c r="Q1100" s="1" t="s">
        <v>112</v>
      </c>
      <c r="R1100" s="1" t="s">
        <v>113</v>
      </c>
      <c r="S1100" s="1" t="s">
        <v>134</v>
      </c>
      <c r="T1100" s="1">
        <v>1.00633489E8</v>
      </c>
      <c r="W1100" s="1" t="s">
        <v>493</v>
      </c>
      <c r="X1100" s="1" t="s">
        <v>1039</v>
      </c>
    </row>
    <row r="1101">
      <c r="A1101" s="1" t="s">
        <v>3874</v>
      </c>
      <c r="B1101" s="1" t="s">
        <v>3875</v>
      </c>
      <c r="C1101" s="1" t="s">
        <v>3805</v>
      </c>
      <c r="D1101" s="1" t="s">
        <v>28</v>
      </c>
      <c r="E1101" s="1" t="s">
        <v>29</v>
      </c>
      <c r="F1101" s="5">
        <v>1000000.0</v>
      </c>
      <c r="G1101" s="1" t="s">
        <v>1114</v>
      </c>
      <c r="H1101" s="1" t="s">
        <v>778</v>
      </c>
      <c r="I1101" s="1" t="s">
        <v>191</v>
      </c>
      <c r="K1101" s="1">
        <v>0.0</v>
      </c>
      <c r="L1101" s="1" t="s">
        <v>836</v>
      </c>
      <c r="M1101" s="1" t="str">
        <f>VLOOKUP(L1101,'Copy of PMD Workday Constants -'!B1070:Y1756,22,false)</f>
        <v>#N/A</v>
      </c>
      <c r="N1101" s="1" t="s">
        <v>32</v>
      </c>
      <c r="O1101" s="1" t="s">
        <v>33</v>
      </c>
      <c r="P1101" s="1" t="s">
        <v>173</v>
      </c>
      <c r="Q1101" s="1" t="s">
        <v>173</v>
      </c>
      <c r="R1101" s="1" t="s">
        <v>174</v>
      </c>
      <c r="S1101" s="1" t="s">
        <v>612</v>
      </c>
      <c r="T1101" s="1">
        <v>1.00648457E8</v>
      </c>
      <c r="W1101" s="1" t="s">
        <v>140</v>
      </c>
      <c r="X1101" s="1" t="s">
        <v>836</v>
      </c>
    </row>
    <row r="1102">
      <c r="A1102" s="1" t="s">
        <v>3876</v>
      </c>
      <c r="B1102" s="1" t="s">
        <v>3877</v>
      </c>
      <c r="C1102" s="1" t="s">
        <v>3805</v>
      </c>
      <c r="D1102" s="1" t="s">
        <v>28</v>
      </c>
      <c r="E1102" s="1" t="s">
        <v>29</v>
      </c>
      <c r="F1102" s="5">
        <v>1000000.0</v>
      </c>
      <c r="G1102" s="1" t="s">
        <v>1114</v>
      </c>
      <c r="H1102" s="1" t="s">
        <v>778</v>
      </c>
      <c r="I1102" s="1" t="s">
        <v>191</v>
      </c>
      <c r="K1102" s="1">
        <v>0.0</v>
      </c>
      <c r="L1102" s="1" t="s">
        <v>836</v>
      </c>
      <c r="M1102" s="1" t="str">
        <f>VLOOKUP(L1102,'Copy of PMD Workday Constants -'!B1071:Y1757,22,false)</f>
        <v>#N/A</v>
      </c>
      <c r="N1102" s="1" t="s">
        <v>32</v>
      </c>
      <c r="O1102" s="1" t="s">
        <v>33</v>
      </c>
      <c r="P1102" s="1" t="s">
        <v>173</v>
      </c>
      <c r="Q1102" s="1" t="s">
        <v>173</v>
      </c>
      <c r="R1102" s="1" t="s">
        <v>174</v>
      </c>
      <c r="S1102" s="1" t="s">
        <v>612</v>
      </c>
      <c r="T1102" s="1">
        <v>1.00648457E8</v>
      </c>
      <c r="W1102" s="1" t="s">
        <v>140</v>
      </c>
      <c r="X1102" s="1" t="s">
        <v>836</v>
      </c>
    </row>
    <row r="1103">
      <c r="A1103" s="1" t="s">
        <v>3878</v>
      </c>
      <c r="B1103" s="1" t="s">
        <v>554</v>
      </c>
      <c r="C1103" s="1" t="s">
        <v>3805</v>
      </c>
      <c r="D1103" s="1" t="s">
        <v>28</v>
      </c>
      <c r="E1103" s="1" t="s">
        <v>29</v>
      </c>
      <c r="F1103" s="5">
        <v>1000000.0</v>
      </c>
      <c r="G1103" s="1" t="s">
        <v>1114</v>
      </c>
      <c r="H1103" s="1" t="s">
        <v>778</v>
      </c>
      <c r="I1103" s="1" t="s">
        <v>191</v>
      </c>
      <c r="K1103" s="1">
        <v>0.0</v>
      </c>
      <c r="L1103" s="1" t="s">
        <v>836</v>
      </c>
      <c r="M1103" s="1" t="str">
        <f>VLOOKUP(L1103,'Copy of PMD Workday Constants -'!B1072:Y1758,22,false)</f>
        <v>#N/A</v>
      </c>
      <c r="N1103" s="1" t="s">
        <v>32</v>
      </c>
      <c r="O1103" s="1" t="s">
        <v>33</v>
      </c>
      <c r="P1103" s="1" t="s">
        <v>173</v>
      </c>
      <c r="Q1103" s="1" t="s">
        <v>173</v>
      </c>
      <c r="R1103" s="1" t="s">
        <v>174</v>
      </c>
      <c r="T1103" s="1">
        <v>1.00648457E8</v>
      </c>
      <c r="W1103" s="1" t="s">
        <v>147</v>
      </c>
      <c r="X1103" s="1" t="s">
        <v>836</v>
      </c>
    </row>
    <row r="1104">
      <c r="A1104" s="1" t="s">
        <v>3879</v>
      </c>
      <c r="B1104" s="1" t="s">
        <v>1516</v>
      </c>
      <c r="C1104" s="1" t="s">
        <v>3805</v>
      </c>
      <c r="D1104" s="1" t="s">
        <v>28</v>
      </c>
      <c r="E1104" s="1" t="s">
        <v>29</v>
      </c>
      <c r="F1104" s="5">
        <v>1000000.0</v>
      </c>
      <c r="G1104" s="1" t="s">
        <v>1114</v>
      </c>
      <c r="H1104" s="1" t="s">
        <v>778</v>
      </c>
      <c r="I1104" s="1" t="s">
        <v>191</v>
      </c>
      <c r="K1104" s="1">
        <v>0.0</v>
      </c>
      <c r="L1104" s="1" t="s">
        <v>836</v>
      </c>
      <c r="M1104" s="1" t="str">
        <f>VLOOKUP(L1104,'Copy of PMD Workday Constants -'!B1073:Y1759,22,false)</f>
        <v>#N/A</v>
      </c>
      <c r="N1104" s="1" t="s">
        <v>32</v>
      </c>
      <c r="O1104" s="1" t="s">
        <v>33</v>
      </c>
      <c r="P1104" s="1" t="s">
        <v>173</v>
      </c>
      <c r="Q1104" s="1" t="s">
        <v>173</v>
      </c>
      <c r="R1104" s="1" t="s">
        <v>174</v>
      </c>
      <c r="S1104" s="1" t="s">
        <v>612</v>
      </c>
      <c r="T1104" s="1">
        <v>1.00648457E8</v>
      </c>
      <c r="W1104" s="1" t="s">
        <v>456</v>
      </c>
      <c r="X1104" s="1" t="s">
        <v>836</v>
      </c>
    </row>
    <row r="1105">
      <c r="A1105" s="1" t="s">
        <v>3880</v>
      </c>
      <c r="B1105" s="1" t="s">
        <v>3881</v>
      </c>
      <c r="C1105" s="1" t="s">
        <v>3805</v>
      </c>
      <c r="D1105" s="1" t="s">
        <v>28</v>
      </c>
      <c r="E1105" s="1" t="s">
        <v>29</v>
      </c>
      <c r="F1105" s="5">
        <v>1000000.0</v>
      </c>
      <c r="G1105" s="1" t="s">
        <v>1114</v>
      </c>
      <c r="H1105" s="1" t="s">
        <v>778</v>
      </c>
      <c r="I1105" s="1" t="s">
        <v>191</v>
      </c>
      <c r="K1105" s="1">
        <v>0.0</v>
      </c>
      <c r="L1105" s="1" t="s">
        <v>836</v>
      </c>
      <c r="M1105" s="1" t="str">
        <f>VLOOKUP(L1105,'Copy of PMD Workday Constants -'!B1074:Y1760,22,false)</f>
        <v>#N/A</v>
      </c>
      <c r="N1105" s="1" t="s">
        <v>32</v>
      </c>
      <c r="O1105" s="1" t="s">
        <v>33</v>
      </c>
      <c r="P1105" s="1" t="s">
        <v>173</v>
      </c>
      <c r="Q1105" s="1" t="s">
        <v>173</v>
      </c>
      <c r="R1105" s="1" t="s">
        <v>174</v>
      </c>
      <c r="S1105" s="1" t="s">
        <v>612</v>
      </c>
      <c r="T1105" s="1">
        <v>1.00648457E8</v>
      </c>
      <c r="W1105" s="1" t="s">
        <v>947</v>
      </c>
      <c r="X1105" s="1" t="s">
        <v>836</v>
      </c>
    </row>
    <row r="1106">
      <c r="A1106" s="1" t="s">
        <v>3882</v>
      </c>
      <c r="B1106" s="1" t="s">
        <v>3883</v>
      </c>
      <c r="C1106" s="1" t="s">
        <v>3805</v>
      </c>
      <c r="D1106" s="1" t="s">
        <v>28</v>
      </c>
      <c r="E1106" s="1" t="s">
        <v>29</v>
      </c>
      <c r="F1106" s="5">
        <v>1000000.0</v>
      </c>
      <c r="G1106" s="1" t="s">
        <v>1114</v>
      </c>
      <c r="H1106" s="1" t="s">
        <v>778</v>
      </c>
      <c r="I1106" s="1" t="s">
        <v>191</v>
      </c>
      <c r="K1106" s="1">
        <v>0.0</v>
      </c>
      <c r="L1106" s="1" t="s">
        <v>836</v>
      </c>
      <c r="M1106" s="1" t="str">
        <f>VLOOKUP(L1106,'Copy of PMD Workday Constants -'!B1075:Y1761,22,false)</f>
        <v>#N/A</v>
      </c>
      <c r="N1106" s="1" t="s">
        <v>32</v>
      </c>
      <c r="O1106" s="1" t="s">
        <v>33</v>
      </c>
      <c r="P1106" s="1" t="s">
        <v>173</v>
      </c>
      <c r="Q1106" s="1" t="s">
        <v>173</v>
      </c>
      <c r="R1106" s="1" t="s">
        <v>174</v>
      </c>
      <c r="S1106" s="1" t="s">
        <v>612</v>
      </c>
      <c r="T1106" s="1">
        <v>1.00648457E8</v>
      </c>
      <c r="W1106" s="1" t="s">
        <v>147</v>
      </c>
      <c r="X1106" s="1" t="s">
        <v>836</v>
      </c>
    </row>
    <row r="1107">
      <c r="A1107" s="1" t="s">
        <v>3884</v>
      </c>
      <c r="B1107" s="1" t="s">
        <v>3885</v>
      </c>
      <c r="C1107" s="1" t="s">
        <v>3886</v>
      </c>
      <c r="D1107" s="1" t="s">
        <v>28</v>
      </c>
      <c r="E1107" s="1" t="s">
        <v>29</v>
      </c>
      <c r="F1107" s="5">
        <v>1000000.0</v>
      </c>
      <c r="G1107" s="1" t="s">
        <v>1114</v>
      </c>
      <c r="H1107" s="4">
        <v>44713.0</v>
      </c>
      <c r="I1107" s="1" t="s">
        <v>191</v>
      </c>
      <c r="K1107" s="1">
        <v>0.0</v>
      </c>
      <c r="L1107" s="1" t="s">
        <v>532</v>
      </c>
      <c r="M1107" s="1" t="str">
        <f>VLOOKUP(L1107,'Copy of PMD Workday Constants -'!B1076:Y1762,22,false)</f>
        <v>#N/A</v>
      </c>
      <c r="N1107" s="1" t="s">
        <v>32</v>
      </c>
      <c r="O1107" s="1" t="s">
        <v>33</v>
      </c>
      <c r="P1107" s="1" t="s">
        <v>112</v>
      </c>
      <c r="Q1107" s="1" t="s">
        <v>112</v>
      </c>
      <c r="R1107" s="1" t="s">
        <v>113</v>
      </c>
      <c r="S1107" s="1" t="s">
        <v>307</v>
      </c>
      <c r="T1107" s="1">
        <v>1.00646702E8</v>
      </c>
      <c r="W1107" s="1" t="s">
        <v>533</v>
      </c>
      <c r="X1107" s="1" t="s">
        <v>3887</v>
      </c>
    </row>
    <row r="1108">
      <c r="A1108" s="1" t="s">
        <v>3888</v>
      </c>
      <c r="B1108" s="1" t="s">
        <v>3889</v>
      </c>
      <c r="C1108" s="1" t="s">
        <v>3890</v>
      </c>
      <c r="D1108" s="1" t="s">
        <v>51</v>
      </c>
      <c r="E1108" s="1" t="s">
        <v>29</v>
      </c>
      <c r="F1108" s="5">
        <v>1000000.0</v>
      </c>
      <c r="G1108" s="1" t="s">
        <v>1114</v>
      </c>
      <c r="H1108" s="1" t="s">
        <v>810</v>
      </c>
      <c r="I1108" s="1" t="s">
        <v>80</v>
      </c>
      <c r="K1108" s="1">
        <v>0.0</v>
      </c>
      <c r="L1108" s="1" t="s">
        <v>3891</v>
      </c>
      <c r="M1108" s="1" t="str">
        <f>VLOOKUP(L1108,'Copy of PMD Workday Constants -'!B1077:Y1763,22,false)</f>
        <v>#N/A</v>
      </c>
      <c r="N1108" s="1" t="s">
        <v>32</v>
      </c>
      <c r="O1108" s="1" t="s">
        <v>33</v>
      </c>
      <c r="P1108" s="1" t="s">
        <v>112</v>
      </c>
      <c r="Q1108" s="1" t="s">
        <v>112</v>
      </c>
      <c r="R1108" s="1" t="s">
        <v>113</v>
      </c>
      <c r="S1108" s="1" t="s">
        <v>601</v>
      </c>
      <c r="T1108" s="1">
        <v>1.00589299E8</v>
      </c>
      <c r="W1108" s="1" t="s">
        <v>140</v>
      </c>
      <c r="X1108" s="1" t="s">
        <v>3891</v>
      </c>
    </row>
    <row r="1109">
      <c r="A1109" s="1" t="s">
        <v>3892</v>
      </c>
      <c r="B1109" s="1" t="s">
        <v>3893</v>
      </c>
      <c r="C1109" s="1" t="s">
        <v>3894</v>
      </c>
      <c r="D1109" s="1" t="s">
        <v>103</v>
      </c>
      <c r="E1109" s="1" t="s">
        <v>29</v>
      </c>
      <c r="F1109" s="5">
        <v>1000000.0</v>
      </c>
      <c r="G1109" s="1" t="s">
        <v>1114</v>
      </c>
      <c r="H1109" s="1" t="s">
        <v>842</v>
      </c>
      <c r="I1109" s="1" t="s">
        <v>43</v>
      </c>
      <c r="K1109" s="1">
        <v>0.0</v>
      </c>
      <c r="L1109" s="1" t="s">
        <v>2310</v>
      </c>
      <c r="M1109" s="1" t="str">
        <f>VLOOKUP(L1109,'Copy of PMD Workday Constants -'!B1078:Y1764,22,false)</f>
        <v>#N/A</v>
      </c>
      <c r="N1109" s="1" t="s">
        <v>32</v>
      </c>
      <c r="O1109" s="1" t="s">
        <v>33</v>
      </c>
      <c r="P1109" s="1" t="s">
        <v>82</v>
      </c>
      <c r="Q1109" s="1" t="s">
        <v>82</v>
      </c>
      <c r="R1109" s="1" t="s">
        <v>83</v>
      </c>
      <c r="S1109" s="1" t="s">
        <v>180</v>
      </c>
      <c r="T1109" s="1">
        <v>1.01078216E8</v>
      </c>
      <c r="W1109" s="1" t="s">
        <v>140</v>
      </c>
      <c r="X1109" s="1" t="s">
        <v>199</v>
      </c>
    </row>
    <row r="1110">
      <c r="A1110" s="1" t="s">
        <v>3895</v>
      </c>
      <c r="B1110" s="1" t="s">
        <v>610</v>
      </c>
      <c r="C1110" s="1" t="s">
        <v>3896</v>
      </c>
      <c r="D1110" s="1" t="s">
        <v>51</v>
      </c>
      <c r="E1110" s="1" t="s">
        <v>29</v>
      </c>
      <c r="F1110" s="5">
        <v>1000000.0</v>
      </c>
      <c r="G1110" s="1" t="s">
        <v>1114</v>
      </c>
      <c r="H1110" s="4">
        <v>44082.0</v>
      </c>
      <c r="I1110" s="1" t="s">
        <v>152</v>
      </c>
      <c r="K1110" s="1">
        <v>0.0</v>
      </c>
      <c r="L1110" s="1" t="s">
        <v>3571</v>
      </c>
      <c r="M1110" s="1" t="str">
        <f>VLOOKUP(L1110,'Copy of PMD Workday Constants -'!B1079:Y1765,22,false)</f>
        <v>#N/A</v>
      </c>
      <c r="N1110" s="1" t="s">
        <v>32</v>
      </c>
      <c r="O1110" s="1" t="s">
        <v>33</v>
      </c>
      <c r="P1110" s="1" t="s">
        <v>173</v>
      </c>
      <c r="Q1110" s="1" t="s">
        <v>173</v>
      </c>
      <c r="R1110" s="1" t="s">
        <v>174</v>
      </c>
      <c r="S1110" s="1" t="s">
        <v>612</v>
      </c>
      <c r="T1110" s="1">
        <v>1.00651086E8</v>
      </c>
      <c r="U1110" s="1" t="s">
        <v>3897</v>
      </c>
      <c r="V1110" s="1" t="s">
        <v>187</v>
      </c>
      <c r="W1110" s="1" t="s">
        <v>47</v>
      </c>
      <c r="X1110" s="1" t="s">
        <v>3452</v>
      </c>
    </row>
    <row r="1111">
      <c r="A1111" s="1" t="s">
        <v>3898</v>
      </c>
      <c r="B1111" s="1" t="s">
        <v>507</v>
      </c>
      <c r="C1111" s="1" t="s">
        <v>3899</v>
      </c>
      <c r="D1111" s="1" t="s">
        <v>51</v>
      </c>
      <c r="E1111" s="1" t="s">
        <v>29</v>
      </c>
      <c r="F1111" s="5">
        <v>1000000.0</v>
      </c>
      <c r="G1111" s="1" t="s">
        <v>1114</v>
      </c>
      <c r="H1111" s="4">
        <v>44474.0</v>
      </c>
      <c r="I1111" s="4">
        <v>44570.0</v>
      </c>
      <c r="K1111" s="1">
        <v>0.0</v>
      </c>
      <c r="L1111" s="1" t="s">
        <v>511</v>
      </c>
      <c r="M1111" s="1" t="str">
        <f>VLOOKUP(L1111,'Copy of PMD Workday Constants -'!B1080:Y1766,22,false)</f>
        <v>#N/A</v>
      </c>
      <c r="N1111" s="1" t="s">
        <v>32</v>
      </c>
      <c r="O1111" s="1" t="s">
        <v>33</v>
      </c>
      <c r="P1111" s="1" t="s">
        <v>54</v>
      </c>
      <c r="Q1111" s="1" t="s">
        <v>54</v>
      </c>
      <c r="R1111" s="1" t="s">
        <v>55</v>
      </c>
      <c r="S1111" s="1" t="s">
        <v>512</v>
      </c>
      <c r="T1111" s="1">
        <v>1.00620711E8</v>
      </c>
      <c r="W1111" s="1" t="s">
        <v>456</v>
      </c>
      <c r="X1111" s="1" t="s">
        <v>1635</v>
      </c>
    </row>
    <row r="1112">
      <c r="A1112" s="1" t="s">
        <v>3900</v>
      </c>
      <c r="B1112" s="1" t="s">
        <v>373</v>
      </c>
      <c r="C1112" s="1" t="s">
        <v>3901</v>
      </c>
      <c r="D1112" s="1" t="s">
        <v>51</v>
      </c>
      <c r="E1112" s="1" t="s">
        <v>29</v>
      </c>
      <c r="F1112" s="5">
        <v>1000000.0</v>
      </c>
      <c r="G1112" s="1" t="s">
        <v>1114</v>
      </c>
      <c r="H1112" s="4">
        <v>44623.0</v>
      </c>
      <c r="I1112" s="1" t="s">
        <v>152</v>
      </c>
      <c r="K1112" s="1">
        <v>0.0</v>
      </c>
      <c r="L1112" s="1" t="s">
        <v>1902</v>
      </c>
      <c r="M1112" s="1" t="str">
        <f>VLOOKUP(L1112,'Copy of PMD Workday Constants -'!B1081:Y1767,22,false)</f>
        <v>#N/A</v>
      </c>
      <c r="N1112" s="1" t="s">
        <v>32</v>
      </c>
      <c r="O1112" s="1" t="s">
        <v>33</v>
      </c>
      <c r="P1112" s="1" t="s">
        <v>173</v>
      </c>
      <c r="Q1112" s="1" t="s">
        <v>173</v>
      </c>
      <c r="R1112" s="1" t="s">
        <v>174</v>
      </c>
      <c r="S1112" s="1" t="s">
        <v>297</v>
      </c>
      <c r="T1112" s="1">
        <v>1.00956516E8</v>
      </c>
      <c r="W1112" s="1" t="s">
        <v>258</v>
      </c>
      <c r="X1112" s="1" t="s">
        <v>370</v>
      </c>
    </row>
    <row r="1113">
      <c r="A1113" s="1" t="s">
        <v>3902</v>
      </c>
      <c r="B1113" s="1" t="s">
        <v>2079</v>
      </c>
      <c r="C1113" s="1" t="s">
        <v>3903</v>
      </c>
      <c r="D1113" s="1" t="s">
        <v>103</v>
      </c>
      <c r="E1113" s="1" t="s">
        <v>29</v>
      </c>
      <c r="F1113" s="5">
        <v>1000000.0</v>
      </c>
      <c r="G1113" s="1" t="s">
        <v>1114</v>
      </c>
      <c r="H1113" s="4">
        <v>44686.0</v>
      </c>
      <c r="I1113" s="1" t="s">
        <v>80</v>
      </c>
      <c r="K1113" s="1">
        <v>0.0</v>
      </c>
      <c r="L1113" s="1" t="s">
        <v>3904</v>
      </c>
      <c r="M1113" s="1" t="str">
        <f>VLOOKUP(L1113,'Copy of PMD Workday Constants -'!B1082:Y1768,22,false)</f>
        <v>#N/A</v>
      </c>
      <c r="N1113" s="1" t="s">
        <v>32</v>
      </c>
      <c r="O1113" s="1" t="s">
        <v>33</v>
      </c>
      <c r="P1113" s="1" t="s">
        <v>173</v>
      </c>
      <c r="Q1113" s="1" t="s">
        <v>173</v>
      </c>
      <c r="R1113" s="1" t="s">
        <v>174</v>
      </c>
      <c r="T1113" s="1">
        <v>1.00649566E8</v>
      </c>
      <c r="W1113" s="1" t="s">
        <v>258</v>
      </c>
      <c r="X1113" s="1" t="s">
        <v>3905</v>
      </c>
    </row>
    <row r="1114">
      <c r="A1114" s="1" t="s">
        <v>3906</v>
      </c>
      <c r="B1114" s="1" t="s">
        <v>1886</v>
      </c>
      <c r="C1114" s="1" t="s">
        <v>3907</v>
      </c>
      <c r="D1114" s="1" t="s">
        <v>51</v>
      </c>
      <c r="E1114" s="1" t="s">
        <v>29</v>
      </c>
      <c r="F1114" s="5">
        <v>1000000.0</v>
      </c>
      <c r="G1114" s="1" t="s">
        <v>1114</v>
      </c>
      <c r="H1114" s="4">
        <v>43414.0</v>
      </c>
      <c r="I1114" s="1" t="s">
        <v>302</v>
      </c>
      <c r="K1114" s="1">
        <v>0.0</v>
      </c>
      <c r="L1114" s="1" t="s">
        <v>198</v>
      </c>
      <c r="M1114" s="1" t="str">
        <f>VLOOKUP(L1114,'Copy of PMD Workday Constants -'!B1083:Y1769,22,false)</f>
        <v>#N/A</v>
      </c>
      <c r="N1114" s="1" t="s">
        <v>32</v>
      </c>
      <c r="O1114" s="1" t="s">
        <v>33</v>
      </c>
      <c r="P1114" s="1" t="s">
        <v>82</v>
      </c>
      <c r="Q1114" s="1" t="s">
        <v>82</v>
      </c>
      <c r="R1114" s="1" t="s">
        <v>83</v>
      </c>
      <c r="S1114" s="1" t="s">
        <v>180</v>
      </c>
      <c r="T1114" s="1">
        <v>1.00590896E8</v>
      </c>
      <c r="W1114" s="1" t="s">
        <v>85</v>
      </c>
      <c r="X1114" s="1" t="s">
        <v>3287</v>
      </c>
    </row>
    <row r="1115">
      <c r="A1115" s="1" t="s">
        <v>3908</v>
      </c>
      <c r="B1115" s="1" t="s">
        <v>993</v>
      </c>
      <c r="C1115" s="1" t="s">
        <v>3909</v>
      </c>
      <c r="D1115" s="1" t="s">
        <v>28</v>
      </c>
      <c r="E1115" s="1" t="s">
        <v>29</v>
      </c>
      <c r="F1115" s="5">
        <v>1000000.0</v>
      </c>
      <c r="G1115" s="1" t="s">
        <v>1114</v>
      </c>
      <c r="H1115" s="4">
        <v>44806.0</v>
      </c>
      <c r="I1115" s="1" t="s">
        <v>406</v>
      </c>
      <c r="K1115" s="1">
        <v>0.0</v>
      </c>
      <c r="L1115" s="1" t="s">
        <v>759</v>
      </c>
      <c r="M1115" s="1" t="str">
        <f>VLOOKUP(L1115,'Copy of PMD Workday Constants -'!B1084:Y1770,22,false)</f>
        <v>#N/A</v>
      </c>
      <c r="N1115" s="1" t="s">
        <v>32</v>
      </c>
      <c r="O1115" s="1" t="s">
        <v>33</v>
      </c>
      <c r="P1115" s="1" t="s">
        <v>64</v>
      </c>
      <c r="Q1115" s="1" t="s">
        <v>64</v>
      </c>
      <c r="R1115" s="1" t="s">
        <v>65</v>
      </c>
      <c r="S1115" s="1" t="s">
        <v>185</v>
      </c>
      <c r="T1115" s="1">
        <v>1.00610205E8</v>
      </c>
      <c r="W1115" s="1" t="s">
        <v>74</v>
      </c>
      <c r="X1115" s="1" t="s">
        <v>2795</v>
      </c>
    </row>
    <row r="1116">
      <c r="A1116" s="1" t="s">
        <v>3910</v>
      </c>
      <c r="B1116" s="1" t="s">
        <v>3911</v>
      </c>
      <c r="C1116" s="1" t="s">
        <v>3912</v>
      </c>
      <c r="D1116" s="1" t="s">
        <v>28</v>
      </c>
      <c r="E1116" s="1" t="s">
        <v>29</v>
      </c>
      <c r="F1116" s="5">
        <v>1000000.0</v>
      </c>
      <c r="G1116" s="1" t="s">
        <v>1114</v>
      </c>
      <c r="H1116" s="4">
        <v>44716.0</v>
      </c>
      <c r="I1116" s="4">
        <v>44569.0</v>
      </c>
      <c r="K1116" s="1">
        <v>0.0</v>
      </c>
      <c r="L1116" s="1" t="s">
        <v>866</v>
      </c>
      <c r="M1116" s="1" t="str">
        <f>VLOOKUP(L1116,'Copy of PMD Workday Constants -'!B1085:Y1771,22,false)</f>
        <v>#N/A</v>
      </c>
      <c r="N1116" s="1" t="s">
        <v>32</v>
      </c>
      <c r="O1116" s="1" t="s">
        <v>33</v>
      </c>
      <c r="P1116" s="1" t="s">
        <v>82</v>
      </c>
      <c r="Q1116" s="1" t="s">
        <v>82</v>
      </c>
      <c r="R1116" s="1" t="s">
        <v>83</v>
      </c>
      <c r="S1116" s="1" t="s">
        <v>84</v>
      </c>
      <c r="T1116" s="1">
        <v>1.00941744E8</v>
      </c>
      <c r="W1116" s="1" t="s">
        <v>258</v>
      </c>
      <c r="X1116" s="1" t="s">
        <v>866</v>
      </c>
    </row>
    <row r="1117">
      <c r="A1117" s="1" t="s">
        <v>3913</v>
      </c>
      <c r="B1117" s="1" t="s">
        <v>40</v>
      </c>
      <c r="C1117" s="1" t="s">
        <v>3914</v>
      </c>
      <c r="D1117" s="1" t="s">
        <v>28</v>
      </c>
      <c r="E1117" s="1" t="s">
        <v>29</v>
      </c>
      <c r="F1117" s="5">
        <v>1000000.0</v>
      </c>
      <c r="G1117" s="1" t="s">
        <v>1114</v>
      </c>
      <c r="H1117" s="1" t="s">
        <v>1433</v>
      </c>
      <c r="I1117" s="1" t="s">
        <v>43</v>
      </c>
      <c r="K1117" s="1">
        <v>0.0</v>
      </c>
      <c r="L1117" s="1" t="s">
        <v>825</v>
      </c>
      <c r="M1117" s="1" t="str">
        <f>VLOOKUP(L1117,'Copy of PMD Workday Constants -'!B1086:Y1772,22,false)</f>
        <v>#N/A</v>
      </c>
      <c r="N1117" s="1" t="s">
        <v>32</v>
      </c>
      <c r="O1117" s="1" t="s">
        <v>33</v>
      </c>
      <c r="P1117" s="1" t="s">
        <v>112</v>
      </c>
      <c r="Q1117" s="1" t="s">
        <v>112</v>
      </c>
      <c r="R1117" s="1" t="s">
        <v>113</v>
      </c>
      <c r="S1117" s="1" t="s">
        <v>307</v>
      </c>
      <c r="T1117" s="1">
        <v>1.00621664E8</v>
      </c>
      <c r="W1117" s="1" t="s">
        <v>47</v>
      </c>
      <c r="X1117" s="1" t="s">
        <v>2798</v>
      </c>
    </row>
    <row r="1118">
      <c r="A1118" s="1" t="s">
        <v>3915</v>
      </c>
      <c r="B1118" s="1" t="s">
        <v>1817</v>
      </c>
      <c r="C1118" s="1" t="s">
        <v>3916</v>
      </c>
      <c r="D1118" s="1" t="s">
        <v>51</v>
      </c>
      <c r="E1118" s="1" t="s">
        <v>29</v>
      </c>
      <c r="F1118" s="5">
        <v>1000000.0</v>
      </c>
      <c r="G1118" s="1" t="s">
        <v>1114</v>
      </c>
      <c r="H1118" s="1" t="s">
        <v>413</v>
      </c>
      <c r="I1118" s="1" t="s">
        <v>96</v>
      </c>
      <c r="K1118" s="1">
        <v>0.0</v>
      </c>
      <c r="L1118" s="1" t="s">
        <v>3917</v>
      </c>
      <c r="M1118" s="1" t="str">
        <f>VLOOKUP(L1118,'Copy of PMD Workday Constants -'!B1087:Y1773,22,false)</f>
        <v>#N/A</v>
      </c>
      <c r="N1118" s="1" t="s">
        <v>32</v>
      </c>
      <c r="O1118" s="1" t="s">
        <v>33</v>
      </c>
      <c r="P1118" s="1" t="s">
        <v>82</v>
      </c>
      <c r="Q1118" s="1" t="s">
        <v>82</v>
      </c>
      <c r="R1118" s="1" t="s">
        <v>83</v>
      </c>
      <c r="S1118" s="1" t="s">
        <v>180</v>
      </c>
      <c r="T1118" s="1">
        <v>1.00611547E8</v>
      </c>
      <c r="W1118" s="1" t="s">
        <v>85</v>
      </c>
      <c r="X1118" s="1" t="s">
        <v>1293</v>
      </c>
    </row>
    <row r="1119">
      <c r="A1119" s="1" t="s">
        <v>3918</v>
      </c>
      <c r="B1119" s="1" t="s">
        <v>996</v>
      </c>
      <c r="C1119" s="1" t="s">
        <v>3919</v>
      </c>
      <c r="D1119" s="1" t="s">
        <v>28</v>
      </c>
      <c r="E1119" s="1" t="s">
        <v>29</v>
      </c>
      <c r="F1119" s="5">
        <v>1000000.0</v>
      </c>
      <c r="G1119" s="1" t="s">
        <v>1114</v>
      </c>
      <c r="H1119" s="4">
        <v>44626.0</v>
      </c>
      <c r="I1119" s="1" t="s">
        <v>43</v>
      </c>
      <c r="K1119" s="1">
        <v>0.0</v>
      </c>
      <c r="L1119" s="1" t="s">
        <v>2050</v>
      </c>
      <c r="M1119" s="1" t="str">
        <f>VLOOKUP(L1119,'Copy of PMD Workday Constants -'!B1088:Y1774,22,false)</f>
        <v>#N/A</v>
      </c>
      <c r="N1119" s="1" t="s">
        <v>32</v>
      </c>
      <c r="O1119" s="1" t="s">
        <v>33</v>
      </c>
      <c r="P1119" s="1" t="s">
        <v>64</v>
      </c>
      <c r="Q1119" s="1" t="s">
        <v>64</v>
      </c>
      <c r="R1119" s="1" t="s">
        <v>65</v>
      </c>
      <c r="T1119" s="1">
        <v>1.00624533E8</v>
      </c>
      <c r="W1119" s="1" t="s">
        <v>391</v>
      </c>
      <c r="X1119" s="1" t="s">
        <v>2051</v>
      </c>
    </row>
    <row r="1120">
      <c r="A1120" s="1" t="s">
        <v>3920</v>
      </c>
      <c r="B1120" s="1" t="s">
        <v>3921</v>
      </c>
      <c r="C1120" s="1" t="s">
        <v>3759</v>
      </c>
      <c r="D1120" s="1" t="s">
        <v>51</v>
      </c>
      <c r="E1120" s="1" t="s">
        <v>29</v>
      </c>
      <c r="F1120" s="5">
        <v>1000000.0</v>
      </c>
      <c r="G1120" s="1" t="s">
        <v>1114</v>
      </c>
      <c r="H1120" s="4">
        <v>44019.0</v>
      </c>
      <c r="I1120" s="1" t="s">
        <v>3922</v>
      </c>
      <c r="K1120" s="1">
        <v>0.0</v>
      </c>
      <c r="L1120" s="1" t="s">
        <v>3762</v>
      </c>
      <c r="M1120" s="1" t="str">
        <f>VLOOKUP(L1120,'Copy of PMD Workday Constants -'!B1089:Y1775,22,false)</f>
        <v>#N/A</v>
      </c>
      <c r="N1120" s="1" t="s">
        <v>32</v>
      </c>
      <c r="O1120" s="1" t="s">
        <v>33</v>
      </c>
      <c r="P1120" s="1" t="s">
        <v>112</v>
      </c>
      <c r="Q1120" s="1" t="s">
        <v>112</v>
      </c>
      <c r="R1120" s="1" t="s">
        <v>113</v>
      </c>
      <c r="S1120" s="1" t="s">
        <v>3763</v>
      </c>
      <c r="T1120" s="1">
        <v>1.00953783E8</v>
      </c>
      <c r="W1120" s="1" t="s">
        <v>308</v>
      </c>
      <c r="X1120" s="1" t="s">
        <v>2596</v>
      </c>
    </row>
    <row r="1121">
      <c r="A1121" s="1" t="s">
        <v>3923</v>
      </c>
      <c r="B1121" s="1" t="s">
        <v>996</v>
      </c>
      <c r="C1121" s="1" t="s">
        <v>3924</v>
      </c>
      <c r="D1121" s="1" t="s">
        <v>28</v>
      </c>
      <c r="E1121" s="1" t="s">
        <v>29</v>
      </c>
      <c r="F1121" s="5">
        <v>1000000.0</v>
      </c>
      <c r="G1121" s="1" t="s">
        <v>1114</v>
      </c>
      <c r="H1121" s="4">
        <v>44626.0</v>
      </c>
      <c r="I1121" s="1" t="s">
        <v>43</v>
      </c>
      <c r="K1121" s="1">
        <v>0.0</v>
      </c>
      <c r="L1121" s="1" t="s">
        <v>2050</v>
      </c>
      <c r="M1121" s="1" t="str">
        <f>VLOOKUP(L1121,'Copy of PMD Workday Constants -'!B1090:Y1776,22,false)</f>
        <v>#N/A</v>
      </c>
      <c r="N1121" s="1" t="s">
        <v>32</v>
      </c>
      <c r="O1121" s="1" t="s">
        <v>33</v>
      </c>
      <c r="P1121" s="1" t="s">
        <v>64</v>
      </c>
      <c r="Q1121" s="1" t="s">
        <v>64</v>
      </c>
      <c r="R1121" s="1" t="s">
        <v>65</v>
      </c>
      <c r="T1121" s="1">
        <v>1.00624533E8</v>
      </c>
      <c r="W1121" s="1" t="s">
        <v>391</v>
      </c>
      <c r="X1121" s="1" t="s">
        <v>2051</v>
      </c>
    </row>
    <row r="1122">
      <c r="A1122" s="1" t="s">
        <v>3925</v>
      </c>
      <c r="B1122" s="1" t="s">
        <v>2152</v>
      </c>
      <c r="C1122" s="1" t="s">
        <v>3926</v>
      </c>
      <c r="D1122" s="1" t="s">
        <v>28</v>
      </c>
      <c r="E1122" s="1" t="s">
        <v>29</v>
      </c>
      <c r="F1122" s="5">
        <v>1000000.0</v>
      </c>
      <c r="G1122" s="1" t="s">
        <v>1114</v>
      </c>
      <c r="H1122" s="1" t="s">
        <v>1575</v>
      </c>
      <c r="I1122" s="4">
        <v>44572.0</v>
      </c>
      <c r="K1122" s="1">
        <v>0.0</v>
      </c>
      <c r="L1122" s="1" t="s">
        <v>3771</v>
      </c>
      <c r="M1122" s="1" t="str">
        <f>VLOOKUP(L1122,'Copy of PMD Workday Constants -'!B1091:Y1777,22,false)</f>
        <v>#N/A</v>
      </c>
      <c r="N1122" s="1" t="s">
        <v>32</v>
      </c>
      <c r="O1122" s="1" t="s">
        <v>33</v>
      </c>
      <c r="P1122" s="1" t="s">
        <v>34</v>
      </c>
      <c r="Q1122" s="1" t="s">
        <v>34</v>
      </c>
      <c r="R1122" s="1" t="s">
        <v>35</v>
      </c>
      <c r="S1122" s="1" t="s">
        <v>1166</v>
      </c>
      <c r="T1122" s="1">
        <v>1.00651998E8</v>
      </c>
      <c r="W1122" s="1" t="s">
        <v>456</v>
      </c>
      <c r="X1122" s="1" t="s">
        <v>3771</v>
      </c>
    </row>
    <row r="1123">
      <c r="A1123" s="1" t="s">
        <v>3927</v>
      </c>
      <c r="B1123" s="1" t="s">
        <v>2079</v>
      </c>
      <c r="C1123" s="1" t="s">
        <v>3928</v>
      </c>
      <c r="D1123" s="1" t="s">
        <v>28</v>
      </c>
      <c r="E1123" s="1" t="s">
        <v>29</v>
      </c>
      <c r="F1123" s="5">
        <v>1000000.0</v>
      </c>
      <c r="G1123" s="1" t="s">
        <v>1114</v>
      </c>
      <c r="H1123" s="1" t="s">
        <v>1839</v>
      </c>
      <c r="I1123" s="1" t="s">
        <v>152</v>
      </c>
      <c r="K1123" s="1">
        <v>0.0</v>
      </c>
      <c r="L1123" s="1" t="s">
        <v>461</v>
      </c>
      <c r="M1123" s="1" t="str">
        <f>VLOOKUP(L1123,'Copy of PMD Workday Constants -'!B1092:Y1778,22,false)</f>
        <v>#N/A</v>
      </c>
      <c r="N1123" s="1" t="s">
        <v>32</v>
      </c>
      <c r="O1123" s="1" t="s">
        <v>33</v>
      </c>
      <c r="P1123" s="1" t="s">
        <v>210</v>
      </c>
      <c r="Q1123" s="1" t="s">
        <v>210</v>
      </c>
      <c r="R1123" s="1" t="s">
        <v>211</v>
      </c>
      <c r="S1123" s="1" t="s">
        <v>416</v>
      </c>
      <c r="T1123" s="1">
        <v>1.00652846E8</v>
      </c>
      <c r="W1123" s="1" t="s">
        <v>258</v>
      </c>
      <c r="X1123" s="1" t="s">
        <v>461</v>
      </c>
    </row>
    <row r="1124">
      <c r="A1124" s="1" t="s">
        <v>3929</v>
      </c>
      <c r="B1124" s="1" t="s">
        <v>3930</v>
      </c>
      <c r="C1124" s="1" t="s">
        <v>3931</v>
      </c>
      <c r="D1124" s="1" t="s">
        <v>28</v>
      </c>
      <c r="E1124" s="1" t="s">
        <v>29</v>
      </c>
      <c r="F1124" s="5">
        <v>1000000.0</v>
      </c>
      <c r="G1124" s="1" t="s">
        <v>1114</v>
      </c>
      <c r="H1124" s="1" t="s">
        <v>131</v>
      </c>
      <c r="I1124" s="4">
        <v>44568.0</v>
      </c>
      <c r="K1124" s="1">
        <v>0.0</v>
      </c>
      <c r="L1124" s="1" t="s">
        <v>3932</v>
      </c>
      <c r="M1124" s="1" t="str">
        <f>VLOOKUP(L1124,'Copy of PMD Workday Constants -'!B1093:Y1779,22,false)</f>
        <v>#N/A</v>
      </c>
      <c r="N1124" s="1" t="s">
        <v>32</v>
      </c>
      <c r="O1124" s="1" t="s">
        <v>33</v>
      </c>
      <c r="P1124" s="1" t="s">
        <v>54</v>
      </c>
      <c r="Q1124" s="1" t="s">
        <v>54</v>
      </c>
      <c r="R1124" s="1" t="s">
        <v>55</v>
      </c>
      <c r="S1124" s="1" t="s">
        <v>492</v>
      </c>
      <c r="T1124" s="1">
        <v>1.01200304E8</v>
      </c>
      <c r="W1124" s="1" t="s">
        <v>2098</v>
      </c>
      <c r="X1124" s="1" t="s">
        <v>798</v>
      </c>
    </row>
    <row r="1125">
      <c r="A1125" s="1" t="s">
        <v>3933</v>
      </c>
      <c r="B1125" s="1" t="s">
        <v>863</v>
      </c>
      <c r="C1125" s="1" t="s">
        <v>3934</v>
      </c>
      <c r="D1125" s="1" t="s">
        <v>79</v>
      </c>
      <c r="E1125" s="1" t="s">
        <v>29</v>
      </c>
      <c r="F1125" s="5">
        <v>1000000.0</v>
      </c>
      <c r="G1125" s="1" t="s">
        <v>1114</v>
      </c>
      <c r="H1125" s="1" t="s">
        <v>1485</v>
      </c>
      <c r="I1125" s="4">
        <v>44568.0</v>
      </c>
      <c r="K1125" s="1">
        <v>0.0</v>
      </c>
      <c r="L1125" s="1" t="s">
        <v>3935</v>
      </c>
      <c r="M1125" s="1" t="str">
        <f>VLOOKUP(L1125,'Copy of PMD Workday Constants -'!B1094:Y1780,22,false)</f>
        <v>#N/A</v>
      </c>
      <c r="N1125" s="1" t="s">
        <v>32</v>
      </c>
      <c r="O1125" s="1" t="s">
        <v>33</v>
      </c>
      <c r="P1125" s="1" t="s">
        <v>82</v>
      </c>
      <c r="Q1125" s="1" t="s">
        <v>82</v>
      </c>
      <c r="R1125" s="1" t="s">
        <v>83</v>
      </c>
      <c r="S1125" s="1" t="s">
        <v>84</v>
      </c>
      <c r="T1125" s="1">
        <v>1.01088146E8</v>
      </c>
      <c r="V1125" s="1" t="s">
        <v>67</v>
      </c>
      <c r="W1125" s="1" t="s">
        <v>85</v>
      </c>
      <c r="X1125" s="1" t="s">
        <v>738</v>
      </c>
    </row>
    <row r="1126">
      <c r="A1126" s="1" t="s">
        <v>3936</v>
      </c>
      <c r="B1126" s="1" t="s">
        <v>1285</v>
      </c>
      <c r="C1126" s="1" t="s">
        <v>3937</v>
      </c>
      <c r="D1126" s="1" t="s">
        <v>28</v>
      </c>
      <c r="E1126" s="1" t="s">
        <v>29</v>
      </c>
      <c r="F1126" s="5">
        <v>1000000.0</v>
      </c>
      <c r="G1126" s="1" t="s">
        <v>1114</v>
      </c>
      <c r="H1126" s="4">
        <v>44625.0</v>
      </c>
      <c r="I1126" s="1" t="s">
        <v>43</v>
      </c>
      <c r="K1126" s="1">
        <v>0.0</v>
      </c>
      <c r="L1126" s="1" t="s">
        <v>1288</v>
      </c>
      <c r="M1126" s="1" t="str">
        <f>VLOOKUP(L1126,'Copy of PMD Workday Constants -'!B1095:Y1781,22,false)</f>
        <v>#N/A</v>
      </c>
      <c r="N1126" s="1" t="s">
        <v>32</v>
      </c>
      <c r="O1126" s="1" t="s">
        <v>33</v>
      </c>
      <c r="P1126" s="1" t="s">
        <v>173</v>
      </c>
      <c r="Q1126" s="1" t="s">
        <v>173</v>
      </c>
      <c r="R1126" s="1" t="s">
        <v>174</v>
      </c>
      <c r="T1126" s="1">
        <v>1.00584043E8</v>
      </c>
      <c r="W1126" s="1" t="s">
        <v>74</v>
      </c>
      <c r="X1126" s="1" t="s">
        <v>1288</v>
      </c>
    </row>
    <row r="1127">
      <c r="A1127" s="1" t="s">
        <v>3938</v>
      </c>
      <c r="B1127" s="1" t="s">
        <v>2641</v>
      </c>
      <c r="C1127" s="1" t="s">
        <v>3939</v>
      </c>
      <c r="D1127" s="1" t="s">
        <v>51</v>
      </c>
      <c r="E1127" s="1" t="s">
        <v>29</v>
      </c>
      <c r="F1127" s="5">
        <v>1000000.0</v>
      </c>
      <c r="G1127" s="1" t="s">
        <v>1114</v>
      </c>
      <c r="H1127" s="1" t="s">
        <v>810</v>
      </c>
      <c r="I1127" s="1" t="s">
        <v>104</v>
      </c>
      <c r="K1127" s="1">
        <v>0.0</v>
      </c>
      <c r="L1127" s="1" t="s">
        <v>717</v>
      </c>
      <c r="M1127" s="1" t="str">
        <f>VLOOKUP(L1127,'Copy of PMD Workday Constants -'!B1096:Y1782,22,false)</f>
        <v>#N/A</v>
      </c>
      <c r="N1127" s="1" t="s">
        <v>32</v>
      </c>
      <c r="O1127" s="1" t="s">
        <v>33</v>
      </c>
      <c r="P1127" s="1" t="s">
        <v>34</v>
      </c>
      <c r="Q1127" s="1" t="s">
        <v>34</v>
      </c>
      <c r="R1127" s="1" t="s">
        <v>35</v>
      </c>
      <c r="T1127" s="1">
        <v>1.00642379E8</v>
      </c>
      <c r="W1127" s="1" t="s">
        <v>456</v>
      </c>
      <c r="X1127" s="1" t="s">
        <v>3940</v>
      </c>
    </row>
    <row r="1128">
      <c r="A1128" s="1" t="s">
        <v>3941</v>
      </c>
      <c r="B1128" s="1" t="s">
        <v>507</v>
      </c>
      <c r="C1128" s="1" t="s">
        <v>3942</v>
      </c>
      <c r="D1128" s="1" t="s">
        <v>28</v>
      </c>
      <c r="E1128" s="1" t="s">
        <v>29</v>
      </c>
      <c r="F1128" s="5">
        <v>1000000.0</v>
      </c>
      <c r="G1128" s="1" t="s">
        <v>1114</v>
      </c>
      <c r="H1128" s="1" t="s">
        <v>1575</v>
      </c>
      <c r="I1128" s="4">
        <v>44569.0</v>
      </c>
      <c r="K1128" s="1">
        <v>0.0</v>
      </c>
      <c r="L1128" s="1" t="s">
        <v>1282</v>
      </c>
      <c r="M1128" s="1" t="str">
        <f>VLOOKUP(L1128,'Copy of PMD Workday Constants -'!B1097:Y1783,22,false)</f>
        <v>#N/A</v>
      </c>
      <c r="N1128" s="1" t="s">
        <v>32</v>
      </c>
      <c r="O1128" s="1" t="s">
        <v>33</v>
      </c>
      <c r="P1128" s="1" t="s">
        <v>34</v>
      </c>
      <c r="Q1128" s="1" t="s">
        <v>34</v>
      </c>
      <c r="R1128" s="1" t="s">
        <v>35</v>
      </c>
      <c r="S1128" s="1" t="s">
        <v>1166</v>
      </c>
      <c r="T1128" s="1">
        <v>1.006096E8</v>
      </c>
      <c r="W1128" s="1" t="s">
        <v>456</v>
      </c>
      <c r="X1128" s="1" t="s">
        <v>1635</v>
      </c>
    </row>
    <row r="1129">
      <c r="A1129" s="1" t="s">
        <v>3943</v>
      </c>
      <c r="B1129" s="1" t="s">
        <v>40</v>
      </c>
      <c r="C1129" s="1" t="s">
        <v>3944</v>
      </c>
      <c r="D1129" s="1" t="s">
        <v>103</v>
      </c>
      <c r="E1129" s="1" t="s">
        <v>29</v>
      </c>
      <c r="F1129" s="5">
        <v>1000000.0</v>
      </c>
      <c r="G1129" s="1" t="s">
        <v>1114</v>
      </c>
      <c r="H1129" s="1" t="s">
        <v>306</v>
      </c>
      <c r="I1129" s="1" t="s">
        <v>80</v>
      </c>
      <c r="K1129" s="1">
        <v>0.0</v>
      </c>
      <c r="L1129" s="1" t="s">
        <v>825</v>
      </c>
      <c r="M1129" s="1" t="str">
        <f>VLOOKUP(L1129,'Copy of PMD Workday Constants -'!B1098:Y1784,22,false)</f>
        <v>#N/A</v>
      </c>
      <c r="N1129" s="1" t="s">
        <v>32</v>
      </c>
      <c r="O1129" s="1" t="s">
        <v>33</v>
      </c>
      <c r="P1129" s="1" t="s">
        <v>112</v>
      </c>
      <c r="Q1129" s="1" t="s">
        <v>112</v>
      </c>
      <c r="R1129" s="1" t="s">
        <v>113</v>
      </c>
      <c r="S1129" s="1" t="s">
        <v>66</v>
      </c>
      <c r="T1129" s="1">
        <v>1.00621664E8</v>
      </c>
      <c r="W1129" s="1" t="s">
        <v>47</v>
      </c>
      <c r="X1129" s="1" t="s">
        <v>3945</v>
      </c>
    </row>
    <row r="1130">
      <c r="A1130" s="1" t="s">
        <v>3946</v>
      </c>
      <c r="B1130" s="1" t="s">
        <v>2961</v>
      </c>
      <c r="C1130" s="1" t="s">
        <v>3947</v>
      </c>
      <c r="D1130" s="1" t="s">
        <v>51</v>
      </c>
      <c r="E1130" s="1" t="s">
        <v>29</v>
      </c>
      <c r="F1130" s="5">
        <v>1000000.0</v>
      </c>
      <c r="G1130" s="1" t="s">
        <v>1114</v>
      </c>
      <c r="H1130" s="4">
        <v>44717.0</v>
      </c>
      <c r="I1130" s="4">
        <v>44568.0</v>
      </c>
      <c r="K1130" s="1">
        <v>0.0</v>
      </c>
      <c r="L1130" s="1" t="s">
        <v>3948</v>
      </c>
      <c r="M1130" s="1" t="str">
        <f>VLOOKUP(L1130,'Copy of PMD Workday Constants -'!B1099:Y1785,22,false)</f>
        <v>#N/A</v>
      </c>
      <c r="N1130" s="1" t="s">
        <v>32</v>
      </c>
      <c r="O1130" s="1" t="s">
        <v>33</v>
      </c>
      <c r="P1130" s="1" t="s">
        <v>112</v>
      </c>
      <c r="Q1130" s="1" t="s">
        <v>112</v>
      </c>
      <c r="R1130" s="1" t="s">
        <v>113</v>
      </c>
      <c r="S1130" s="1" t="s">
        <v>114</v>
      </c>
      <c r="T1130" s="1">
        <v>1.00627224E8</v>
      </c>
      <c r="W1130" s="1" t="s">
        <v>147</v>
      </c>
      <c r="X1130" s="1" t="s">
        <v>3948</v>
      </c>
    </row>
    <row r="1131">
      <c r="A1131" s="1" t="s">
        <v>3949</v>
      </c>
      <c r="B1131" s="1" t="s">
        <v>2790</v>
      </c>
      <c r="C1131" s="1" t="s">
        <v>3950</v>
      </c>
      <c r="D1131" s="1" t="s">
        <v>28</v>
      </c>
      <c r="E1131" s="1" t="s">
        <v>29</v>
      </c>
      <c r="F1131" s="5">
        <v>1000000.0</v>
      </c>
      <c r="G1131" s="1" t="s">
        <v>1114</v>
      </c>
      <c r="H1131" s="1" t="s">
        <v>52</v>
      </c>
      <c r="I1131" s="4">
        <v>44904.0</v>
      </c>
      <c r="K1131" s="1">
        <v>0.0</v>
      </c>
      <c r="L1131" s="1" t="s">
        <v>866</v>
      </c>
      <c r="M1131" s="1" t="str">
        <f>VLOOKUP(L1131,'Copy of PMD Workday Constants -'!B1100:Y1786,22,false)</f>
        <v>#N/A</v>
      </c>
      <c r="N1131" s="1" t="s">
        <v>32</v>
      </c>
      <c r="O1131" s="1" t="s">
        <v>33</v>
      </c>
      <c r="P1131" s="1" t="s">
        <v>82</v>
      </c>
      <c r="Q1131" s="1" t="s">
        <v>82</v>
      </c>
      <c r="R1131" s="1" t="s">
        <v>83</v>
      </c>
      <c r="S1131" s="1" t="s">
        <v>84</v>
      </c>
      <c r="T1131" s="1">
        <v>1.00941744E8</v>
      </c>
      <c r="W1131" s="1" t="s">
        <v>85</v>
      </c>
      <c r="X1131" s="1" t="s">
        <v>866</v>
      </c>
    </row>
    <row r="1132">
      <c r="A1132" s="1" t="s">
        <v>3951</v>
      </c>
      <c r="B1132" s="1" t="s">
        <v>411</v>
      </c>
      <c r="C1132" s="1" t="s">
        <v>3952</v>
      </c>
      <c r="D1132" s="1" t="s">
        <v>28</v>
      </c>
      <c r="E1132" s="1" t="s">
        <v>29</v>
      </c>
      <c r="F1132" s="5">
        <v>1000000.0</v>
      </c>
      <c r="G1132" s="1" t="s">
        <v>1114</v>
      </c>
      <c r="H1132" s="4">
        <v>44622.0</v>
      </c>
      <c r="I1132" s="4">
        <v>44567.0</v>
      </c>
      <c r="K1132" s="1">
        <v>0.0</v>
      </c>
      <c r="L1132" s="1" t="s">
        <v>1700</v>
      </c>
      <c r="M1132" s="1" t="str">
        <f>VLOOKUP(L1132,'Copy of PMD Workday Constants -'!B1101:Y1787,22,false)</f>
        <v>#N/A</v>
      </c>
      <c r="N1132" s="1" t="s">
        <v>32</v>
      </c>
      <c r="O1132" s="1" t="s">
        <v>33</v>
      </c>
      <c r="P1132" s="1" t="s">
        <v>112</v>
      </c>
      <c r="Q1132" s="1" t="s">
        <v>112</v>
      </c>
      <c r="R1132" s="1" t="s">
        <v>113</v>
      </c>
      <c r="S1132" s="1" t="s">
        <v>120</v>
      </c>
      <c r="T1132" s="1">
        <v>1.00596555E8</v>
      </c>
      <c r="W1132" s="1" t="s">
        <v>56</v>
      </c>
      <c r="X1132" s="1" t="s">
        <v>1700</v>
      </c>
    </row>
    <row r="1133">
      <c r="A1133" s="1" t="s">
        <v>3953</v>
      </c>
      <c r="B1133" s="1" t="s">
        <v>3954</v>
      </c>
      <c r="C1133" s="1" t="s">
        <v>3955</v>
      </c>
      <c r="D1133" s="1" t="s">
        <v>51</v>
      </c>
      <c r="E1133" s="1" t="s">
        <v>29</v>
      </c>
      <c r="F1133" s="5">
        <v>1000000.0</v>
      </c>
      <c r="G1133" s="1" t="s">
        <v>1114</v>
      </c>
      <c r="H1133" s="1" t="s">
        <v>778</v>
      </c>
      <c r="I1133" s="1" t="s">
        <v>191</v>
      </c>
      <c r="K1133" s="1">
        <v>0.0</v>
      </c>
      <c r="L1133" s="1" t="s">
        <v>836</v>
      </c>
      <c r="M1133" s="1" t="str">
        <f>VLOOKUP(L1133,'Copy of PMD Workday Constants -'!B1102:Y1788,22,false)</f>
        <v>#N/A</v>
      </c>
      <c r="N1133" s="1" t="s">
        <v>32</v>
      </c>
      <c r="O1133" s="1" t="s">
        <v>33</v>
      </c>
      <c r="P1133" s="1" t="s">
        <v>173</v>
      </c>
      <c r="Q1133" s="1" t="s">
        <v>173</v>
      </c>
      <c r="R1133" s="1" t="s">
        <v>174</v>
      </c>
      <c r="S1133" s="1" t="s">
        <v>612</v>
      </c>
      <c r="T1133" s="1">
        <v>1.00648457E8</v>
      </c>
      <c r="W1133" s="1" t="s">
        <v>1303</v>
      </c>
      <c r="X1133" s="1" t="s">
        <v>836</v>
      </c>
    </row>
    <row r="1134">
      <c r="A1134" s="1" t="s">
        <v>3956</v>
      </c>
      <c r="B1134" s="1" t="s">
        <v>1305</v>
      </c>
      <c r="C1134" s="1" t="s">
        <v>3957</v>
      </c>
      <c r="D1134" s="1" t="s">
        <v>28</v>
      </c>
      <c r="E1134" s="1" t="s">
        <v>29</v>
      </c>
      <c r="F1134" s="5">
        <v>1000000.0</v>
      </c>
      <c r="G1134" s="1" t="s">
        <v>1114</v>
      </c>
      <c r="H1134" s="1" t="s">
        <v>124</v>
      </c>
      <c r="I1134" s="1" t="s">
        <v>302</v>
      </c>
      <c r="K1134" s="1">
        <v>0.0</v>
      </c>
      <c r="L1134" s="1" t="s">
        <v>1098</v>
      </c>
      <c r="M1134" s="1" t="str">
        <f>VLOOKUP(L1134,'Copy of PMD Workday Constants -'!B1103:Y1789,22,false)</f>
        <v>#N/A</v>
      </c>
      <c r="N1134" s="1" t="s">
        <v>32</v>
      </c>
      <c r="O1134" s="1" t="s">
        <v>33</v>
      </c>
      <c r="P1134" s="1" t="s">
        <v>173</v>
      </c>
      <c r="Q1134" s="1" t="s">
        <v>173</v>
      </c>
      <c r="R1134" s="1" t="s">
        <v>174</v>
      </c>
      <c r="S1134" s="1" t="s">
        <v>153</v>
      </c>
      <c r="T1134" s="1">
        <v>1.00609827E8</v>
      </c>
      <c r="W1134" s="1" t="s">
        <v>456</v>
      </c>
      <c r="X1134" s="1" t="s">
        <v>3958</v>
      </c>
    </row>
    <row r="1135">
      <c r="A1135" s="1" t="s">
        <v>3959</v>
      </c>
      <c r="B1135" s="1" t="s">
        <v>219</v>
      </c>
      <c r="C1135" s="1" t="s">
        <v>3960</v>
      </c>
      <c r="D1135" s="1" t="s">
        <v>28</v>
      </c>
      <c r="E1135" s="1" t="s">
        <v>29</v>
      </c>
      <c r="F1135" s="5">
        <v>1000000.0</v>
      </c>
      <c r="G1135" s="1" t="s">
        <v>1114</v>
      </c>
      <c r="H1135" s="4">
        <v>44597.0</v>
      </c>
      <c r="I1135" s="4">
        <v>44568.0</v>
      </c>
      <c r="K1135" s="1">
        <v>0.0</v>
      </c>
      <c r="L1135" s="1" t="s">
        <v>2093</v>
      </c>
      <c r="M1135" s="1" t="str">
        <f>VLOOKUP(L1135,'Copy of PMD Workday Constants -'!B1104:Y1790,22,false)</f>
        <v>#N/A</v>
      </c>
      <c r="N1135" s="1" t="s">
        <v>32</v>
      </c>
      <c r="O1135" s="1" t="s">
        <v>33</v>
      </c>
      <c r="P1135" s="1" t="s">
        <v>222</v>
      </c>
      <c r="Q1135" s="1" t="s">
        <v>222</v>
      </c>
      <c r="R1135" s="1" t="s">
        <v>223</v>
      </c>
      <c r="S1135" s="1" t="s">
        <v>646</v>
      </c>
      <c r="T1135" s="1">
        <v>1.00612055E8</v>
      </c>
      <c r="W1135" s="1" t="s">
        <v>91</v>
      </c>
      <c r="X1135" s="1" t="s">
        <v>589</v>
      </c>
    </row>
    <row r="1136">
      <c r="A1136" s="1" t="s">
        <v>3961</v>
      </c>
      <c r="B1136" s="1" t="s">
        <v>3962</v>
      </c>
      <c r="C1136" s="1" t="s">
        <v>3963</v>
      </c>
      <c r="D1136" s="1" t="s">
        <v>28</v>
      </c>
      <c r="E1136" s="1" t="s">
        <v>29</v>
      </c>
      <c r="F1136" s="5">
        <v>995000.0</v>
      </c>
      <c r="G1136" s="1" t="s">
        <v>3964</v>
      </c>
      <c r="H1136" s="4">
        <v>44625.0</v>
      </c>
      <c r="I1136" s="1" t="s">
        <v>152</v>
      </c>
      <c r="K1136" s="1">
        <v>0.0</v>
      </c>
      <c r="L1136" s="1" t="s">
        <v>3345</v>
      </c>
      <c r="M1136" s="1" t="str">
        <f>VLOOKUP(L1136,'Copy of PMD Workday Constants -'!B1105:Y1791,22,false)</f>
        <v>#N/A</v>
      </c>
      <c r="N1136" s="1" t="s">
        <v>32</v>
      </c>
      <c r="O1136" s="1" t="s">
        <v>33</v>
      </c>
      <c r="P1136" s="1" t="s">
        <v>64</v>
      </c>
      <c r="Q1136" s="1" t="s">
        <v>64</v>
      </c>
      <c r="R1136" s="1" t="s">
        <v>65</v>
      </c>
      <c r="S1136" s="1" t="s">
        <v>791</v>
      </c>
      <c r="T1136" s="1">
        <v>1.0105484E8</v>
      </c>
      <c r="W1136" s="1" t="s">
        <v>456</v>
      </c>
      <c r="X1136" s="1" t="s">
        <v>3345</v>
      </c>
    </row>
    <row r="1137">
      <c r="A1137" s="1" t="s">
        <v>3965</v>
      </c>
      <c r="B1137" s="1" t="s">
        <v>1210</v>
      </c>
      <c r="C1137" s="1" t="s">
        <v>3966</v>
      </c>
      <c r="D1137" s="1" t="s">
        <v>103</v>
      </c>
      <c r="E1137" s="1" t="s">
        <v>29</v>
      </c>
      <c r="F1137" s="5">
        <v>995000.0</v>
      </c>
      <c r="G1137" s="1" t="s">
        <v>3964</v>
      </c>
      <c r="H1137" s="1" t="s">
        <v>1005</v>
      </c>
      <c r="I1137" s="1" t="s">
        <v>80</v>
      </c>
      <c r="K1137" s="1">
        <v>0.0</v>
      </c>
      <c r="L1137" s="1" t="s">
        <v>1212</v>
      </c>
      <c r="M1137" s="1" t="str">
        <f>VLOOKUP(L1137,'Copy of PMD Workday Constants -'!B1106:Y1792,22,false)</f>
        <v>#N/A</v>
      </c>
      <c r="N1137" s="1" t="s">
        <v>32</v>
      </c>
      <c r="O1137" s="1" t="s">
        <v>33</v>
      </c>
      <c r="P1137" s="1" t="s">
        <v>173</v>
      </c>
      <c r="Q1137" s="1" t="s">
        <v>173</v>
      </c>
      <c r="R1137" s="1" t="s">
        <v>174</v>
      </c>
      <c r="S1137" s="1" t="s">
        <v>153</v>
      </c>
      <c r="T1137" s="1">
        <v>1.0059727E8</v>
      </c>
      <c r="W1137" s="1" t="s">
        <v>140</v>
      </c>
      <c r="X1137" s="1" t="s">
        <v>1212</v>
      </c>
    </row>
    <row r="1138">
      <c r="A1138" s="1" t="s">
        <v>3967</v>
      </c>
      <c r="B1138" s="1" t="s">
        <v>631</v>
      </c>
      <c r="C1138" s="1" t="s">
        <v>3968</v>
      </c>
      <c r="D1138" s="1" t="s">
        <v>103</v>
      </c>
      <c r="E1138" s="1" t="s">
        <v>29</v>
      </c>
      <c r="F1138" s="5">
        <v>991000.0</v>
      </c>
      <c r="G1138" s="1" t="s">
        <v>3964</v>
      </c>
      <c r="H1138" s="1" t="s">
        <v>1064</v>
      </c>
      <c r="I1138" s="1" t="s">
        <v>302</v>
      </c>
      <c r="K1138" s="1">
        <v>0.0</v>
      </c>
      <c r="L1138" s="1" t="s">
        <v>3969</v>
      </c>
      <c r="M1138" s="1" t="str">
        <f>VLOOKUP(L1138,'Copy of PMD Workday Constants -'!B1107:Y1793,22,false)</f>
        <v>#N/A</v>
      </c>
      <c r="N1138" s="1" t="s">
        <v>32</v>
      </c>
      <c r="O1138" s="1" t="s">
        <v>33</v>
      </c>
      <c r="P1138" s="1" t="s">
        <v>34</v>
      </c>
      <c r="Q1138" s="1" t="s">
        <v>34</v>
      </c>
      <c r="R1138" s="1" t="s">
        <v>35</v>
      </c>
      <c r="S1138" s="1" t="s">
        <v>36</v>
      </c>
      <c r="T1138" s="1">
        <v>1.00592741E8</v>
      </c>
      <c r="U1138" s="1" t="s">
        <v>3970</v>
      </c>
      <c r="V1138" s="1" t="s">
        <v>781</v>
      </c>
      <c r="W1138" s="1" t="s">
        <v>37</v>
      </c>
      <c r="X1138" s="1" t="s">
        <v>3971</v>
      </c>
    </row>
    <row r="1139">
      <c r="A1139" s="1" t="s">
        <v>3972</v>
      </c>
      <c r="B1139" s="1" t="s">
        <v>3973</v>
      </c>
      <c r="C1139" s="1" t="s">
        <v>3974</v>
      </c>
      <c r="D1139" s="1" t="s">
        <v>103</v>
      </c>
      <c r="E1139" s="1" t="s">
        <v>29</v>
      </c>
      <c r="F1139" s="5">
        <v>985000.0</v>
      </c>
      <c r="G1139" s="1" t="s">
        <v>3964</v>
      </c>
      <c r="H1139" s="1" t="s">
        <v>1349</v>
      </c>
      <c r="I1139" s="1" t="s">
        <v>80</v>
      </c>
      <c r="K1139" s="1">
        <v>0.0</v>
      </c>
      <c r="L1139" s="1" t="s">
        <v>3975</v>
      </c>
      <c r="M1139" s="1" t="str">
        <f>VLOOKUP(L1139,'Copy of PMD Workday Constants -'!B1108:Y1794,22,false)</f>
        <v>#N/A</v>
      </c>
      <c r="N1139" s="1" t="s">
        <v>32</v>
      </c>
      <c r="O1139" s="1" t="s">
        <v>33</v>
      </c>
      <c r="P1139" s="1" t="s">
        <v>210</v>
      </c>
      <c r="Q1139" s="1" t="s">
        <v>210</v>
      </c>
      <c r="R1139" s="1" t="s">
        <v>211</v>
      </c>
      <c r="S1139" s="1" t="s">
        <v>212</v>
      </c>
      <c r="T1139" s="1">
        <v>1.00623535E8</v>
      </c>
      <c r="W1139" s="1" t="s">
        <v>56</v>
      </c>
      <c r="X1139" s="1" t="s">
        <v>3975</v>
      </c>
    </row>
    <row r="1140">
      <c r="A1140" s="1" t="s">
        <v>3976</v>
      </c>
      <c r="B1140" s="1" t="s">
        <v>1373</v>
      </c>
      <c r="C1140" s="1" t="s">
        <v>3977</v>
      </c>
      <c r="D1140" s="1" t="s">
        <v>103</v>
      </c>
      <c r="E1140" s="1" t="s">
        <v>29</v>
      </c>
      <c r="F1140" s="5">
        <v>985000.0</v>
      </c>
      <c r="G1140" s="1" t="s">
        <v>3964</v>
      </c>
      <c r="H1140" s="4">
        <v>44261.0</v>
      </c>
      <c r="I1140" s="4">
        <v>44689.0</v>
      </c>
      <c r="K1140" s="1">
        <v>0.0</v>
      </c>
      <c r="L1140" s="1" t="s">
        <v>1375</v>
      </c>
      <c r="M1140" s="1" t="str">
        <f>VLOOKUP(L1140,'Copy of PMD Workday Constants -'!B1109:Y1795,22,false)</f>
        <v>#N/A</v>
      </c>
      <c r="N1140" s="1" t="s">
        <v>32</v>
      </c>
      <c r="O1140" s="1" t="s">
        <v>33</v>
      </c>
      <c r="P1140" s="1" t="s">
        <v>64</v>
      </c>
      <c r="Q1140" s="1" t="s">
        <v>64</v>
      </c>
      <c r="R1140" s="1" t="s">
        <v>65</v>
      </c>
      <c r="S1140" s="1" t="s">
        <v>185</v>
      </c>
      <c r="T1140" s="1">
        <v>1.00584032E8</v>
      </c>
      <c r="W1140" s="1" t="s">
        <v>74</v>
      </c>
      <c r="X1140" s="1" t="s">
        <v>1375</v>
      </c>
    </row>
    <row r="1141">
      <c r="A1141" s="1" t="s">
        <v>3978</v>
      </c>
      <c r="B1141" s="1" t="s">
        <v>1364</v>
      </c>
      <c r="C1141" s="1" t="s">
        <v>3979</v>
      </c>
      <c r="D1141" s="1" t="s">
        <v>79</v>
      </c>
      <c r="E1141" s="1" t="s">
        <v>29</v>
      </c>
      <c r="F1141" s="5">
        <v>980000.0</v>
      </c>
      <c r="G1141" s="1" t="s">
        <v>3964</v>
      </c>
      <c r="H1141" s="1" t="s">
        <v>2142</v>
      </c>
      <c r="I1141" s="1" t="s">
        <v>96</v>
      </c>
      <c r="K1141" s="1">
        <v>0.0</v>
      </c>
      <c r="L1141" s="1" t="s">
        <v>319</v>
      </c>
      <c r="M1141" s="1" t="str">
        <f>VLOOKUP(L1141,'Copy of PMD Workday Constants -'!B1110:Y1796,22,false)</f>
        <v>#N/A</v>
      </c>
      <c r="N1141" s="1" t="s">
        <v>32</v>
      </c>
      <c r="O1141" s="1" t="s">
        <v>33</v>
      </c>
      <c r="P1141" s="1" t="s">
        <v>82</v>
      </c>
      <c r="Q1141" s="1" t="s">
        <v>82</v>
      </c>
      <c r="R1141" s="1" t="s">
        <v>83</v>
      </c>
      <c r="S1141" s="1" t="s">
        <v>84</v>
      </c>
      <c r="T1141" s="1">
        <v>1.00654705E8</v>
      </c>
      <c r="W1141" s="1" t="s">
        <v>85</v>
      </c>
      <c r="X1141" s="1" t="s">
        <v>319</v>
      </c>
    </row>
    <row r="1142">
      <c r="A1142" s="1" t="s">
        <v>3980</v>
      </c>
      <c r="B1142" s="1" t="s">
        <v>3981</v>
      </c>
      <c r="C1142" s="1" t="s">
        <v>3982</v>
      </c>
      <c r="D1142" s="1" t="s">
        <v>103</v>
      </c>
      <c r="E1142" s="1" t="s">
        <v>29</v>
      </c>
      <c r="F1142" s="5">
        <v>980000.0</v>
      </c>
      <c r="G1142" s="1" t="s">
        <v>3964</v>
      </c>
      <c r="H1142" s="1" t="s">
        <v>3983</v>
      </c>
      <c r="I1142" s="4">
        <v>44569.0</v>
      </c>
      <c r="K1142" s="1">
        <v>0.0</v>
      </c>
      <c r="L1142" s="1" t="s">
        <v>1408</v>
      </c>
      <c r="M1142" s="1" t="str">
        <f>VLOOKUP(L1142,'Copy of PMD Workday Constants -'!B1111:Y1797,22,false)</f>
        <v>#N/A</v>
      </c>
      <c r="N1142" s="1" t="s">
        <v>32</v>
      </c>
      <c r="O1142" s="1" t="s">
        <v>33</v>
      </c>
      <c r="P1142" s="1" t="s">
        <v>64</v>
      </c>
      <c r="Q1142" s="1" t="s">
        <v>64</v>
      </c>
      <c r="R1142" s="1" t="s">
        <v>65</v>
      </c>
      <c r="S1142" s="1" t="s">
        <v>791</v>
      </c>
      <c r="T1142" s="1">
        <v>1.00652169E8</v>
      </c>
      <c r="W1142" s="1" t="s">
        <v>456</v>
      </c>
      <c r="X1142" s="1" t="s">
        <v>1408</v>
      </c>
    </row>
    <row r="1143">
      <c r="A1143" s="1" t="s">
        <v>3984</v>
      </c>
      <c r="B1143" s="1" t="s">
        <v>93</v>
      </c>
      <c r="C1143" s="1" t="s">
        <v>3985</v>
      </c>
      <c r="D1143" s="1" t="s">
        <v>79</v>
      </c>
      <c r="E1143" s="1" t="s">
        <v>29</v>
      </c>
      <c r="F1143" s="5">
        <v>980000.0</v>
      </c>
      <c r="G1143" s="1" t="s">
        <v>3964</v>
      </c>
      <c r="H1143" s="1" t="s">
        <v>2837</v>
      </c>
      <c r="I1143" s="1" t="s">
        <v>865</v>
      </c>
      <c r="K1143" s="1">
        <v>0.0</v>
      </c>
      <c r="L1143" s="1" t="s">
        <v>3986</v>
      </c>
      <c r="M1143" s="1" t="str">
        <f>VLOOKUP(L1143,'Copy of PMD Workday Constants -'!B1112:Y1798,22,false)</f>
        <v>#N/A</v>
      </c>
      <c r="N1143" s="1" t="s">
        <v>32</v>
      </c>
      <c r="O1143" s="1" t="s">
        <v>33</v>
      </c>
      <c r="P1143" s="1" t="s">
        <v>222</v>
      </c>
      <c r="Q1143" s="1" t="s">
        <v>222</v>
      </c>
      <c r="R1143" s="1" t="s">
        <v>223</v>
      </c>
      <c r="S1143" s="1" t="s">
        <v>601</v>
      </c>
      <c r="T1143" s="1">
        <v>1.00605616E8</v>
      </c>
      <c r="V1143" s="1" t="s">
        <v>257</v>
      </c>
      <c r="W1143" s="1" t="s">
        <v>56</v>
      </c>
      <c r="X1143" s="1" t="s">
        <v>3987</v>
      </c>
    </row>
    <row r="1144">
      <c r="A1144" s="1" t="s">
        <v>3988</v>
      </c>
      <c r="B1144" s="1" t="s">
        <v>3989</v>
      </c>
      <c r="C1144" s="1" t="s">
        <v>3990</v>
      </c>
      <c r="D1144" s="1" t="s">
        <v>79</v>
      </c>
      <c r="E1144" s="1" t="s">
        <v>29</v>
      </c>
      <c r="F1144" s="5">
        <v>977552.0</v>
      </c>
      <c r="G1144" s="1" t="s">
        <v>3964</v>
      </c>
      <c r="H1144" s="1" t="s">
        <v>2510</v>
      </c>
      <c r="I1144" s="1" t="s">
        <v>526</v>
      </c>
      <c r="K1144" s="1">
        <v>0.0</v>
      </c>
      <c r="L1144" s="1" t="s">
        <v>3991</v>
      </c>
      <c r="M1144" s="1" t="str">
        <f>VLOOKUP(L1144,'Copy of PMD Workday Constants -'!B1113:Y1799,22,false)</f>
        <v>#N/A</v>
      </c>
      <c r="N1144" s="1" t="s">
        <v>32</v>
      </c>
      <c r="O1144" s="1" t="s">
        <v>33</v>
      </c>
      <c r="P1144" s="1" t="s">
        <v>64</v>
      </c>
      <c r="Q1144" s="1" t="s">
        <v>64</v>
      </c>
      <c r="R1144" s="1" t="s">
        <v>65</v>
      </c>
      <c r="T1144" s="1">
        <v>1.00650306E8</v>
      </c>
      <c r="W1144" s="1" t="s">
        <v>456</v>
      </c>
      <c r="X1144" s="1" t="s">
        <v>3393</v>
      </c>
    </row>
    <row r="1145">
      <c r="A1145" s="1" t="s">
        <v>3992</v>
      </c>
      <c r="B1145" s="1" t="s">
        <v>324</v>
      </c>
      <c r="C1145" s="1" t="s">
        <v>3993</v>
      </c>
      <c r="D1145" s="1" t="s">
        <v>51</v>
      </c>
      <c r="E1145" s="1" t="s">
        <v>29</v>
      </c>
      <c r="F1145" s="5">
        <v>975000.0</v>
      </c>
      <c r="G1145" s="1" t="s">
        <v>3964</v>
      </c>
      <c r="H1145" s="1" t="s">
        <v>2077</v>
      </c>
      <c r="I1145" s="4">
        <v>44781.0</v>
      </c>
      <c r="K1145" s="1">
        <v>0.0</v>
      </c>
      <c r="L1145" s="1" t="s">
        <v>3994</v>
      </c>
      <c r="M1145" s="1" t="str">
        <f>VLOOKUP(L1145,'Copy of PMD Workday Constants -'!B1114:Y1800,22,false)</f>
        <v>#N/A</v>
      </c>
      <c r="N1145" s="1" t="s">
        <v>32</v>
      </c>
      <c r="O1145" s="1" t="s">
        <v>33</v>
      </c>
      <c r="P1145" s="1" t="s">
        <v>210</v>
      </c>
      <c r="Q1145" s="1" t="s">
        <v>210</v>
      </c>
      <c r="R1145" s="1" t="s">
        <v>211</v>
      </c>
      <c r="S1145" s="1" t="s">
        <v>1313</v>
      </c>
      <c r="T1145" s="1">
        <v>1.00646809E8</v>
      </c>
      <c r="W1145" s="1" t="s">
        <v>56</v>
      </c>
      <c r="X1145" s="1" t="s">
        <v>3995</v>
      </c>
    </row>
    <row r="1146">
      <c r="A1146" s="1" t="s">
        <v>3996</v>
      </c>
      <c r="B1146" s="1" t="s">
        <v>324</v>
      </c>
      <c r="C1146" s="1" t="s">
        <v>3997</v>
      </c>
      <c r="D1146" s="1" t="s">
        <v>28</v>
      </c>
      <c r="E1146" s="1" t="s">
        <v>29</v>
      </c>
      <c r="F1146" s="5">
        <v>975000.0</v>
      </c>
      <c r="G1146" s="1" t="s">
        <v>3964</v>
      </c>
      <c r="H1146" s="1" t="s">
        <v>3998</v>
      </c>
      <c r="I1146" s="1" t="s">
        <v>1673</v>
      </c>
      <c r="K1146" s="1">
        <v>0.0</v>
      </c>
      <c r="L1146" s="1" t="s">
        <v>3333</v>
      </c>
      <c r="M1146" s="1" t="str">
        <f>VLOOKUP(L1146,'Copy of PMD Workday Constants -'!B1115:Y1801,22,false)</f>
        <v>#N/A</v>
      </c>
      <c r="N1146" s="1" t="s">
        <v>32</v>
      </c>
      <c r="O1146" s="1" t="s">
        <v>33</v>
      </c>
      <c r="P1146" s="1" t="s">
        <v>210</v>
      </c>
      <c r="Q1146" s="1" t="s">
        <v>210</v>
      </c>
      <c r="R1146" s="1" t="s">
        <v>211</v>
      </c>
      <c r="S1146" s="1" t="s">
        <v>212</v>
      </c>
      <c r="T1146" s="1">
        <v>1.00636461E8</v>
      </c>
      <c r="W1146" s="1" t="s">
        <v>56</v>
      </c>
      <c r="X1146" s="1" t="s">
        <v>3333</v>
      </c>
    </row>
    <row r="1147">
      <c r="A1147" s="1" t="s">
        <v>3999</v>
      </c>
      <c r="B1147" s="1" t="s">
        <v>1184</v>
      </c>
      <c r="C1147" s="1" t="s">
        <v>4000</v>
      </c>
      <c r="D1147" s="1" t="s">
        <v>79</v>
      </c>
      <c r="E1147" s="1" t="s">
        <v>29</v>
      </c>
      <c r="F1147" s="5">
        <v>975000.0</v>
      </c>
      <c r="G1147" s="1" t="s">
        <v>3964</v>
      </c>
      <c r="H1147" s="4">
        <v>44622.0</v>
      </c>
      <c r="I1147" s="1" t="s">
        <v>80</v>
      </c>
      <c r="K1147" s="1">
        <v>0.0</v>
      </c>
      <c r="L1147" s="1" t="s">
        <v>4001</v>
      </c>
      <c r="M1147" s="1" t="str">
        <f>VLOOKUP(L1147,'Copy of PMD Workday Constants -'!B1116:Y1802,22,false)</f>
        <v>#N/A</v>
      </c>
      <c r="N1147" s="1" t="s">
        <v>32</v>
      </c>
      <c r="O1147" s="1" t="s">
        <v>33</v>
      </c>
      <c r="P1147" s="1" t="s">
        <v>210</v>
      </c>
      <c r="Q1147" s="1" t="s">
        <v>210</v>
      </c>
      <c r="R1147" s="1" t="s">
        <v>211</v>
      </c>
      <c r="S1147" s="1" t="s">
        <v>416</v>
      </c>
      <c r="T1147" s="1">
        <v>1.00622174E8</v>
      </c>
      <c r="W1147" s="1" t="s">
        <v>56</v>
      </c>
      <c r="X1147" s="1" t="s">
        <v>4001</v>
      </c>
    </row>
    <row r="1148">
      <c r="A1148" s="1" t="s">
        <v>4002</v>
      </c>
      <c r="B1148" s="1" t="s">
        <v>1184</v>
      </c>
      <c r="C1148" s="1" t="s">
        <v>4003</v>
      </c>
      <c r="D1148" s="1" t="s">
        <v>103</v>
      </c>
      <c r="E1148" s="1" t="s">
        <v>29</v>
      </c>
      <c r="F1148" s="5">
        <v>970000.0</v>
      </c>
      <c r="G1148" s="1" t="s">
        <v>3964</v>
      </c>
      <c r="H1148" s="4">
        <v>44746.0</v>
      </c>
      <c r="I1148" s="1" t="s">
        <v>80</v>
      </c>
      <c r="K1148" s="1">
        <v>0.0</v>
      </c>
      <c r="L1148" s="1" t="s">
        <v>4004</v>
      </c>
      <c r="M1148" s="1" t="str">
        <f>VLOOKUP(L1148,'Copy of PMD Workday Constants -'!B1117:Y1803,22,false)</f>
        <v>#N/A</v>
      </c>
      <c r="N1148" s="1" t="s">
        <v>32</v>
      </c>
      <c r="O1148" s="1" t="s">
        <v>33</v>
      </c>
      <c r="P1148" s="1" t="s">
        <v>210</v>
      </c>
      <c r="Q1148" s="1" t="s">
        <v>210</v>
      </c>
      <c r="R1148" s="1" t="s">
        <v>211</v>
      </c>
      <c r="S1148" s="1" t="s">
        <v>212</v>
      </c>
      <c r="T1148" s="1">
        <v>1.00638346E8</v>
      </c>
      <c r="W1148" s="1" t="s">
        <v>56</v>
      </c>
      <c r="X1148" s="1" t="s">
        <v>4004</v>
      </c>
    </row>
    <row r="1149">
      <c r="A1149" s="1" t="s">
        <v>4005</v>
      </c>
      <c r="B1149" s="1" t="s">
        <v>3293</v>
      </c>
      <c r="C1149" s="1" t="s">
        <v>4006</v>
      </c>
      <c r="D1149" s="1" t="s">
        <v>51</v>
      </c>
      <c r="E1149" s="1" t="s">
        <v>29</v>
      </c>
      <c r="F1149" s="5">
        <v>965000.0</v>
      </c>
      <c r="G1149" s="1" t="s">
        <v>3964</v>
      </c>
      <c r="H1149" s="1" t="s">
        <v>556</v>
      </c>
      <c r="I1149" s="4">
        <v>44568.0</v>
      </c>
      <c r="K1149" s="1">
        <v>0.0</v>
      </c>
      <c r="L1149" s="1" t="s">
        <v>2885</v>
      </c>
      <c r="M1149" s="1" t="str">
        <f>VLOOKUP(L1149,'Copy of PMD Workday Constants -'!B1118:Y1804,22,false)</f>
        <v>#N/A</v>
      </c>
      <c r="N1149" s="1" t="s">
        <v>32</v>
      </c>
      <c r="O1149" s="1" t="s">
        <v>33</v>
      </c>
      <c r="P1149" s="1" t="s">
        <v>210</v>
      </c>
      <c r="Q1149" s="1" t="s">
        <v>210</v>
      </c>
      <c r="R1149" s="1" t="s">
        <v>211</v>
      </c>
      <c r="T1149" s="1">
        <v>1.00647463E8</v>
      </c>
      <c r="W1149" s="1" t="s">
        <v>56</v>
      </c>
      <c r="X1149" s="1" t="s">
        <v>921</v>
      </c>
    </row>
    <row r="1150">
      <c r="A1150" s="1" t="s">
        <v>4007</v>
      </c>
      <c r="B1150" s="1" t="s">
        <v>2648</v>
      </c>
      <c r="C1150" s="1" t="s">
        <v>4008</v>
      </c>
      <c r="D1150" s="1" t="s">
        <v>79</v>
      </c>
      <c r="E1150" s="1" t="s">
        <v>29</v>
      </c>
      <c r="F1150" s="5">
        <v>965000.0</v>
      </c>
      <c r="G1150" s="1" t="s">
        <v>3964</v>
      </c>
      <c r="H1150" s="4">
        <v>44839.0</v>
      </c>
      <c r="I1150" s="1" t="s">
        <v>1708</v>
      </c>
      <c r="K1150" s="1">
        <v>0.0</v>
      </c>
      <c r="L1150" s="1" t="s">
        <v>2174</v>
      </c>
      <c r="M1150" s="1" t="str">
        <f>VLOOKUP(L1150,'Copy of PMD Workday Constants -'!B1119:Y1805,22,false)</f>
        <v>#N/A</v>
      </c>
      <c r="N1150" s="1" t="s">
        <v>32</v>
      </c>
      <c r="O1150" s="1" t="s">
        <v>33</v>
      </c>
      <c r="P1150" s="1" t="s">
        <v>112</v>
      </c>
      <c r="Q1150" s="1" t="s">
        <v>112</v>
      </c>
      <c r="R1150" s="1" t="s">
        <v>113</v>
      </c>
      <c r="S1150" s="1" t="s">
        <v>134</v>
      </c>
      <c r="T1150" s="1">
        <v>1.00631322E8</v>
      </c>
      <c r="W1150" s="1" t="s">
        <v>74</v>
      </c>
      <c r="X1150" s="1" t="s">
        <v>852</v>
      </c>
    </row>
    <row r="1151">
      <c r="A1151" s="1" t="s">
        <v>4009</v>
      </c>
      <c r="B1151" s="1" t="s">
        <v>1112</v>
      </c>
      <c r="C1151" s="1" t="s">
        <v>4010</v>
      </c>
      <c r="D1151" s="1" t="s">
        <v>103</v>
      </c>
      <c r="E1151" s="1" t="s">
        <v>29</v>
      </c>
      <c r="F1151" s="5">
        <v>965000.0</v>
      </c>
      <c r="G1151" s="1" t="s">
        <v>3964</v>
      </c>
      <c r="H1151" s="1" t="s">
        <v>2510</v>
      </c>
      <c r="I1151" s="1" t="s">
        <v>732</v>
      </c>
      <c r="K1151" s="1">
        <v>0.0</v>
      </c>
      <c r="L1151" s="1" t="s">
        <v>3734</v>
      </c>
      <c r="M1151" s="1" t="str">
        <f>VLOOKUP(L1151,'Copy of PMD Workday Constants -'!B1120:Y1806,22,false)</f>
        <v>#N/A</v>
      </c>
      <c r="N1151" s="1" t="s">
        <v>32</v>
      </c>
      <c r="O1151" s="1" t="s">
        <v>33</v>
      </c>
      <c r="P1151" s="1" t="s">
        <v>173</v>
      </c>
      <c r="Q1151" s="1" t="s">
        <v>173</v>
      </c>
      <c r="R1151" s="1" t="s">
        <v>174</v>
      </c>
      <c r="T1151" s="1">
        <v>1.00589248E8</v>
      </c>
      <c r="W1151" s="1" t="s">
        <v>56</v>
      </c>
      <c r="X1151" s="1" t="s">
        <v>3735</v>
      </c>
    </row>
    <row r="1152">
      <c r="A1152" s="1" t="s">
        <v>4011</v>
      </c>
      <c r="B1152" s="1" t="s">
        <v>496</v>
      </c>
      <c r="C1152" s="1" t="s">
        <v>4012</v>
      </c>
      <c r="D1152" s="1" t="s">
        <v>28</v>
      </c>
      <c r="E1152" s="1" t="s">
        <v>29</v>
      </c>
      <c r="F1152" s="5">
        <v>960000.0</v>
      </c>
      <c r="G1152" s="1" t="s">
        <v>3964</v>
      </c>
      <c r="H1152" s="4">
        <v>44420.0</v>
      </c>
      <c r="I1152" s="1" t="s">
        <v>538</v>
      </c>
      <c r="K1152" s="1">
        <v>0.0</v>
      </c>
      <c r="L1152" s="1" t="s">
        <v>499</v>
      </c>
      <c r="M1152" s="1" t="str">
        <f>VLOOKUP(L1152,'Copy of PMD Workday Constants -'!B1121:Y1807,22,false)</f>
        <v>#N/A</v>
      </c>
      <c r="N1152" s="1" t="s">
        <v>32</v>
      </c>
      <c r="O1152" s="1" t="s">
        <v>33</v>
      </c>
      <c r="P1152" s="1" t="s">
        <v>34</v>
      </c>
      <c r="Q1152" s="1" t="s">
        <v>34</v>
      </c>
      <c r="R1152" s="1" t="s">
        <v>35</v>
      </c>
      <c r="T1152" s="1">
        <v>1.00627768E8</v>
      </c>
      <c r="U1152" s="1" t="s">
        <v>497</v>
      </c>
      <c r="V1152" s="1" t="s">
        <v>187</v>
      </c>
      <c r="W1152" s="1" t="s">
        <v>91</v>
      </c>
      <c r="X1152" s="1" t="s">
        <v>501</v>
      </c>
    </row>
    <row r="1153">
      <c r="A1153" s="1" t="s">
        <v>4013</v>
      </c>
      <c r="B1153" s="1" t="s">
        <v>3549</v>
      </c>
      <c r="C1153" s="1" t="s">
        <v>4014</v>
      </c>
      <c r="D1153" s="1" t="s">
        <v>28</v>
      </c>
      <c r="E1153" s="1" t="s">
        <v>29</v>
      </c>
      <c r="F1153" s="5">
        <v>950000.0</v>
      </c>
      <c r="G1153" s="1" t="s">
        <v>3964</v>
      </c>
      <c r="H1153" s="4">
        <v>44899.0</v>
      </c>
      <c r="I1153" s="1" t="s">
        <v>295</v>
      </c>
      <c r="K1153" s="1">
        <v>0.0</v>
      </c>
      <c r="L1153" s="1" t="s">
        <v>3038</v>
      </c>
      <c r="M1153" s="1" t="str">
        <f>VLOOKUP(L1153,'Copy of PMD Workday Constants -'!B1122:Y1808,22,false)</f>
        <v>#N/A</v>
      </c>
      <c r="N1153" s="1" t="s">
        <v>32</v>
      </c>
      <c r="O1153" s="1" t="s">
        <v>33</v>
      </c>
      <c r="P1153" s="1" t="s">
        <v>34</v>
      </c>
      <c r="Q1153" s="1" t="s">
        <v>34</v>
      </c>
      <c r="R1153" s="1" t="s">
        <v>35</v>
      </c>
      <c r="T1153" s="1">
        <v>1.00592587E8</v>
      </c>
      <c r="W1153" s="1" t="s">
        <v>308</v>
      </c>
      <c r="X1153" s="1" t="s">
        <v>4015</v>
      </c>
    </row>
    <row r="1154">
      <c r="A1154" s="1" t="s">
        <v>4016</v>
      </c>
      <c r="B1154" s="1" t="s">
        <v>3036</v>
      </c>
      <c r="C1154" s="1" t="s">
        <v>4014</v>
      </c>
      <c r="D1154" s="1" t="s">
        <v>28</v>
      </c>
      <c r="E1154" s="1" t="s">
        <v>29</v>
      </c>
      <c r="F1154" s="5">
        <v>950000.0</v>
      </c>
      <c r="G1154" s="1" t="s">
        <v>3964</v>
      </c>
      <c r="H1154" s="4">
        <v>44899.0</v>
      </c>
      <c r="I1154" s="1" t="s">
        <v>295</v>
      </c>
      <c r="K1154" s="1">
        <v>0.0</v>
      </c>
      <c r="L1154" s="1" t="s">
        <v>3038</v>
      </c>
      <c r="M1154" s="1" t="str">
        <f>VLOOKUP(L1154,'Copy of PMD Workday Constants -'!B1123:Y1809,22,false)</f>
        <v>#N/A</v>
      </c>
      <c r="N1154" s="1" t="s">
        <v>32</v>
      </c>
      <c r="O1154" s="1" t="s">
        <v>33</v>
      </c>
      <c r="P1154" s="1" t="s">
        <v>34</v>
      </c>
      <c r="Q1154" s="1" t="s">
        <v>34</v>
      </c>
      <c r="R1154" s="1" t="s">
        <v>35</v>
      </c>
      <c r="T1154" s="1">
        <v>1.00592587E8</v>
      </c>
      <c r="W1154" s="1" t="s">
        <v>74</v>
      </c>
      <c r="X1154" s="1" t="s">
        <v>4015</v>
      </c>
    </row>
    <row r="1155">
      <c r="A1155" s="1" t="s">
        <v>4017</v>
      </c>
      <c r="B1155" s="1" t="s">
        <v>4018</v>
      </c>
      <c r="C1155" s="1" t="s">
        <v>4014</v>
      </c>
      <c r="D1155" s="1" t="s">
        <v>28</v>
      </c>
      <c r="E1155" s="1" t="s">
        <v>29</v>
      </c>
      <c r="F1155" s="5">
        <v>950000.0</v>
      </c>
      <c r="G1155" s="1" t="s">
        <v>3964</v>
      </c>
      <c r="H1155" s="4">
        <v>44899.0</v>
      </c>
      <c r="I1155" s="1" t="s">
        <v>295</v>
      </c>
      <c r="K1155" s="1">
        <v>0.0</v>
      </c>
      <c r="L1155" s="1" t="s">
        <v>3038</v>
      </c>
      <c r="M1155" s="1" t="str">
        <f>VLOOKUP(L1155,'Copy of PMD Workday Constants -'!B1124:Y1810,22,false)</f>
        <v>#N/A</v>
      </c>
      <c r="N1155" s="1" t="s">
        <v>32</v>
      </c>
      <c r="O1155" s="1" t="s">
        <v>33</v>
      </c>
      <c r="P1155" s="1" t="s">
        <v>34</v>
      </c>
      <c r="Q1155" s="1" t="s">
        <v>34</v>
      </c>
      <c r="R1155" s="1" t="s">
        <v>35</v>
      </c>
      <c r="T1155" s="1">
        <v>1.00592587E8</v>
      </c>
      <c r="W1155" s="1" t="s">
        <v>147</v>
      </c>
      <c r="X1155" s="1" t="s">
        <v>4015</v>
      </c>
    </row>
    <row r="1156">
      <c r="A1156" s="1" t="s">
        <v>4019</v>
      </c>
      <c r="B1156" s="1" t="s">
        <v>1387</v>
      </c>
      <c r="C1156" s="1" t="s">
        <v>4020</v>
      </c>
      <c r="D1156" s="1" t="s">
        <v>28</v>
      </c>
      <c r="E1156" s="1" t="s">
        <v>29</v>
      </c>
      <c r="F1156" s="5">
        <v>950000.0</v>
      </c>
      <c r="G1156" s="1" t="s">
        <v>3964</v>
      </c>
      <c r="H1156" s="1" t="s">
        <v>4021</v>
      </c>
      <c r="I1156" s="1" t="s">
        <v>152</v>
      </c>
      <c r="K1156" s="1">
        <v>0.0</v>
      </c>
      <c r="L1156" s="1" t="s">
        <v>1389</v>
      </c>
      <c r="M1156" s="1" t="str">
        <f>VLOOKUP(L1156,'Copy of PMD Workday Constants -'!B1125:Y1811,22,false)</f>
        <v>#N/A</v>
      </c>
      <c r="N1156" s="1" t="s">
        <v>32</v>
      </c>
      <c r="O1156" s="1" t="s">
        <v>33</v>
      </c>
      <c r="P1156" s="1" t="s">
        <v>64</v>
      </c>
      <c r="Q1156" s="1" t="s">
        <v>64</v>
      </c>
      <c r="R1156" s="1" t="s">
        <v>65</v>
      </c>
      <c r="S1156" s="1" t="s">
        <v>153</v>
      </c>
      <c r="T1156" s="1">
        <v>1.00610014E8</v>
      </c>
      <c r="W1156" s="1" t="s">
        <v>91</v>
      </c>
      <c r="X1156" s="1" t="s">
        <v>4022</v>
      </c>
    </row>
    <row r="1157">
      <c r="A1157" s="1" t="s">
        <v>4023</v>
      </c>
      <c r="B1157" s="1" t="s">
        <v>4024</v>
      </c>
      <c r="C1157" s="1" t="s">
        <v>4014</v>
      </c>
      <c r="D1157" s="1" t="s">
        <v>28</v>
      </c>
      <c r="E1157" s="1" t="s">
        <v>29</v>
      </c>
      <c r="F1157" s="5">
        <v>950000.0</v>
      </c>
      <c r="G1157" s="1" t="s">
        <v>3964</v>
      </c>
      <c r="H1157" s="4">
        <v>44899.0</v>
      </c>
      <c r="I1157" s="1" t="s">
        <v>295</v>
      </c>
      <c r="K1157" s="1">
        <v>0.0</v>
      </c>
      <c r="L1157" s="1" t="s">
        <v>3038</v>
      </c>
      <c r="M1157" s="1" t="str">
        <f>VLOOKUP(L1157,'Copy of PMD Workday Constants -'!B1126:Y1812,22,false)</f>
        <v>#N/A</v>
      </c>
      <c r="N1157" s="1" t="s">
        <v>32</v>
      </c>
      <c r="O1157" s="1" t="s">
        <v>33</v>
      </c>
      <c r="P1157" s="1" t="s">
        <v>34</v>
      </c>
      <c r="Q1157" s="1" t="s">
        <v>34</v>
      </c>
      <c r="R1157" s="1" t="s">
        <v>35</v>
      </c>
      <c r="T1157" s="1">
        <v>1.00592587E8</v>
      </c>
      <c r="W1157" s="1" t="s">
        <v>456</v>
      </c>
      <c r="X1157" s="1" t="s">
        <v>4015</v>
      </c>
    </row>
    <row r="1158">
      <c r="A1158" s="1" t="s">
        <v>4025</v>
      </c>
      <c r="B1158" s="1" t="s">
        <v>77</v>
      </c>
      <c r="C1158" s="1" t="s">
        <v>4026</v>
      </c>
      <c r="D1158" s="1" t="s">
        <v>28</v>
      </c>
      <c r="E1158" s="1" t="s">
        <v>29</v>
      </c>
      <c r="F1158" s="5">
        <v>950000.0</v>
      </c>
      <c r="G1158" s="1" t="s">
        <v>3964</v>
      </c>
      <c r="H1158" s="1" t="s">
        <v>301</v>
      </c>
      <c r="I1158" s="1" t="s">
        <v>80</v>
      </c>
      <c r="K1158" s="1">
        <v>0.0</v>
      </c>
      <c r="L1158" s="1" t="s">
        <v>81</v>
      </c>
      <c r="M1158" s="1" t="str">
        <f>VLOOKUP(L1158,'Copy of PMD Workday Constants -'!B1127:Y1813,22,false)</f>
        <v>#N/A</v>
      </c>
      <c r="N1158" s="1" t="s">
        <v>32</v>
      </c>
      <c r="O1158" s="1" t="s">
        <v>33</v>
      </c>
      <c r="P1158" s="1" t="s">
        <v>82</v>
      </c>
      <c r="Q1158" s="1" t="s">
        <v>82</v>
      </c>
      <c r="R1158" s="1" t="s">
        <v>83</v>
      </c>
      <c r="S1158" s="1" t="s">
        <v>84</v>
      </c>
      <c r="T1158" s="1">
        <v>1.00640331E8</v>
      </c>
      <c r="W1158" s="1" t="s">
        <v>85</v>
      </c>
      <c r="X1158" s="1" t="s">
        <v>4027</v>
      </c>
    </row>
    <row r="1159">
      <c r="A1159" s="1" t="s">
        <v>4028</v>
      </c>
      <c r="B1159" s="1" t="s">
        <v>4029</v>
      </c>
      <c r="C1159" s="1" t="s">
        <v>4030</v>
      </c>
      <c r="D1159" s="1" t="s">
        <v>28</v>
      </c>
      <c r="E1159" s="1" t="s">
        <v>29</v>
      </c>
      <c r="F1159" s="5">
        <v>950000.0</v>
      </c>
      <c r="G1159" s="1" t="s">
        <v>3964</v>
      </c>
      <c r="H1159" s="4">
        <v>44685.0</v>
      </c>
      <c r="I1159" s="4">
        <v>44601.0</v>
      </c>
      <c r="K1159" s="1">
        <v>0.0</v>
      </c>
      <c r="L1159" s="1" t="s">
        <v>4031</v>
      </c>
      <c r="M1159" s="1" t="str">
        <f>VLOOKUP(L1159,'Copy of PMD Workday Constants -'!B1128:Y1814,22,false)</f>
        <v>#N/A</v>
      </c>
      <c r="N1159" s="1" t="s">
        <v>32</v>
      </c>
      <c r="O1159" s="1" t="s">
        <v>33</v>
      </c>
      <c r="P1159" s="1" t="s">
        <v>34</v>
      </c>
      <c r="Q1159" s="1" t="s">
        <v>34</v>
      </c>
      <c r="R1159" s="1" t="s">
        <v>35</v>
      </c>
      <c r="S1159" s="1" t="s">
        <v>1166</v>
      </c>
      <c r="T1159" s="1">
        <v>1.00581763E8</v>
      </c>
      <c r="W1159" s="1" t="s">
        <v>456</v>
      </c>
      <c r="X1159" s="1" t="s">
        <v>4031</v>
      </c>
    </row>
    <row r="1160">
      <c r="A1160" s="1" t="s">
        <v>4032</v>
      </c>
      <c r="B1160" s="1" t="s">
        <v>4033</v>
      </c>
      <c r="C1160" s="1" t="s">
        <v>4034</v>
      </c>
      <c r="D1160" s="1" t="s">
        <v>51</v>
      </c>
      <c r="E1160" s="1" t="s">
        <v>29</v>
      </c>
      <c r="F1160" s="5">
        <v>950000.0</v>
      </c>
      <c r="G1160" s="1" t="s">
        <v>3964</v>
      </c>
      <c r="H1160" s="1" t="s">
        <v>569</v>
      </c>
      <c r="I1160" s="1" t="s">
        <v>732</v>
      </c>
      <c r="K1160" s="1">
        <v>0.0</v>
      </c>
      <c r="L1160" s="1" t="s">
        <v>428</v>
      </c>
      <c r="M1160" s="1" t="str">
        <f>VLOOKUP(L1160,'Copy of PMD Workday Constants -'!B1129:Y1815,22,false)</f>
        <v>#N/A</v>
      </c>
      <c r="N1160" s="1" t="s">
        <v>32</v>
      </c>
      <c r="O1160" s="1" t="s">
        <v>33</v>
      </c>
      <c r="P1160" s="1" t="s">
        <v>173</v>
      </c>
      <c r="Q1160" s="1" t="s">
        <v>173</v>
      </c>
      <c r="R1160" s="1" t="s">
        <v>174</v>
      </c>
      <c r="T1160" s="1">
        <v>1.00654085E8</v>
      </c>
      <c r="W1160" s="1" t="s">
        <v>456</v>
      </c>
      <c r="X1160" s="1" t="s">
        <v>4035</v>
      </c>
    </row>
    <row r="1161">
      <c r="A1161" s="1" t="s">
        <v>4036</v>
      </c>
      <c r="B1161" s="1" t="s">
        <v>4037</v>
      </c>
      <c r="C1161" s="1" t="s">
        <v>4038</v>
      </c>
      <c r="D1161" s="1" t="s">
        <v>28</v>
      </c>
      <c r="E1161" s="1" t="s">
        <v>29</v>
      </c>
      <c r="F1161" s="5">
        <v>950000.0</v>
      </c>
      <c r="G1161" s="1" t="s">
        <v>3964</v>
      </c>
      <c r="H1161" s="4">
        <v>44352.0</v>
      </c>
      <c r="I1161" s="1" t="s">
        <v>191</v>
      </c>
      <c r="K1161" s="1">
        <v>0.0</v>
      </c>
      <c r="L1161" s="1" t="s">
        <v>588</v>
      </c>
      <c r="M1161" s="1" t="str">
        <f>VLOOKUP(L1161,'Copy of PMD Workday Constants -'!B1130:Y1816,22,false)</f>
        <v>#N/A</v>
      </c>
      <c r="N1161" s="1" t="s">
        <v>32</v>
      </c>
      <c r="O1161" s="1" t="s">
        <v>33</v>
      </c>
      <c r="P1161" s="1" t="s">
        <v>34</v>
      </c>
      <c r="Q1161" s="1" t="s">
        <v>34</v>
      </c>
      <c r="R1161" s="1" t="s">
        <v>35</v>
      </c>
      <c r="S1161" s="1" t="s">
        <v>153</v>
      </c>
      <c r="T1161" s="1">
        <v>1.00609607E8</v>
      </c>
      <c r="W1161" s="1" t="s">
        <v>533</v>
      </c>
      <c r="X1161" s="1" t="s">
        <v>4022</v>
      </c>
    </row>
    <row r="1162">
      <c r="A1162" s="1" t="s">
        <v>4039</v>
      </c>
      <c r="B1162" s="1" t="s">
        <v>610</v>
      </c>
      <c r="C1162" s="1" t="s">
        <v>4040</v>
      </c>
      <c r="D1162" s="1" t="s">
        <v>28</v>
      </c>
      <c r="E1162" s="1" t="s">
        <v>29</v>
      </c>
      <c r="F1162" s="5">
        <v>950000.0</v>
      </c>
      <c r="G1162" s="1" t="s">
        <v>3964</v>
      </c>
      <c r="H1162" s="4">
        <v>44898.0</v>
      </c>
      <c r="I1162" s="1" t="s">
        <v>96</v>
      </c>
      <c r="K1162" s="1">
        <v>0.0</v>
      </c>
      <c r="L1162" s="1" t="s">
        <v>338</v>
      </c>
      <c r="M1162" s="1" t="str">
        <f>VLOOKUP(L1162,'Copy of PMD Workday Constants -'!B1131:Y1817,22,false)</f>
        <v>#N/A</v>
      </c>
      <c r="N1162" s="1" t="s">
        <v>32</v>
      </c>
      <c r="O1162" s="1" t="s">
        <v>33</v>
      </c>
      <c r="P1162" s="1" t="s">
        <v>34</v>
      </c>
      <c r="Q1162" s="1" t="s">
        <v>34</v>
      </c>
      <c r="R1162" s="1" t="s">
        <v>35</v>
      </c>
      <c r="T1162" s="1">
        <v>1.00619817E8</v>
      </c>
      <c r="W1162" s="1" t="s">
        <v>287</v>
      </c>
      <c r="X1162" s="1" t="s">
        <v>338</v>
      </c>
    </row>
    <row r="1163">
      <c r="A1163" s="1" t="s">
        <v>4041</v>
      </c>
      <c r="B1163" s="1" t="s">
        <v>241</v>
      </c>
      <c r="C1163" s="1" t="s">
        <v>4042</v>
      </c>
      <c r="D1163" s="1" t="s">
        <v>28</v>
      </c>
      <c r="E1163" s="1" t="s">
        <v>29</v>
      </c>
      <c r="F1163" s="5">
        <v>950000.0</v>
      </c>
      <c r="G1163" s="1" t="s">
        <v>3964</v>
      </c>
      <c r="H1163" s="4">
        <v>44896.0</v>
      </c>
      <c r="I1163" s="1" t="s">
        <v>152</v>
      </c>
      <c r="K1163" s="1">
        <v>0.0</v>
      </c>
      <c r="L1163" s="1" t="s">
        <v>172</v>
      </c>
      <c r="M1163" s="1" t="str">
        <f>VLOOKUP(L1163,'Copy of PMD Workday Constants -'!B1132:Y1818,22,false)</f>
        <v>#N/A</v>
      </c>
      <c r="N1163" s="1" t="s">
        <v>32</v>
      </c>
      <c r="O1163" s="1" t="s">
        <v>33</v>
      </c>
      <c r="P1163" s="1" t="s">
        <v>173</v>
      </c>
      <c r="Q1163" s="1" t="s">
        <v>173</v>
      </c>
      <c r="R1163" s="1" t="s">
        <v>174</v>
      </c>
      <c r="T1163" s="1">
        <v>1.00619165E8</v>
      </c>
      <c r="W1163" s="1" t="s">
        <v>37</v>
      </c>
      <c r="X1163" s="1" t="s">
        <v>4022</v>
      </c>
    </row>
    <row r="1164">
      <c r="A1164" s="1" t="s">
        <v>4043</v>
      </c>
      <c r="B1164" s="1" t="s">
        <v>93</v>
      </c>
      <c r="C1164" s="1" t="s">
        <v>4044</v>
      </c>
      <c r="D1164" s="1" t="s">
        <v>103</v>
      </c>
      <c r="E1164" s="1" t="s">
        <v>29</v>
      </c>
      <c r="F1164" s="5">
        <v>950000.0</v>
      </c>
      <c r="G1164" s="1" t="s">
        <v>3964</v>
      </c>
      <c r="H1164" s="1" t="s">
        <v>301</v>
      </c>
      <c r="I1164" s="1" t="s">
        <v>326</v>
      </c>
      <c r="K1164" s="1">
        <v>0.0</v>
      </c>
      <c r="L1164" s="1" t="s">
        <v>4045</v>
      </c>
      <c r="M1164" s="1" t="str">
        <f>VLOOKUP(L1164,'Copy of PMD Workday Constants -'!B1133:Y1819,22,false)</f>
        <v>#N/A</v>
      </c>
      <c r="N1164" s="1" t="s">
        <v>32</v>
      </c>
      <c r="O1164" s="1" t="s">
        <v>33</v>
      </c>
      <c r="P1164" s="1" t="s">
        <v>64</v>
      </c>
      <c r="Q1164" s="1" t="s">
        <v>64</v>
      </c>
      <c r="R1164" s="1" t="s">
        <v>65</v>
      </c>
      <c r="T1164" s="1">
        <v>1.00655236E8</v>
      </c>
      <c r="W1164" s="1" t="s">
        <v>56</v>
      </c>
      <c r="X1164" s="1" t="s">
        <v>3029</v>
      </c>
    </row>
    <row r="1165">
      <c r="A1165" s="1" t="s">
        <v>4046</v>
      </c>
      <c r="B1165" s="1" t="s">
        <v>1752</v>
      </c>
      <c r="C1165" s="1" t="s">
        <v>4047</v>
      </c>
      <c r="D1165" s="1" t="s">
        <v>28</v>
      </c>
      <c r="E1165" s="1" t="s">
        <v>29</v>
      </c>
      <c r="F1165" s="5">
        <v>950000.0</v>
      </c>
      <c r="G1165" s="1" t="s">
        <v>3964</v>
      </c>
      <c r="H1165" s="1" t="s">
        <v>2787</v>
      </c>
      <c r="I1165" s="4">
        <v>44570.0</v>
      </c>
      <c r="K1165" s="1">
        <v>0.0</v>
      </c>
      <c r="L1165" s="1" t="s">
        <v>588</v>
      </c>
      <c r="M1165" s="1" t="str">
        <f>VLOOKUP(L1165,'Copy of PMD Workday Constants -'!B1134:Y1820,22,false)</f>
        <v>#N/A</v>
      </c>
      <c r="N1165" s="1" t="s">
        <v>32</v>
      </c>
      <c r="O1165" s="1" t="s">
        <v>33</v>
      </c>
      <c r="P1165" s="1" t="s">
        <v>34</v>
      </c>
      <c r="Q1165" s="1" t="s">
        <v>34</v>
      </c>
      <c r="R1165" s="1" t="s">
        <v>35</v>
      </c>
      <c r="S1165" s="1" t="s">
        <v>153</v>
      </c>
      <c r="T1165" s="1">
        <v>1.00609607E8</v>
      </c>
      <c r="W1165" s="1" t="s">
        <v>91</v>
      </c>
      <c r="X1165" s="1" t="s">
        <v>689</v>
      </c>
    </row>
    <row r="1166">
      <c r="A1166" s="1" t="s">
        <v>4048</v>
      </c>
      <c r="B1166" s="1" t="s">
        <v>4049</v>
      </c>
      <c r="C1166" s="1" t="s">
        <v>4050</v>
      </c>
      <c r="D1166" s="1" t="s">
        <v>79</v>
      </c>
      <c r="E1166" s="1" t="s">
        <v>29</v>
      </c>
      <c r="F1166" s="5">
        <v>950000.0</v>
      </c>
      <c r="G1166" s="1" t="s">
        <v>3964</v>
      </c>
      <c r="H1166" s="1" t="s">
        <v>3443</v>
      </c>
      <c r="I1166" s="4">
        <v>44717.0</v>
      </c>
      <c r="K1166" s="1">
        <v>0.0</v>
      </c>
      <c r="L1166" s="1" t="s">
        <v>4051</v>
      </c>
      <c r="M1166" s="1" t="str">
        <f>VLOOKUP(L1166,'Copy of PMD Workday Constants -'!B1135:Y1821,22,false)</f>
        <v>#N/A</v>
      </c>
      <c r="N1166" s="1" t="s">
        <v>32</v>
      </c>
      <c r="O1166" s="1" t="s">
        <v>33</v>
      </c>
      <c r="P1166" s="1" t="s">
        <v>112</v>
      </c>
      <c r="Q1166" s="1" t="s">
        <v>112</v>
      </c>
      <c r="R1166" s="1" t="s">
        <v>113</v>
      </c>
      <c r="S1166" s="1" t="s">
        <v>307</v>
      </c>
      <c r="T1166" s="1">
        <v>1.00694651E8</v>
      </c>
      <c r="W1166" s="1" t="s">
        <v>287</v>
      </c>
      <c r="X1166" s="1" t="s">
        <v>4052</v>
      </c>
    </row>
    <row r="1167">
      <c r="A1167" s="1" t="s">
        <v>4053</v>
      </c>
      <c r="B1167" s="1" t="s">
        <v>747</v>
      </c>
      <c r="C1167" s="1" t="s">
        <v>4054</v>
      </c>
      <c r="D1167" s="1" t="s">
        <v>28</v>
      </c>
      <c r="E1167" s="1" t="s">
        <v>29</v>
      </c>
      <c r="F1167" s="5">
        <v>950000.0</v>
      </c>
      <c r="G1167" s="1" t="s">
        <v>3964</v>
      </c>
      <c r="H1167" s="4">
        <v>44837.0</v>
      </c>
      <c r="I1167" s="1" t="s">
        <v>104</v>
      </c>
      <c r="K1167" s="1">
        <v>0.0</v>
      </c>
      <c r="L1167" s="1" t="s">
        <v>172</v>
      </c>
      <c r="M1167" s="1" t="str">
        <f>VLOOKUP(L1167,'Copy of PMD Workday Constants -'!B1136:Y1822,22,false)</f>
        <v>#N/A</v>
      </c>
      <c r="N1167" s="1" t="s">
        <v>32</v>
      </c>
      <c r="O1167" s="1" t="s">
        <v>33</v>
      </c>
      <c r="P1167" s="1" t="s">
        <v>173</v>
      </c>
      <c r="Q1167" s="1" t="s">
        <v>173</v>
      </c>
      <c r="R1167" s="1" t="s">
        <v>174</v>
      </c>
      <c r="T1167" s="1">
        <v>1.00619165E8</v>
      </c>
      <c r="W1167" s="1" t="s">
        <v>37</v>
      </c>
      <c r="X1167" s="1" t="s">
        <v>4022</v>
      </c>
    </row>
    <row r="1168">
      <c r="A1168" s="1" t="s">
        <v>4055</v>
      </c>
      <c r="B1168" s="1" t="s">
        <v>40</v>
      </c>
      <c r="C1168" s="1" t="s">
        <v>4056</v>
      </c>
      <c r="D1168" s="1" t="s">
        <v>103</v>
      </c>
      <c r="E1168" s="1" t="s">
        <v>29</v>
      </c>
      <c r="F1168" s="5">
        <v>950000.0</v>
      </c>
      <c r="G1168" s="1" t="s">
        <v>3964</v>
      </c>
      <c r="H1168" s="4">
        <v>44686.0</v>
      </c>
      <c r="I1168" s="1" t="s">
        <v>80</v>
      </c>
      <c r="K1168" s="1">
        <v>0.0</v>
      </c>
      <c r="L1168" s="1" t="s">
        <v>2747</v>
      </c>
      <c r="M1168" s="1" t="str">
        <f>VLOOKUP(L1168,'Copy of PMD Workday Constants -'!B1137:Y1823,22,false)</f>
        <v>#N/A</v>
      </c>
      <c r="N1168" s="1" t="s">
        <v>32</v>
      </c>
      <c r="O1168" s="1" t="s">
        <v>33</v>
      </c>
      <c r="P1168" s="1" t="s">
        <v>64</v>
      </c>
      <c r="Q1168" s="1" t="s">
        <v>64</v>
      </c>
      <c r="R1168" s="1" t="s">
        <v>65</v>
      </c>
      <c r="T1168" s="1">
        <v>1.00586524E8</v>
      </c>
      <c r="U1168" s="1" t="s">
        <v>4057</v>
      </c>
      <c r="V1168" s="1" t="s">
        <v>46</v>
      </c>
      <c r="W1168" s="1" t="s">
        <v>47</v>
      </c>
      <c r="X1168" s="1" t="s">
        <v>2747</v>
      </c>
    </row>
    <row r="1169">
      <c r="A1169" s="1" t="s">
        <v>4058</v>
      </c>
      <c r="B1169" s="1" t="s">
        <v>772</v>
      </c>
      <c r="C1169" s="1" t="s">
        <v>4059</v>
      </c>
      <c r="D1169" s="1" t="s">
        <v>28</v>
      </c>
      <c r="E1169" s="1" t="s">
        <v>29</v>
      </c>
      <c r="F1169" s="5">
        <v>950000.0</v>
      </c>
      <c r="G1169" s="1" t="s">
        <v>3964</v>
      </c>
      <c r="H1169" s="4">
        <v>44682.0</v>
      </c>
      <c r="I1169" s="1" t="s">
        <v>217</v>
      </c>
      <c r="K1169" s="1">
        <v>0.0</v>
      </c>
      <c r="L1169" s="1" t="s">
        <v>172</v>
      </c>
      <c r="M1169" s="1" t="str">
        <f>VLOOKUP(L1169,'Copy of PMD Workday Constants -'!B1138:Y1824,22,false)</f>
        <v>#N/A</v>
      </c>
      <c r="N1169" s="1" t="s">
        <v>32</v>
      </c>
      <c r="O1169" s="1" t="s">
        <v>33</v>
      </c>
      <c r="P1169" s="1" t="s">
        <v>173</v>
      </c>
      <c r="Q1169" s="1" t="s">
        <v>173</v>
      </c>
      <c r="R1169" s="1" t="s">
        <v>174</v>
      </c>
      <c r="T1169" s="1">
        <v>1.00619165E8</v>
      </c>
      <c r="W1169" s="1" t="s">
        <v>37</v>
      </c>
      <c r="X1169" s="1" t="s">
        <v>4022</v>
      </c>
    </row>
    <row r="1170">
      <c r="A1170" s="1" t="s">
        <v>4060</v>
      </c>
      <c r="B1170" s="1" t="s">
        <v>4061</v>
      </c>
      <c r="C1170" s="1" t="s">
        <v>4062</v>
      </c>
      <c r="D1170" s="1" t="s">
        <v>28</v>
      </c>
      <c r="E1170" s="1" t="s">
        <v>29</v>
      </c>
      <c r="F1170" s="5">
        <v>950000.0</v>
      </c>
      <c r="G1170" s="1" t="s">
        <v>3964</v>
      </c>
      <c r="H1170" s="1" t="s">
        <v>4063</v>
      </c>
      <c r="I1170" s="1" t="s">
        <v>191</v>
      </c>
      <c r="K1170" s="1">
        <v>0.0</v>
      </c>
      <c r="L1170" s="1" t="s">
        <v>3480</v>
      </c>
      <c r="M1170" s="1" t="str">
        <f>VLOOKUP(L1170,'Copy of PMD Workday Constants -'!B1139:Y1825,22,false)</f>
        <v>#N/A</v>
      </c>
      <c r="N1170" s="1" t="s">
        <v>32</v>
      </c>
      <c r="O1170" s="1" t="s">
        <v>33</v>
      </c>
      <c r="P1170" s="1" t="s">
        <v>112</v>
      </c>
      <c r="Q1170" s="1" t="s">
        <v>112</v>
      </c>
      <c r="R1170" s="1" t="s">
        <v>113</v>
      </c>
      <c r="S1170" s="1" t="s">
        <v>307</v>
      </c>
      <c r="T1170" s="1">
        <v>1.00628223E8</v>
      </c>
      <c r="W1170" s="1" t="s">
        <v>391</v>
      </c>
      <c r="X1170" s="1" t="s">
        <v>3480</v>
      </c>
    </row>
    <row r="1171">
      <c r="A1171" s="1" t="s">
        <v>4064</v>
      </c>
      <c r="B1171" s="1" t="s">
        <v>335</v>
      </c>
      <c r="C1171" s="1" t="s">
        <v>4065</v>
      </c>
      <c r="D1171" s="1" t="s">
        <v>28</v>
      </c>
      <c r="E1171" s="1" t="s">
        <v>29</v>
      </c>
      <c r="F1171" s="5">
        <v>950000.0</v>
      </c>
      <c r="G1171" s="1" t="s">
        <v>3964</v>
      </c>
      <c r="H1171" s="4">
        <v>44595.0</v>
      </c>
      <c r="I1171" s="1" t="s">
        <v>191</v>
      </c>
      <c r="K1171" s="1">
        <v>0.0</v>
      </c>
      <c r="L1171" s="1" t="s">
        <v>338</v>
      </c>
      <c r="M1171" s="1" t="str">
        <f>VLOOKUP(L1171,'Copy of PMD Workday Constants -'!B1140:Y1826,22,false)</f>
        <v>#N/A</v>
      </c>
      <c r="N1171" s="1" t="s">
        <v>32</v>
      </c>
      <c r="O1171" s="1" t="s">
        <v>33</v>
      </c>
      <c r="P1171" s="1" t="s">
        <v>34</v>
      </c>
      <c r="Q1171" s="1" t="s">
        <v>34</v>
      </c>
      <c r="R1171" s="1" t="s">
        <v>35</v>
      </c>
      <c r="S1171" s="1" t="s">
        <v>126</v>
      </c>
      <c r="T1171" s="1">
        <v>1.00619817E8</v>
      </c>
      <c r="W1171" s="1" t="s">
        <v>339</v>
      </c>
      <c r="X1171" s="1" t="s">
        <v>338</v>
      </c>
    </row>
    <row r="1172">
      <c r="A1172" s="1" t="s">
        <v>4066</v>
      </c>
      <c r="B1172" s="1" t="s">
        <v>4067</v>
      </c>
      <c r="C1172" s="1" t="s">
        <v>4068</v>
      </c>
      <c r="D1172" s="1" t="s">
        <v>51</v>
      </c>
      <c r="E1172" s="1" t="s">
        <v>29</v>
      </c>
      <c r="F1172" s="5">
        <v>950000.0</v>
      </c>
      <c r="G1172" s="1" t="s">
        <v>3964</v>
      </c>
      <c r="H1172" s="4">
        <v>44656.0</v>
      </c>
      <c r="I1172" s="1" t="s">
        <v>861</v>
      </c>
      <c r="K1172" s="1">
        <v>0.0</v>
      </c>
      <c r="L1172" s="1" t="s">
        <v>2169</v>
      </c>
      <c r="M1172" s="1" t="str">
        <f>VLOOKUP(L1172,'Copy of PMD Workday Constants -'!B1141:Y1827,22,false)</f>
        <v>#N/A</v>
      </c>
      <c r="N1172" s="1" t="s">
        <v>32</v>
      </c>
      <c r="O1172" s="1" t="s">
        <v>33</v>
      </c>
      <c r="P1172" s="1" t="s">
        <v>64</v>
      </c>
      <c r="Q1172" s="1" t="s">
        <v>64</v>
      </c>
      <c r="R1172" s="1" t="s">
        <v>65</v>
      </c>
      <c r="S1172" s="1" t="s">
        <v>126</v>
      </c>
      <c r="T1172" s="1">
        <v>1.00886112E8</v>
      </c>
      <c r="W1172" s="1" t="s">
        <v>287</v>
      </c>
      <c r="X1172" s="1" t="s">
        <v>4069</v>
      </c>
    </row>
    <row r="1173">
      <c r="A1173" s="1" t="s">
        <v>4070</v>
      </c>
      <c r="B1173" s="1" t="s">
        <v>2549</v>
      </c>
      <c r="C1173" s="1" t="s">
        <v>4071</v>
      </c>
      <c r="D1173" s="1" t="s">
        <v>51</v>
      </c>
      <c r="E1173" s="1" t="s">
        <v>29</v>
      </c>
      <c r="F1173" s="5">
        <v>950000.0</v>
      </c>
      <c r="G1173" s="1" t="s">
        <v>3964</v>
      </c>
      <c r="H1173" s="1" t="s">
        <v>2054</v>
      </c>
      <c r="I1173" s="1" t="s">
        <v>302</v>
      </c>
      <c r="K1173" s="1">
        <v>0.0</v>
      </c>
      <c r="L1173" s="1" t="s">
        <v>1549</v>
      </c>
      <c r="M1173" s="1" t="str">
        <f>VLOOKUP(L1173,'Copy of PMD Workday Constants -'!B1142:Y1828,22,false)</f>
        <v>#N/A</v>
      </c>
      <c r="N1173" s="1" t="s">
        <v>32</v>
      </c>
      <c r="O1173" s="1" t="s">
        <v>33</v>
      </c>
      <c r="P1173" s="1" t="s">
        <v>173</v>
      </c>
      <c r="Q1173" s="1" t="s">
        <v>173</v>
      </c>
      <c r="R1173" s="1" t="s">
        <v>174</v>
      </c>
      <c r="S1173" s="1" t="s">
        <v>612</v>
      </c>
      <c r="T1173" s="1">
        <v>1.00646908E8</v>
      </c>
      <c r="W1173" s="1" t="s">
        <v>1303</v>
      </c>
      <c r="X1173" s="1" t="s">
        <v>4072</v>
      </c>
    </row>
    <row r="1174">
      <c r="A1174" s="1" t="s">
        <v>4073</v>
      </c>
      <c r="B1174" s="1" t="s">
        <v>49</v>
      </c>
      <c r="C1174" s="1" t="s">
        <v>4074</v>
      </c>
      <c r="D1174" s="1" t="s">
        <v>28</v>
      </c>
      <c r="E1174" s="1" t="s">
        <v>29</v>
      </c>
      <c r="F1174" s="5">
        <v>950000.0</v>
      </c>
      <c r="G1174" s="1" t="s">
        <v>3964</v>
      </c>
      <c r="H1174" s="1" t="s">
        <v>816</v>
      </c>
      <c r="I1174" s="1" t="s">
        <v>104</v>
      </c>
      <c r="K1174" s="1">
        <v>0.0</v>
      </c>
      <c r="L1174" s="1" t="s">
        <v>3333</v>
      </c>
      <c r="M1174" s="1" t="str">
        <f>VLOOKUP(L1174,'Copy of PMD Workday Constants -'!B1143:Y1829,22,false)</f>
        <v>#N/A</v>
      </c>
      <c r="N1174" s="1" t="s">
        <v>32</v>
      </c>
      <c r="O1174" s="1" t="s">
        <v>33</v>
      </c>
      <c r="P1174" s="1" t="s">
        <v>210</v>
      </c>
      <c r="Q1174" s="1" t="s">
        <v>210</v>
      </c>
      <c r="R1174" s="1" t="s">
        <v>211</v>
      </c>
      <c r="T1174" s="1">
        <v>1.00636461E8</v>
      </c>
      <c r="W1174" s="1" t="s">
        <v>56</v>
      </c>
      <c r="X1174" s="1" t="s">
        <v>3333</v>
      </c>
    </row>
    <row r="1175">
      <c r="A1175" s="1" t="s">
        <v>4075</v>
      </c>
      <c r="B1175" s="1" t="s">
        <v>225</v>
      </c>
      <c r="C1175" s="1" t="s">
        <v>4076</v>
      </c>
      <c r="D1175" s="1" t="s">
        <v>103</v>
      </c>
      <c r="E1175" s="1" t="s">
        <v>29</v>
      </c>
      <c r="F1175" s="5">
        <v>940000.0</v>
      </c>
      <c r="G1175" s="1" t="s">
        <v>3964</v>
      </c>
      <c r="H1175" s="4">
        <v>44566.0</v>
      </c>
      <c r="I1175" s="1" t="s">
        <v>96</v>
      </c>
      <c r="K1175" s="1">
        <v>0.0</v>
      </c>
      <c r="L1175" s="1" t="s">
        <v>1747</v>
      </c>
      <c r="M1175" s="1" t="str">
        <f>VLOOKUP(L1175,'Copy of PMD Workday Constants -'!B1144:Y1830,22,false)</f>
        <v>#N/A</v>
      </c>
      <c r="N1175" s="1" t="s">
        <v>32</v>
      </c>
      <c r="O1175" s="1" t="s">
        <v>33</v>
      </c>
      <c r="P1175" s="1" t="s">
        <v>173</v>
      </c>
      <c r="Q1175" s="1" t="s">
        <v>173</v>
      </c>
      <c r="R1175" s="1" t="s">
        <v>174</v>
      </c>
      <c r="T1175" s="1">
        <v>1.00639495E8</v>
      </c>
      <c r="W1175" s="1" t="s">
        <v>85</v>
      </c>
      <c r="X1175" s="1" t="s">
        <v>3115</v>
      </c>
    </row>
    <row r="1176">
      <c r="A1176" s="1" t="s">
        <v>4077</v>
      </c>
      <c r="B1176" s="1" t="s">
        <v>521</v>
      </c>
      <c r="C1176" s="1" t="s">
        <v>4078</v>
      </c>
      <c r="D1176" s="1" t="s">
        <v>51</v>
      </c>
      <c r="E1176" s="1" t="s">
        <v>29</v>
      </c>
      <c r="F1176" s="5">
        <v>931634.0</v>
      </c>
      <c r="G1176" s="1" t="s">
        <v>3964</v>
      </c>
      <c r="H1176" s="4">
        <v>44684.0</v>
      </c>
      <c r="I1176" s="1" t="s">
        <v>96</v>
      </c>
      <c r="K1176" s="1">
        <v>0.0</v>
      </c>
      <c r="L1176" s="1" t="s">
        <v>2330</v>
      </c>
      <c r="M1176" s="1" t="str">
        <f>VLOOKUP(L1176,'Copy of PMD Workday Constants -'!B1145:Y1831,22,false)</f>
        <v>#N/A</v>
      </c>
      <c r="N1176" s="1" t="s">
        <v>32</v>
      </c>
      <c r="O1176" s="1" t="s">
        <v>33</v>
      </c>
      <c r="P1176" s="1" t="s">
        <v>82</v>
      </c>
      <c r="Q1176" s="1" t="s">
        <v>82</v>
      </c>
      <c r="R1176" s="1" t="s">
        <v>83</v>
      </c>
      <c r="S1176" s="1" t="s">
        <v>84</v>
      </c>
      <c r="T1176" s="1">
        <v>1.00613761E8</v>
      </c>
      <c r="W1176" s="1" t="s">
        <v>85</v>
      </c>
      <c r="X1176" s="1" t="s">
        <v>2330</v>
      </c>
    </row>
    <row r="1177">
      <c r="A1177" s="1" t="s">
        <v>4079</v>
      </c>
      <c r="B1177" s="1" t="s">
        <v>40</v>
      </c>
      <c r="C1177" s="1" t="s">
        <v>4080</v>
      </c>
      <c r="D1177" s="1" t="s">
        <v>79</v>
      </c>
      <c r="E1177" s="1" t="s">
        <v>29</v>
      </c>
      <c r="F1177" s="5">
        <v>925000.0</v>
      </c>
      <c r="G1177" s="1" t="s">
        <v>3964</v>
      </c>
      <c r="H1177" s="1" t="s">
        <v>3324</v>
      </c>
      <c r="I1177" s="1" t="s">
        <v>326</v>
      </c>
      <c r="K1177" s="1">
        <v>0.0</v>
      </c>
      <c r="L1177" s="1" t="s">
        <v>275</v>
      </c>
      <c r="M1177" s="1" t="str">
        <f>VLOOKUP(L1177,'Copy of PMD Workday Constants -'!B1146:Y1832,22,false)</f>
        <v>#N/A</v>
      </c>
      <c r="N1177" s="1" t="s">
        <v>32</v>
      </c>
      <c r="O1177" s="1" t="s">
        <v>33</v>
      </c>
      <c r="P1177" s="1" t="s">
        <v>34</v>
      </c>
      <c r="Q1177" s="1" t="s">
        <v>34</v>
      </c>
      <c r="R1177" s="1" t="s">
        <v>35</v>
      </c>
      <c r="S1177" s="1" t="s">
        <v>126</v>
      </c>
      <c r="T1177" s="1">
        <v>1.00608828E8</v>
      </c>
      <c r="W1177" s="1" t="s">
        <v>47</v>
      </c>
      <c r="X1177" s="1" t="s">
        <v>127</v>
      </c>
    </row>
    <row r="1178">
      <c r="A1178" s="1" t="s">
        <v>4081</v>
      </c>
      <c r="B1178" s="1" t="s">
        <v>4082</v>
      </c>
      <c r="C1178" s="1" t="s">
        <v>4083</v>
      </c>
      <c r="D1178" s="1" t="s">
        <v>103</v>
      </c>
      <c r="E1178" s="1" t="s">
        <v>29</v>
      </c>
      <c r="F1178" s="5">
        <v>925000.0</v>
      </c>
      <c r="G1178" s="1" t="s">
        <v>3964</v>
      </c>
      <c r="H1178" s="1" t="s">
        <v>4084</v>
      </c>
      <c r="I1178" s="1" t="s">
        <v>4085</v>
      </c>
      <c r="K1178" s="1">
        <v>0.0</v>
      </c>
      <c r="L1178" s="1" t="s">
        <v>2042</v>
      </c>
      <c r="M1178" s="1" t="str">
        <f>VLOOKUP(L1178,'Copy of PMD Workday Constants -'!B1147:Y1833,22,false)</f>
        <v>#N/A</v>
      </c>
      <c r="N1178" s="1" t="s">
        <v>32</v>
      </c>
      <c r="O1178" s="1" t="s">
        <v>33</v>
      </c>
      <c r="P1178" s="1" t="s">
        <v>34</v>
      </c>
      <c r="Q1178" s="1" t="s">
        <v>34</v>
      </c>
      <c r="R1178" s="1" t="s">
        <v>35</v>
      </c>
      <c r="S1178" s="1" t="s">
        <v>126</v>
      </c>
      <c r="T1178" s="1">
        <v>1.00611284E8</v>
      </c>
      <c r="W1178" s="1" t="s">
        <v>493</v>
      </c>
      <c r="X1178" s="1" t="s">
        <v>2042</v>
      </c>
    </row>
    <row r="1179">
      <c r="A1179" s="1" t="s">
        <v>4086</v>
      </c>
      <c r="B1179" s="1" t="s">
        <v>70</v>
      </c>
      <c r="C1179" s="1" t="s">
        <v>4087</v>
      </c>
      <c r="D1179" s="1" t="s">
        <v>28</v>
      </c>
      <c r="E1179" s="1" t="s">
        <v>29</v>
      </c>
      <c r="F1179" s="5">
        <v>925000.0</v>
      </c>
      <c r="G1179" s="1" t="s">
        <v>3964</v>
      </c>
      <c r="H1179" s="1" t="s">
        <v>2463</v>
      </c>
      <c r="I1179" s="4">
        <v>44844.0</v>
      </c>
      <c r="K1179" s="1">
        <v>0.0</v>
      </c>
      <c r="L1179" s="1" t="s">
        <v>2522</v>
      </c>
      <c r="M1179" s="1" t="str">
        <f>VLOOKUP(L1179,'Copy of PMD Workday Constants -'!B1148:Y1834,22,false)</f>
        <v>#N/A</v>
      </c>
      <c r="N1179" s="1" t="s">
        <v>32</v>
      </c>
      <c r="O1179" s="1" t="s">
        <v>33</v>
      </c>
      <c r="P1179" s="1" t="s">
        <v>173</v>
      </c>
      <c r="Q1179" s="1" t="s">
        <v>173</v>
      </c>
      <c r="R1179" s="1" t="s">
        <v>174</v>
      </c>
      <c r="S1179" s="1" t="s">
        <v>612</v>
      </c>
      <c r="T1179" s="1">
        <v>1.00590772E8</v>
      </c>
      <c r="W1179" s="1" t="s">
        <v>74</v>
      </c>
      <c r="X1179" s="1" t="s">
        <v>75</v>
      </c>
    </row>
    <row r="1180">
      <c r="A1180" s="1" t="s">
        <v>4088</v>
      </c>
      <c r="B1180" s="1" t="s">
        <v>4089</v>
      </c>
      <c r="C1180" s="1" t="s">
        <v>4090</v>
      </c>
      <c r="D1180" s="1" t="s">
        <v>103</v>
      </c>
      <c r="E1180" s="1" t="s">
        <v>29</v>
      </c>
      <c r="F1180" s="5">
        <v>925000.0</v>
      </c>
      <c r="G1180" s="1" t="s">
        <v>3964</v>
      </c>
      <c r="H1180" s="1" t="s">
        <v>42</v>
      </c>
      <c r="I1180" s="4">
        <v>44569.0</v>
      </c>
      <c r="K1180" s="1">
        <v>0.0</v>
      </c>
      <c r="L1180" s="1" t="s">
        <v>3848</v>
      </c>
      <c r="M1180" s="1" t="str">
        <f>VLOOKUP(L1180,'Copy of PMD Workday Constants -'!B1149:Y1835,22,false)</f>
        <v>#N/A</v>
      </c>
      <c r="N1180" s="1" t="s">
        <v>32</v>
      </c>
      <c r="O1180" s="1" t="s">
        <v>33</v>
      </c>
      <c r="P1180" s="1" t="s">
        <v>173</v>
      </c>
      <c r="Q1180" s="1" t="s">
        <v>173</v>
      </c>
      <c r="R1180" s="1" t="s">
        <v>174</v>
      </c>
      <c r="S1180" s="1" t="s">
        <v>540</v>
      </c>
      <c r="T1180" s="1">
        <v>1.00654914E8</v>
      </c>
      <c r="W1180" s="1" t="s">
        <v>74</v>
      </c>
      <c r="X1180" s="1" t="s">
        <v>3795</v>
      </c>
    </row>
    <row r="1181">
      <c r="A1181" s="1" t="s">
        <v>4091</v>
      </c>
      <c r="B1181" s="1" t="s">
        <v>93</v>
      </c>
      <c r="C1181" s="1" t="s">
        <v>4092</v>
      </c>
      <c r="D1181" s="1" t="s">
        <v>79</v>
      </c>
      <c r="E1181" s="1" t="s">
        <v>29</v>
      </c>
      <c r="F1181" s="5">
        <v>910000.0</v>
      </c>
      <c r="G1181" s="1" t="s">
        <v>3964</v>
      </c>
      <c r="H1181" s="1" t="s">
        <v>865</v>
      </c>
      <c r="I1181" s="1" t="s">
        <v>96</v>
      </c>
      <c r="K1181" s="1">
        <v>0.0</v>
      </c>
      <c r="L1181" s="1" t="s">
        <v>97</v>
      </c>
      <c r="M1181" s="1" t="str">
        <f>VLOOKUP(L1181,'Copy of PMD Workday Constants -'!B1150:Y1836,22,false)</f>
        <v>#N/A</v>
      </c>
      <c r="N1181" s="1" t="s">
        <v>32</v>
      </c>
      <c r="O1181" s="1" t="s">
        <v>33</v>
      </c>
      <c r="P1181" s="1" t="s">
        <v>64</v>
      </c>
      <c r="Q1181" s="1" t="s">
        <v>64</v>
      </c>
      <c r="R1181" s="1" t="s">
        <v>65</v>
      </c>
      <c r="S1181" s="1" t="s">
        <v>4093</v>
      </c>
      <c r="T1181" s="1">
        <v>1.00653539E8</v>
      </c>
      <c r="W1181" s="1" t="s">
        <v>56</v>
      </c>
      <c r="X1181" s="1" t="s">
        <v>99</v>
      </c>
    </row>
    <row r="1182">
      <c r="A1182" s="1" t="s">
        <v>4094</v>
      </c>
      <c r="B1182" s="1" t="s">
        <v>4095</v>
      </c>
      <c r="C1182" s="1" t="s">
        <v>4096</v>
      </c>
      <c r="D1182" s="1" t="s">
        <v>28</v>
      </c>
      <c r="E1182" s="1" t="s">
        <v>29</v>
      </c>
      <c r="F1182" s="5">
        <v>910000.0</v>
      </c>
      <c r="G1182" s="1" t="s">
        <v>3964</v>
      </c>
      <c r="H1182" s="4">
        <v>43226.0</v>
      </c>
      <c r="I1182" s="1" t="s">
        <v>132</v>
      </c>
      <c r="K1182" s="1">
        <v>0.0</v>
      </c>
      <c r="L1182" s="1" t="s">
        <v>499</v>
      </c>
      <c r="M1182" s="1" t="str">
        <f>VLOOKUP(L1182,'Copy of PMD Workday Constants -'!B1151:Y1837,22,false)</f>
        <v>#N/A</v>
      </c>
      <c r="N1182" s="1" t="s">
        <v>32</v>
      </c>
      <c r="O1182" s="1" t="s">
        <v>33</v>
      </c>
      <c r="P1182" s="1" t="s">
        <v>34</v>
      </c>
      <c r="Q1182" s="1" t="s">
        <v>34</v>
      </c>
      <c r="R1182" s="1" t="s">
        <v>35</v>
      </c>
      <c r="T1182" s="1">
        <v>1.00627768E8</v>
      </c>
      <c r="W1182" s="1" t="s">
        <v>91</v>
      </c>
      <c r="X1182" s="1" t="s">
        <v>4097</v>
      </c>
    </row>
    <row r="1183">
      <c r="A1183" s="1" t="s">
        <v>4098</v>
      </c>
      <c r="B1183" s="1" t="s">
        <v>521</v>
      </c>
      <c r="C1183" s="1" t="s">
        <v>4099</v>
      </c>
      <c r="D1183" s="1" t="s">
        <v>103</v>
      </c>
      <c r="E1183" s="1" t="s">
        <v>29</v>
      </c>
      <c r="F1183" s="5">
        <v>900000.0</v>
      </c>
      <c r="G1183" s="1" t="s">
        <v>3964</v>
      </c>
      <c r="H1183" s="4">
        <v>44477.0</v>
      </c>
      <c r="I1183" s="1" t="s">
        <v>1746</v>
      </c>
      <c r="K1183" s="1">
        <v>0.0</v>
      </c>
      <c r="L1183" s="1" t="s">
        <v>319</v>
      </c>
      <c r="M1183" s="1" t="str">
        <f>VLOOKUP(L1183,'Copy of PMD Workday Constants -'!B1152:Y1838,22,false)</f>
        <v>#N/A</v>
      </c>
      <c r="N1183" s="1" t="s">
        <v>32</v>
      </c>
      <c r="O1183" s="1" t="s">
        <v>33</v>
      </c>
      <c r="P1183" s="1" t="s">
        <v>82</v>
      </c>
      <c r="Q1183" s="1" t="s">
        <v>82</v>
      </c>
      <c r="R1183" s="1" t="s">
        <v>83</v>
      </c>
      <c r="S1183" s="1" t="s">
        <v>84</v>
      </c>
      <c r="T1183" s="1">
        <v>1.00654705E8</v>
      </c>
      <c r="W1183" s="1" t="s">
        <v>85</v>
      </c>
      <c r="X1183" s="1" t="s">
        <v>319</v>
      </c>
    </row>
    <row r="1184">
      <c r="A1184" s="1" t="s">
        <v>4100</v>
      </c>
      <c r="B1184" s="1" t="s">
        <v>4101</v>
      </c>
      <c r="C1184" s="1" t="s">
        <v>4102</v>
      </c>
      <c r="D1184" s="1" t="s">
        <v>79</v>
      </c>
      <c r="E1184" s="1" t="s">
        <v>29</v>
      </c>
      <c r="F1184" s="5">
        <v>900000.0</v>
      </c>
      <c r="G1184" s="1" t="s">
        <v>3964</v>
      </c>
      <c r="H1184" s="1" t="s">
        <v>4103</v>
      </c>
      <c r="I1184" s="4">
        <v>44780.0</v>
      </c>
      <c r="J1184" s="1" t="s">
        <v>4104</v>
      </c>
      <c r="K1184" s="1">
        <v>0.0</v>
      </c>
      <c r="L1184" s="1" t="s">
        <v>790</v>
      </c>
      <c r="M1184" s="1" t="str">
        <f>VLOOKUP(L1184,'Copy of PMD Workday Constants -'!B1153:Y1839,22,false)</f>
        <v>#N/A</v>
      </c>
      <c r="N1184" s="1" t="s">
        <v>32</v>
      </c>
      <c r="O1184" s="1" t="s">
        <v>33</v>
      </c>
      <c r="P1184" s="1" t="s">
        <v>64</v>
      </c>
      <c r="Q1184" s="1" t="s">
        <v>64</v>
      </c>
      <c r="R1184" s="1" t="s">
        <v>65</v>
      </c>
      <c r="S1184" s="1" t="s">
        <v>791</v>
      </c>
      <c r="T1184" s="1">
        <v>1.00661738E8</v>
      </c>
      <c r="W1184" s="1" t="s">
        <v>456</v>
      </c>
      <c r="X1184" s="1" t="s">
        <v>790</v>
      </c>
    </row>
    <row r="1185">
      <c r="A1185" s="1" t="s">
        <v>4105</v>
      </c>
      <c r="B1185" s="1" t="s">
        <v>4106</v>
      </c>
      <c r="C1185" s="1" t="s">
        <v>4107</v>
      </c>
      <c r="D1185" s="1" t="s">
        <v>28</v>
      </c>
      <c r="E1185" s="1" t="s">
        <v>29</v>
      </c>
      <c r="F1185" s="5">
        <v>900000.0</v>
      </c>
      <c r="G1185" s="1" t="s">
        <v>3964</v>
      </c>
      <c r="H1185" s="4">
        <v>44810.0</v>
      </c>
      <c r="I1185" s="1" t="s">
        <v>43</v>
      </c>
      <c r="K1185" s="1">
        <v>0.0</v>
      </c>
      <c r="L1185" s="1" t="s">
        <v>3891</v>
      </c>
      <c r="M1185" s="1" t="str">
        <f>VLOOKUP(L1185,'Copy of PMD Workday Constants -'!B1154:Y1840,22,false)</f>
        <v>#N/A</v>
      </c>
      <c r="N1185" s="1" t="s">
        <v>32</v>
      </c>
      <c r="O1185" s="1" t="s">
        <v>33</v>
      </c>
      <c r="P1185" s="1" t="s">
        <v>112</v>
      </c>
      <c r="Q1185" s="1" t="s">
        <v>112</v>
      </c>
      <c r="R1185" s="1" t="s">
        <v>113</v>
      </c>
      <c r="S1185" s="1" t="s">
        <v>134</v>
      </c>
      <c r="T1185" s="1">
        <v>1.00589299E8</v>
      </c>
      <c r="W1185" s="1" t="s">
        <v>74</v>
      </c>
      <c r="X1185" s="1" t="s">
        <v>4108</v>
      </c>
    </row>
    <row r="1186">
      <c r="A1186" s="1" t="s">
        <v>4109</v>
      </c>
      <c r="B1186" s="1" t="s">
        <v>4110</v>
      </c>
      <c r="C1186" s="1" t="s">
        <v>4111</v>
      </c>
      <c r="D1186" s="1" t="s">
        <v>51</v>
      </c>
      <c r="E1186" s="1" t="s">
        <v>29</v>
      </c>
      <c r="F1186" s="5">
        <v>900000.0</v>
      </c>
      <c r="G1186" s="1" t="s">
        <v>3964</v>
      </c>
      <c r="H1186" s="4">
        <v>44746.0</v>
      </c>
      <c r="I1186" s="1" t="s">
        <v>810</v>
      </c>
      <c r="K1186" s="1">
        <v>0.0</v>
      </c>
      <c r="L1186" s="1" t="s">
        <v>4112</v>
      </c>
      <c r="M1186" s="1" t="str">
        <f>VLOOKUP(L1186,'Copy of PMD Workday Constants -'!B1155:Y1841,22,false)</f>
        <v>#N/A</v>
      </c>
      <c r="N1186" s="1" t="s">
        <v>32</v>
      </c>
      <c r="O1186" s="1" t="s">
        <v>33</v>
      </c>
      <c r="P1186" s="1" t="s">
        <v>34</v>
      </c>
      <c r="Q1186" s="1" t="s">
        <v>34</v>
      </c>
      <c r="R1186" s="1" t="s">
        <v>35</v>
      </c>
      <c r="T1186" s="1">
        <v>1.00584558E8</v>
      </c>
      <c r="W1186" s="1" t="s">
        <v>140</v>
      </c>
      <c r="X1186" s="1" t="s">
        <v>1377</v>
      </c>
    </row>
    <row r="1187">
      <c r="A1187" s="1" t="s">
        <v>4113</v>
      </c>
      <c r="B1187" s="1" t="s">
        <v>4114</v>
      </c>
      <c r="C1187" s="1" t="s">
        <v>4115</v>
      </c>
      <c r="D1187" s="1" t="s">
        <v>28</v>
      </c>
      <c r="E1187" s="1" t="s">
        <v>29</v>
      </c>
      <c r="F1187" s="5">
        <v>900000.0</v>
      </c>
      <c r="G1187" s="1" t="s">
        <v>3964</v>
      </c>
      <c r="H1187" s="4">
        <v>44319.0</v>
      </c>
      <c r="I1187" s="1" t="s">
        <v>80</v>
      </c>
      <c r="K1187" s="1">
        <v>0.0</v>
      </c>
      <c r="L1187" s="1" t="s">
        <v>749</v>
      </c>
      <c r="M1187" s="1" t="str">
        <f>VLOOKUP(L1187,'Copy of PMD Workday Constants -'!B1156:Y1842,22,false)</f>
        <v>#N/A</v>
      </c>
      <c r="N1187" s="1" t="s">
        <v>32</v>
      </c>
      <c r="O1187" s="1" t="s">
        <v>33</v>
      </c>
      <c r="P1187" s="1" t="s">
        <v>34</v>
      </c>
      <c r="Q1187" s="1" t="s">
        <v>34</v>
      </c>
      <c r="R1187" s="1" t="s">
        <v>35</v>
      </c>
      <c r="S1187" s="1" t="s">
        <v>153</v>
      </c>
      <c r="T1187" s="1">
        <v>1.00686761E8</v>
      </c>
      <c r="W1187" s="1" t="s">
        <v>91</v>
      </c>
      <c r="X1187" s="1" t="s">
        <v>689</v>
      </c>
    </row>
    <row r="1188">
      <c r="A1188" s="1" t="s">
        <v>4116</v>
      </c>
      <c r="B1188" s="1" t="s">
        <v>143</v>
      </c>
      <c r="C1188" s="1" t="s">
        <v>4117</v>
      </c>
      <c r="D1188" s="1" t="s">
        <v>103</v>
      </c>
      <c r="E1188" s="1" t="s">
        <v>29</v>
      </c>
      <c r="F1188" s="5">
        <v>900000.0</v>
      </c>
      <c r="G1188" s="1" t="s">
        <v>3964</v>
      </c>
      <c r="H1188" s="4">
        <v>44447.0</v>
      </c>
      <c r="I1188" s="1" t="s">
        <v>80</v>
      </c>
      <c r="K1188" s="1">
        <v>0.0</v>
      </c>
      <c r="L1188" s="1" t="s">
        <v>2133</v>
      </c>
      <c r="M1188" s="1" t="str">
        <f>VLOOKUP(L1188,'Copy of PMD Workday Constants -'!B1157:Y1843,22,false)</f>
        <v>#N/A</v>
      </c>
      <c r="N1188" s="1" t="s">
        <v>32</v>
      </c>
      <c r="O1188" s="1" t="s">
        <v>33</v>
      </c>
      <c r="P1188" s="1" t="s">
        <v>64</v>
      </c>
      <c r="Q1188" s="1" t="s">
        <v>64</v>
      </c>
      <c r="R1188" s="1" t="s">
        <v>65</v>
      </c>
      <c r="S1188" s="1" t="s">
        <v>66</v>
      </c>
      <c r="T1188" s="1">
        <v>1.00653977E8</v>
      </c>
      <c r="W1188" s="1" t="s">
        <v>147</v>
      </c>
      <c r="X1188" s="1" t="s">
        <v>3074</v>
      </c>
    </row>
    <row r="1189">
      <c r="A1189" s="1" t="s">
        <v>4118</v>
      </c>
      <c r="B1189" s="1" t="s">
        <v>623</v>
      </c>
      <c r="C1189" s="1" t="s">
        <v>4119</v>
      </c>
      <c r="D1189" s="1" t="s">
        <v>51</v>
      </c>
      <c r="E1189" s="1" t="s">
        <v>29</v>
      </c>
      <c r="F1189" s="5">
        <v>900000.0</v>
      </c>
      <c r="G1189" s="1" t="s">
        <v>3964</v>
      </c>
      <c r="H1189" s="4">
        <v>44810.0</v>
      </c>
      <c r="I1189" s="1" t="s">
        <v>104</v>
      </c>
      <c r="K1189" s="1">
        <v>0.0</v>
      </c>
      <c r="L1189" s="1" t="s">
        <v>198</v>
      </c>
      <c r="M1189" s="1" t="str">
        <f>VLOOKUP(L1189,'Copy of PMD Workday Constants -'!B1158:Y1844,22,false)</f>
        <v>#N/A</v>
      </c>
      <c r="N1189" s="1" t="s">
        <v>32</v>
      </c>
      <c r="O1189" s="1" t="s">
        <v>33</v>
      </c>
      <c r="P1189" s="1" t="s">
        <v>82</v>
      </c>
      <c r="Q1189" s="1" t="s">
        <v>82</v>
      </c>
      <c r="R1189" s="1" t="s">
        <v>83</v>
      </c>
      <c r="S1189" s="1" t="s">
        <v>180</v>
      </c>
      <c r="T1189" s="1">
        <v>1.00590896E8</v>
      </c>
      <c r="W1189" s="1" t="s">
        <v>85</v>
      </c>
      <c r="X1189" s="1" t="s">
        <v>2497</v>
      </c>
    </row>
    <row r="1190">
      <c r="A1190" s="1" t="s">
        <v>4120</v>
      </c>
      <c r="B1190" s="1" t="s">
        <v>93</v>
      </c>
      <c r="C1190" s="1" t="s">
        <v>4121</v>
      </c>
      <c r="D1190" s="1" t="s">
        <v>28</v>
      </c>
      <c r="E1190" s="1" t="s">
        <v>29</v>
      </c>
      <c r="F1190" s="5">
        <v>900000.0</v>
      </c>
      <c r="G1190" s="1" t="s">
        <v>3964</v>
      </c>
      <c r="H1190" s="1" t="s">
        <v>920</v>
      </c>
      <c r="I1190" s="1" t="s">
        <v>80</v>
      </c>
      <c r="K1190" s="1">
        <v>0.0</v>
      </c>
      <c r="L1190" s="1" t="s">
        <v>162</v>
      </c>
      <c r="M1190" s="1" t="str">
        <f>VLOOKUP(L1190,'Copy of PMD Workday Constants -'!B1159:Y1845,22,false)</f>
        <v>#N/A</v>
      </c>
      <c r="N1190" s="1" t="s">
        <v>32</v>
      </c>
      <c r="O1190" s="1" t="s">
        <v>33</v>
      </c>
      <c r="P1190" s="1" t="s">
        <v>64</v>
      </c>
      <c r="Q1190" s="1" t="s">
        <v>64</v>
      </c>
      <c r="R1190" s="1" t="s">
        <v>65</v>
      </c>
      <c r="S1190" s="1" t="s">
        <v>612</v>
      </c>
      <c r="T1190" s="1">
        <v>1.00652489E8</v>
      </c>
      <c r="W1190" s="1" t="s">
        <v>56</v>
      </c>
      <c r="X1190" s="1" t="s">
        <v>162</v>
      </c>
    </row>
    <row r="1191">
      <c r="A1191" s="1" t="s">
        <v>4122</v>
      </c>
      <c r="B1191" s="1" t="s">
        <v>341</v>
      </c>
      <c r="C1191" s="1" t="s">
        <v>4123</v>
      </c>
      <c r="D1191" s="1" t="s">
        <v>28</v>
      </c>
      <c r="E1191" s="1" t="s">
        <v>29</v>
      </c>
      <c r="F1191" s="5">
        <v>900000.0</v>
      </c>
      <c r="G1191" s="1" t="s">
        <v>3964</v>
      </c>
      <c r="H1191" s="4">
        <v>44567.0</v>
      </c>
      <c r="I1191" s="1" t="s">
        <v>237</v>
      </c>
      <c r="K1191" s="1">
        <v>0.0</v>
      </c>
      <c r="L1191" s="1" t="s">
        <v>344</v>
      </c>
      <c r="M1191" s="1" t="str">
        <f>VLOOKUP(L1191,'Copy of PMD Workday Constants -'!B1160:Y1846,22,false)</f>
        <v>#N/A</v>
      </c>
      <c r="N1191" s="1" t="s">
        <v>32</v>
      </c>
      <c r="O1191" s="1" t="s">
        <v>33</v>
      </c>
      <c r="P1191" s="1" t="s">
        <v>82</v>
      </c>
      <c r="Q1191" s="1" t="s">
        <v>82</v>
      </c>
      <c r="R1191" s="1" t="s">
        <v>83</v>
      </c>
      <c r="S1191" s="1" t="s">
        <v>180</v>
      </c>
      <c r="T1191" s="1">
        <v>1.00610483E8</v>
      </c>
      <c r="W1191" s="1" t="s">
        <v>85</v>
      </c>
      <c r="X1191" s="1" t="s">
        <v>4124</v>
      </c>
    </row>
    <row r="1192">
      <c r="A1192" s="1" t="s">
        <v>4125</v>
      </c>
      <c r="B1192" s="1" t="s">
        <v>3267</v>
      </c>
      <c r="C1192" s="1" t="s">
        <v>4126</v>
      </c>
      <c r="D1192" s="1" t="s">
        <v>103</v>
      </c>
      <c r="E1192" s="1" t="s">
        <v>29</v>
      </c>
      <c r="F1192" s="5">
        <v>900000.0</v>
      </c>
      <c r="G1192" s="1" t="s">
        <v>3964</v>
      </c>
      <c r="H1192" s="4">
        <v>44451.0</v>
      </c>
      <c r="I1192" s="4">
        <v>44812.0</v>
      </c>
      <c r="K1192" s="1">
        <v>0.0</v>
      </c>
      <c r="L1192" s="1" t="s">
        <v>4127</v>
      </c>
      <c r="M1192" s="1" t="str">
        <f>VLOOKUP(L1192,'Copy of PMD Workday Constants -'!B1161:Y1847,22,false)</f>
        <v>#N/A</v>
      </c>
      <c r="N1192" s="1" t="s">
        <v>32</v>
      </c>
      <c r="O1192" s="1" t="s">
        <v>33</v>
      </c>
      <c r="P1192" s="1" t="s">
        <v>64</v>
      </c>
      <c r="Q1192" s="1" t="s">
        <v>64</v>
      </c>
      <c r="R1192" s="1" t="s">
        <v>65</v>
      </c>
      <c r="S1192" s="1" t="s">
        <v>1496</v>
      </c>
      <c r="T1192" s="1">
        <v>1.00661817E8</v>
      </c>
      <c r="W1192" s="1" t="s">
        <v>258</v>
      </c>
      <c r="X1192" s="1" t="s">
        <v>2202</v>
      </c>
    </row>
    <row r="1193">
      <c r="A1193" s="1" t="s">
        <v>4128</v>
      </c>
      <c r="B1193" s="1" t="s">
        <v>4129</v>
      </c>
      <c r="C1193" s="1" t="s">
        <v>4130</v>
      </c>
      <c r="D1193" s="1" t="s">
        <v>28</v>
      </c>
      <c r="E1193" s="1" t="s">
        <v>29</v>
      </c>
      <c r="F1193" s="5">
        <v>900000.0</v>
      </c>
      <c r="G1193" s="1" t="s">
        <v>3964</v>
      </c>
      <c r="H1193" s="4">
        <v>44747.0</v>
      </c>
      <c r="I1193" s="4">
        <v>44601.0</v>
      </c>
      <c r="K1193" s="1">
        <v>0.0</v>
      </c>
      <c r="L1193" s="1" t="s">
        <v>1790</v>
      </c>
      <c r="M1193" s="1" t="str">
        <f>VLOOKUP(L1193,'Copy of PMD Workday Constants -'!B1162:Y1848,22,false)</f>
        <v>#N/A</v>
      </c>
      <c r="N1193" s="1" t="s">
        <v>32</v>
      </c>
      <c r="O1193" s="1" t="s">
        <v>33</v>
      </c>
      <c r="P1193" s="1" t="s">
        <v>222</v>
      </c>
      <c r="Q1193" s="1" t="s">
        <v>222</v>
      </c>
      <c r="R1193" s="1" t="s">
        <v>223</v>
      </c>
      <c r="T1193" s="1">
        <v>1.00645232E8</v>
      </c>
      <c r="W1193" s="1" t="s">
        <v>436</v>
      </c>
      <c r="X1193" s="1" t="s">
        <v>1790</v>
      </c>
    </row>
    <row r="1194">
      <c r="A1194" s="1" t="s">
        <v>4131</v>
      </c>
      <c r="B1194" s="1" t="s">
        <v>4132</v>
      </c>
      <c r="C1194" s="1" t="s">
        <v>4133</v>
      </c>
      <c r="D1194" s="1" t="s">
        <v>103</v>
      </c>
      <c r="E1194" s="1" t="s">
        <v>29</v>
      </c>
      <c r="F1194" s="5">
        <v>900000.0</v>
      </c>
      <c r="G1194" s="1" t="s">
        <v>3964</v>
      </c>
      <c r="H1194" s="1" t="s">
        <v>3018</v>
      </c>
      <c r="I1194" s="4">
        <v>44689.0</v>
      </c>
      <c r="K1194" s="1">
        <v>0.0</v>
      </c>
      <c r="L1194" s="1" t="s">
        <v>4134</v>
      </c>
      <c r="M1194" s="1" t="str">
        <f>VLOOKUP(L1194,'Copy of PMD Workday Constants -'!B1163:Y1849,22,false)</f>
        <v>#N/A</v>
      </c>
      <c r="N1194" s="1" t="s">
        <v>32</v>
      </c>
      <c r="O1194" s="1" t="s">
        <v>33</v>
      </c>
      <c r="P1194" s="1" t="s">
        <v>210</v>
      </c>
      <c r="Q1194" s="1" t="s">
        <v>210</v>
      </c>
      <c r="R1194" s="1" t="s">
        <v>211</v>
      </c>
      <c r="S1194" s="1" t="s">
        <v>1313</v>
      </c>
      <c r="T1194" s="1">
        <v>1.00945646E8</v>
      </c>
      <c r="W1194" s="1" t="s">
        <v>436</v>
      </c>
      <c r="X1194" s="1" t="s">
        <v>4135</v>
      </c>
    </row>
    <row r="1195">
      <c r="A1195" s="1" t="s">
        <v>4136</v>
      </c>
      <c r="B1195" s="1" t="s">
        <v>580</v>
      </c>
      <c r="C1195" s="1" t="s">
        <v>4137</v>
      </c>
      <c r="D1195" s="1" t="s">
        <v>103</v>
      </c>
      <c r="E1195" s="1" t="s">
        <v>29</v>
      </c>
      <c r="F1195" s="5">
        <v>900000.0</v>
      </c>
      <c r="G1195" s="1" t="s">
        <v>3964</v>
      </c>
      <c r="H1195" s="4">
        <v>44868.0</v>
      </c>
      <c r="I1195" s="1" t="s">
        <v>43</v>
      </c>
      <c r="K1195" s="1">
        <v>0.0</v>
      </c>
      <c r="L1195" s="1" t="s">
        <v>4138</v>
      </c>
      <c r="M1195" s="1" t="str">
        <f>VLOOKUP(L1195,'Copy of PMD Workday Constants -'!B1164:Y1850,22,false)</f>
        <v>#N/A</v>
      </c>
      <c r="N1195" s="1" t="s">
        <v>32</v>
      </c>
      <c r="O1195" s="1" t="s">
        <v>33</v>
      </c>
      <c r="P1195" s="1" t="s">
        <v>173</v>
      </c>
      <c r="Q1195" s="1" t="s">
        <v>173</v>
      </c>
      <c r="R1195" s="1" t="s">
        <v>174</v>
      </c>
      <c r="T1195" s="1">
        <v>1.00910245E8</v>
      </c>
      <c r="W1195" s="1" t="s">
        <v>456</v>
      </c>
      <c r="X1195" s="1" t="s">
        <v>4139</v>
      </c>
    </row>
    <row r="1196">
      <c r="A1196" s="1" t="s">
        <v>4140</v>
      </c>
      <c r="B1196" s="1" t="s">
        <v>580</v>
      </c>
      <c r="C1196" s="1" t="s">
        <v>4141</v>
      </c>
      <c r="D1196" s="1" t="s">
        <v>103</v>
      </c>
      <c r="E1196" s="1" t="s">
        <v>29</v>
      </c>
      <c r="F1196" s="5">
        <v>900000.0</v>
      </c>
      <c r="G1196" s="1" t="s">
        <v>3964</v>
      </c>
      <c r="H1196" s="1" t="s">
        <v>509</v>
      </c>
      <c r="I1196" s="1" t="s">
        <v>732</v>
      </c>
      <c r="K1196" s="1">
        <v>0.0</v>
      </c>
      <c r="L1196" s="1" t="s">
        <v>4138</v>
      </c>
      <c r="M1196" s="1" t="str">
        <f>VLOOKUP(L1196,'Copy of PMD Workday Constants -'!B1165:Y1851,22,false)</f>
        <v>#N/A</v>
      </c>
      <c r="N1196" s="1" t="s">
        <v>32</v>
      </c>
      <c r="O1196" s="1" t="s">
        <v>33</v>
      </c>
      <c r="P1196" s="1" t="s">
        <v>173</v>
      </c>
      <c r="Q1196" s="1" t="s">
        <v>173</v>
      </c>
      <c r="R1196" s="1" t="s">
        <v>174</v>
      </c>
      <c r="S1196" s="1" t="s">
        <v>4142</v>
      </c>
      <c r="T1196" s="1">
        <v>1.00910245E8</v>
      </c>
      <c r="W1196" s="1" t="s">
        <v>456</v>
      </c>
      <c r="X1196" s="1" t="s">
        <v>4143</v>
      </c>
    </row>
    <row r="1197">
      <c r="A1197" s="1" t="s">
        <v>4144</v>
      </c>
      <c r="B1197" s="1" t="s">
        <v>970</v>
      </c>
      <c r="C1197" s="1" t="s">
        <v>4145</v>
      </c>
      <c r="D1197" s="1" t="s">
        <v>51</v>
      </c>
      <c r="E1197" s="1" t="s">
        <v>29</v>
      </c>
      <c r="F1197" s="5">
        <v>900000.0</v>
      </c>
      <c r="G1197" s="1" t="s">
        <v>3964</v>
      </c>
      <c r="H1197" s="1" t="s">
        <v>4146</v>
      </c>
      <c r="I1197" s="1" t="s">
        <v>4147</v>
      </c>
      <c r="K1197" s="1">
        <v>0.0</v>
      </c>
      <c r="L1197" s="1" t="s">
        <v>1400</v>
      </c>
      <c r="M1197" s="1" t="str">
        <f>VLOOKUP(L1197,'Copy of PMD Workday Constants -'!B1166:Y1852,22,false)</f>
        <v>#N/A</v>
      </c>
      <c r="N1197" s="1" t="s">
        <v>32</v>
      </c>
      <c r="O1197" s="1" t="s">
        <v>33</v>
      </c>
      <c r="P1197" s="1" t="s">
        <v>64</v>
      </c>
      <c r="Q1197" s="1" t="s">
        <v>64</v>
      </c>
      <c r="R1197" s="1" t="s">
        <v>65</v>
      </c>
      <c r="S1197" s="1" t="s">
        <v>126</v>
      </c>
      <c r="T1197" s="1">
        <v>1.0059033E8</v>
      </c>
      <c r="W1197" s="1" t="s">
        <v>308</v>
      </c>
      <c r="X1197" s="1" t="s">
        <v>309</v>
      </c>
    </row>
    <row r="1198">
      <c r="A1198" s="1" t="s">
        <v>4148</v>
      </c>
      <c r="B1198" s="1" t="s">
        <v>4149</v>
      </c>
      <c r="C1198" s="1" t="s">
        <v>4150</v>
      </c>
      <c r="D1198" s="1" t="s">
        <v>51</v>
      </c>
      <c r="E1198" s="1" t="s">
        <v>29</v>
      </c>
      <c r="F1198" s="5">
        <v>900000.0</v>
      </c>
      <c r="G1198" s="1" t="s">
        <v>3964</v>
      </c>
      <c r="H1198" s="1" t="s">
        <v>2210</v>
      </c>
      <c r="I1198" s="1" t="s">
        <v>302</v>
      </c>
      <c r="J1198" s="1" t="s">
        <v>4151</v>
      </c>
      <c r="K1198" s="1">
        <v>0.0</v>
      </c>
      <c r="L1198" s="1" t="s">
        <v>678</v>
      </c>
      <c r="M1198" s="1" t="str">
        <f>VLOOKUP(L1198,'Copy of PMD Workday Constants -'!B1167:Y1853,22,false)</f>
        <v>#N/A</v>
      </c>
      <c r="N1198" s="1" t="s">
        <v>32</v>
      </c>
      <c r="O1198" s="1" t="s">
        <v>33</v>
      </c>
      <c r="P1198" s="1" t="s">
        <v>210</v>
      </c>
      <c r="Q1198" s="1" t="s">
        <v>210</v>
      </c>
      <c r="R1198" s="1" t="s">
        <v>211</v>
      </c>
      <c r="S1198" s="1" t="s">
        <v>416</v>
      </c>
      <c r="T1198" s="1">
        <v>1.00609073E8</v>
      </c>
      <c r="W1198" s="1" t="s">
        <v>74</v>
      </c>
      <c r="X1198" s="1" t="s">
        <v>678</v>
      </c>
    </row>
    <row r="1199">
      <c r="A1199" s="1" t="s">
        <v>4152</v>
      </c>
      <c r="B1199" s="1" t="s">
        <v>3085</v>
      </c>
      <c r="C1199" s="1" t="s">
        <v>4153</v>
      </c>
      <c r="D1199" s="1" t="s">
        <v>28</v>
      </c>
      <c r="E1199" s="1" t="s">
        <v>29</v>
      </c>
      <c r="F1199" s="5">
        <v>900000.0</v>
      </c>
      <c r="G1199" s="1" t="s">
        <v>3964</v>
      </c>
      <c r="H1199" s="4">
        <v>44442.0</v>
      </c>
      <c r="I1199" s="1" t="s">
        <v>96</v>
      </c>
      <c r="K1199" s="1">
        <v>0.0</v>
      </c>
      <c r="L1199" s="1" t="s">
        <v>344</v>
      </c>
      <c r="M1199" s="1" t="str">
        <f>VLOOKUP(L1199,'Copy of PMD Workday Constants -'!B1168:Y1854,22,false)</f>
        <v>#N/A</v>
      </c>
      <c r="N1199" s="1" t="s">
        <v>32</v>
      </c>
      <c r="O1199" s="1" t="s">
        <v>33</v>
      </c>
      <c r="P1199" s="1" t="s">
        <v>82</v>
      </c>
      <c r="Q1199" s="1" t="s">
        <v>82</v>
      </c>
      <c r="R1199" s="1" t="s">
        <v>83</v>
      </c>
      <c r="S1199" s="1" t="s">
        <v>180</v>
      </c>
      <c r="T1199" s="1">
        <v>1.00610483E8</v>
      </c>
      <c r="W1199" s="1" t="s">
        <v>85</v>
      </c>
      <c r="X1199" s="1" t="s">
        <v>344</v>
      </c>
    </row>
    <row r="1200">
      <c r="A1200" s="1" t="s">
        <v>4154</v>
      </c>
      <c r="B1200" s="1" t="s">
        <v>4155</v>
      </c>
      <c r="C1200" s="1" t="s">
        <v>4156</v>
      </c>
      <c r="D1200" s="1" t="s">
        <v>51</v>
      </c>
      <c r="E1200" s="1" t="s">
        <v>29</v>
      </c>
      <c r="F1200" s="5">
        <v>900000.0</v>
      </c>
      <c r="G1200" s="1" t="s">
        <v>3964</v>
      </c>
      <c r="H1200" s="4">
        <v>44481.0</v>
      </c>
      <c r="I1200" s="4">
        <v>45078.0</v>
      </c>
      <c r="K1200" s="1">
        <v>0.0</v>
      </c>
      <c r="L1200" s="1" t="s">
        <v>1534</v>
      </c>
      <c r="M1200" s="1" t="str">
        <f>VLOOKUP(L1200,'Copy of PMD Workday Constants -'!B1169:Y1855,22,false)</f>
        <v>#N/A</v>
      </c>
      <c r="N1200" s="1" t="s">
        <v>32</v>
      </c>
      <c r="O1200" s="1" t="s">
        <v>33</v>
      </c>
      <c r="P1200" s="1" t="s">
        <v>82</v>
      </c>
      <c r="Q1200" s="1" t="s">
        <v>82</v>
      </c>
      <c r="R1200" s="1" t="s">
        <v>83</v>
      </c>
      <c r="S1200" s="1" t="s">
        <v>84</v>
      </c>
      <c r="T1200" s="1">
        <v>1.00618842E8</v>
      </c>
      <c r="W1200" s="1" t="s">
        <v>85</v>
      </c>
      <c r="X1200" s="1" t="s">
        <v>1534</v>
      </c>
    </row>
    <row r="1201">
      <c r="A1201" s="1" t="s">
        <v>4157</v>
      </c>
      <c r="B1201" s="1" t="s">
        <v>1968</v>
      </c>
      <c r="C1201" s="1" t="s">
        <v>4158</v>
      </c>
      <c r="D1201" s="1" t="s">
        <v>103</v>
      </c>
      <c r="E1201" s="1" t="s">
        <v>29</v>
      </c>
      <c r="F1201" s="5">
        <v>900000.0</v>
      </c>
      <c r="G1201" s="1" t="s">
        <v>3964</v>
      </c>
      <c r="H1201" s="1" t="s">
        <v>1330</v>
      </c>
      <c r="I1201" s="4">
        <v>44567.0</v>
      </c>
      <c r="K1201" s="1">
        <v>0.0</v>
      </c>
      <c r="L1201" s="1" t="s">
        <v>4159</v>
      </c>
      <c r="M1201" s="1" t="str">
        <f>VLOOKUP(L1201,'Copy of PMD Workday Constants -'!B1170:Y1856,22,false)</f>
        <v>#N/A</v>
      </c>
      <c r="N1201" s="1" t="s">
        <v>32</v>
      </c>
      <c r="O1201" s="1" t="s">
        <v>33</v>
      </c>
      <c r="P1201" s="1" t="s">
        <v>222</v>
      </c>
      <c r="Q1201" s="1" t="s">
        <v>222</v>
      </c>
      <c r="R1201" s="1" t="s">
        <v>223</v>
      </c>
      <c r="S1201" s="1" t="s">
        <v>482</v>
      </c>
      <c r="T1201" s="1">
        <v>1.00888587E8</v>
      </c>
      <c r="W1201" s="1" t="s">
        <v>85</v>
      </c>
      <c r="X1201" s="1" t="s">
        <v>4160</v>
      </c>
    </row>
    <row r="1202">
      <c r="A1202" s="1" t="s">
        <v>4161</v>
      </c>
      <c r="B1202" s="1" t="s">
        <v>4162</v>
      </c>
      <c r="C1202" s="1" t="s">
        <v>4163</v>
      </c>
      <c r="D1202" s="1" t="s">
        <v>51</v>
      </c>
      <c r="E1202" s="1" t="s">
        <v>29</v>
      </c>
      <c r="F1202" s="5">
        <v>900000.0</v>
      </c>
      <c r="G1202" s="1" t="s">
        <v>3964</v>
      </c>
      <c r="H1202" s="4">
        <v>44682.0</v>
      </c>
      <c r="I1202" s="1" t="s">
        <v>104</v>
      </c>
      <c r="K1202" s="1">
        <v>0.0</v>
      </c>
      <c r="L1202" s="1" t="s">
        <v>682</v>
      </c>
      <c r="M1202" s="1" t="str">
        <f>VLOOKUP(L1202,'Copy of PMD Workday Constants -'!B1171:Y1857,22,false)</f>
        <v>#N/A</v>
      </c>
      <c r="N1202" s="1" t="s">
        <v>32</v>
      </c>
      <c r="O1202" s="1" t="s">
        <v>33</v>
      </c>
      <c r="P1202" s="1" t="s">
        <v>112</v>
      </c>
      <c r="Q1202" s="1" t="s">
        <v>112</v>
      </c>
      <c r="R1202" s="1" t="s">
        <v>113</v>
      </c>
      <c r="S1202" s="1" t="s">
        <v>307</v>
      </c>
      <c r="T1202" s="1">
        <v>1.00629293E8</v>
      </c>
      <c r="W1202" s="1" t="s">
        <v>308</v>
      </c>
      <c r="X1202" s="1" t="s">
        <v>4164</v>
      </c>
    </row>
    <row r="1203">
      <c r="A1203" s="1" t="s">
        <v>4165</v>
      </c>
      <c r="B1203" s="1" t="s">
        <v>2079</v>
      </c>
      <c r="C1203" s="1" t="s">
        <v>4166</v>
      </c>
      <c r="D1203" s="1" t="s">
        <v>51</v>
      </c>
      <c r="E1203" s="1" t="s">
        <v>29</v>
      </c>
      <c r="F1203" s="5">
        <v>900000.0</v>
      </c>
      <c r="G1203" s="1" t="s">
        <v>3964</v>
      </c>
      <c r="H1203" s="4">
        <v>44839.0</v>
      </c>
      <c r="I1203" s="1" t="s">
        <v>96</v>
      </c>
      <c r="K1203" s="1">
        <v>0.0</v>
      </c>
      <c r="L1203" s="1" t="s">
        <v>2146</v>
      </c>
      <c r="M1203" s="1" t="str">
        <f>VLOOKUP(L1203,'Copy of PMD Workday Constants -'!B1172:Y1858,22,false)</f>
        <v>#N/A</v>
      </c>
      <c r="N1203" s="1" t="s">
        <v>32</v>
      </c>
      <c r="O1203" s="1" t="s">
        <v>33</v>
      </c>
      <c r="P1203" s="1" t="s">
        <v>210</v>
      </c>
      <c r="Q1203" s="1" t="s">
        <v>210</v>
      </c>
      <c r="R1203" s="1" t="s">
        <v>211</v>
      </c>
      <c r="S1203" s="1" t="s">
        <v>297</v>
      </c>
      <c r="T1203" s="1">
        <v>1.00649726E8</v>
      </c>
      <c r="W1203" s="1" t="s">
        <v>258</v>
      </c>
      <c r="X1203" s="1" t="s">
        <v>4167</v>
      </c>
    </row>
    <row r="1204">
      <c r="A1204" s="1" t="s">
        <v>4168</v>
      </c>
      <c r="B1204" s="1" t="s">
        <v>458</v>
      </c>
      <c r="C1204" s="1" t="s">
        <v>4169</v>
      </c>
      <c r="D1204" s="1" t="s">
        <v>28</v>
      </c>
      <c r="E1204" s="1" t="s">
        <v>29</v>
      </c>
      <c r="F1204" s="5">
        <v>900000.0</v>
      </c>
      <c r="G1204" s="1" t="s">
        <v>3964</v>
      </c>
      <c r="H1204" s="1" t="s">
        <v>42</v>
      </c>
      <c r="I1204" s="1" t="s">
        <v>43</v>
      </c>
      <c r="K1204" s="1">
        <v>0.0</v>
      </c>
      <c r="L1204" s="1" t="s">
        <v>1870</v>
      </c>
      <c r="M1204" s="1" t="str">
        <f>VLOOKUP(L1204,'Copy of PMD Workday Constants -'!B1173:Y1859,22,false)</f>
        <v>#N/A</v>
      </c>
      <c r="N1204" s="1" t="s">
        <v>32</v>
      </c>
      <c r="O1204" s="1" t="s">
        <v>33</v>
      </c>
      <c r="P1204" s="1" t="s">
        <v>112</v>
      </c>
      <c r="Q1204" s="1" t="s">
        <v>112</v>
      </c>
      <c r="R1204" s="1" t="s">
        <v>113</v>
      </c>
      <c r="S1204" s="1" t="s">
        <v>1336</v>
      </c>
      <c r="T1204" s="1">
        <v>1.00638639E8</v>
      </c>
      <c r="W1204" s="1" t="s">
        <v>56</v>
      </c>
      <c r="X1204" s="1" t="s">
        <v>1337</v>
      </c>
    </row>
    <row r="1205">
      <c r="A1205" s="1" t="s">
        <v>4170</v>
      </c>
      <c r="B1205" s="1" t="s">
        <v>324</v>
      </c>
      <c r="C1205" s="1" t="s">
        <v>4171</v>
      </c>
      <c r="D1205" s="1" t="s">
        <v>103</v>
      </c>
      <c r="E1205" s="1" t="s">
        <v>29</v>
      </c>
      <c r="F1205" s="5">
        <v>895000.0</v>
      </c>
      <c r="G1205" s="1" t="s">
        <v>3964</v>
      </c>
      <c r="H1205" s="1" t="s">
        <v>52</v>
      </c>
      <c r="I1205" s="1" t="s">
        <v>248</v>
      </c>
      <c r="K1205" s="1">
        <v>0.0</v>
      </c>
      <c r="L1205" s="1" t="s">
        <v>474</v>
      </c>
      <c r="M1205" s="1" t="str">
        <f>VLOOKUP(L1205,'Copy of PMD Workday Constants -'!B1174:Y1860,22,false)</f>
        <v>#N/A</v>
      </c>
      <c r="N1205" s="1" t="s">
        <v>32</v>
      </c>
      <c r="O1205" s="1" t="s">
        <v>33</v>
      </c>
      <c r="P1205" s="1" t="s">
        <v>64</v>
      </c>
      <c r="Q1205" s="1" t="s">
        <v>64</v>
      </c>
      <c r="R1205" s="1" t="s">
        <v>65</v>
      </c>
      <c r="S1205" s="1" t="s">
        <v>98</v>
      </c>
      <c r="T1205" s="1">
        <v>1.00660049E8</v>
      </c>
      <c r="W1205" s="1" t="s">
        <v>56</v>
      </c>
      <c r="X1205" s="1" t="s">
        <v>4172</v>
      </c>
    </row>
    <row r="1206">
      <c r="A1206" s="1" t="s">
        <v>4173</v>
      </c>
      <c r="B1206" s="1" t="s">
        <v>4174</v>
      </c>
      <c r="C1206" s="1" t="s">
        <v>4175</v>
      </c>
      <c r="D1206" s="1" t="s">
        <v>103</v>
      </c>
      <c r="E1206" s="1" t="s">
        <v>29</v>
      </c>
      <c r="F1206" s="5">
        <v>895000.0</v>
      </c>
      <c r="G1206" s="1" t="s">
        <v>3964</v>
      </c>
      <c r="H1206" s="1" t="s">
        <v>592</v>
      </c>
      <c r="I1206" s="1" t="s">
        <v>80</v>
      </c>
      <c r="K1206" s="1">
        <v>0.0</v>
      </c>
      <c r="L1206" s="1" t="s">
        <v>4176</v>
      </c>
      <c r="M1206" s="1" t="str">
        <f>VLOOKUP(L1206,'Copy of PMD Workday Constants -'!B1175:Y1861,22,false)</f>
        <v>#N/A</v>
      </c>
      <c r="N1206" s="1" t="s">
        <v>32</v>
      </c>
      <c r="O1206" s="1" t="s">
        <v>33</v>
      </c>
      <c r="P1206" s="1" t="s">
        <v>173</v>
      </c>
      <c r="Q1206" s="1" t="s">
        <v>173</v>
      </c>
      <c r="R1206" s="1" t="s">
        <v>174</v>
      </c>
      <c r="S1206" s="1" t="s">
        <v>4093</v>
      </c>
      <c r="T1206" s="1">
        <v>1.00869674E8</v>
      </c>
      <c r="W1206" s="1" t="s">
        <v>56</v>
      </c>
      <c r="X1206" s="1" t="s">
        <v>4177</v>
      </c>
    </row>
    <row r="1207">
      <c r="A1207" s="1" t="s">
        <v>4178</v>
      </c>
      <c r="B1207" s="1" t="s">
        <v>4179</v>
      </c>
      <c r="C1207" s="1" t="s">
        <v>4180</v>
      </c>
      <c r="D1207" s="1" t="s">
        <v>51</v>
      </c>
      <c r="E1207" s="1" t="s">
        <v>29</v>
      </c>
      <c r="F1207" s="5">
        <v>890000.0</v>
      </c>
      <c r="G1207" s="1" t="s">
        <v>3964</v>
      </c>
      <c r="H1207" s="4">
        <v>44840.0</v>
      </c>
      <c r="I1207" s="1" t="s">
        <v>104</v>
      </c>
      <c r="K1207" s="1">
        <v>0.0</v>
      </c>
      <c r="L1207" s="1" t="s">
        <v>3297</v>
      </c>
      <c r="M1207" s="1" t="str">
        <f>VLOOKUP(L1207,'Copy of PMD Workday Constants -'!B1176:Y1862,22,false)</f>
        <v>#N/A</v>
      </c>
      <c r="N1207" s="1" t="s">
        <v>32</v>
      </c>
      <c r="O1207" s="1" t="s">
        <v>33</v>
      </c>
      <c r="P1207" s="1" t="s">
        <v>54</v>
      </c>
      <c r="Q1207" s="1" t="s">
        <v>54</v>
      </c>
      <c r="R1207" s="1" t="s">
        <v>55</v>
      </c>
      <c r="T1207" s="1">
        <v>1.00609005E8</v>
      </c>
      <c r="W1207" s="1" t="s">
        <v>74</v>
      </c>
      <c r="X1207" s="1" t="s">
        <v>4181</v>
      </c>
    </row>
    <row r="1208">
      <c r="A1208" s="1" t="s">
        <v>4182</v>
      </c>
      <c r="B1208" s="1" t="s">
        <v>776</v>
      </c>
      <c r="C1208" s="1" t="s">
        <v>4183</v>
      </c>
      <c r="D1208" s="1" t="s">
        <v>51</v>
      </c>
      <c r="E1208" s="1" t="s">
        <v>29</v>
      </c>
      <c r="F1208" s="5">
        <v>888000.0</v>
      </c>
      <c r="G1208" s="1" t="s">
        <v>3964</v>
      </c>
      <c r="H1208" s="1" t="s">
        <v>3034</v>
      </c>
      <c r="I1208" s="1" t="s">
        <v>43</v>
      </c>
      <c r="K1208" s="1">
        <v>0.0</v>
      </c>
      <c r="L1208" s="1" t="s">
        <v>779</v>
      </c>
      <c r="M1208" s="1" t="str">
        <f>VLOOKUP(L1208,'Copy of PMD Workday Constants -'!B1177:Y1863,22,false)</f>
        <v>#N/A</v>
      </c>
      <c r="N1208" s="1" t="s">
        <v>32</v>
      </c>
      <c r="O1208" s="1" t="s">
        <v>33</v>
      </c>
      <c r="P1208" s="1" t="s">
        <v>222</v>
      </c>
      <c r="Q1208" s="1" t="s">
        <v>222</v>
      </c>
      <c r="R1208" s="1" t="s">
        <v>223</v>
      </c>
      <c r="S1208" s="1" t="s">
        <v>601</v>
      </c>
      <c r="T1208" s="1">
        <v>1.0061139E8</v>
      </c>
      <c r="W1208" s="1" t="s">
        <v>74</v>
      </c>
      <c r="X1208" s="1" t="s">
        <v>4184</v>
      </c>
    </row>
    <row r="1209">
      <c r="A1209" s="1" t="s">
        <v>4185</v>
      </c>
      <c r="B1209" s="1" t="s">
        <v>3355</v>
      </c>
      <c r="C1209" s="1" t="s">
        <v>4186</v>
      </c>
      <c r="D1209" s="1" t="s">
        <v>103</v>
      </c>
      <c r="E1209" s="1" t="s">
        <v>29</v>
      </c>
      <c r="F1209" s="5">
        <v>887250.0</v>
      </c>
      <c r="G1209" s="1" t="s">
        <v>3964</v>
      </c>
      <c r="H1209" s="1" t="s">
        <v>3399</v>
      </c>
      <c r="I1209" s="4">
        <v>44658.0</v>
      </c>
      <c r="J1209" s="1" t="s">
        <v>4187</v>
      </c>
      <c r="K1209" s="1">
        <v>0.0</v>
      </c>
      <c r="L1209" s="1" t="s">
        <v>72</v>
      </c>
      <c r="M1209" s="1" t="str">
        <f>VLOOKUP(L1209,'Copy of PMD Workday Constants -'!B1178:Y1864,22,false)</f>
        <v>#N/A</v>
      </c>
      <c r="N1209" s="1" t="s">
        <v>32</v>
      </c>
      <c r="O1209" s="1" t="s">
        <v>33</v>
      </c>
      <c r="P1209" s="1" t="s">
        <v>34</v>
      </c>
      <c r="Q1209" s="1" t="s">
        <v>34</v>
      </c>
      <c r="R1209" s="1" t="s">
        <v>35</v>
      </c>
      <c r="S1209" s="1" t="s">
        <v>134</v>
      </c>
      <c r="T1209" s="1">
        <v>1.0060843E8</v>
      </c>
      <c r="W1209" s="1" t="s">
        <v>74</v>
      </c>
      <c r="X1209" s="1" t="s">
        <v>72</v>
      </c>
    </row>
    <row r="1210">
      <c r="A1210" s="1" t="s">
        <v>4188</v>
      </c>
      <c r="B1210" s="1" t="s">
        <v>993</v>
      </c>
      <c r="C1210" s="1" t="s">
        <v>4189</v>
      </c>
      <c r="D1210" s="1" t="s">
        <v>51</v>
      </c>
      <c r="E1210" s="1" t="s">
        <v>29</v>
      </c>
      <c r="F1210" s="5">
        <v>882000.0</v>
      </c>
      <c r="G1210" s="1" t="s">
        <v>3964</v>
      </c>
      <c r="H1210" s="1" t="s">
        <v>556</v>
      </c>
      <c r="I1210" s="1" t="s">
        <v>80</v>
      </c>
      <c r="K1210" s="1">
        <v>0.0</v>
      </c>
      <c r="L1210" s="1" t="s">
        <v>1278</v>
      </c>
      <c r="M1210" s="1" t="str">
        <f>VLOOKUP(L1210,'Copy of PMD Workday Constants -'!B1179:Y1865,22,false)</f>
        <v>#N/A</v>
      </c>
      <c r="N1210" s="1" t="s">
        <v>32</v>
      </c>
      <c r="O1210" s="1" t="s">
        <v>33</v>
      </c>
      <c r="P1210" s="1" t="s">
        <v>112</v>
      </c>
      <c r="Q1210" s="1" t="s">
        <v>112</v>
      </c>
      <c r="R1210" s="1" t="s">
        <v>113</v>
      </c>
      <c r="S1210" s="1" t="s">
        <v>134</v>
      </c>
      <c r="T1210" s="1">
        <v>1.00626753E8</v>
      </c>
      <c r="W1210" s="1" t="s">
        <v>74</v>
      </c>
      <c r="X1210" s="1" t="s">
        <v>4190</v>
      </c>
    </row>
    <row r="1211">
      <c r="A1211" s="1" t="s">
        <v>4191</v>
      </c>
      <c r="B1211" s="1" t="s">
        <v>324</v>
      </c>
      <c r="C1211" s="1" t="s">
        <v>4192</v>
      </c>
      <c r="D1211" s="1" t="s">
        <v>103</v>
      </c>
      <c r="E1211" s="1" t="s">
        <v>29</v>
      </c>
      <c r="F1211" s="5">
        <v>880000.0</v>
      </c>
      <c r="G1211" s="1" t="s">
        <v>3964</v>
      </c>
      <c r="H1211" s="4">
        <v>44567.0</v>
      </c>
      <c r="I1211" s="1" t="s">
        <v>4193</v>
      </c>
      <c r="K1211" s="1">
        <v>0.0</v>
      </c>
      <c r="L1211" s="1" t="s">
        <v>2486</v>
      </c>
      <c r="M1211" s="1" t="str">
        <f>VLOOKUP(L1211,'Copy of PMD Workday Constants -'!B1180:Y1866,22,false)</f>
        <v>#N/A</v>
      </c>
      <c r="N1211" s="1" t="s">
        <v>32</v>
      </c>
      <c r="O1211" s="1" t="s">
        <v>33</v>
      </c>
      <c r="P1211" s="1" t="s">
        <v>222</v>
      </c>
      <c r="Q1211" s="1" t="s">
        <v>222</v>
      </c>
      <c r="R1211" s="1" t="s">
        <v>223</v>
      </c>
      <c r="S1211" s="1" t="s">
        <v>601</v>
      </c>
      <c r="T1211" s="1">
        <v>1.01051394E8</v>
      </c>
      <c r="W1211" s="1" t="s">
        <v>56</v>
      </c>
      <c r="X1211" s="1" t="s">
        <v>4194</v>
      </c>
    </row>
    <row r="1212">
      <c r="A1212" s="1" t="s">
        <v>4195</v>
      </c>
      <c r="B1212" s="1" t="s">
        <v>598</v>
      </c>
      <c r="C1212" s="1" t="s">
        <v>4196</v>
      </c>
      <c r="D1212" s="1" t="s">
        <v>79</v>
      </c>
      <c r="E1212" s="1" t="s">
        <v>29</v>
      </c>
      <c r="F1212" s="5">
        <v>879000.0</v>
      </c>
      <c r="G1212" s="1" t="s">
        <v>3964</v>
      </c>
      <c r="H1212" s="1" t="s">
        <v>1064</v>
      </c>
      <c r="I1212" s="1" t="s">
        <v>217</v>
      </c>
      <c r="K1212" s="1">
        <v>0.0</v>
      </c>
      <c r="L1212" s="1" t="s">
        <v>4197</v>
      </c>
      <c r="M1212" s="1" t="str">
        <f>VLOOKUP(L1212,'Copy of PMD Workday Constants -'!B1181:Y1867,22,false)</f>
        <v>#N/A</v>
      </c>
      <c r="N1212" s="1" t="s">
        <v>32</v>
      </c>
      <c r="O1212" s="1" t="s">
        <v>33</v>
      </c>
      <c r="P1212" s="1" t="s">
        <v>222</v>
      </c>
      <c r="Q1212" s="1" t="s">
        <v>222</v>
      </c>
      <c r="R1212" s="1" t="s">
        <v>223</v>
      </c>
      <c r="S1212" s="1" t="s">
        <v>153</v>
      </c>
      <c r="T1212" s="1">
        <v>1.00657185E8</v>
      </c>
      <c r="W1212" s="1" t="s">
        <v>37</v>
      </c>
      <c r="X1212" s="1" t="s">
        <v>4198</v>
      </c>
    </row>
    <row r="1213">
      <c r="A1213" s="1" t="s">
        <v>4199</v>
      </c>
      <c r="B1213" s="1" t="s">
        <v>4200</v>
      </c>
      <c r="C1213" s="1" t="s">
        <v>4201</v>
      </c>
      <c r="D1213" s="1" t="s">
        <v>103</v>
      </c>
      <c r="E1213" s="1" t="s">
        <v>29</v>
      </c>
      <c r="F1213" s="5">
        <v>875000.0</v>
      </c>
      <c r="G1213" s="1" t="s">
        <v>3964</v>
      </c>
      <c r="H1213" s="1" t="s">
        <v>2590</v>
      </c>
      <c r="I1213" s="1" t="s">
        <v>104</v>
      </c>
      <c r="K1213" s="1">
        <v>0.0</v>
      </c>
      <c r="L1213" s="1" t="s">
        <v>4202</v>
      </c>
      <c r="M1213" s="1" t="str">
        <f>VLOOKUP(L1213,'Copy of PMD Workday Constants -'!B1182:Y1868,22,false)</f>
        <v>#N/A</v>
      </c>
      <c r="N1213" s="1" t="s">
        <v>32</v>
      </c>
      <c r="O1213" s="1" t="s">
        <v>33</v>
      </c>
      <c r="P1213" s="1" t="s">
        <v>173</v>
      </c>
      <c r="Q1213" s="1" t="s">
        <v>173</v>
      </c>
      <c r="R1213" s="1" t="s">
        <v>174</v>
      </c>
      <c r="S1213" s="1" t="s">
        <v>153</v>
      </c>
      <c r="T1213" s="1">
        <v>1.00914325E8</v>
      </c>
      <c r="W1213" s="1" t="s">
        <v>456</v>
      </c>
      <c r="X1213" s="1" t="s">
        <v>4202</v>
      </c>
    </row>
    <row r="1214">
      <c r="A1214" s="1" t="s">
        <v>4203</v>
      </c>
      <c r="B1214" s="1" t="s">
        <v>620</v>
      </c>
      <c r="C1214" s="1" t="s">
        <v>4204</v>
      </c>
      <c r="D1214" s="1" t="s">
        <v>103</v>
      </c>
      <c r="E1214" s="1" t="s">
        <v>29</v>
      </c>
      <c r="F1214" s="5">
        <v>875000.0</v>
      </c>
      <c r="G1214" s="1" t="s">
        <v>3964</v>
      </c>
      <c r="H1214" s="1" t="s">
        <v>165</v>
      </c>
      <c r="I1214" s="4">
        <v>44601.0</v>
      </c>
      <c r="K1214" s="1">
        <v>0.0</v>
      </c>
      <c r="L1214" s="1" t="s">
        <v>382</v>
      </c>
      <c r="M1214" s="1" t="str">
        <f>VLOOKUP(L1214,'Copy of PMD Workday Constants -'!B1183:Y1869,22,false)</f>
        <v>#N/A</v>
      </c>
      <c r="N1214" s="1" t="s">
        <v>32</v>
      </c>
      <c r="O1214" s="1" t="s">
        <v>33</v>
      </c>
      <c r="P1214" s="1" t="s">
        <v>34</v>
      </c>
      <c r="Q1214" s="1" t="s">
        <v>34</v>
      </c>
      <c r="R1214" s="1" t="s">
        <v>35</v>
      </c>
      <c r="S1214" s="1" t="s">
        <v>383</v>
      </c>
      <c r="T1214" s="1">
        <v>1.0059112E8</v>
      </c>
      <c r="W1214" s="1" t="s">
        <v>140</v>
      </c>
      <c r="X1214" s="1" t="s">
        <v>382</v>
      </c>
    </row>
    <row r="1215">
      <c r="A1215" s="1" t="s">
        <v>4205</v>
      </c>
      <c r="B1215" s="1" t="s">
        <v>521</v>
      </c>
      <c r="C1215" s="1" t="s">
        <v>4206</v>
      </c>
      <c r="D1215" s="1" t="s">
        <v>28</v>
      </c>
      <c r="E1215" s="1" t="s">
        <v>29</v>
      </c>
      <c r="F1215" s="5">
        <v>875000.0</v>
      </c>
      <c r="G1215" s="1" t="s">
        <v>3964</v>
      </c>
      <c r="H1215" s="1" t="s">
        <v>1765</v>
      </c>
      <c r="I1215" s="4">
        <v>44689.0</v>
      </c>
      <c r="K1215" s="1">
        <v>0.0</v>
      </c>
      <c r="L1215" s="1" t="s">
        <v>4207</v>
      </c>
      <c r="M1215" s="1" t="str">
        <f>VLOOKUP(L1215,'Copy of PMD Workday Constants -'!B1184:Y1870,22,false)</f>
        <v>#N/A</v>
      </c>
      <c r="N1215" s="1" t="s">
        <v>32</v>
      </c>
      <c r="O1215" s="1" t="s">
        <v>33</v>
      </c>
      <c r="P1215" s="1" t="s">
        <v>64</v>
      </c>
      <c r="Q1215" s="1" t="s">
        <v>64</v>
      </c>
      <c r="R1215" s="1" t="s">
        <v>65</v>
      </c>
      <c r="T1215" s="1">
        <v>1.00609187E8</v>
      </c>
      <c r="W1215" s="1" t="s">
        <v>85</v>
      </c>
      <c r="X1215" s="1" t="s">
        <v>4207</v>
      </c>
    </row>
    <row r="1216">
      <c r="A1216" s="1" t="s">
        <v>4208</v>
      </c>
      <c r="B1216" s="1" t="s">
        <v>485</v>
      </c>
      <c r="C1216" s="1" t="s">
        <v>4209</v>
      </c>
      <c r="D1216" s="1" t="s">
        <v>51</v>
      </c>
      <c r="E1216" s="1" t="s">
        <v>29</v>
      </c>
      <c r="F1216" s="5">
        <v>874000.0</v>
      </c>
      <c r="G1216" s="1" t="s">
        <v>3964</v>
      </c>
      <c r="H1216" s="1" t="s">
        <v>283</v>
      </c>
      <c r="I1216" s="1" t="s">
        <v>1060</v>
      </c>
      <c r="K1216" s="1">
        <v>0.0</v>
      </c>
      <c r="L1216" s="1" t="s">
        <v>662</v>
      </c>
      <c r="M1216" s="1" t="str">
        <f>VLOOKUP(L1216,'Copy of PMD Workday Constants -'!B1185:Y1871,22,false)</f>
        <v>#N/A</v>
      </c>
      <c r="N1216" s="1" t="s">
        <v>32</v>
      </c>
      <c r="O1216" s="1" t="s">
        <v>33</v>
      </c>
      <c r="P1216" s="1" t="s">
        <v>54</v>
      </c>
      <c r="Q1216" s="1" t="s">
        <v>54</v>
      </c>
      <c r="R1216" s="1" t="s">
        <v>55</v>
      </c>
      <c r="T1216" s="1">
        <v>1.01062258E8</v>
      </c>
      <c r="U1216" s="1" t="s">
        <v>4209</v>
      </c>
      <c r="V1216" s="1" t="s">
        <v>346</v>
      </c>
      <c r="W1216" s="1" t="s">
        <v>250</v>
      </c>
      <c r="X1216" s="1" t="s">
        <v>4210</v>
      </c>
    </row>
    <row r="1217">
      <c r="A1217" s="1" t="s">
        <v>4211</v>
      </c>
      <c r="B1217" s="1" t="s">
        <v>776</v>
      </c>
      <c r="C1217" s="1" t="s">
        <v>4212</v>
      </c>
      <c r="D1217" s="1" t="s">
        <v>51</v>
      </c>
      <c r="E1217" s="1" t="s">
        <v>29</v>
      </c>
      <c r="F1217" s="5">
        <v>865000.0</v>
      </c>
      <c r="G1217" s="1" t="s">
        <v>3964</v>
      </c>
      <c r="H1217" s="1" t="s">
        <v>816</v>
      </c>
      <c r="I1217" s="1" t="s">
        <v>191</v>
      </c>
      <c r="K1217" s="1">
        <v>0.0</v>
      </c>
      <c r="L1217" s="1" t="s">
        <v>1916</v>
      </c>
      <c r="M1217" s="1" t="str">
        <f>VLOOKUP(L1217,'Copy of PMD Workday Constants -'!B1186:Y1872,22,false)</f>
        <v>#N/A</v>
      </c>
      <c r="N1217" s="1" t="s">
        <v>32</v>
      </c>
      <c r="O1217" s="1" t="s">
        <v>33</v>
      </c>
      <c r="P1217" s="1" t="s">
        <v>222</v>
      </c>
      <c r="Q1217" s="1" t="s">
        <v>222</v>
      </c>
      <c r="R1217" s="1" t="s">
        <v>223</v>
      </c>
      <c r="T1217" s="1">
        <v>1.00955805E8</v>
      </c>
      <c r="W1217" s="1" t="s">
        <v>74</v>
      </c>
      <c r="X1217" s="1" t="s">
        <v>4213</v>
      </c>
    </row>
    <row r="1218">
      <c r="A1218" s="1" t="s">
        <v>4214</v>
      </c>
      <c r="B1218" s="1" t="s">
        <v>4215</v>
      </c>
      <c r="C1218" s="1" t="s">
        <v>4216</v>
      </c>
      <c r="D1218" s="1" t="s">
        <v>28</v>
      </c>
      <c r="E1218" s="1" t="s">
        <v>29</v>
      </c>
      <c r="F1218" s="5">
        <v>860000.0</v>
      </c>
      <c r="G1218" s="1" t="s">
        <v>3964</v>
      </c>
      <c r="H1218" s="4">
        <v>43891.0</v>
      </c>
      <c r="I1218" s="1" t="s">
        <v>2380</v>
      </c>
      <c r="K1218" s="1">
        <v>0.0</v>
      </c>
      <c r="L1218" s="1" t="s">
        <v>4217</v>
      </c>
      <c r="M1218" s="1" t="str">
        <f>VLOOKUP(L1218,'Copy of PMD Workday Constants -'!B1187:Y1873,22,false)</f>
        <v>#N/A</v>
      </c>
      <c r="N1218" s="1" t="s">
        <v>32</v>
      </c>
      <c r="O1218" s="1" t="s">
        <v>33</v>
      </c>
      <c r="P1218" s="1" t="s">
        <v>222</v>
      </c>
      <c r="Q1218" s="1" t="s">
        <v>222</v>
      </c>
      <c r="R1218" s="1" t="s">
        <v>223</v>
      </c>
      <c r="S1218" s="1" t="s">
        <v>482</v>
      </c>
      <c r="T1218" s="1">
        <v>1.0065605E8</v>
      </c>
      <c r="W1218" s="1" t="s">
        <v>2098</v>
      </c>
      <c r="X1218" s="1" t="s">
        <v>4218</v>
      </c>
    </row>
    <row r="1219">
      <c r="A1219" s="1" t="s">
        <v>4219</v>
      </c>
      <c r="B1219" s="1" t="s">
        <v>1737</v>
      </c>
      <c r="C1219" s="1" t="s">
        <v>4220</v>
      </c>
      <c r="D1219" s="1" t="s">
        <v>51</v>
      </c>
      <c r="E1219" s="1" t="s">
        <v>29</v>
      </c>
      <c r="F1219" s="5">
        <v>850000.0</v>
      </c>
      <c r="G1219" s="1" t="s">
        <v>3964</v>
      </c>
      <c r="H1219" s="1" t="s">
        <v>556</v>
      </c>
      <c r="I1219" s="1" t="s">
        <v>104</v>
      </c>
      <c r="K1219" s="1">
        <v>0.0</v>
      </c>
      <c r="L1219" s="1" t="s">
        <v>1739</v>
      </c>
      <c r="M1219" s="1" t="str">
        <f>VLOOKUP(L1219,'Copy of PMD Workday Constants -'!B1188:Y1874,22,false)</f>
        <v>#N/A</v>
      </c>
      <c r="N1219" s="1" t="s">
        <v>32</v>
      </c>
      <c r="O1219" s="1" t="s">
        <v>33</v>
      </c>
      <c r="P1219" s="1" t="s">
        <v>210</v>
      </c>
      <c r="Q1219" s="1" t="s">
        <v>210</v>
      </c>
      <c r="R1219" s="1" t="s">
        <v>211</v>
      </c>
      <c r="T1219" s="1">
        <v>1.00964362E8</v>
      </c>
      <c r="W1219" s="1" t="s">
        <v>56</v>
      </c>
      <c r="X1219" s="1" t="s">
        <v>2569</v>
      </c>
    </row>
    <row r="1220">
      <c r="A1220" s="1" t="s">
        <v>4221</v>
      </c>
      <c r="B1220" s="1" t="s">
        <v>3293</v>
      </c>
      <c r="C1220" s="1" t="s">
        <v>4222</v>
      </c>
      <c r="D1220" s="1" t="s">
        <v>51</v>
      </c>
      <c r="E1220" s="1" t="s">
        <v>29</v>
      </c>
      <c r="F1220" s="5">
        <v>850000.0</v>
      </c>
      <c r="G1220" s="1" t="s">
        <v>3964</v>
      </c>
      <c r="H1220" s="1" t="s">
        <v>42</v>
      </c>
      <c r="I1220" s="1" t="s">
        <v>152</v>
      </c>
      <c r="K1220" s="1">
        <v>0.0</v>
      </c>
      <c r="L1220" s="1" t="s">
        <v>1739</v>
      </c>
      <c r="M1220" s="1" t="str">
        <f>VLOOKUP(L1220,'Copy of PMD Workday Constants -'!B1189:Y1875,22,false)</f>
        <v>#N/A</v>
      </c>
      <c r="N1220" s="1" t="s">
        <v>32</v>
      </c>
      <c r="O1220" s="1" t="s">
        <v>33</v>
      </c>
      <c r="P1220" s="1" t="s">
        <v>210</v>
      </c>
      <c r="Q1220" s="1" t="s">
        <v>210</v>
      </c>
      <c r="R1220" s="1" t="s">
        <v>211</v>
      </c>
      <c r="S1220" s="1" t="s">
        <v>416</v>
      </c>
      <c r="T1220" s="1">
        <v>1.00964362E8</v>
      </c>
      <c r="W1220" s="1" t="s">
        <v>56</v>
      </c>
      <c r="X1220" s="1" t="s">
        <v>3597</v>
      </c>
    </row>
    <row r="1221">
      <c r="A1221" s="1" t="s">
        <v>4223</v>
      </c>
      <c r="B1221" s="1" t="s">
        <v>1062</v>
      </c>
      <c r="C1221" s="1" t="s">
        <v>4224</v>
      </c>
      <c r="D1221" s="1" t="s">
        <v>103</v>
      </c>
      <c r="E1221" s="1" t="s">
        <v>29</v>
      </c>
      <c r="F1221" s="5">
        <v>850000.0</v>
      </c>
      <c r="G1221" s="1" t="s">
        <v>3964</v>
      </c>
      <c r="H1221" s="4">
        <v>44900.0</v>
      </c>
      <c r="I1221" s="4">
        <v>44872.0</v>
      </c>
      <c r="K1221" s="1">
        <v>0.0</v>
      </c>
      <c r="L1221" s="1" t="s">
        <v>2356</v>
      </c>
      <c r="M1221" s="1" t="str">
        <f>VLOOKUP(L1221,'Copy of PMD Workday Constants -'!B1190:Y1876,22,false)</f>
        <v>#N/A</v>
      </c>
      <c r="N1221" s="1" t="s">
        <v>32</v>
      </c>
      <c r="O1221" s="1" t="s">
        <v>33</v>
      </c>
      <c r="P1221" s="1" t="s">
        <v>173</v>
      </c>
      <c r="Q1221" s="1" t="s">
        <v>173</v>
      </c>
      <c r="R1221" s="1" t="s">
        <v>174</v>
      </c>
      <c r="S1221" s="1" t="s">
        <v>1385</v>
      </c>
      <c r="T1221" s="1">
        <v>1.00620162E8</v>
      </c>
      <c r="W1221" s="1" t="s">
        <v>493</v>
      </c>
      <c r="X1221" s="1" t="s">
        <v>4225</v>
      </c>
    </row>
    <row r="1222">
      <c r="A1222" s="1" t="s">
        <v>4226</v>
      </c>
      <c r="B1222" s="1" t="s">
        <v>40</v>
      </c>
      <c r="C1222" s="1" t="s">
        <v>4227</v>
      </c>
      <c r="D1222" s="1" t="s">
        <v>51</v>
      </c>
      <c r="E1222" s="1" t="s">
        <v>29</v>
      </c>
      <c r="F1222" s="5">
        <v>850000.0</v>
      </c>
      <c r="G1222" s="1" t="s">
        <v>3964</v>
      </c>
      <c r="H1222" s="1" t="s">
        <v>2484</v>
      </c>
      <c r="I1222" s="1" t="s">
        <v>1349</v>
      </c>
      <c r="K1222" s="1">
        <v>0.0</v>
      </c>
      <c r="L1222" s="1" t="s">
        <v>4228</v>
      </c>
      <c r="M1222" s="1" t="str">
        <f>VLOOKUP(L1222,'Copy of PMD Workday Constants -'!B1191:Y1877,22,false)</f>
        <v>#N/A</v>
      </c>
      <c r="N1222" s="1" t="s">
        <v>32</v>
      </c>
      <c r="O1222" s="1" t="s">
        <v>33</v>
      </c>
      <c r="P1222" s="1" t="s">
        <v>64</v>
      </c>
      <c r="Q1222" s="1" t="s">
        <v>64</v>
      </c>
      <c r="R1222" s="1" t="s">
        <v>65</v>
      </c>
      <c r="S1222" s="1" t="s">
        <v>126</v>
      </c>
      <c r="T1222" s="1">
        <v>1.00651638E8</v>
      </c>
      <c r="W1222" s="1" t="s">
        <v>47</v>
      </c>
      <c r="X1222" s="1" t="s">
        <v>4229</v>
      </c>
    </row>
    <row r="1223">
      <c r="A1223" s="1" t="s">
        <v>4230</v>
      </c>
      <c r="B1223" s="1" t="s">
        <v>40</v>
      </c>
      <c r="C1223" s="1" t="s">
        <v>4231</v>
      </c>
      <c r="D1223" s="1" t="s">
        <v>103</v>
      </c>
      <c r="E1223" s="1" t="s">
        <v>29</v>
      </c>
      <c r="F1223" s="5">
        <v>850000.0</v>
      </c>
      <c r="G1223" s="1" t="s">
        <v>3964</v>
      </c>
      <c r="H1223" s="4">
        <v>44349.0</v>
      </c>
      <c r="I1223" s="1" t="s">
        <v>4232</v>
      </c>
      <c r="K1223" s="1">
        <v>0.0</v>
      </c>
      <c r="L1223" s="1" t="s">
        <v>1611</v>
      </c>
      <c r="M1223" s="1" t="str">
        <f>VLOOKUP(L1223,'Copy of PMD Workday Constants -'!B1192:Y1878,22,false)</f>
        <v>#N/A</v>
      </c>
      <c r="N1223" s="1" t="s">
        <v>32</v>
      </c>
      <c r="O1223" s="1" t="s">
        <v>33</v>
      </c>
      <c r="P1223" s="1" t="s">
        <v>34</v>
      </c>
      <c r="Q1223" s="1" t="s">
        <v>34</v>
      </c>
      <c r="R1223" s="1" t="s">
        <v>35</v>
      </c>
      <c r="S1223" s="1" t="s">
        <v>126</v>
      </c>
      <c r="T1223" s="1">
        <v>1.00645852E8</v>
      </c>
      <c r="W1223" s="1" t="s">
        <v>47</v>
      </c>
      <c r="X1223" s="1" t="s">
        <v>127</v>
      </c>
    </row>
    <row r="1224">
      <c r="A1224" s="1" t="s">
        <v>4233</v>
      </c>
      <c r="B1224" s="1" t="s">
        <v>2263</v>
      </c>
      <c r="C1224" s="1" t="s">
        <v>4234</v>
      </c>
      <c r="D1224" s="1" t="s">
        <v>51</v>
      </c>
      <c r="E1224" s="1" t="s">
        <v>29</v>
      </c>
      <c r="F1224" s="5">
        <v>850000.0</v>
      </c>
      <c r="G1224" s="1" t="s">
        <v>3964</v>
      </c>
      <c r="H1224" s="1" t="s">
        <v>498</v>
      </c>
      <c r="I1224" s="1" t="s">
        <v>302</v>
      </c>
      <c r="K1224" s="1">
        <v>0.0</v>
      </c>
      <c r="L1224" s="1" t="s">
        <v>4235</v>
      </c>
      <c r="M1224" s="1" t="str">
        <f>VLOOKUP(L1224,'Copy of PMD Workday Constants -'!B1193:Y1879,22,false)</f>
        <v>#N/A</v>
      </c>
      <c r="N1224" s="1" t="s">
        <v>32</v>
      </c>
      <c r="O1224" s="1" t="s">
        <v>33</v>
      </c>
      <c r="P1224" s="1" t="s">
        <v>210</v>
      </c>
      <c r="Q1224" s="1" t="s">
        <v>210</v>
      </c>
      <c r="R1224" s="1" t="s">
        <v>211</v>
      </c>
      <c r="S1224" s="1" t="s">
        <v>1313</v>
      </c>
      <c r="T1224" s="1">
        <v>1.00628891E8</v>
      </c>
      <c r="W1224" s="1" t="s">
        <v>577</v>
      </c>
      <c r="X1224" s="1" t="s">
        <v>4236</v>
      </c>
    </row>
    <row r="1225">
      <c r="A1225" s="1" t="s">
        <v>4237</v>
      </c>
      <c r="B1225" s="1" t="s">
        <v>4238</v>
      </c>
      <c r="C1225" s="1" t="s">
        <v>4239</v>
      </c>
      <c r="D1225" s="1" t="s">
        <v>51</v>
      </c>
      <c r="E1225" s="1" t="s">
        <v>29</v>
      </c>
      <c r="F1225" s="5">
        <v>850000.0</v>
      </c>
      <c r="G1225" s="1" t="s">
        <v>3964</v>
      </c>
      <c r="H1225" s="1" t="s">
        <v>3399</v>
      </c>
      <c r="I1225" s="1" t="s">
        <v>414</v>
      </c>
      <c r="K1225" s="1">
        <v>0.0</v>
      </c>
      <c r="L1225" s="1" t="s">
        <v>4240</v>
      </c>
      <c r="M1225" s="1" t="str">
        <f>VLOOKUP(L1225,'Copy of PMD Workday Constants -'!B1194:Y1880,22,false)</f>
        <v>#N/A</v>
      </c>
      <c r="N1225" s="1" t="s">
        <v>32</v>
      </c>
      <c r="O1225" s="1" t="s">
        <v>33</v>
      </c>
      <c r="P1225" s="1" t="s">
        <v>210</v>
      </c>
      <c r="Q1225" s="1" t="s">
        <v>210</v>
      </c>
      <c r="R1225" s="1" t="s">
        <v>211</v>
      </c>
      <c r="S1225" s="1" t="s">
        <v>1336</v>
      </c>
      <c r="T1225" s="1">
        <v>1.00625459E8</v>
      </c>
      <c r="W1225" s="1" t="s">
        <v>436</v>
      </c>
      <c r="X1225" s="1" t="s">
        <v>3334</v>
      </c>
    </row>
    <row r="1226">
      <c r="A1226" s="1" t="s">
        <v>4241</v>
      </c>
      <c r="B1226" s="1" t="s">
        <v>160</v>
      </c>
      <c r="C1226" s="1" t="s">
        <v>4242</v>
      </c>
      <c r="D1226" s="1" t="s">
        <v>51</v>
      </c>
      <c r="E1226" s="1" t="s">
        <v>29</v>
      </c>
      <c r="F1226" s="5">
        <v>850000.0</v>
      </c>
      <c r="G1226" s="1" t="s">
        <v>3964</v>
      </c>
      <c r="H1226" s="4">
        <v>43839.0</v>
      </c>
      <c r="I1226" s="1" t="s">
        <v>810</v>
      </c>
      <c r="K1226" s="1">
        <v>0.0</v>
      </c>
      <c r="L1226" s="1" t="s">
        <v>570</v>
      </c>
      <c r="M1226" s="1" t="str">
        <f>VLOOKUP(L1226,'Copy of PMD Workday Constants -'!B1195:Y1881,22,false)</f>
        <v>#N/A</v>
      </c>
      <c r="N1226" s="1" t="s">
        <v>32</v>
      </c>
      <c r="O1226" s="1" t="s">
        <v>33</v>
      </c>
      <c r="P1226" s="1" t="s">
        <v>112</v>
      </c>
      <c r="Q1226" s="1" t="s">
        <v>112</v>
      </c>
      <c r="R1226" s="1" t="s">
        <v>113</v>
      </c>
      <c r="S1226" s="1" t="s">
        <v>120</v>
      </c>
      <c r="T1226" s="1">
        <v>1.00625415E8</v>
      </c>
      <c r="W1226" s="1" t="s">
        <v>56</v>
      </c>
      <c r="X1226" s="1" t="s">
        <v>4243</v>
      </c>
    </row>
    <row r="1227">
      <c r="A1227" s="1" t="s">
        <v>4244</v>
      </c>
      <c r="B1227" s="1" t="s">
        <v>1062</v>
      </c>
      <c r="C1227" s="1" t="s">
        <v>4245</v>
      </c>
      <c r="D1227" s="1" t="s">
        <v>51</v>
      </c>
      <c r="E1227" s="1" t="s">
        <v>29</v>
      </c>
      <c r="F1227" s="5">
        <v>850000.0</v>
      </c>
      <c r="G1227" s="1" t="s">
        <v>3964</v>
      </c>
      <c r="H1227" s="1" t="s">
        <v>1064</v>
      </c>
      <c r="I1227" s="1" t="s">
        <v>313</v>
      </c>
      <c r="K1227" s="1">
        <v>0.0</v>
      </c>
      <c r="L1227" s="1" t="s">
        <v>1065</v>
      </c>
      <c r="M1227" s="1" t="str">
        <f>VLOOKUP(L1227,'Copy of PMD Workday Constants -'!B1196:Y1882,22,false)</f>
        <v>#N/A</v>
      </c>
      <c r="N1227" s="1" t="s">
        <v>32</v>
      </c>
      <c r="O1227" s="1" t="s">
        <v>33</v>
      </c>
      <c r="P1227" s="1" t="s">
        <v>173</v>
      </c>
      <c r="Q1227" s="1" t="s">
        <v>173</v>
      </c>
      <c r="R1227" s="1" t="s">
        <v>174</v>
      </c>
      <c r="S1227" s="1" t="s">
        <v>540</v>
      </c>
      <c r="T1227" s="1">
        <v>1.00594872E8</v>
      </c>
      <c r="W1227" s="1" t="s">
        <v>493</v>
      </c>
      <c r="X1227" s="1" t="s">
        <v>1065</v>
      </c>
    </row>
    <row r="1228">
      <c r="A1228" s="1" t="s">
        <v>4246</v>
      </c>
      <c r="B1228" s="1" t="s">
        <v>996</v>
      </c>
      <c r="C1228" s="1" t="s">
        <v>4247</v>
      </c>
      <c r="D1228" s="1" t="s">
        <v>103</v>
      </c>
      <c r="E1228" s="1" t="s">
        <v>29</v>
      </c>
      <c r="F1228" s="5">
        <v>850000.0</v>
      </c>
      <c r="G1228" s="1" t="s">
        <v>3964</v>
      </c>
      <c r="H1228" s="1" t="s">
        <v>283</v>
      </c>
      <c r="I1228" s="1" t="s">
        <v>104</v>
      </c>
      <c r="K1228" s="1">
        <v>0.0</v>
      </c>
      <c r="L1228" s="1" t="s">
        <v>2050</v>
      </c>
      <c r="M1228" s="1" t="str">
        <f>VLOOKUP(L1228,'Copy of PMD Workday Constants -'!B1197:Y1883,22,false)</f>
        <v>#N/A</v>
      </c>
      <c r="N1228" s="1" t="s">
        <v>32</v>
      </c>
      <c r="O1228" s="1" t="s">
        <v>33</v>
      </c>
      <c r="P1228" s="1" t="s">
        <v>64</v>
      </c>
      <c r="Q1228" s="1" t="s">
        <v>64</v>
      </c>
      <c r="R1228" s="1" t="s">
        <v>65</v>
      </c>
      <c r="T1228" s="1">
        <v>1.00624533E8</v>
      </c>
      <c r="W1228" s="1" t="s">
        <v>391</v>
      </c>
      <c r="X1228" s="1" t="s">
        <v>2051</v>
      </c>
    </row>
    <row r="1229">
      <c r="A1229" s="1" t="s">
        <v>4248</v>
      </c>
      <c r="B1229" s="1" t="s">
        <v>1149</v>
      </c>
      <c r="C1229" s="1" t="s">
        <v>4249</v>
      </c>
      <c r="D1229" s="1" t="s">
        <v>103</v>
      </c>
      <c r="E1229" s="1" t="s">
        <v>29</v>
      </c>
      <c r="F1229" s="5">
        <v>850000.0</v>
      </c>
      <c r="G1229" s="1" t="s">
        <v>3964</v>
      </c>
      <c r="H1229" s="4">
        <v>44743.0</v>
      </c>
      <c r="I1229" s="4">
        <v>44929.0</v>
      </c>
      <c r="K1229" s="1">
        <v>0.0</v>
      </c>
      <c r="L1229" s="1" t="s">
        <v>4250</v>
      </c>
      <c r="M1229" s="1" t="str">
        <f>VLOOKUP(L1229,'Copy of PMD Workday Constants -'!B1198:Y1884,22,false)</f>
        <v>#N/A</v>
      </c>
      <c r="N1229" s="1" t="s">
        <v>32</v>
      </c>
      <c r="O1229" s="1" t="s">
        <v>33</v>
      </c>
      <c r="P1229" s="1" t="s">
        <v>222</v>
      </c>
      <c r="Q1229" s="1" t="s">
        <v>222</v>
      </c>
      <c r="R1229" s="1" t="s">
        <v>223</v>
      </c>
      <c r="S1229" s="1" t="s">
        <v>482</v>
      </c>
      <c r="T1229" s="1">
        <v>1.00579873E8</v>
      </c>
      <c r="W1229" s="1" t="s">
        <v>115</v>
      </c>
      <c r="X1229" s="1" t="s">
        <v>4251</v>
      </c>
    </row>
    <row r="1230">
      <c r="A1230" s="1" t="s">
        <v>4252</v>
      </c>
      <c r="B1230" s="1" t="s">
        <v>324</v>
      </c>
      <c r="C1230" s="1" t="s">
        <v>4253</v>
      </c>
      <c r="D1230" s="1" t="s">
        <v>51</v>
      </c>
      <c r="E1230" s="1" t="s">
        <v>29</v>
      </c>
      <c r="F1230" s="5">
        <v>850000.0</v>
      </c>
      <c r="G1230" s="1" t="s">
        <v>3964</v>
      </c>
      <c r="H1230" s="4">
        <v>44656.0</v>
      </c>
      <c r="I1230" s="4">
        <v>44780.0</v>
      </c>
      <c r="K1230" s="1">
        <v>0.0</v>
      </c>
      <c r="L1230" s="1" t="s">
        <v>3975</v>
      </c>
      <c r="M1230" s="1" t="str">
        <f>VLOOKUP(L1230,'Copy of PMD Workday Constants -'!B1199:Y1885,22,false)</f>
        <v>#N/A</v>
      </c>
      <c r="N1230" s="1" t="s">
        <v>32</v>
      </c>
      <c r="O1230" s="1" t="s">
        <v>33</v>
      </c>
      <c r="P1230" s="1" t="s">
        <v>210</v>
      </c>
      <c r="Q1230" s="1" t="s">
        <v>210</v>
      </c>
      <c r="R1230" s="1" t="s">
        <v>211</v>
      </c>
      <c r="S1230" s="1" t="s">
        <v>212</v>
      </c>
      <c r="T1230" s="1">
        <v>1.00623535E8</v>
      </c>
      <c r="W1230" s="1" t="s">
        <v>56</v>
      </c>
      <c r="X1230" s="1" t="s">
        <v>3975</v>
      </c>
    </row>
    <row r="1231">
      <c r="A1231" s="1" t="s">
        <v>4254</v>
      </c>
      <c r="B1231" s="1" t="s">
        <v>361</v>
      </c>
      <c r="C1231" s="1" t="s">
        <v>4255</v>
      </c>
      <c r="D1231" s="1" t="s">
        <v>79</v>
      </c>
      <c r="E1231" s="1" t="s">
        <v>29</v>
      </c>
      <c r="F1231" s="5">
        <v>850000.0</v>
      </c>
      <c r="G1231" s="1" t="s">
        <v>3964</v>
      </c>
      <c r="H1231" s="1" t="s">
        <v>2884</v>
      </c>
      <c r="I1231" s="1" t="s">
        <v>816</v>
      </c>
      <c r="K1231" s="1">
        <v>0.0</v>
      </c>
      <c r="L1231" s="1" t="s">
        <v>365</v>
      </c>
      <c r="M1231" s="1" t="str">
        <f>VLOOKUP(L1231,'Copy of PMD Workday Constants -'!B1200:Y1886,22,false)</f>
        <v>#N/A</v>
      </c>
      <c r="N1231" s="1" t="s">
        <v>32</v>
      </c>
      <c r="O1231" s="1" t="s">
        <v>33</v>
      </c>
      <c r="P1231" s="1" t="s">
        <v>210</v>
      </c>
      <c r="Q1231" s="1" t="s">
        <v>210</v>
      </c>
      <c r="R1231" s="1" t="s">
        <v>211</v>
      </c>
      <c r="S1231" s="1" t="s">
        <v>297</v>
      </c>
      <c r="T1231" s="1">
        <v>1.01072617E8</v>
      </c>
      <c r="W1231" s="1" t="s">
        <v>258</v>
      </c>
      <c r="X1231" s="1" t="s">
        <v>365</v>
      </c>
    </row>
    <row r="1232">
      <c r="A1232" s="1" t="s">
        <v>4256</v>
      </c>
      <c r="B1232" s="1" t="s">
        <v>1886</v>
      </c>
      <c r="C1232" s="1" t="s">
        <v>4257</v>
      </c>
      <c r="D1232" s="1" t="s">
        <v>103</v>
      </c>
      <c r="E1232" s="1" t="s">
        <v>29</v>
      </c>
      <c r="F1232" s="5">
        <v>850000.0</v>
      </c>
      <c r="G1232" s="1" t="s">
        <v>3964</v>
      </c>
      <c r="H1232" s="1" t="s">
        <v>42</v>
      </c>
      <c r="I1232" s="1" t="s">
        <v>152</v>
      </c>
      <c r="K1232" s="1">
        <v>0.0</v>
      </c>
      <c r="L1232" s="1" t="s">
        <v>198</v>
      </c>
      <c r="M1232" s="1" t="str">
        <f>VLOOKUP(L1232,'Copy of PMD Workday Constants -'!B1201:Y1887,22,false)</f>
        <v>#N/A</v>
      </c>
      <c r="N1232" s="1" t="s">
        <v>32</v>
      </c>
      <c r="O1232" s="1" t="s">
        <v>33</v>
      </c>
      <c r="P1232" s="1" t="s">
        <v>82</v>
      </c>
      <c r="Q1232" s="1" t="s">
        <v>82</v>
      </c>
      <c r="R1232" s="1" t="s">
        <v>83</v>
      </c>
      <c r="S1232" s="1" t="s">
        <v>180</v>
      </c>
      <c r="T1232" s="1">
        <v>1.00590896E8</v>
      </c>
      <c r="W1232" s="1" t="s">
        <v>85</v>
      </c>
      <c r="X1232" s="1" t="s">
        <v>4258</v>
      </c>
    </row>
    <row r="1233">
      <c r="A1233" s="1" t="s">
        <v>4259</v>
      </c>
      <c r="B1233" s="1" t="s">
        <v>913</v>
      </c>
      <c r="C1233" s="1" t="s">
        <v>4260</v>
      </c>
      <c r="D1233" s="1" t="s">
        <v>51</v>
      </c>
      <c r="E1233" s="1" t="s">
        <v>29</v>
      </c>
      <c r="F1233" s="5">
        <v>842851.0</v>
      </c>
      <c r="G1233" s="1" t="s">
        <v>3964</v>
      </c>
      <c r="H1233" s="4">
        <v>44206.0</v>
      </c>
      <c r="I1233" s="1" t="s">
        <v>152</v>
      </c>
      <c r="K1233" s="1">
        <v>0.0</v>
      </c>
      <c r="L1233" s="1" t="s">
        <v>938</v>
      </c>
      <c r="M1233" s="1" t="str">
        <f>VLOOKUP(L1233,'Copy of PMD Workday Constants -'!B1202:Y1888,22,false)</f>
        <v>#N/A</v>
      </c>
      <c r="N1233" s="1" t="s">
        <v>32</v>
      </c>
      <c r="O1233" s="1" t="s">
        <v>33</v>
      </c>
      <c r="P1233" s="1" t="s">
        <v>82</v>
      </c>
      <c r="Q1233" s="1" t="s">
        <v>82</v>
      </c>
      <c r="R1233" s="1" t="s">
        <v>83</v>
      </c>
      <c r="S1233" s="1" t="s">
        <v>84</v>
      </c>
      <c r="T1233" s="1">
        <v>1.00653499E8</v>
      </c>
      <c r="W1233" s="1" t="s">
        <v>85</v>
      </c>
      <c r="X1233" s="1" t="s">
        <v>4261</v>
      </c>
    </row>
    <row r="1234">
      <c r="A1234" s="1" t="s">
        <v>4262</v>
      </c>
      <c r="B1234" s="1" t="s">
        <v>907</v>
      </c>
      <c r="C1234" s="1" t="s">
        <v>4263</v>
      </c>
      <c r="D1234" s="1" t="s">
        <v>103</v>
      </c>
      <c r="E1234" s="1" t="s">
        <v>29</v>
      </c>
      <c r="F1234" s="5">
        <v>840000.0</v>
      </c>
      <c r="G1234" s="1" t="s">
        <v>3964</v>
      </c>
      <c r="H1234" s="4">
        <v>44176.0</v>
      </c>
      <c r="I1234" s="1" t="s">
        <v>264</v>
      </c>
      <c r="K1234" s="1">
        <v>0.0</v>
      </c>
      <c r="L1234" s="1" t="s">
        <v>2983</v>
      </c>
      <c r="M1234" s="1" t="str">
        <f>VLOOKUP(L1234,'Copy of PMD Workday Constants -'!B1203:Y1889,22,false)</f>
        <v>#N/A</v>
      </c>
      <c r="N1234" s="1" t="s">
        <v>32</v>
      </c>
      <c r="O1234" s="1" t="s">
        <v>33</v>
      </c>
      <c r="P1234" s="1" t="s">
        <v>34</v>
      </c>
      <c r="Q1234" s="1" t="s">
        <v>34</v>
      </c>
      <c r="R1234" s="1" t="s">
        <v>35</v>
      </c>
      <c r="S1234" s="1" t="s">
        <v>383</v>
      </c>
      <c r="T1234" s="1">
        <v>1.00650568E8</v>
      </c>
      <c r="W1234" s="1" t="s">
        <v>140</v>
      </c>
      <c r="X1234" s="1" t="s">
        <v>3940</v>
      </c>
    </row>
    <row r="1235">
      <c r="A1235" s="1" t="s">
        <v>4264</v>
      </c>
      <c r="B1235" s="1" t="s">
        <v>772</v>
      </c>
      <c r="C1235" s="1" t="s">
        <v>4265</v>
      </c>
      <c r="D1235" s="1" t="s">
        <v>51</v>
      </c>
      <c r="E1235" s="1" t="s">
        <v>29</v>
      </c>
      <c r="F1235" s="5">
        <v>837500.0</v>
      </c>
      <c r="G1235" s="1" t="s">
        <v>3964</v>
      </c>
      <c r="H1235" s="1" t="s">
        <v>110</v>
      </c>
      <c r="I1235" s="1" t="s">
        <v>732</v>
      </c>
      <c r="K1235" s="1">
        <v>0.0</v>
      </c>
      <c r="L1235" s="1" t="s">
        <v>1324</v>
      </c>
      <c r="M1235" s="1" t="str">
        <f>VLOOKUP(L1235,'Copy of PMD Workday Constants -'!B1204:Y1890,22,false)</f>
        <v>#N/A</v>
      </c>
      <c r="N1235" s="1" t="s">
        <v>32</v>
      </c>
      <c r="O1235" s="1" t="s">
        <v>33</v>
      </c>
      <c r="P1235" s="1" t="s">
        <v>34</v>
      </c>
      <c r="Q1235" s="1" t="s">
        <v>34</v>
      </c>
      <c r="R1235" s="1" t="s">
        <v>35</v>
      </c>
      <c r="S1235" s="1" t="s">
        <v>36</v>
      </c>
      <c r="T1235" s="1">
        <v>1.00613915E8</v>
      </c>
      <c r="W1235" s="1" t="s">
        <v>37</v>
      </c>
      <c r="X1235" s="1" t="s">
        <v>1324</v>
      </c>
    </row>
    <row r="1236">
      <c r="A1236" s="1" t="s">
        <v>4266</v>
      </c>
      <c r="B1236" s="1" t="s">
        <v>4267</v>
      </c>
      <c r="C1236" s="1" t="s">
        <v>4268</v>
      </c>
      <c r="D1236" s="1" t="s">
        <v>103</v>
      </c>
      <c r="E1236" s="1" t="s">
        <v>29</v>
      </c>
      <c r="F1236" s="5">
        <v>835000.0</v>
      </c>
      <c r="G1236" s="1" t="s">
        <v>3964</v>
      </c>
      <c r="H1236" s="1" t="s">
        <v>434</v>
      </c>
      <c r="I1236" s="1" t="s">
        <v>1134</v>
      </c>
      <c r="K1236" s="1">
        <v>0.0</v>
      </c>
      <c r="L1236" s="1" t="s">
        <v>1380</v>
      </c>
      <c r="M1236" s="1" t="str">
        <f>VLOOKUP(L1236,'Copy of PMD Workday Constants -'!B1205:Y1891,22,false)</f>
        <v>#N/A</v>
      </c>
      <c r="N1236" s="1" t="s">
        <v>32</v>
      </c>
      <c r="O1236" s="1" t="s">
        <v>33</v>
      </c>
      <c r="P1236" s="1" t="s">
        <v>34</v>
      </c>
      <c r="Q1236" s="1" t="s">
        <v>34</v>
      </c>
      <c r="R1236" s="1" t="s">
        <v>35</v>
      </c>
      <c r="S1236" s="1" t="s">
        <v>126</v>
      </c>
      <c r="T1236" s="1">
        <v>1.00587434E8</v>
      </c>
      <c r="W1236" s="1" t="s">
        <v>74</v>
      </c>
      <c r="X1236" s="1" t="s">
        <v>4269</v>
      </c>
    </row>
    <row r="1237">
      <c r="A1237" s="1" t="s">
        <v>4270</v>
      </c>
      <c r="B1237" s="1" t="s">
        <v>3885</v>
      </c>
      <c r="C1237" s="1" t="s">
        <v>4271</v>
      </c>
      <c r="D1237" s="1" t="s">
        <v>28</v>
      </c>
      <c r="E1237" s="1" t="s">
        <v>29</v>
      </c>
      <c r="F1237" s="5">
        <v>825000.0</v>
      </c>
      <c r="G1237" s="1" t="s">
        <v>3964</v>
      </c>
      <c r="H1237" s="1" t="s">
        <v>434</v>
      </c>
      <c r="I1237" s="1" t="s">
        <v>43</v>
      </c>
      <c r="K1237" s="1">
        <v>0.0</v>
      </c>
      <c r="L1237" s="1" t="s">
        <v>532</v>
      </c>
      <c r="M1237" s="1" t="str">
        <f>VLOOKUP(L1237,'Copy of PMD Workday Constants -'!B1206:Y1892,22,false)</f>
        <v>#N/A</v>
      </c>
      <c r="N1237" s="1" t="s">
        <v>32</v>
      </c>
      <c r="O1237" s="1" t="s">
        <v>33</v>
      </c>
      <c r="P1237" s="1" t="s">
        <v>112</v>
      </c>
      <c r="Q1237" s="1" t="s">
        <v>112</v>
      </c>
      <c r="R1237" s="1" t="s">
        <v>113</v>
      </c>
      <c r="S1237" s="1" t="s">
        <v>307</v>
      </c>
      <c r="T1237" s="1">
        <v>1.00646702E8</v>
      </c>
      <c r="W1237" s="1" t="s">
        <v>533</v>
      </c>
      <c r="X1237" s="1" t="s">
        <v>1193</v>
      </c>
    </row>
    <row r="1238">
      <c r="A1238" s="1" t="s">
        <v>4272</v>
      </c>
      <c r="B1238" s="1" t="s">
        <v>4273</v>
      </c>
      <c r="C1238" s="1" t="s">
        <v>4274</v>
      </c>
      <c r="D1238" s="1" t="s">
        <v>103</v>
      </c>
      <c r="E1238" s="1" t="s">
        <v>29</v>
      </c>
      <c r="F1238" s="5">
        <v>813550.0</v>
      </c>
      <c r="G1238" s="1" t="s">
        <v>3964</v>
      </c>
      <c r="H1238" s="4">
        <v>44419.0</v>
      </c>
      <c r="I1238" s="1" t="s">
        <v>526</v>
      </c>
      <c r="K1238" s="1">
        <v>0.0</v>
      </c>
      <c r="L1238" s="1" t="s">
        <v>2879</v>
      </c>
      <c r="M1238" s="1" t="str">
        <f>VLOOKUP(L1238,'Copy of PMD Workday Constants -'!B1207:Y1893,22,false)</f>
        <v>#N/A</v>
      </c>
      <c r="N1238" s="1" t="s">
        <v>32</v>
      </c>
      <c r="O1238" s="1" t="s">
        <v>33</v>
      </c>
      <c r="P1238" s="1" t="s">
        <v>173</v>
      </c>
      <c r="Q1238" s="1" t="s">
        <v>173</v>
      </c>
      <c r="R1238" s="1" t="s">
        <v>174</v>
      </c>
      <c r="S1238" s="1" t="s">
        <v>583</v>
      </c>
      <c r="T1238" s="1">
        <v>1.00608521E8</v>
      </c>
      <c r="W1238" s="1" t="s">
        <v>456</v>
      </c>
      <c r="X1238" s="1" t="s">
        <v>2879</v>
      </c>
    </row>
    <row r="1239">
      <c r="A1239" s="1" t="s">
        <v>4275</v>
      </c>
      <c r="B1239" s="1" t="s">
        <v>2375</v>
      </c>
      <c r="C1239" s="1" t="s">
        <v>4276</v>
      </c>
      <c r="D1239" s="1" t="s">
        <v>51</v>
      </c>
      <c r="E1239" s="1" t="s">
        <v>29</v>
      </c>
      <c r="F1239" s="5">
        <v>800000.0</v>
      </c>
      <c r="G1239" s="1" t="s">
        <v>3964</v>
      </c>
      <c r="H1239" s="1" t="s">
        <v>2360</v>
      </c>
      <c r="I1239" s="1" t="s">
        <v>80</v>
      </c>
      <c r="K1239" s="1">
        <v>0.0</v>
      </c>
      <c r="L1239" s="1" t="s">
        <v>4277</v>
      </c>
      <c r="M1239" s="1" t="str">
        <f>VLOOKUP(L1239,'Copy of PMD Workday Constants -'!B1208:Y1894,22,false)</f>
        <v>#N/A</v>
      </c>
      <c r="N1239" s="1" t="s">
        <v>32</v>
      </c>
      <c r="O1239" s="1" t="s">
        <v>33</v>
      </c>
      <c r="P1239" s="1" t="s">
        <v>173</v>
      </c>
      <c r="Q1239" s="1" t="s">
        <v>173</v>
      </c>
      <c r="R1239" s="1" t="s">
        <v>174</v>
      </c>
      <c r="T1239" s="1">
        <v>1.00650304E8</v>
      </c>
      <c r="W1239" s="1" t="s">
        <v>258</v>
      </c>
      <c r="X1239" s="1" t="s">
        <v>3462</v>
      </c>
    </row>
    <row r="1240">
      <c r="A1240" s="1" t="s">
        <v>4278</v>
      </c>
      <c r="B1240" s="1" t="s">
        <v>4279</v>
      </c>
      <c r="C1240" s="1" t="s">
        <v>4280</v>
      </c>
      <c r="D1240" s="1" t="s">
        <v>103</v>
      </c>
      <c r="E1240" s="1" t="s">
        <v>29</v>
      </c>
      <c r="F1240" s="5">
        <v>800000.0</v>
      </c>
      <c r="G1240" s="1" t="s">
        <v>3964</v>
      </c>
      <c r="H1240" s="4">
        <v>44806.0</v>
      </c>
      <c r="I1240" s="1" t="s">
        <v>526</v>
      </c>
      <c r="K1240" s="1">
        <v>0.0</v>
      </c>
      <c r="L1240" s="1" t="s">
        <v>3100</v>
      </c>
      <c r="M1240" s="1" t="str">
        <f>VLOOKUP(L1240,'Copy of PMD Workday Constants -'!B1209:Y1895,22,false)</f>
        <v>#N/A</v>
      </c>
      <c r="N1240" s="1" t="s">
        <v>32</v>
      </c>
      <c r="O1240" s="1" t="s">
        <v>33</v>
      </c>
      <c r="P1240" s="1" t="s">
        <v>210</v>
      </c>
      <c r="Q1240" s="1" t="s">
        <v>210</v>
      </c>
      <c r="R1240" s="1" t="s">
        <v>211</v>
      </c>
      <c r="T1240" s="1">
        <v>1.01093101E8</v>
      </c>
      <c r="W1240" s="1" t="s">
        <v>74</v>
      </c>
      <c r="X1240" s="1" t="s">
        <v>3100</v>
      </c>
    </row>
    <row r="1241">
      <c r="A1241" s="1" t="s">
        <v>4281</v>
      </c>
      <c r="B1241" s="1" t="s">
        <v>2027</v>
      </c>
      <c r="C1241" s="1" t="s">
        <v>4282</v>
      </c>
      <c r="D1241" s="1" t="s">
        <v>51</v>
      </c>
      <c r="E1241" s="1" t="s">
        <v>29</v>
      </c>
      <c r="F1241" s="5">
        <v>800000.0</v>
      </c>
      <c r="G1241" s="1" t="s">
        <v>3964</v>
      </c>
      <c r="H1241" s="1" t="s">
        <v>1444</v>
      </c>
      <c r="I1241" s="1" t="s">
        <v>2593</v>
      </c>
      <c r="K1241" s="1">
        <v>0.0</v>
      </c>
      <c r="L1241" s="1" t="s">
        <v>319</v>
      </c>
      <c r="M1241" s="1" t="str">
        <f>VLOOKUP(L1241,'Copy of PMD Workday Constants -'!B1210:Y1896,22,false)</f>
        <v>#N/A</v>
      </c>
      <c r="N1241" s="1" t="s">
        <v>32</v>
      </c>
      <c r="O1241" s="1" t="s">
        <v>33</v>
      </c>
      <c r="P1241" s="1" t="s">
        <v>82</v>
      </c>
      <c r="Q1241" s="1" t="s">
        <v>82</v>
      </c>
      <c r="R1241" s="1" t="s">
        <v>83</v>
      </c>
      <c r="S1241" s="1" t="s">
        <v>84</v>
      </c>
      <c r="T1241" s="1">
        <v>1.00654705E8</v>
      </c>
      <c r="W1241" s="1" t="s">
        <v>85</v>
      </c>
      <c r="X1241" s="1" t="s">
        <v>319</v>
      </c>
    </row>
    <row r="1242">
      <c r="A1242" s="1" t="s">
        <v>4283</v>
      </c>
      <c r="B1242" s="1" t="s">
        <v>4284</v>
      </c>
      <c r="C1242" s="1" t="s">
        <v>4285</v>
      </c>
      <c r="D1242" s="1" t="s">
        <v>51</v>
      </c>
      <c r="E1242" s="1" t="s">
        <v>29</v>
      </c>
      <c r="F1242" s="5">
        <v>800000.0</v>
      </c>
      <c r="G1242" s="1" t="s">
        <v>3964</v>
      </c>
      <c r="H1242" s="1" t="s">
        <v>4286</v>
      </c>
      <c r="I1242" s="1" t="s">
        <v>248</v>
      </c>
      <c r="K1242" s="1">
        <v>0.0</v>
      </c>
      <c r="L1242" s="1" t="s">
        <v>678</v>
      </c>
      <c r="M1242" s="1" t="str">
        <f>VLOOKUP(L1242,'Copy of PMD Workday Constants -'!B1211:Y1897,22,false)</f>
        <v>#N/A</v>
      </c>
      <c r="N1242" s="1" t="s">
        <v>32</v>
      </c>
      <c r="O1242" s="1" t="s">
        <v>33</v>
      </c>
      <c r="P1242" s="1" t="s">
        <v>210</v>
      </c>
      <c r="Q1242" s="1" t="s">
        <v>210</v>
      </c>
      <c r="R1242" s="1" t="s">
        <v>211</v>
      </c>
      <c r="S1242" s="1" t="s">
        <v>416</v>
      </c>
      <c r="T1242" s="1">
        <v>1.00609073E8</v>
      </c>
      <c r="W1242" s="1" t="s">
        <v>56</v>
      </c>
      <c r="X1242" s="1" t="s">
        <v>4287</v>
      </c>
    </row>
    <row r="1243">
      <c r="A1243" s="1" t="s">
        <v>4288</v>
      </c>
      <c r="B1243" s="1" t="s">
        <v>631</v>
      </c>
      <c r="C1243" s="1" t="s">
        <v>4289</v>
      </c>
      <c r="D1243" s="1" t="s">
        <v>28</v>
      </c>
      <c r="E1243" s="1" t="s">
        <v>29</v>
      </c>
      <c r="F1243" s="5">
        <v>800000.0</v>
      </c>
      <c r="G1243" s="1" t="s">
        <v>3964</v>
      </c>
      <c r="H1243" s="1" t="s">
        <v>2352</v>
      </c>
      <c r="I1243" s="1" t="s">
        <v>96</v>
      </c>
      <c r="K1243" s="1">
        <v>0.0</v>
      </c>
      <c r="L1243" s="1" t="s">
        <v>4290</v>
      </c>
      <c r="M1243" s="1" t="str">
        <f>VLOOKUP(L1243,'Copy of PMD Workday Constants -'!B1212:Y1898,22,false)</f>
        <v>#N/A</v>
      </c>
      <c r="N1243" s="1" t="s">
        <v>32</v>
      </c>
      <c r="O1243" s="1" t="s">
        <v>33</v>
      </c>
      <c r="P1243" s="1" t="s">
        <v>173</v>
      </c>
      <c r="Q1243" s="1" t="s">
        <v>173</v>
      </c>
      <c r="R1243" s="1" t="s">
        <v>174</v>
      </c>
      <c r="S1243" s="1" t="s">
        <v>126</v>
      </c>
      <c r="T1243" s="1">
        <v>1.00660061E8</v>
      </c>
      <c r="W1243" s="1" t="s">
        <v>37</v>
      </c>
      <c r="X1243" s="1" t="s">
        <v>4290</v>
      </c>
    </row>
    <row r="1244">
      <c r="A1244" s="1" t="s">
        <v>4291</v>
      </c>
      <c r="B1244" s="1" t="s">
        <v>317</v>
      </c>
      <c r="C1244" s="1" t="s">
        <v>4292</v>
      </c>
      <c r="D1244" s="1" t="s">
        <v>51</v>
      </c>
      <c r="E1244" s="1" t="s">
        <v>29</v>
      </c>
      <c r="F1244" s="5">
        <v>800000.0</v>
      </c>
      <c r="G1244" s="1" t="s">
        <v>3964</v>
      </c>
      <c r="H1244" s="4">
        <v>44900.0</v>
      </c>
      <c r="I1244" s="1" t="s">
        <v>692</v>
      </c>
      <c r="K1244" s="1">
        <v>0.0</v>
      </c>
      <c r="L1244" s="1" t="s">
        <v>319</v>
      </c>
      <c r="M1244" s="1" t="str">
        <f>VLOOKUP(L1244,'Copy of PMD Workday Constants -'!B1213:Y1899,22,false)</f>
        <v>#N/A</v>
      </c>
      <c r="N1244" s="1" t="s">
        <v>32</v>
      </c>
      <c r="O1244" s="1" t="s">
        <v>33</v>
      </c>
      <c r="P1244" s="1" t="s">
        <v>82</v>
      </c>
      <c r="Q1244" s="1" t="s">
        <v>82</v>
      </c>
      <c r="R1244" s="1" t="s">
        <v>83</v>
      </c>
      <c r="S1244" s="1" t="s">
        <v>84</v>
      </c>
      <c r="T1244" s="1">
        <v>1.00654705E8</v>
      </c>
      <c r="W1244" s="1" t="s">
        <v>85</v>
      </c>
      <c r="X1244" s="1" t="s">
        <v>319</v>
      </c>
    </row>
    <row r="1245">
      <c r="A1245" s="1" t="s">
        <v>4293</v>
      </c>
      <c r="B1245" s="1" t="s">
        <v>4294</v>
      </c>
      <c r="C1245" s="1" t="s">
        <v>4295</v>
      </c>
      <c r="D1245" s="1" t="s">
        <v>103</v>
      </c>
      <c r="E1245" s="1" t="s">
        <v>29</v>
      </c>
      <c r="F1245" s="5">
        <v>800000.0</v>
      </c>
      <c r="G1245" s="1" t="s">
        <v>3964</v>
      </c>
      <c r="H1245" s="1" t="s">
        <v>2365</v>
      </c>
      <c r="I1245" s="1" t="s">
        <v>80</v>
      </c>
      <c r="K1245" s="1">
        <v>0.0</v>
      </c>
      <c r="L1245" s="1" t="s">
        <v>546</v>
      </c>
      <c r="M1245" s="1" t="str">
        <f>VLOOKUP(L1245,'Copy of PMD Workday Constants -'!B1214:Y1900,22,false)</f>
        <v>#N/A</v>
      </c>
      <c r="N1245" s="1" t="s">
        <v>32</v>
      </c>
      <c r="O1245" s="1" t="s">
        <v>33</v>
      </c>
      <c r="P1245" s="1" t="s">
        <v>64</v>
      </c>
      <c r="Q1245" s="1" t="s">
        <v>64</v>
      </c>
      <c r="R1245" s="1" t="s">
        <v>65</v>
      </c>
      <c r="T1245" s="1">
        <v>1.00579505E8</v>
      </c>
      <c r="W1245" s="1" t="s">
        <v>85</v>
      </c>
      <c r="X1245" s="1" t="s">
        <v>2411</v>
      </c>
    </row>
    <row r="1246">
      <c r="A1246" s="1" t="s">
        <v>4296</v>
      </c>
      <c r="B1246" s="1" t="s">
        <v>324</v>
      </c>
      <c r="C1246" s="1" t="s">
        <v>4297</v>
      </c>
      <c r="D1246" s="1" t="s">
        <v>28</v>
      </c>
      <c r="E1246" s="1" t="s">
        <v>29</v>
      </c>
      <c r="F1246" s="5">
        <v>800000.0</v>
      </c>
      <c r="G1246" s="1" t="s">
        <v>3964</v>
      </c>
      <c r="H1246" s="4">
        <v>44384.0</v>
      </c>
      <c r="I1246" s="4">
        <v>44781.0</v>
      </c>
      <c r="K1246" s="1">
        <v>0.0</v>
      </c>
      <c r="L1246" s="1" t="s">
        <v>415</v>
      </c>
      <c r="M1246" s="1" t="str">
        <f>VLOOKUP(L1246,'Copy of PMD Workday Constants -'!B1215:Y1901,22,false)</f>
        <v>#N/A</v>
      </c>
      <c r="N1246" s="1" t="s">
        <v>32</v>
      </c>
      <c r="O1246" s="1" t="s">
        <v>33</v>
      </c>
      <c r="P1246" s="1" t="s">
        <v>210</v>
      </c>
      <c r="Q1246" s="1" t="s">
        <v>210</v>
      </c>
      <c r="R1246" s="1" t="s">
        <v>211</v>
      </c>
      <c r="S1246" s="1" t="s">
        <v>1313</v>
      </c>
      <c r="T1246" s="1">
        <v>1.00650375E8</v>
      </c>
      <c r="W1246" s="1" t="s">
        <v>56</v>
      </c>
      <c r="X1246" s="1" t="s">
        <v>415</v>
      </c>
    </row>
    <row r="1247">
      <c r="A1247" s="1" t="s">
        <v>4298</v>
      </c>
      <c r="B1247" s="1" t="s">
        <v>4200</v>
      </c>
      <c r="C1247" s="1" t="s">
        <v>4299</v>
      </c>
      <c r="D1247" s="1" t="s">
        <v>103</v>
      </c>
      <c r="E1247" s="1" t="s">
        <v>29</v>
      </c>
      <c r="F1247" s="5">
        <v>800000.0</v>
      </c>
      <c r="G1247" s="1" t="s">
        <v>3964</v>
      </c>
      <c r="H1247" s="4">
        <v>44684.0</v>
      </c>
      <c r="I1247" s="1" t="s">
        <v>692</v>
      </c>
      <c r="K1247" s="1">
        <v>0.0</v>
      </c>
      <c r="L1247" s="1" t="s">
        <v>1165</v>
      </c>
      <c r="M1247" s="1" t="str">
        <f>VLOOKUP(L1247,'Copy of PMD Workday Constants -'!B1216:Y1902,22,false)</f>
        <v>#N/A</v>
      </c>
      <c r="N1247" s="1" t="s">
        <v>32</v>
      </c>
      <c r="O1247" s="1" t="s">
        <v>33</v>
      </c>
      <c r="P1247" s="1" t="s">
        <v>34</v>
      </c>
      <c r="Q1247" s="1" t="s">
        <v>34</v>
      </c>
      <c r="R1247" s="1" t="s">
        <v>35</v>
      </c>
      <c r="S1247" s="1" t="s">
        <v>1166</v>
      </c>
      <c r="T1247" s="1">
        <v>1.00586863E8</v>
      </c>
      <c r="W1247" s="1" t="s">
        <v>456</v>
      </c>
      <c r="X1247" s="1" t="s">
        <v>1167</v>
      </c>
    </row>
    <row r="1248">
      <c r="A1248" s="1" t="s">
        <v>4300</v>
      </c>
      <c r="B1248" s="1" t="s">
        <v>49</v>
      </c>
      <c r="C1248" s="1" t="s">
        <v>4301</v>
      </c>
      <c r="D1248" s="1" t="s">
        <v>51</v>
      </c>
      <c r="E1248" s="1" t="s">
        <v>29</v>
      </c>
      <c r="F1248" s="5">
        <v>800000.0</v>
      </c>
      <c r="G1248" s="1" t="s">
        <v>3964</v>
      </c>
      <c r="H1248" s="1" t="s">
        <v>301</v>
      </c>
      <c r="I1248" s="1" t="s">
        <v>104</v>
      </c>
      <c r="K1248" s="1">
        <v>0.0</v>
      </c>
      <c r="L1248" s="1" t="s">
        <v>653</v>
      </c>
      <c r="M1248" s="1" t="str">
        <f>VLOOKUP(L1248,'Copy of PMD Workday Constants -'!B1217:Y1903,22,false)</f>
        <v>#N/A</v>
      </c>
      <c r="N1248" s="1" t="s">
        <v>32</v>
      </c>
      <c r="O1248" s="1" t="s">
        <v>33</v>
      </c>
      <c r="P1248" s="1" t="s">
        <v>54</v>
      </c>
      <c r="Q1248" s="1" t="s">
        <v>54</v>
      </c>
      <c r="R1248" s="1" t="s">
        <v>55</v>
      </c>
      <c r="S1248" s="1" t="s">
        <v>654</v>
      </c>
      <c r="T1248" s="1">
        <v>1.00904602E8</v>
      </c>
      <c r="W1248" s="1" t="s">
        <v>56</v>
      </c>
      <c r="X1248" s="1" t="s">
        <v>655</v>
      </c>
    </row>
    <row r="1249">
      <c r="A1249" s="1" t="s">
        <v>4302</v>
      </c>
      <c r="B1249" s="1" t="s">
        <v>4303</v>
      </c>
      <c r="C1249" s="1" t="s">
        <v>4304</v>
      </c>
      <c r="D1249" s="1" t="s">
        <v>51</v>
      </c>
      <c r="E1249" s="1" t="s">
        <v>29</v>
      </c>
      <c r="F1249" s="5">
        <v>800000.0</v>
      </c>
      <c r="G1249" s="1" t="s">
        <v>3964</v>
      </c>
      <c r="H1249" s="1" t="s">
        <v>686</v>
      </c>
      <c r="I1249" s="1" t="s">
        <v>1673</v>
      </c>
      <c r="K1249" s="1">
        <v>0.0</v>
      </c>
      <c r="L1249" s="1" t="s">
        <v>2942</v>
      </c>
      <c r="M1249" s="1" t="str">
        <f>VLOOKUP(L1249,'Copy of PMD Workday Constants -'!B1218:Y1904,22,false)</f>
        <v>#N/A</v>
      </c>
      <c r="N1249" s="1" t="s">
        <v>32</v>
      </c>
      <c r="O1249" s="1" t="s">
        <v>33</v>
      </c>
      <c r="P1249" s="1" t="s">
        <v>173</v>
      </c>
      <c r="Q1249" s="1" t="s">
        <v>173</v>
      </c>
      <c r="R1249" s="1" t="s">
        <v>174</v>
      </c>
      <c r="S1249" s="1" t="s">
        <v>612</v>
      </c>
      <c r="T1249" s="1">
        <v>1.00650064E8</v>
      </c>
      <c r="W1249" s="1" t="s">
        <v>147</v>
      </c>
      <c r="X1249" s="1" t="s">
        <v>4305</v>
      </c>
    </row>
    <row r="1250">
      <c r="A1250" s="1" t="s">
        <v>4306</v>
      </c>
      <c r="B1250" s="1" t="s">
        <v>4307</v>
      </c>
      <c r="C1250" s="1" t="s">
        <v>4308</v>
      </c>
      <c r="D1250" s="1" t="s">
        <v>103</v>
      </c>
      <c r="E1250" s="1" t="s">
        <v>29</v>
      </c>
      <c r="F1250" s="5">
        <v>800000.0</v>
      </c>
      <c r="G1250" s="1" t="s">
        <v>3964</v>
      </c>
      <c r="H1250" s="4">
        <v>44870.0</v>
      </c>
      <c r="I1250" s="1" t="s">
        <v>941</v>
      </c>
      <c r="K1250" s="1">
        <v>0.0</v>
      </c>
      <c r="L1250" s="1" t="s">
        <v>387</v>
      </c>
      <c r="M1250" s="1" t="str">
        <f>VLOOKUP(L1250,'Copy of PMD Workday Constants -'!B1219:Y1905,22,false)</f>
        <v>#N/A</v>
      </c>
      <c r="N1250" s="1" t="s">
        <v>32</v>
      </c>
      <c r="O1250" s="1" t="s">
        <v>33</v>
      </c>
      <c r="P1250" s="1" t="s">
        <v>34</v>
      </c>
      <c r="Q1250" s="1" t="s">
        <v>34</v>
      </c>
      <c r="R1250" s="1" t="s">
        <v>35</v>
      </c>
      <c r="T1250" s="1">
        <v>1.00642129E8</v>
      </c>
      <c r="W1250" s="1" t="s">
        <v>287</v>
      </c>
      <c r="X1250" s="1" t="s">
        <v>387</v>
      </c>
    </row>
    <row r="1251">
      <c r="A1251" s="1" t="s">
        <v>4309</v>
      </c>
      <c r="B1251" s="1" t="s">
        <v>1234</v>
      </c>
      <c r="C1251" s="1" t="s">
        <v>4310</v>
      </c>
      <c r="D1251" s="1" t="s">
        <v>103</v>
      </c>
      <c r="E1251" s="1" t="s">
        <v>29</v>
      </c>
      <c r="F1251" s="5">
        <v>800000.0</v>
      </c>
      <c r="G1251" s="1" t="s">
        <v>3964</v>
      </c>
      <c r="H1251" s="1" t="s">
        <v>2069</v>
      </c>
      <c r="I1251" s="1" t="s">
        <v>816</v>
      </c>
      <c r="K1251" s="1">
        <v>0.0</v>
      </c>
      <c r="L1251" s="1" t="s">
        <v>1819</v>
      </c>
      <c r="M1251" s="1" t="str">
        <f>VLOOKUP(L1251,'Copy of PMD Workday Constants -'!B1220:Y1906,22,false)</f>
        <v>#N/A</v>
      </c>
      <c r="N1251" s="1" t="s">
        <v>32</v>
      </c>
      <c r="O1251" s="1" t="s">
        <v>33</v>
      </c>
      <c r="P1251" s="1" t="s">
        <v>82</v>
      </c>
      <c r="Q1251" s="1" t="s">
        <v>82</v>
      </c>
      <c r="R1251" s="1" t="s">
        <v>83</v>
      </c>
      <c r="S1251" s="1" t="s">
        <v>180</v>
      </c>
      <c r="T1251" s="1">
        <v>1.01025735E8</v>
      </c>
      <c r="W1251" s="1" t="s">
        <v>85</v>
      </c>
      <c r="X1251" s="1" t="s">
        <v>1692</v>
      </c>
    </row>
    <row r="1252">
      <c r="A1252" s="1" t="s">
        <v>4311</v>
      </c>
      <c r="B1252" s="1" t="s">
        <v>155</v>
      </c>
      <c r="C1252" s="1" t="s">
        <v>4312</v>
      </c>
      <c r="D1252" s="1" t="s">
        <v>51</v>
      </c>
      <c r="E1252" s="1" t="s">
        <v>29</v>
      </c>
      <c r="F1252" s="5">
        <v>800000.0</v>
      </c>
      <c r="G1252" s="1" t="s">
        <v>3964</v>
      </c>
      <c r="H1252" s="1" t="s">
        <v>434</v>
      </c>
      <c r="I1252" s="4">
        <v>44567.0</v>
      </c>
      <c r="K1252" s="1">
        <v>0.0</v>
      </c>
      <c r="L1252" s="1" t="s">
        <v>3348</v>
      </c>
      <c r="M1252" s="1" t="str">
        <f>VLOOKUP(L1252,'Copy of PMD Workday Constants -'!B1221:Y1907,22,false)</f>
        <v>#N/A</v>
      </c>
      <c r="N1252" s="1" t="s">
        <v>32</v>
      </c>
      <c r="O1252" s="1" t="s">
        <v>33</v>
      </c>
      <c r="P1252" s="1" t="s">
        <v>64</v>
      </c>
      <c r="Q1252" s="1" t="s">
        <v>64</v>
      </c>
      <c r="R1252" s="1" t="s">
        <v>65</v>
      </c>
      <c r="S1252" s="1" t="s">
        <v>1336</v>
      </c>
      <c r="T1252" s="1">
        <v>1.01213659E8</v>
      </c>
      <c r="W1252" s="1" t="s">
        <v>91</v>
      </c>
      <c r="X1252" s="1" t="s">
        <v>3349</v>
      </c>
    </row>
    <row r="1253">
      <c r="A1253" s="1" t="s">
        <v>4313</v>
      </c>
      <c r="B1253" s="1" t="s">
        <v>1247</v>
      </c>
      <c r="C1253" s="1" t="s">
        <v>4314</v>
      </c>
      <c r="D1253" s="1" t="s">
        <v>51</v>
      </c>
      <c r="E1253" s="1" t="s">
        <v>29</v>
      </c>
      <c r="F1253" s="5">
        <v>800000.0</v>
      </c>
      <c r="G1253" s="1" t="s">
        <v>3964</v>
      </c>
      <c r="H1253" s="1" t="s">
        <v>3042</v>
      </c>
      <c r="I1253" s="1" t="s">
        <v>152</v>
      </c>
      <c r="K1253" s="1">
        <v>0.0</v>
      </c>
      <c r="L1253" s="1" t="s">
        <v>2435</v>
      </c>
      <c r="M1253" s="1" t="str">
        <f>VLOOKUP(L1253,'Copy of PMD Workday Constants -'!B1222:Y1908,22,false)</f>
        <v>#N/A</v>
      </c>
      <c r="N1253" s="1" t="s">
        <v>32</v>
      </c>
      <c r="O1253" s="1" t="s">
        <v>33</v>
      </c>
      <c r="P1253" s="1" t="s">
        <v>173</v>
      </c>
      <c r="Q1253" s="1" t="s">
        <v>173</v>
      </c>
      <c r="R1253" s="1" t="s">
        <v>174</v>
      </c>
      <c r="S1253" s="1" t="s">
        <v>612</v>
      </c>
      <c r="T1253" s="1">
        <v>1.00634919E8</v>
      </c>
      <c r="W1253" s="1" t="s">
        <v>140</v>
      </c>
      <c r="X1253" s="1" t="s">
        <v>4315</v>
      </c>
    </row>
    <row r="1254">
      <c r="A1254" s="1" t="s">
        <v>4316</v>
      </c>
      <c r="B1254" s="1" t="s">
        <v>324</v>
      </c>
      <c r="C1254" s="1" t="s">
        <v>4317</v>
      </c>
      <c r="D1254" s="1" t="s">
        <v>51</v>
      </c>
      <c r="E1254" s="1" t="s">
        <v>29</v>
      </c>
      <c r="F1254" s="5">
        <v>800000.0</v>
      </c>
      <c r="G1254" s="1" t="s">
        <v>3964</v>
      </c>
      <c r="H1254" s="4">
        <v>44870.0</v>
      </c>
      <c r="I1254" s="1" t="s">
        <v>732</v>
      </c>
      <c r="K1254" s="1">
        <v>0.0</v>
      </c>
      <c r="L1254" s="1" t="s">
        <v>474</v>
      </c>
      <c r="M1254" s="1" t="str">
        <f>VLOOKUP(L1254,'Copy of PMD Workday Constants -'!B1223:Y1909,22,false)</f>
        <v>#N/A</v>
      </c>
      <c r="N1254" s="1" t="s">
        <v>32</v>
      </c>
      <c r="O1254" s="1" t="s">
        <v>33</v>
      </c>
      <c r="P1254" s="1" t="s">
        <v>64</v>
      </c>
      <c r="Q1254" s="1" t="s">
        <v>64</v>
      </c>
      <c r="R1254" s="1" t="s">
        <v>65</v>
      </c>
      <c r="T1254" s="1">
        <v>1.00660049E8</v>
      </c>
      <c r="W1254" s="1" t="s">
        <v>56</v>
      </c>
      <c r="X1254" s="1" t="s">
        <v>4318</v>
      </c>
    </row>
    <row r="1255">
      <c r="A1255" s="1" t="s">
        <v>4319</v>
      </c>
      <c r="B1255" s="1" t="s">
        <v>4320</v>
      </c>
      <c r="C1255" s="1" t="s">
        <v>4321</v>
      </c>
      <c r="D1255" s="1" t="s">
        <v>51</v>
      </c>
      <c r="E1255" s="1" t="s">
        <v>29</v>
      </c>
      <c r="F1255" s="5">
        <v>800000.0</v>
      </c>
      <c r="G1255" s="1" t="s">
        <v>3964</v>
      </c>
      <c r="H1255" s="1" t="s">
        <v>4322</v>
      </c>
      <c r="I1255" s="1" t="s">
        <v>248</v>
      </c>
      <c r="K1255" s="1">
        <v>0.0</v>
      </c>
      <c r="L1255" s="1" t="s">
        <v>4323</v>
      </c>
      <c r="M1255" s="1" t="str">
        <f>VLOOKUP(L1255,'Copy of PMD Workday Constants -'!B1224:Y1910,22,false)</f>
        <v>#N/A</v>
      </c>
      <c r="N1255" s="1" t="s">
        <v>32</v>
      </c>
      <c r="O1255" s="1" t="s">
        <v>33</v>
      </c>
      <c r="P1255" s="1" t="s">
        <v>112</v>
      </c>
      <c r="Q1255" s="1" t="s">
        <v>112</v>
      </c>
      <c r="R1255" s="1" t="s">
        <v>113</v>
      </c>
      <c r="S1255" s="1" t="s">
        <v>114</v>
      </c>
      <c r="T1255" s="1">
        <v>1.0062141E8</v>
      </c>
      <c r="W1255" s="1" t="s">
        <v>140</v>
      </c>
      <c r="X1255" s="1" t="s">
        <v>3795</v>
      </c>
    </row>
    <row r="1256">
      <c r="A1256" s="1" t="s">
        <v>4324</v>
      </c>
      <c r="B1256" s="1" t="s">
        <v>324</v>
      </c>
      <c r="C1256" s="1" t="s">
        <v>4325</v>
      </c>
      <c r="D1256" s="1" t="s">
        <v>51</v>
      </c>
      <c r="E1256" s="1" t="s">
        <v>29</v>
      </c>
      <c r="F1256" s="5">
        <v>800000.0</v>
      </c>
      <c r="G1256" s="1" t="s">
        <v>3964</v>
      </c>
      <c r="H1256" s="1" t="s">
        <v>2484</v>
      </c>
      <c r="I1256" s="1" t="s">
        <v>3052</v>
      </c>
      <c r="K1256" s="1">
        <v>0.0</v>
      </c>
      <c r="L1256" s="1" t="s">
        <v>1674</v>
      </c>
      <c r="M1256" s="1" t="str">
        <f>VLOOKUP(L1256,'Copy of PMD Workday Constants -'!B1225:Y1911,22,false)</f>
        <v>#N/A</v>
      </c>
      <c r="N1256" s="1" t="s">
        <v>32</v>
      </c>
      <c r="O1256" s="1" t="s">
        <v>33</v>
      </c>
      <c r="P1256" s="1" t="s">
        <v>210</v>
      </c>
      <c r="Q1256" s="1" t="s">
        <v>210</v>
      </c>
      <c r="R1256" s="1" t="s">
        <v>211</v>
      </c>
      <c r="S1256" s="1" t="s">
        <v>212</v>
      </c>
      <c r="T1256" s="1">
        <v>1.00648421E8</v>
      </c>
      <c r="W1256" s="1" t="s">
        <v>56</v>
      </c>
      <c r="X1256" s="1" t="s">
        <v>1674</v>
      </c>
    </row>
    <row r="1257">
      <c r="A1257" s="1" t="s">
        <v>4326</v>
      </c>
      <c r="B1257" s="1" t="s">
        <v>411</v>
      </c>
      <c r="C1257" s="1" t="s">
        <v>4327</v>
      </c>
      <c r="D1257" s="1" t="s">
        <v>51</v>
      </c>
      <c r="E1257" s="1" t="s">
        <v>29</v>
      </c>
      <c r="F1257" s="5">
        <v>800000.0</v>
      </c>
      <c r="G1257" s="1" t="s">
        <v>3964</v>
      </c>
      <c r="H1257" s="1" t="s">
        <v>1514</v>
      </c>
      <c r="I1257" s="1" t="s">
        <v>302</v>
      </c>
      <c r="K1257" s="1">
        <v>0.0</v>
      </c>
      <c r="L1257" s="1" t="s">
        <v>4176</v>
      </c>
      <c r="M1257" s="1" t="str">
        <f>VLOOKUP(L1257,'Copy of PMD Workday Constants -'!B1226:Y1912,22,false)</f>
        <v>#N/A</v>
      </c>
      <c r="N1257" s="1" t="s">
        <v>32</v>
      </c>
      <c r="O1257" s="1" t="s">
        <v>33</v>
      </c>
      <c r="P1257" s="1" t="s">
        <v>173</v>
      </c>
      <c r="Q1257" s="1" t="s">
        <v>173</v>
      </c>
      <c r="R1257" s="1" t="s">
        <v>174</v>
      </c>
      <c r="S1257" s="1" t="s">
        <v>4328</v>
      </c>
      <c r="T1257" s="1">
        <v>1.00869674E8</v>
      </c>
      <c r="U1257" s="1" t="s">
        <v>4329</v>
      </c>
      <c r="V1257" s="1" t="s">
        <v>187</v>
      </c>
      <c r="W1257" s="1" t="s">
        <v>56</v>
      </c>
      <c r="X1257" s="1" t="s">
        <v>4177</v>
      </c>
    </row>
    <row r="1258">
      <c r="A1258" s="1" t="s">
        <v>4330</v>
      </c>
      <c r="B1258" s="1" t="s">
        <v>1025</v>
      </c>
      <c r="C1258" s="1" t="s">
        <v>4331</v>
      </c>
      <c r="D1258" s="1" t="s">
        <v>103</v>
      </c>
      <c r="E1258" s="1" t="s">
        <v>29</v>
      </c>
      <c r="F1258" s="5">
        <v>800000.0</v>
      </c>
      <c r="G1258" s="1" t="s">
        <v>3964</v>
      </c>
      <c r="H1258" s="1" t="s">
        <v>3083</v>
      </c>
      <c r="I1258" s="1" t="s">
        <v>302</v>
      </c>
      <c r="K1258" s="1">
        <v>0.0</v>
      </c>
      <c r="L1258" s="1" t="s">
        <v>4112</v>
      </c>
      <c r="M1258" s="1" t="str">
        <f>VLOOKUP(L1258,'Copy of PMD Workday Constants -'!B1227:Y1913,22,false)</f>
        <v>#N/A</v>
      </c>
      <c r="N1258" s="1" t="s">
        <v>32</v>
      </c>
      <c r="O1258" s="1" t="s">
        <v>33</v>
      </c>
      <c r="P1258" s="1" t="s">
        <v>34</v>
      </c>
      <c r="Q1258" s="1" t="s">
        <v>34</v>
      </c>
      <c r="R1258" s="1" t="s">
        <v>35</v>
      </c>
      <c r="S1258" s="1" t="s">
        <v>90</v>
      </c>
      <c r="T1258" s="1">
        <v>1.00584558E8</v>
      </c>
      <c r="W1258" s="1" t="s">
        <v>47</v>
      </c>
      <c r="X1258" s="1" t="s">
        <v>4332</v>
      </c>
    </row>
    <row r="1259">
      <c r="A1259" s="1" t="s">
        <v>4333</v>
      </c>
      <c r="B1259" s="1" t="s">
        <v>4334</v>
      </c>
      <c r="C1259" s="1" t="s">
        <v>4335</v>
      </c>
      <c r="D1259" s="1" t="s">
        <v>103</v>
      </c>
      <c r="E1259" s="1" t="s">
        <v>29</v>
      </c>
      <c r="F1259" s="5">
        <v>800000.0</v>
      </c>
      <c r="G1259" s="1" t="s">
        <v>3964</v>
      </c>
      <c r="H1259" s="1" t="s">
        <v>3399</v>
      </c>
      <c r="I1259" s="1" t="s">
        <v>104</v>
      </c>
      <c r="K1259" s="1">
        <v>0.0</v>
      </c>
      <c r="L1259" s="1" t="s">
        <v>2136</v>
      </c>
      <c r="M1259" s="1" t="str">
        <f>VLOOKUP(L1259,'Copy of PMD Workday Constants -'!B1228:Y1914,22,false)</f>
        <v>#N/A</v>
      </c>
      <c r="N1259" s="1" t="s">
        <v>32</v>
      </c>
      <c r="O1259" s="1" t="s">
        <v>33</v>
      </c>
      <c r="P1259" s="1" t="s">
        <v>34</v>
      </c>
      <c r="Q1259" s="1" t="s">
        <v>34</v>
      </c>
      <c r="R1259" s="1" t="s">
        <v>35</v>
      </c>
      <c r="S1259" s="1" t="s">
        <v>126</v>
      </c>
      <c r="T1259" s="1">
        <v>1.00610903E8</v>
      </c>
      <c r="W1259" s="1" t="s">
        <v>115</v>
      </c>
      <c r="X1259" s="1" t="s">
        <v>2136</v>
      </c>
    </row>
    <row r="1260">
      <c r="A1260" s="1" t="s">
        <v>4336</v>
      </c>
      <c r="B1260" s="1" t="s">
        <v>3166</v>
      </c>
      <c r="C1260" s="1" t="s">
        <v>4337</v>
      </c>
      <c r="D1260" s="1" t="s">
        <v>51</v>
      </c>
      <c r="E1260" s="1" t="s">
        <v>29</v>
      </c>
      <c r="F1260" s="5">
        <v>800000.0</v>
      </c>
      <c r="G1260" s="1" t="s">
        <v>3964</v>
      </c>
      <c r="H1260" s="1" t="s">
        <v>3798</v>
      </c>
      <c r="I1260" s="1" t="s">
        <v>301</v>
      </c>
      <c r="K1260" s="1">
        <v>0.0</v>
      </c>
      <c r="L1260" s="1" t="s">
        <v>4338</v>
      </c>
      <c r="M1260" s="1" t="str">
        <f>VLOOKUP(L1260,'Copy of PMD Workday Constants -'!B1229:Y1915,22,false)</f>
        <v>#N/A</v>
      </c>
      <c r="N1260" s="1" t="s">
        <v>32</v>
      </c>
      <c r="O1260" s="1" t="s">
        <v>33</v>
      </c>
      <c r="P1260" s="1" t="s">
        <v>173</v>
      </c>
      <c r="Q1260" s="1" t="s">
        <v>173</v>
      </c>
      <c r="R1260" s="1" t="s">
        <v>174</v>
      </c>
      <c r="S1260" s="1" t="s">
        <v>612</v>
      </c>
      <c r="T1260" s="1">
        <v>1.00616269E8</v>
      </c>
      <c r="W1260" s="1" t="s">
        <v>1303</v>
      </c>
      <c r="X1260" s="1" t="s">
        <v>3066</v>
      </c>
    </row>
    <row r="1261">
      <c r="A1261" s="1" t="s">
        <v>4339</v>
      </c>
      <c r="B1261" s="1" t="s">
        <v>4340</v>
      </c>
      <c r="C1261" s="1" t="s">
        <v>4341</v>
      </c>
      <c r="D1261" s="1" t="s">
        <v>28</v>
      </c>
      <c r="E1261" s="1" t="s">
        <v>29</v>
      </c>
      <c r="F1261" s="5">
        <v>800000.0</v>
      </c>
      <c r="G1261" s="1" t="s">
        <v>3964</v>
      </c>
      <c r="H1261" s="1" t="s">
        <v>975</v>
      </c>
      <c r="I1261" s="1" t="s">
        <v>810</v>
      </c>
      <c r="K1261" s="1">
        <v>0.0</v>
      </c>
      <c r="L1261" s="1" t="s">
        <v>4342</v>
      </c>
      <c r="M1261" s="1" t="str">
        <f>VLOOKUP(L1261,'Copy of PMD Workday Constants -'!B1230:Y1916,22,false)</f>
        <v>#N/A</v>
      </c>
      <c r="N1261" s="1" t="s">
        <v>32</v>
      </c>
      <c r="O1261" s="1" t="s">
        <v>33</v>
      </c>
      <c r="P1261" s="1" t="s">
        <v>210</v>
      </c>
      <c r="Q1261" s="1" t="s">
        <v>210</v>
      </c>
      <c r="R1261" s="1" t="s">
        <v>211</v>
      </c>
      <c r="S1261" s="1" t="s">
        <v>1313</v>
      </c>
      <c r="T1261" s="1">
        <v>1.00585952E8</v>
      </c>
      <c r="W1261" s="1" t="s">
        <v>115</v>
      </c>
      <c r="X1261" s="1" t="s">
        <v>4342</v>
      </c>
    </row>
    <row r="1262">
      <c r="A1262" s="1" t="s">
        <v>4343</v>
      </c>
      <c r="B1262" s="1" t="s">
        <v>4344</v>
      </c>
      <c r="C1262" s="1" t="s">
        <v>4345</v>
      </c>
      <c r="D1262" s="1" t="s">
        <v>28</v>
      </c>
      <c r="E1262" s="1" t="s">
        <v>29</v>
      </c>
      <c r="F1262" s="5">
        <v>800000.0</v>
      </c>
      <c r="G1262" s="1" t="s">
        <v>3964</v>
      </c>
      <c r="H1262" s="1" t="s">
        <v>4346</v>
      </c>
      <c r="I1262" s="1" t="s">
        <v>237</v>
      </c>
      <c r="K1262" s="1">
        <v>0.0</v>
      </c>
      <c r="L1262" s="1" t="s">
        <v>3571</v>
      </c>
      <c r="M1262" s="1" t="str">
        <f>VLOOKUP(L1262,'Copy of PMD Workday Constants -'!B1231:Y1917,22,false)</f>
        <v>#N/A</v>
      </c>
      <c r="N1262" s="1" t="s">
        <v>32</v>
      </c>
      <c r="O1262" s="1" t="s">
        <v>33</v>
      </c>
      <c r="P1262" s="1" t="s">
        <v>173</v>
      </c>
      <c r="Q1262" s="1" t="s">
        <v>173</v>
      </c>
      <c r="R1262" s="1" t="s">
        <v>174</v>
      </c>
      <c r="S1262" s="1" t="s">
        <v>612</v>
      </c>
      <c r="T1262" s="1">
        <v>1.00651086E8</v>
      </c>
      <c r="W1262" s="1" t="s">
        <v>147</v>
      </c>
      <c r="X1262" s="1" t="s">
        <v>3571</v>
      </c>
    </row>
    <row r="1263">
      <c r="A1263" s="1" t="s">
        <v>4347</v>
      </c>
      <c r="B1263" s="1" t="s">
        <v>4348</v>
      </c>
      <c r="C1263" s="1" t="s">
        <v>4349</v>
      </c>
      <c r="D1263" s="1" t="s">
        <v>28</v>
      </c>
      <c r="E1263" s="1" t="s">
        <v>29</v>
      </c>
      <c r="F1263" s="5">
        <v>800000.0</v>
      </c>
      <c r="G1263" s="1" t="s">
        <v>3964</v>
      </c>
      <c r="H1263" s="1" t="s">
        <v>170</v>
      </c>
      <c r="I1263" s="1" t="s">
        <v>132</v>
      </c>
      <c r="K1263" s="1">
        <v>0.0</v>
      </c>
      <c r="L1263" s="1" t="s">
        <v>749</v>
      </c>
      <c r="M1263" s="1" t="str">
        <f>VLOOKUP(L1263,'Copy of PMD Workday Constants -'!B1232:Y1918,22,false)</f>
        <v>#N/A</v>
      </c>
      <c r="N1263" s="1" t="s">
        <v>32</v>
      </c>
      <c r="O1263" s="1" t="s">
        <v>33</v>
      </c>
      <c r="P1263" s="1" t="s">
        <v>34</v>
      </c>
      <c r="Q1263" s="1" t="s">
        <v>34</v>
      </c>
      <c r="R1263" s="1" t="s">
        <v>35</v>
      </c>
      <c r="T1263" s="1">
        <v>1.00686761E8</v>
      </c>
      <c r="W1263" s="1" t="s">
        <v>37</v>
      </c>
      <c r="X1263" s="1" t="s">
        <v>749</v>
      </c>
    </row>
    <row r="1264">
      <c r="A1264" s="1" t="s">
        <v>4350</v>
      </c>
      <c r="B1264" s="1" t="s">
        <v>3169</v>
      </c>
      <c r="C1264" s="1" t="s">
        <v>4351</v>
      </c>
      <c r="D1264" s="1" t="s">
        <v>79</v>
      </c>
      <c r="E1264" s="1" t="s">
        <v>29</v>
      </c>
      <c r="F1264" s="5">
        <v>800000.0</v>
      </c>
      <c r="G1264" s="1" t="s">
        <v>3964</v>
      </c>
      <c r="H1264" s="1" t="s">
        <v>2666</v>
      </c>
      <c r="I1264" s="1" t="s">
        <v>104</v>
      </c>
      <c r="K1264" s="1">
        <v>0.0</v>
      </c>
      <c r="L1264" s="1" t="s">
        <v>3171</v>
      </c>
      <c r="M1264" s="1" t="str">
        <f>VLOOKUP(L1264,'Copy of PMD Workday Constants -'!B1233:Y1919,22,false)</f>
        <v>#N/A</v>
      </c>
      <c r="N1264" s="1" t="s">
        <v>32</v>
      </c>
      <c r="O1264" s="1" t="s">
        <v>33</v>
      </c>
      <c r="P1264" s="1" t="s">
        <v>173</v>
      </c>
      <c r="Q1264" s="1" t="s">
        <v>173</v>
      </c>
      <c r="R1264" s="1" t="s">
        <v>174</v>
      </c>
      <c r="S1264" s="1" t="s">
        <v>153</v>
      </c>
      <c r="T1264" s="1">
        <v>1.01170527E8</v>
      </c>
      <c r="W1264" s="1" t="s">
        <v>456</v>
      </c>
      <c r="X1264" s="1" t="s">
        <v>4352</v>
      </c>
    </row>
    <row r="1265">
      <c r="A1265" s="1" t="s">
        <v>4353</v>
      </c>
      <c r="B1265" s="1" t="s">
        <v>665</v>
      </c>
      <c r="C1265" s="1" t="s">
        <v>4354</v>
      </c>
      <c r="D1265" s="1" t="s">
        <v>28</v>
      </c>
      <c r="E1265" s="1" t="s">
        <v>29</v>
      </c>
      <c r="F1265" s="5">
        <v>800000.0</v>
      </c>
      <c r="G1265" s="1" t="s">
        <v>3964</v>
      </c>
      <c r="H1265" s="1" t="s">
        <v>2994</v>
      </c>
      <c r="I1265" s="4">
        <v>44927.0</v>
      </c>
      <c r="K1265" s="1">
        <v>0.0</v>
      </c>
      <c r="L1265" s="1" t="s">
        <v>667</v>
      </c>
      <c r="M1265" s="1" t="str">
        <f>VLOOKUP(L1265,'Copy of PMD Workday Constants -'!B1234:Y1920,22,false)</f>
        <v>#N/A</v>
      </c>
      <c r="N1265" s="1" t="s">
        <v>32</v>
      </c>
      <c r="O1265" s="1" t="s">
        <v>33</v>
      </c>
      <c r="P1265" s="1" t="s">
        <v>112</v>
      </c>
      <c r="Q1265" s="1" t="s">
        <v>112</v>
      </c>
      <c r="R1265" s="1" t="s">
        <v>113</v>
      </c>
      <c r="S1265" s="1" t="s">
        <v>307</v>
      </c>
      <c r="T1265" s="1">
        <v>1.00616804E8</v>
      </c>
      <c r="W1265" s="1" t="s">
        <v>115</v>
      </c>
      <c r="X1265" s="1" t="s">
        <v>667</v>
      </c>
    </row>
    <row r="1266">
      <c r="A1266" s="1" t="s">
        <v>4355</v>
      </c>
      <c r="B1266" s="1" t="s">
        <v>2415</v>
      </c>
      <c r="C1266" s="1" t="s">
        <v>4356</v>
      </c>
      <c r="D1266" s="1" t="s">
        <v>103</v>
      </c>
      <c r="E1266" s="1" t="s">
        <v>29</v>
      </c>
      <c r="F1266" s="5">
        <v>800000.0</v>
      </c>
      <c r="G1266" s="1" t="s">
        <v>3964</v>
      </c>
      <c r="H1266" s="1" t="s">
        <v>452</v>
      </c>
      <c r="I1266" s="4">
        <v>44569.0</v>
      </c>
      <c r="K1266" s="1">
        <v>0.0</v>
      </c>
      <c r="L1266" s="1" t="s">
        <v>576</v>
      </c>
      <c r="M1266" s="1" t="str">
        <f>VLOOKUP(L1266,'Copy of PMD Workday Constants -'!B1235:Y1921,22,false)</f>
        <v>#N/A</v>
      </c>
      <c r="N1266" s="1" t="s">
        <v>32</v>
      </c>
      <c r="O1266" s="1" t="s">
        <v>33</v>
      </c>
      <c r="P1266" s="1" t="s">
        <v>210</v>
      </c>
      <c r="Q1266" s="1" t="s">
        <v>210</v>
      </c>
      <c r="R1266" s="1" t="s">
        <v>211</v>
      </c>
      <c r="S1266" s="1" t="s">
        <v>297</v>
      </c>
      <c r="T1266" s="1">
        <v>1.00660495E8</v>
      </c>
      <c r="W1266" s="1" t="s">
        <v>258</v>
      </c>
      <c r="X1266" s="1" t="s">
        <v>4357</v>
      </c>
    </row>
    <row r="1267">
      <c r="A1267" s="1" t="s">
        <v>4358</v>
      </c>
      <c r="B1267" s="1" t="s">
        <v>489</v>
      </c>
      <c r="C1267" s="1" t="s">
        <v>4359</v>
      </c>
      <c r="D1267" s="1" t="s">
        <v>51</v>
      </c>
      <c r="E1267" s="1" t="s">
        <v>29</v>
      </c>
      <c r="F1267" s="5">
        <v>800000.0</v>
      </c>
      <c r="G1267" s="1" t="s">
        <v>3964</v>
      </c>
      <c r="H1267" s="4">
        <v>44685.0</v>
      </c>
      <c r="I1267" s="1" t="s">
        <v>414</v>
      </c>
      <c r="K1267" s="1">
        <v>0.0</v>
      </c>
      <c r="L1267" s="1" t="s">
        <v>847</v>
      </c>
      <c r="M1267" s="1" t="str">
        <f>VLOOKUP(L1267,'Copy of PMD Workday Constants -'!B1236:Y1922,22,false)</f>
        <v>#N/A</v>
      </c>
      <c r="N1267" s="1" t="s">
        <v>32</v>
      </c>
      <c r="O1267" s="1" t="s">
        <v>33</v>
      </c>
      <c r="P1267" s="1" t="s">
        <v>173</v>
      </c>
      <c r="Q1267" s="1" t="s">
        <v>173</v>
      </c>
      <c r="R1267" s="1" t="s">
        <v>174</v>
      </c>
      <c r="T1267" s="1">
        <v>1.00586701E8</v>
      </c>
      <c r="W1267" s="1" t="s">
        <v>493</v>
      </c>
      <c r="X1267" s="1" t="s">
        <v>848</v>
      </c>
    </row>
    <row r="1268">
      <c r="A1268" s="1" t="s">
        <v>4360</v>
      </c>
      <c r="B1268" s="1" t="s">
        <v>4361</v>
      </c>
      <c r="C1268" s="1" t="s">
        <v>4362</v>
      </c>
      <c r="D1268" s="1" t="s">
        <v>28</v>
      </c>
      <c r="E1268" s="1" t="s">
        <v>29</v>
      </c>
      <c r="F1268" s="5">
        <v>800000.0</v>
      </c>
      <c r="G1268" s="1" t="s">
        <v>3964</v>
      </c>
      <c r="H1268" s="1" t="s">
        <v>330</v>
      </c>
      <c r="I1268" s="1" t="s">
        <v>1528</v>
      </c>
      <c r="K1268" s="1">
        <v>0.0</v>
      </c>
      <c r="L1268" s="1" t="s">
        <v>319</v>
      </c>
      <c r="M1268" s="1" t="str">
        <f>VLOOKUP(L1268,'Copy of PMD Workday Constants -'!B1237:Y1923,22,false)</f>
        <v>#N/A</v>
      </c>
      <c r="N1268" s="1" t="s">
        <v>32</v>
      </c>
      <c r="O1268" s="1" t="s">
        <v>33</v>
      </c>
      <c r="P1268" s="1" t="s">
        <v>82</v>
      </c>
      <c r="Q1268" s="1" t="s">
        <v>82</v>
      </c>
      <c r="R1268" s="1" t="s">
        <v>83</v>
      </c>
      <c r="S1268" s="1" t="s">
        <v>84</v>
      </c>
      <c r="T1268" s="1">
        <v>1.00654705E8</v>
      </c>
      <c r="W1268" s="1" t="s">
        <v>85</v>
      </c>
      <c r="X1268" s="1" t="s">
        <v>319</v>
      </c>
    </row>
    <row r="1269">
      <c r="A1269" s="1" t="s">
        <v>4363</v>
      </c>
      <c r="B1269" s="1" t="s">
        <v>1415</v>
      </c>
      <c r="C1269" s="1" t="s">
        <v>4364</v>
      </c>
      <c r="D1269" s="1" t="s">
        <v>51</v>
      </c>
      <c r="E1269" s="1" t="s">
        <v>29</v>
      </c>
      <c r="F1269" s="5">
        <v>800000.0</v>
      </c>
      <c r="G1269" s="1" t="s">
        <v>3964</v>
      </c>
      <c r="H1269" s="1" t="s">
        <v>569</v>
      </c>
      <c r="I1269" s="1" t="s">
        <v>453</v>
      </c>
      <c r="K1269" s="1">
        <v>0.0</v>
      </c>
      <c r="L1269" s="1" t="s">
        <v>4365</v>
      </c>
      <c r="M1269" s="1" t="str">
        <f>VLOOKUP(L1269,'Copy of PMD Workday Constants -'!B1238:Y1924,22,false)</f>
        <v>#N/A</v>
      </c>
      <c r="N1269" s="1" t="s">
        <v>32</v>
      </c>
      <c r="O1269" s="1" t="s">
        <v>33</v>
      </c>
      <c r="P1269" s="1" t="s">
        <v>173</v>
      </c>
      <c r="Q1269" s="1" t="s">
        <v>173</v>
      </c>
      <c r="R1269" s="1" t="s">
        <v>174</v>
      </c>
      <c r="T1269" s="1">
        <v>1.0066064E8</v>
      </c>
      <c r="W1269" s="1" t="s">
        <v>1303</v>
      </c>
      <c r="X1269" s="1" t="s">
        <v>4366</v>
      </c>
    </row>
    <row r="1270">
      <c r="A1270" s="1" t="s">
        <v>4367</v>
      </c>
      <c r="B1270" s="1" t="s">
        <v>840</v>
      </c>
      <c r="C1270" s="1" t="s">
        <v>4368</v>
      </c>
      <c r="D1270" s="1" t="s">
        <v>51</v>
      </c>
      <c r="E1270" s="1" t="s">
        <v>29</v>
      </c>
      <c r="F1270" s="5">
        <v>800000.0</v>
      </c>
      <c r="G1270" s="1" t="s">
        <v>3964</v>
      </c>
      <c r="H1270" s="1" t="s">
        <v>1650</v>
      </c>
      <c r="I1270" s="1" t="s">
        <v>2485</v>
      </c>
      <c r="K1270" s="1">
        <v>0.0</v>
      </c>
      <c r="L1270" s="1" t="s">
        <v>963</v>
      </c>
      <c r="M1270" s="1" t="str">
        <f>VLOOKUP(L1270,'Copy of PMD Workday Constants -'!B1239:Y1925,22,false)</f>
        <v>#N/A</v>
      </c>
      <c r="N1270" s="1" t="s">
        <v>32</v>
      </c>
      <c r="O1270" s="1" t="s">
        <v>33</v>
      </c>
      <c r="P1270" s="1" t="s">
        <v>173</v>
      </c>
      <c r="Q1270" s="1" t="s">
        <v>173</v>
      </c>
      <c r="R1270" s="1" t="s">
        <v>174</v>
      </c>
      <c r="S1270" s="1" t="s">
        <v>612</v>
      </c>
      <c r="T1270" s="1">
        <v>1.00708984E8</v>
      </c>
      <c r="W1270" s="1" t="s">
        <v>147</v>
      </c>
      <c r="X1270" s="1" t="s">
        <v>4369</v>
      </c>
    </row>
    <row r="1271">
      <c r="A1271" s="1" t="s">
        <v>4370</v>
      </c>
      <c r="B1271" s="1" t="s">
        <v>585</v>
      </c>
      <c r="C1271" s="1" t="s">
        <v>4371</v>
      </c>
      <c r="D1271" s="1" t="s">
        <v>103</v>
      </c>
      <c r="E1271" s="1" t="s">
        <v>29</v>
      </c>
      <c r="F1271" s="5">
        <v>800000.0</v>
      </c>
      <c r="G1271" s="1" t="s">
        <v>3964</v>
      </c>
      <c r="H1271" s="4">
        <v>44866.0</v>
      </c>
      <c r="I1271" s="4">
        <v>44568.0</v>
      </c>
      <c r="K1271" s="1">
        <v>0.0</v>
      </c>
      <c r="L1271" s="1" t="s">
        <v>588</v>
      </c>
      <c r="M1271" s="1" t="str">
        <f>VLOOKUP(L1271,'Copy of PMD Workday Constants -'!B1240:Y1926,22,false)</f>
        <v>#N/A</v>
      </c>
      <c r="N1271" s="1" t="s">
        <v>32</v>
      </c>
      <c r="O1271" s="1" t="s">
        <v>33</v>
      </c>
      <c r="P1271" s="1" t="s">
        <v>34</v>
      </c>
      <c r="Q1271" s="1" t="s">
        <v>34</v>
      </c>
      <c r="R1271" s="1" t="s">
        <v>35</v>
      </c>
      <c r="S1271" s="1" t="s">
        <v>153</v>
      </c>
      <c r="T1271" s="1">
        <v>1.00609607E8</v>
      </c>
      <c r="W1271" s="1" t="s">
        <v>91</v>
      </c>
      <c r="X1271" s="1" t="s">
        <v>401</v>
      </c>
    </row>
    <row r="1272">
      <c r="A1272" s="1" t="s">
        <v>4372</v>
      </c>
      <c r="B1272" s="1" t="s">
        <v>1900</v>
      </c>
      <c r="C1272" s="1" t="s">
        <v>4373</v>
      </c>
      <c r="D1272" s="1" t="s">
        <v>51</v>
      </c>
      <c r="E1272" s="1" t="s">
        <v>29</v>
      </c>
      <c r="F1272" s="5">
        <v>800000.0</v>
      </c>
      <c r="G1272" s="1" t="s">
        <v>3964</v>
      </c>
      <c r="H1272" s="1" t="s">
        <v>1575</v>
      </c>
      <c r="I1272" s="1" t="s">
        <v>301</v>
      </c>
      <c r="K1272" s="1">
        <v>0.0</v>
      </c>
      <c r="L1272" s="1" t="s">
        <v>1902</v>
      </c>
      <c r="M1272" s="1" t="str">
        <f>VLOOKUP(L1272,'Copy of PMD Workday Constants -'!B1241:Y1927,22,false)</f>
        <v>#N/A</v>
      </c>
      <c r="N1272" s="1" t="s">
        <v>32</v>
      </c>
      <c r="O1272" s="1" t="s">
        <v>33</v>
      </c>
      <c r="P1272" s="1" t="s">
        <v>173</v>
      </c>
      <c r="Q1272" s="1" t="s">
        <v>173</v>
      </c>
      <c r="R1272" s="1" t="s">
        <v>174</v>
      </c>
      <c r="S1272" s="1" t="s">
        <v>540</v>
      </c>
      <c r="T1272" s="1">
        <v>1.00956516E8</v>
      </c>
      <c r="W1272" s="1" t="s">
        <v>258</v>
      </c>
      <c r="X1272" s="1" t="s">
        <v>1903</v>
      </c>
    </row>
    <row r="1273">
      <c r="A1273" s="1" t="s">
        <v>4374</v>
      </c>
      <c r="B1273" s="1" t="s">
        <v>1109</v>
      </c>
      <c r="C1273" s="1" t="s">
        <v>4375</v>
      </c>
      <c r="D1273" s="1" t="s">
        <v>51</v>
      </c>
      <c r="E1273" s="1" t="s">
        <v>29</v>
      </c>
      <c r="F1273" s="5">
        <v>800000.0</v>
      </c>
      <c r="G1273" s="1" t="s">
        <v>3964</v>
      </c>
      <c r="H1273" s="1" t="s">
        <v>460</v>
      </c>
      <c r="I1273" s="4">
        <v>44844.0</v>
      </c>
      <c r="K1273" s="1">
        <v>0.0</v>
      </c>
      <c r="L1273" s="1" t="s">
        <v>319</v>
      </c>
      <c r="M1273" s="1" t="str">
        <f>VLOOKUP(L1273,'Copy of PMD Workday Constants -'!B1242:Y1928,22,false)</f>
        <v>#N/A</v>
      </c>
      <c r="N1273" s="1" t="s">
        <v>32</v>
      </c>
      <c r="O1273" s="1" t="s">
        <v>33</v>
      </c>
      <c r="P1273" s="1" t="s">
        <v>82</v>
      </c>
      <c r="Q1273" s="1" t="s">
        <v>82</v>
      </c>
      <c r="R1273" s="1" t="s">
        <v>83</v>
      </c>
      <c r="S1273" s="1" t="s">
        <v>84</v>
      </c>
      <c r="T1273" s="1">
        <v>1.00654705E8</v>
      </c>
      <c r="W1273" s="1" t="s">
        <v>85</v>
      </c>
      <c r="X1273" s="1" t="s">
        <v>319</v>
      </c>
    </row>
    <row r="1274">
      <c r="A1274" s="1" t="s">
        <v>4376</v>
      </c>
      <c r="B1274" s="1" t="s">
        <v>642</v>
      </c>
      <c r="C1274" s="1" t="s">
        <v>4377</v>
      </c>
      <c r="D1274" s="1" t="s">
        <v>51</v>
      </c>
      <c r="E1274" s="1" t="s">
        <v>29</v>
      </c>
      <c r="F1274" s="5">
        <v>800000.0</v>
      </c>
      <c r="G1274" s="1" t="s">
        <v>3964</v>
      </c>
      <c r="H1274" s="4">
        <v>44837.0</v>
      </c>
      <c r="I1274" s="1" t="s">
        <v>4378</v>
      </c>
      <c r="K1274" s="1">
        <v>0.0</v>
      </c>
      <c r="L1274" s="1" t="s">
        <v>645</v>
      </c>
      <c r="M1274" s="1" t="str">
        <f>VLOOKUP(L1274,'Copy of PMD Workday Constants -'!B1243:Y1929,22,false)</f>
        <v>#N/A</v>
      </c>
      <c r="N1274" s="1" t="s">
        <v>32</v>
      </c>
      <c r="O1274" s="1" t="s">
        <v>33</v>
      </c>
      <c r="P1274" s="1" t="s">
        <v>64</v>
      </c>
      <c r="Q1274" s="1" t="s">
        <v>64</v>
      </c>
      <c r="R1274" s="1" t="s">
        <v>65</v>
      </c>
      <c r="S1274" s="1" t="s">
        <v>98</v>
      </c>
      <c r="T1274" s="1">
        <v>1.00653597E8</v>
      </c>
      <c r="W1274" s="1" t="s">
        <v>56</v>
      </c>
      <c r="X1274" s="1" t="s">
        <v>645</v>
      </c>
    </row>
    <row r="1275">
      <c r="A1275" s="1" t="s">
        <v>4379</v>
      </c>
      <c r="B1275" s="1" t="s">
        <v>1154</v>
      </c>
      <c r="C1275" s="1" t="s">
        <v>4380</v>
      </c>
      <c r="D1275" s="1" t="s">
        <v>51</v>
      </c>
      <c r="E1275" s="1" t="s">
        <v>29</v>
      </c>
      <c r="F1275" s="5">
        <v>800000.0</v>
      </c>
      <c r="G1275" s="1" t="s">
        <v>3964</v>
      </c>
      <c r="H1275" s="1" t="s">
        <v>556</v>
      </c>
      <c r="I1275" s="4">
        <v>44568.0</v>
      </c>
      <c r="K1275" s="1">
        <v>0.0</v>
      </c>
      <c r="L1275" s="1" t="s">
        <v>3565</v>
      </c>
      <c r="M1275" s="1" t="str">
        <f>VLOOKUP(L1275,'Copy of PMD Workday Constants -'!B1244:Y1930,22,false)</f>
        <v>#N/A</v>
      </c>
      <c r="N1275" s="1" t="s">
        <v>32</v>
      </c>
      <c r="O1275" s="1" t="s">
        <v>33</v>
      </c>
      <c r="P1275" s="1" t="s">
        <v>112</v>
      </c>
      <c r="Q1275" s="1" t="s">
        <v>112</v>
      </c>
      <c r="R1275" s="1" t="s">
        <v>113</v>
      </c>
      <c r="S1275" s="1" t="s">
        <v>114</v>
      </c>
      <c r="T1275" s="1">
        <v>1.00658777E8</v>
      </c>
      <c r="W1275" s="1" t="s">
        <v>115</v>
      </c>
      <c r="X1275" s="1" t="s">
        <v>4381</v>
      </c>
    </row>
    <row r="1276">
      <c r="A1276" s="1" t="s">
        <v>4382</v>
      </c>
      <c r="B1276" s="1" t="s">
        <v>1096</v>
      </c>
      <c r="C1276" s="1" t="s">
        <v>4383</v>
      </c>
      <c r="D1276" s="1" t="s">
        <v>103</v>
      </c>
      <c r="E1276" s="1" t="s">
        <v>29</v>
      </c>
      <c r="F1276" s="5">
        <v>800000.0</v>
      </c>
      <c r="G1276" s="1" t="s">
        <v>3964</v>
      </c>
      <c r="H1276" s="4">
        <v>44717.0</v>
      </c>
      <c r="I1276" s="4">
        <v>44568.0</v>
      </c>
      <c r="K1276" s="1">
        <v>0.0</v>
      </c>
      <c r="L1276" s="1" t="s">
        <v>1098</v>
      </c>
      <c r="M1276" s="1" t="str">
        <f>VLOOKUP(L1276,'Copy of PMD Workday Constants -'!B1245:Y1931,22,false)</f>
        <v>#N/A</v>
      </c>
      <c r="N1276" s="1" t="s">
        <v>32</v>
      </c>
      <c r="O1276" s="1" t="s">
        <v>33</v>
      </c>
      <c r="P1276" s="1" t="s">
        <v>173</v>
      </c>
      <c r="Q1276" s="1" t="s">
        <v>173</v>
      </c>
      <c r="R1276" s="1" t="s">
        <v>174</v>
      </c>
      <c r="T1276" s="1">
        <v>1.00609827E8</v>
      </c>
      <c r="W1276" s="1" t="s">
        <v>456</v>
      </c>
      <c r="X1276" s="1" t="s">
        <v>4384</v>
      </c>
    </row>
    <row r="1277">
      <c r="A1277" s="1" t="s">
        <v>4385</v>
      </c>
      <c r="B1277" s="1" t="s">
        <v>4386</v>
      </c>
      <c r="C1277" s="1" t="s">
        <v>4387</v>
      </c>
      <c r="D1277" s="1" t="s">
        <v>51</v>
      </c>
      <c r="E1277" s="1" t="s">
        <v>29</v>
      </c>
      <c r="F1277" s="5">
        <v>800000.0</v>
      </c>
      <c r="G1277" s="1" t="s">
        <v>3964</v>
      </c>
      <c r="H1277" s="1" t="s">
        <v>4388</v>
      </c>
      <c r="I1277" s="1" t="s">
        <v>4389</v>
      </c>
      <c r="K1277" s="1">
        <v>0.0</v>
      </c>
      <c r="L1277" s="1" t="s">
        <v>759</v>
      </c>
      <c r="M1277" s="1" t="str">
        <f>VLOOKUP(L1277,'Copy of PMD Workday Constants -'!B1246:Y1932,22,false)</f>
        <v>#N/A</v>
      </c>
      <c r="N1277" s="1" t="s">
        <v>32</v>
      </c>
      <c r="O1277" s="1" t="s">
        <v>33</v>
      </c>
      <c r="P1277" s="1" t="s">
        <v>64</v>
      </c>
      <c r="Q1277" s="1" t="s">
        <v>64</v>
      </c>
      <c r="R1277" s="1" t="s">
        <v>65</v>
      </c>
      <c r="S1277" s="1" t="s">
        <v>185</v>
      </c>
      <c r="T1277" s="1">
        <v>1.00610205E8</v>
      </c>
      <c r="W1277" s="1" t="s">
        <v>74</v>
      </c>
      <c r="X1277" s="1" t="s">
        <v>759</v>
      </c>
    </row>
    <row r="1278">
      <c r="A1278" s="1" t="s">
        <v>4390</v>
      </c>
      <c r="B1278" s="1" t="s">
        <v>1539</v>
      </c>
      <c r="C1278" s="1" t="s">
        <v>4391</v>
      </c>
      <c r="D1278" s="1" t="s">
        <v>28</v>
      </c>
      <c r="E1278" s="1" t="s">
        <v>29</v>
      </c>
      <c r="F1278" s="5">
        <v>800000.0</v>
      </c>
      <c r="G1278" s="1" t="s">
        <v>3964</v>
      </c>
      <c r="H1278" s="4">
        <v>44717.0</v>
      </c>
      <c r="I1278" s="1" t="s">
        <v>593</v>
      </c>
      <c r="K1278" s="1">
        <v>0.0</v>
      </c>
      <c r="L1278" s="1" t="s">
        <v>4392</v>
      </c>
      <c r="M1278" s="1" t="str">
        <f>VLOOKUP(L1278,'Copy of PMD Workday Constants -'!B1247:Y1933,22,false)</f>
        <v>#N/A</v>
      </c>
      <c r="N1278" s="1" t="s">
        <v>32</v>
      </c>
      <c r="O1278" s="1" t="s">
        <v>33</v>
      </c>
      <c r="P1278" s="1" t="s">
        <v>34</v>
      </c>
      <c r="Q1278" s="1" t="s">
        <v>34</v>
      </c>
      <c r="R1278" s="1" t="s">
        <v>35</v>
      </c>
      <c r="S1278" s="1" t="s">
        <v>1336</v>
      </c>
      <c r="T1278" s="1">
        <v>1.00648847E8</v>
      </c>
      <c r="W1278" s="1" t="s">
        <v>456</v>
      </c>
      <c r="X1278" s="1" t="s">
        <v>4392</v>
      </c>
    </row>
    <row r="1279">
      <c r="A1279" s="1" t="s">
        <v>4393</v>
      </c>
      <c r="B1279" s="1" t="s">
        <v>918</v>
      </c>
      <c r="C1279" s="1" t="s">
        <v>4394</v>
      </c>
      <c r="D1279" s="1" t="s">
        <v>28</v>
      </c>
      <c r="E1279" s="1" t="s">
        <v>29</v>
      </c>
      <c r="F1279" s="5">
        <v>800000.0</v>
      </c>
      <c r="G1279" s="1" t="s">
        <v>3964</v>
      </c>
      <c r="H1279" s="4">
        <v>44471.0</v>
      </c>
      <c r="I1279" s="1" t="s">
        <v>1349</v>
      </c>
      <c r="K1279" s="1">
        <v>0.0</v>
      </c>
      <c r="L1279" s="1" t="s">
        <v>2861</v>
      </c>
      <c r="M1279" s="1" t="str">
        <f>VLOOKUP(L1279,'Copy of PMD Workday Constants -'!B1248:Y1934,22,false)</f>
        <v>#N/A</v>
      </c>
      <c r="N1279" s="1" t="s">
        <v>32</v>
      </c>
      <c r="O1279" s="1" t="s">
        <v>33</v>
      </c>
      <c r="P1279" s="1" t="s">
        <v>112</v>
      </c>
      <c r="Q1279" s="1" t="s">
        <v>112</v>
      </c>
      <c r="R1279" s="1" t="s">
        <v>113</v>
      </c>
      <c r="S1279" s="1" t="s">
        <v>120</v>
      </c>
      <c r="T1279" s="1">
        <v>1.00649654E8</v>
      </c>
      <c r="W1279" s="1" t="s">
        <v>56</v>
      </c>
      <c r="X1279" s="1" t="s">
        <v>4395</v>
      </c>
    </row>
    <row r="1280">
      <c r="A1280" s="1" t="s">
        <v>4396</v>
      </c>
      <c r="B1280" s="1" t="s">
        <v>4397</v>
      </c>
      <c r="C1280" s="1" t="s">
        <v>4398</v>
      </c>
      <c r="D1280" s="1" t="s">
        <v>51</v>
      </c>
      <c r="E1280" s="1" t="s">
        <v>29</v>
      </c>
      <c r="F1280" s="5">
        <v>800000.0</v>
      </c>
      <c r="G1280" s="1" t="s">
        <v>3964</v>
      </c>
      <c r="H1280" s="1" t="s">
        <v>170</v>
      </c>
      <c r="I1280" s="1" t="s">
        <v>104</v>
      </c>
      <c r="K1280" s="1">
        <v>0.0</v>
      </c>
      <c r="L1280" s="1" t="s">
        <v>4399</v>
      </c>
      <c r="M1280" s="1" t="str">
        <f>VLOOKUP(L1280,'Copy of PMD Workday Constants -'!B1249:Y1935,22,false)</f>
        <v>#N/A</v>
      </c>
      <c r="N1280" s="1" t="s">
        <v>32</v>
      </c>
      <c r="O1280" s="1" t="s">
        <v>33</v>
      </c>
      <c r="P1280" s="1" t="s">
        <v>82</v>
      </c>
      <c r="Q1280" s="1" t="s">
        <v>82</v>
      </c>
      <c r="R1280" s="1" t="s">
        <v>83</v>
      </c>
      <c r="S1280" s="1" t="s">
        <v>180</v>
      </c>
      <c r="T1280" s="1">
        <v>1.01169845E8</v>
      </c>
      <c r="W1280" s="1" t="s">
        <v>85</v>
      </c>
      <c r="X1280" s="1" t="s">
        <v>4400</v>
      </c>
    </row>
    <row r="1281">
      <c r="A1281" s="1" t="s">
        <v>4401</v>
      </c>
      <c r="B1281" s="1" t="s">
        <v>521</v>
      </c>
      <c r="C1281" s="1" t="s">
        <v>4402</v>
      </c>
      <c r="D1281" s="1" t="s">
        <v>103</v>
      </c>
      <c r="E1281" s="1" t="s">
        <v>29</v>
      </c>
      <c r="F1281" s="5">
        <v>800000.0</v>
      </c>
      <c r="G1281" s="1" t="s">
        <v>3964</v>
      </c>
      <c r="H1281" s="1" t="s">
        <v>1553</v>
      </c>
      <c r="I1281" s="1" t="s">
        <v>816</v>
      </c>
      <c r="K1281" s="1">
        <v>0.0</v>
      </c>
      <c r="L1281" s="1" t="s">
        <v>2086</v>
      </c>
      <c r="M1281" s="1" t="str">
        <f>VLOOKUP(L1281,'Copy of PMD Workday Constants -'!B1250:Y1936,22,false)</f>
        <v>#N/A</v>
      </c>
      <c r="N1281" s="1" t="s">
        <v>32</v>
      </c>
      <c r="O1281" s="1" t="s">
        <v>33</v>
      </c>
      <c r="P1281" s="1" t="s">
        <v>82</v>
      </c>
      <c r="Q1281" s="1" t="s">
        <v>82</v>
      </c>
      <c r="R1281" s="1" t="s">
        <v>83</v>
      </c>
      <c r="S1281" s="1" t="s">
        <v>84</v>
      </c>
      <c r="T1281" s="1">
        <v>1.0061233E8</v>
      </c>
      <c r="W1281" s="1" t="s">
        <v>85</v>
      </c>
      <c r="X1281" s="1" t="s">
        <v>4403</v>
      </c>
    </row>
    <row r="1282">
      <c r="A1282" s="1" t="s">
        <v>4404</v>
      </c>
      <c r="B1282" s="1" t="s">
        <v>225</v>
      </c>
      <c r="C1282" s="1" t="s">
        <v>4405</v>
      </c>
      <c r="D1282" s="1" t="s">
        <v>28</v>
      </c>
      <c r="E1282" s="1" t="s">
        <v>29</v>
      </c>
      <c r="F1282" s="5">
        <v>800000.0</v>
      </c>
      <c r="G1282" s="1" t="s">
        <v>3964</v>
      </c>
      <c r="H1282" s="1" t="s">
        <v>870</v>
      </c>
      <c r="I1282" s="1" t="s">
        <v>152</v>
      </c>
      <c r="K1282" s="1">
        <v>0.0</v>
      </c>
      <c r="L1282" s="1" t="s">
        <v>2330</v>
      </c>
      <c r="M1282" s="1" t="str">
        <f>VLOOKUP(L1282,'Copy of PMD Workday Constants -'!B1251:Y1937,22,false)</f>
        <v>#N/A</v>
      </c>
      <c r="N1282" s="1" t="s">
        <v>32</v>
      </c>
      <c r="O1282" s="1" t="s">
        <v>33</v>
      </c>
      <c r="P1282" s="1" t="s">
        <v>82</v>
      </c>
      <c r="Q1282" s="1" t="s">
        <v>82</v>
      </c>
      <c r="R1282" s="1" t="s">
        <v>83</v>
      </c>
      <c r="S1282" s="1" t="s">
        <v>84</v>
      </c>
      <c r="T1282" s="1">
        <v>1.00613761E8</v>
      </c>
      <c r="W1282" s="1" t="s">
        <v>85</v>
      </c>
      <c r="X1282" s="1" t="s">
        <v>4406</v>
      </c>
    </row>
    <row r="1283">
      <c r="A1283" s="1" t="s">
        <v>4407</v>
      </c>
      <c r="B1283" s="1" t="s">
        <v>3140</v>
      </c>
      <c r="C1283" s="1" t="s">
        <v>4408</v>
      </c>
      <c r="D1283" s="1" t="s">
        <v>28</v>
      </c>
      <c r="E1283" s="1" t="s">
        <v>29</v>
      </c>
      <c r="F1283" s="5">
        <v>800000.0</v>
      </c>
      <c r="G1283" s="1" t="s">
        <v>3964</v>
      </c>
      <c r="H1283" s="4">
        <v>44718.0</v>
      </c>
      <c r="I1283" s="1" t="s">
        <v>302</v>
      </c>
      <c r="K1283" s="1">
        <v>0.0</v>
      </c>
      <c r="L1283" s="1" t="s">
        <v>4240</v>
      </c>
      <c r="M1283" s="1" t="str">
        <f>VLOOKUP(L1283,'Copy of PMD Workday Constants -'!B1252:Y1938,22,false)</f>
        <v>#N/A</v>
      </c>
      <c r="N1283" s="1" t="s">
        <v>32</v>
      </c>
      <c r="O1283" s="1" t="s">
        <v>33</v>
      </c>
      <c r="P1283" s="1" t="s">
        <v>210</v>
      </c>
      <c r="Q1283" s="1" t="s">
        <v>210</v>
      </c>
      <c r="R1283" s="1" t="s">
        <v>211</v>
      </c>
      <c r="S1283" s="1" t="s">
        <v>416</v>
      </c>
      <c r="T1283" s="1">
        <v>1.00625459E8</v>
      </c>
      <c r="W1283" s="1" t="s">
        <v>56</v>
      </c>
      <c r="X1283" s="1" t="s">
        <v>4240</v>
      </c>
    </row>
    <row r="1284">
      <c r="A1284" s="1" t="s">
        <v>4409</v>
      </c>
      <c r="B1284" s="1" t="s">
        <v>40</v>
      </c>
      <c r="C1284" s="1" t="s">
        <v>4410</v>
      </c>
      <c r="D1284" s="1" t="s">
        <v>28</v>
      </c>
      <c r="E1284" s="1" t="s">
        <v>29</v>
      </c>
      <c r="F1284" s="5">
        <v>797000.0</v>
      </c>
      <c r="G1284" s="1" t="s">
        <v>3964</v>
      </c>
      <c r="H1284" s="1" t="s">
        <v>2290</v>
      </c>
      <c r="I1284" s="4">
        <v>44568.0</v>
      </c>
      <c r="K1284" s="1">
        <v>0.0</v>
      </c>
      <c r="L1284" s="1" t="s">
        <v>796</v>
      </c>
      <c r="M1284" s="1" t="str">
        <f>VLOOKUP(L1284,'Copy of PMD Workday Constants -'!B1253:Y1939,22,false)</f>
        <v>#N/A</v>
      </c>
      <c r="N1284" s="1" t="s">
        <v>32</v>
      </c>
      <c r="O1284" s="1" t="s">
        <v>33</v>
      </c>
      <c r="P1284" s="1" t="s">
        <v>54</v>
      </c>
      <c r="Q1284" s="1" t="s">
        <v>54</v>
      </c>
      <c r="R1284" s="1" t="s">
        <v>55</v>
      </c>
      <c r="T1284" s="1">
        <v>1.01077909E8</v>
      </c>
      <c r="U1284" s="1" t="s">
        <v>797</v>
      </c>
      <c r="V1284" s="1" t="s">
        <v>46</v>
      </c>
      <c r="W1284" s="1" t="s">
        <v>47</v>
      </c>
      <c r="X1284" s="1" t="s">
        <v>798</v>
      </c>
    </row>
    <row r="1285">
      <c r="A1285" s="1" t="s">
        <v>4411</v>
      </c>
      <c r="B1285" s="1" t="s">
        <v>1009</v>
      </c>
      <c r="C1285" s="1" t="s">
        <v>4412</v>
      </c>
      <c r="D1285" s="1" t="s">
        <v>51</v>
      </c>
      <c r="E1285" s="1" t="s">
        <v>29</v>
      </c>
      <c r="F1285" s="5">
        <v>794545.0</v>
      </c>
      <c r="G1285" s="1" t="s">
        <v>3964</v>
      </c>
      <c r="H1285" s="1" t="s">
        <v>4413</v>
      </c>
      <c r="I1285" s="4">
        <v>44568.0</v>
      </c>
      <c r="K1285" s="1">
        <v>0.0</v>
      </c>
      <c r="L1285" s="1" t="s">
        <v>693</v>
      </c>
      <c r="M1285" s="1" t="str">
        <f>VLOOKUP(L1285,'Copy of PMD Workday Constants -'!B1254:Y1940,22,false)</f>
        <v>#N/A</v>
      </c>
      <c r="N1285" s="1" t="s">
        <v>32</v>
      </c>
      <c r="O1285" s="1" t="s">
        <v>33</v>
      </c>
      <c r="P1285" s="1" t="s">
        <v>54</v>
      </c>
      <c r="Q1285" s="1" t="s">
        <v>54</v>
      </c>
      <c r="R1285" s="1" t="s">
        <v>55</v>
      </c>
      <c r="S1285" s="1" t="s">
        <v>4414</v>
      </c>
      <c r="T1285" s="1">
        <v>1.00904601E8</v>
      </c>
      <c r="X1285" s="1" t="s">
        <v>3078</v>
      </c>
    </row>
    <row r="1286">
      <c r="A1286" s="1" t="s">
        <v>4415</v>
      </c>
      <c r="B1286" s="1" t="s">
        <v>1488</v>
      </c>
      <c r="C1286" s="1" t="s">
        <v>4416</v>
      </c>
      <c r="D1286" s="1" t="s">
        <v>51</v>
      </c>
      <c r="E1286" s="1" t="s">
        <v>29</v>
      </c>
      <c r="F1286" s="5">
        <v>780000.0</v>
      </c>
      <c r="G1286" s="1" t="s">
        <v>3964</v>
      </c>
      <c r="H1286" s="4">
        <v>44718.0</v>
      </c>
      <c r="I1286" s="1" t="s">
        <v>732</v>
      </c>
      <c r="K1286" s="1">
        <v>0.0</v>
      </c>
      <c r="L1286" s="1" t="s">
        <v>1165</v>
      </c>
      <c r="M1286" s="1" t="str">
        <f>VLOOKUP(L1286,'Copy of PMD Workday Constants -'!B1255:Y1941,22,false)</f>
        <v>#N/A</v>
      </c>
      <c r="N1286" s="1" t="s">
        <v>32</v>
      </c>
      <c r="O1286" s="1" t="s">
        <v>33</v>
      </c>
      <c r="P1286" s="1" t="s">
        <v>34</v>
      </c>
      <c r="Q1286" s="1" t="s">
        <v>34</v>
      </c>
      <c r="R1286" s="1" t="s">
        <v>35</v>
      </c>
      <c r="S1286" s="1" t="s">
        <v>1166</v>
      </c>
      <c r="T1286" s="1">
        <v>1.00586863E8</v>
      </c>
      <c r="W1286" s="1" t="s">
        <v>456</v>
      </c>
      <c r="X1286" s="1" t="s">
        <v>1490</v>
      </c>
    </row>
    <row r="1287">
      <c r="A1287" s="1" t="s">
        <v>4417</v>
      </c>
      <c r="B1287" s="1" t="s">
        <v>931</v>
      </c>
      <c r="C1287" s="1" t="s">
        <v>4418</v>
      </c>
      <c r="D1287" s="1" t="s">
        <v>51</v>
      </c>
      <c r="E1287" s="1" t="s">
        <v>29</v>
      </c>
      <c r="F1287" s="5">
        <v>780000.0</v>
      </c>
      <c r="G1287" s="1" t="s">
        <v>3964</v>
      </c>
      <c r="H1287" s="1" t="s">
        <v>301</v>
      </c>
      <c r="I1287" s="1" t="s">
        <v>302</v>
      </c>
      <c r="K1287" s="1">
        <v>0.0</v>
      </c>
      <c r="L1287" s="1" t="s">
        <v>4419</v>
      </c>
      <c r="M1287" s="1" t="str">
        <f>VLOOKUP(L1287,'Copy of PMD Workday Constants -'!B1256:Y1942,22,false)</f>
        <v>#N/A</v>
      </c>
      <c r="N1287" s="1" t="s">
        <v>32</v>
      </c>
      <c r="O1287" s="1" t="s">
        <v>33</v>
      </c>
      <c r="P1287" s="1" t="s">
        <v>222</v>
      </c>
      <c r="Q1287" s="1" t="s">
        <v>222</v>
      </c>
      <c r="R1287" s="1" t="s">
        <v>223</v>
      </c>
      <c r="S1287" s="1" t="s">
        <v>482</v>
      </c>
      <c r="T1287" s="1">
        <v>1.01059844E8</v>
      </c>
      <c r="W1287" s="1" t="s">
        <v>85</v>
      </c>
      <c r="X1287" s="1" t="s">
        <v>4419</v>
      </c>
    </row>
    <row r="1288">
      <c r="A1288" s="1" t="s">
        <v>4420</v>
      </c>
      <c r="B1288" s="1" t="s">
        <v>2267</v>
      </c>
      <c r="C1288" s="1" t="s">
        <v>4421</v>
      </c>
      <c r="D1288" s="1" t="s">
        <v>28</v>
      </c>
      <c r="E1288" s="1" t="s">
        <v>29</v>
      </c>
      <c r="F1288" s="5">
        <v>775000.0</v>
      </c>
      <c r="G1288" s="1" t="s">
        <v>3964</v>
      </c>
      <c r="H1288" s="1" t="s">
        <v>1842</v>
      </c>
      <c r="I1288" s="1" t="s">
        <v>442</v>
      </c>
      <c r="K1288" s="1">
        <v>0.0</v>
      </c>
      <c r="L1288" s="1" t="s">
        <v>1973</v>
      </c>
      <c r="M1288" s="1" t="str">
        <f>VLOOKUP(L1288,'Copy of PMD Workday Constants -'!B1257:Y1943,22,false)</f>
        <v>#N/A</v>
      </c>
      <c r="N1288" s="1" t="s">
        <v>32</v>
      </c>
      <c r="O1288" s="1" t="s">
        <v>33</v>
      </c>
      <c r="P1288" s="1" t="s">
        <v>82</v>
      </c>
      <c r="Q1288" s="1" t="s">
        <v>82</v>
      </c>
      <c r="R1288" s="1" t="s">
        <v>83</v>
      </c>
      <c r="S1288" s="1" t="s">
        <v>180</v>
      </c>
      <c r="T1288" s="1">
        <v>1.00619692E8</v>
      </c>
      <c r="W1288" s="1" t="s">
        <v>85</v>
      </c>
      <c r="X1288" s="1" t="s">
        <v>1973</v>
      </c>
    </row>
    <row r="1289">
      <c r="A1289" s="1" t="s">
        <v>4422</v>
      </c>
      <c r="B1289" s="1" t="s">
        <v>725</v>
      </c>
      <c r="C1289" s="1" t="s">
        <v>4423</v>
      </c>
      <c r="D1289" s="1" t="s">
        <v>51</v>
      </c>
      <c r="E1289" s="1" t="s">
        <v>29</v>
      </c>
      <c r="F1289" s="5">
        <v>765000.0</v>
      </c>
      <c r="G1289" s="1" t="s">
        <v>3964</v>
      </c>
      <c r="H1289" s="4">
        <v>44626.0</v>
      </c>
      <c r="I1289" s="1" t="s">
        <v>96</v>
      </c>
      <c r="J1289" s="6">
        <v>44810.87291666667</v>
      </c>
      <c r="K1289" s="1">
        <v>0.0</v>
      </c>
      <c r="L1289" s="1" t="s">
        <v>728</v>
      </c>
      <c r="M1289" s="1" t="str">
        <f>VLOOKUP(L1289,'Copy of PMD Workday Constants -'!B1258:Y1944,22,false)</f>
        <v>#N/A</v>
      </c>
      <c r="N1289" s="1" t="s">
        <v>32</v>
      </c>
      <c r="O1289" s="1" t="s">
        <v>33</v>
      </c>
      <c r="P1289" s="1" t="s">
        <v>210</v>
      </c>
      <c r="Q1289" s="1" t="s">
        <v>210</v>
      </c>
      <c r="R1289" s="1" t="s">
        <v>211</v>
      </c>
      <c r="S1289" s="1" t="s">
        <v>212</v>
      </c>
      <c r="T1289" s="1">
        <v>1.00899005E8</v>
      </c>
      <c r="W1289" s="1" t="s">
        <v>56</v>
      </c>
      <c r="X1289" s="1" t="s">
        <v>729</v>
      </c>
    </row>
    <row r="1290">
      <c r="A1290" s="1" t="s">
        <v>4424</v>
      </c>
      <c r="B1290" s="1" t="s">
        <v>4425</v>
      </c>
      <c r="C1290" s="1" t="s">
        <v>4426</v>
      </c>
      <c r="D1290" s="1" t="s">
        <v>103</v>
      </c>
      <c r="E1290" s="1" t="s">
        <v>29</v>
      </c>
      <c r="F1290" s="5">
        <v>765000.0</v>
      </c>
      <c r="G1290" s="1" t="s">
        <v>3964</v>
      </c>
      <c r="H1290" s="1" t="s">
        <v>330</v>
      </c>
      <c r="I1290" s="1" t="s">
        <v>414</v>
      </c>
      <c r="K1290" s="1">
        <v>0.0</v>
      </c>
      <c r="L1290" s="1" t="s">
        <v>1198</v>
      </c>
      <c r="M1290" s="1" t="str">
        <f>VLOOKUP(L1290,'Copy of PMD Workday Constants -'!B1259:Y1945,22,false)</f>
        <v>#N/A</v>
      </c>
      <c r="N1290" s="1" t="s">
        <v>32</v>
      </c>
      <c r="O1290" s="1" t="s">
        <v>33</v>
      </c>
      <c r="P1290" s="1" t="s">
        <v>64</v>
      </c>
      <c r="Q1290" s="1" t="s">
        <v>64</v>
      </c>
      <c r="R1290" s="1" t="s">
        <v>65</v>
      </c>
      <c r="T1290" s="1">
        <v>1.01127868E8</v>
      </c>
      <c r="W1290" s="1" t="s">
        <v>74</v>
      </c>
      <c r="X1290" s="1" t="s">
        <v>4427</v>
      </c>
    </row>
    <row r="1291">
      <c r="A1291" s="1" t="s">
        <v>4428</v>
      </c>
      <c r="B1291" s="1" t="s">
        <v>177</v>
      </c>
      <c r="C1291" s="1" t="s">
        <v>4429</v>
      </c>
      <c r="D1291" s="1" t="s">
        <v>103</v>
      </c>
      <c r="E1291" s="1" t="s">
        <v>29</v>
      </c>
      <c r="F1291" s="5">
        <v>762178.0</v>
      </c>
      <c r="G1291" s="1" t="s">
        <v>3964</v>
      </c>
      <c r="H1291" s="4">
        <v>44717.0</v>
      </c>
      <c r="I1291" s="1" t="s">
        <v>80</v>
      </c>
      <c r="K1291" s="1">
        <v>0.0</v>
      </c>
      <c r="L1291" s="1" t="s">
        <v>179</v>
      </c>
      <c r="M1291" s="1" t="str">
        <f>VLOOKUP(L1291,'Copy of PMD Workday Constants -'!B1260:Y1946,22,false)</f>
        <v>#N/A</v>
      </c>
      <c r="N1291" s="1" t="s">
        <v>32</v>
      </c>
      <c r="O1291" s="1" t="s">
        <v>33</v>
      </c>
      <c r="P1291" s="1" t="s">
        <v>82</v>
      </c>
      <c r="Q1291" s="1" t="s">
        <v>82</v>
      </c>
      <c r="R1291" s="1" t="s">
        <v>83</v>
      </c>
      <c r="S1291" s="1" t="s">
        <v>180</v>
      </c>
      <c r="T1291" s="1">
        <v>1.01068117E8</v>
      </c>
      <c r="W1291" s="1" t="s">
        <v>85</v>
      </c>
      <c r="X1291" s="1" t="s">
        <v>179</v>
      </c>
    </row>
    <row r="1292">
      <c r="A1292" s="1" t="s">
        <v>4430</v>
      </c>
      <c r="B1292" s="1" t="s">
        <v>868</v>
      </c>
      <c r="C1292" s="1" t="s">
        <v>4431</v>
      </c>
      <c r="D1292" s="1" t="s">
        <v>28</v>
      </c>
      <c r="E1292" s="1" t="s">
        <v>29</v>
      </c>
      <c r="F1292" s="5">
        <v>760000.0</v>
      </c>
      <c r="G1292" s="1" t="s">
        <v>3964</v>
      </c>
      <c r="H1292" s="4">
        <v>44871.0</v>
      </c>
      <c r="I1292" s="1" t="s">
        <v>248</v>
      </c>
      <c r="K1292" s="1">
        <v>0.0</v>
      </c>
      <c r="L1292" s="1" t="s">
        <v>4432</v>
      </c>
      <c r="M1292" s="1" t="str">
        <f>VLOOKUP(L1292,'Copy of PMD Workday Constants -'!B1261:Y1947,22,false)</f>
        <v>#N/A</v>
      </c>
      <c r="N1292" s="1" t="s">
        <v>32</v>
      </c>
      <c r="O1292" s="1" t="s">
        <v>33</v>
      </c>
      <c r="P1292" s="1" t="s">
        <v>34</v>
      </c>
      <c r="Q1292" s="1" t="s">
        <v>34</v>
      </c>
      <c r="R1292" s="1" t="s">
        <v>35</v>
      </c>
      <c r="T1292" s="1">
        <v>1.00586334E8</v>
      </c>
      <c r="W1292" s="1" t="s">
        <v>287</v>
      </c>
      <c r="X1292" s="1" t="s">
        <v>4433</v>
      </c>
    </row>
    <row r="1293">
      <c r="A1293" s="1" t="s">
        <v>4434</v>
      </c>
      <c r="B1293" s="1" t="s">
        <v>93</v>
      </c>
      <c r="C1293" s="1" t="s">
        <v>4435</v>
      </c>
      <c r="D1293" s="1" t="s">
        <v>103</v>
      </c>
      <c r="E1293" s="1" t="s">
        <v>29</v>
      </c>
      <c r="F1293" s="5">
        <v>752000.0</v>
      </c>
      <c r="G1293" s="1" t="s">
        <v>3964</v>
      </c>
      <c r="H1293" s="1" t="s">
        <v>322</v>
      </c>
      <c r="I1293" s="1" t="s">
        <v>104</v>
      </c>
      <c r="K1293" s="1">
        <v>0.0</v>
      </c>
      <c r="L1293" s="1" t="s">
        <v>2885</v>
      </c>
      <c r="M1293" s="1" t="str">
        <f>VLOOKUP(L1293,'Copy of PMD Workday Constants -'!B1262:Y1948,22,false)</f>
        <v>#N/A</v>
      </c>
      <c r="N1293" s="1" t="s">
        <v>32</v>
      </c>
      <c r="O1293" s="1" t="s">
        <v>33</v>
      </c>
      <c r="P1293" s="1" t="s">
        <v>210</v>
      </c>
      <c r="Q1293" s="1" t="s">
        <v>210</v>
      </c>
      <c r="R1293" s="1" t="s">
        <v>211</v>
      </c>
      <c r="S1293" s="1" t="s">
        <v>416</v>
      </c>
      <c r="T1293" s="1">
        <v>1.00647463E8</v>
      </c>
      <c r="W1293" s="1" t="s">
        <v>56</v>
      </c>
      <c r="X1293" s="1" t="s">
        <v>2885</v>
      </c>
    </row>
    <row r="1294">
      <c r="A1294" s="1" t="s">
        <v>4436</v>
      </c>
      <c r="B1294" s="1" t="s">
        <v>1058</v>
      </c>
      <c r="C1294" s="1" t="s">
        <v>4437</v>
      </c>
      <c r="D1294" s="1" t="s">
        <v>28</v>
      </c>
      <c r="E1294" s="1" t="s">
        <v>29</v>
      </c>
      <c r="F1294" s="5">
        <v>750000.0</v>
      </c>
      <c r="G1294" s="1" t="s">
        <v>3964</v>
      </c>
      <c r="H1294" s="4">
        <v>44598.0</v>
      </c>
      <c r="I1294" s="1" t="s">
        <v>941</v>
      </c>
      <c r="K1294" s="1">
        <v>0.0</v>
      </c>
      <c r="L1294" s="1" t="s">
        <v>4438</v>
      </c>
      <c r="M1294" s="1" t="str">
        <f>VLOOKUP(L1294,'Copy of PMD Workday Constants -'!B1263:Y1949,22,false)</f>
        <v>#N/A</v>
      </c>
      <c r="N1294" s="1" t="s">
        <v>32</v>
      </c>
      <c r="O1294" s="1" t="s">
        <v>33</v>
      </c>
      <c r="P1294" s="1" t="s">
        <v>34</v>
      </c>
      <c r="Q1294" s="1" t="s">
        <v>34</v>
      </c>
      <c r="R1294" s="1" t="s">
        <v>35</v>
      </c>
      <c r="T1294" s="1">
        <v>1.01088701E8</v>
      </c>
      <c r="W1294" s="1" t="s">
        <v>147</v>
      </c>
      <c r="X1294" s="1" t="s">
        <v>1423</v>
      </c>
    </row>
    <row r="1295">
      <c r="A1295" s="1" t="s">
        <v>4439</v>
      </c>
      <c r="B1295" s="1" t="s">
        <v>747</v>
      </c>
      <c r="C1295" s="1" t="s">
        <v>4440</v>
      </c>
      <c r="D1295" s="1" t="s">
        <v>28</v>
      </c>
      <c r="E1295" s="1" t="s">
        <v>29</v>
      </c>
      <c r="F1295" s="5">
        <v>750000.0</v>
      </c>
      <c r="G1295" s="1" t="s">
        <v>3964</v>
      </c>
      <c r="H1295" s="1" t="s">
        <v>1404</v>
      </c>
      <c r="I1295" s="1" t="s">
        <v>104</v>
      </c>
      <c r="K1295" s="1">
        <v>0.0</v>
      </c>
      <c r="L1295" s="1" t="s">
        <v>2160</v>
      </c>
      <c r="M1295" s="1" t="str">
        <f>VLOOKUP(L1295,'Copy of PMD Workday Constants -'!B1264:Y1950,22,false)</f>
        <v>#N/A</v>
      </c>
      <c r="N1295" s="1" t="s">
        <v>32</v>
      </c>
      <c r="O1295" s="1" t="s">
        <v>33</v>
      </c>
      <c r="P1295" s="1" t="s">
        <v>54</v>
      </c>
      <c r="Q1295" s="1" t="s">
        <v>54</v>
      </c>
      <c r="R1295" s="1" t="s">
        <v>55</v>
      </c>
      <c r="S1295" s="1" t="s">
        <v>285</v>
      </c>
      <c r="T1295" s="1">
        <v>1.00600975E8</v>
      </c>
      <c r="W1295" s="1" t="s">
        <v>37</v>
      </c>
      <c r="X1295" s="1" t="s">
        <v>2160</v>
      </c>
    </row>
    <row r="1296">
      <c r="A1296" s="1" t="s">
        <v>4441</v>
      </c>
      <c r="B1296" s="1" t="s">
        <v>3146</v>
      </c>
      <c r="C1296" s="1" t="s">
        <v>4442</v>
      </c>
      <c r="D1296" s="1" t="s">
        <v>28</v>
      </c>
      <c r="E1296" s="1" t="s">
        <v>29</v>
      </c>
      <c r="F1296" s="5">
        <v>750000.0</v>
      </c>
      <c r="G1296" s="1" t="s">
        <v>3964</v>
      </c>
      <c r="H1296" s="4">
        <v>44840.0</v>
      </c>
      <c r="I1296" s="4">
        <v>44813.0</v>
      </c>
      <c r="K1296" s="1">
        <v>0.0</v>
      </c>
      <c r="L1296" s="1" t="s">
        <v>3148</v>
      </c>
      <c r="M1296" s="1" t="str">
        <f>VLOOKUP(L1296,'Copy of PMD Workday Constants -'!B1265:Y1951,22,false)</f>
        <v>#N/A</v>
      </c>
      <c r="N1296" s="1" t="s">
        <v>32</v>
      </c>
      <c r="O1296" s="1" t="s">
        <v>33</v>
      </c>
      <c r="P1296" s="1" t="s">
        <v>112</v>
      </c>
      <c r="Q1296" s="1" t="s">
        <v>112</v>
      </c>
      <c r="R1296" s="1" t="s">
        <v>113</v>
      </c>
      <c r="S1296" s="1" t="s">
        <v>455</v>
      </c>
      <c r="T1296" s="1">
        <v>1.00620159E8</v>
      </c>
      <c r="W1296" s="1" t="s">
        <v>85</v>
      </c>
      <c r="X1296" s="1" t="s">
        <v>3149</v>
      </c>
    </row>
    <row r="1297">
      <c r="A1297" s="1" t="s">
        <v>4443</v>
      </c>
      <c r="B1297" s="1" t="s">
        <v>996</v>
      </c>
      <c r="C1297" s="1" t="s">
        <v>4444</v>
      </c>
      <c r="D1297" s="1" t="s">
        <v>28</v>
      </c>
      <c r="E1297" s="1" t="s">
        <v>29</v>
      </c>
      <c r="F1297" s="5">
        <v>750000.0</v>
      </c>
      <c r="G1297" s="1" t="s">
        <v>3964</v>
      </c>
      <c r="H1297" s="4">
        <v>44626.0</v>
      </c>
      <c r="I1297" s="1" t="s">
        <v>302</v>
      </c>
      <c r="K1297" s="1">
        <v>0.0</v>
      </c>
      <c r="L1297" s="1" t="s">
        <v>2050</v>
      </c>
      <c r="M1297" s="1" t="str">
        <f>VLOOKUP(L1297,'Copy of PMD Workday Constants -'!B1266:Y1952,22,false)</f>
        <v>#N/A</v>
      </c>
      <c r="N1297" s="1" t="s">
        <v>32</v>
      </c>
      <c r="O1297" s="1" t="s">
        <v>33</v>
      </c>
      <c r="P1297" s="1" t="s">
        <v>64</v>
      </c>
      <c r="Q1297" s="1" t="s">
        <v>64</v>
      </c>
      <c r="R1297" s="1" t="s">
        <v>65</v>
      </c>
      <c r="T1297" s="1">
        <v>1.00624533E8</v>
      </c>
      <c r="W1297" s="1" t="s">
        <v>391</v>
      </c>
      <c r="X1297" s="1" t="s">
        <v>2051</v>
      </c>
    </row>
    <row r="1298">
      <c r="A1298" s="1" t="s">
        <v>4445</v>
      </c>
      <c r="B1298" s="1" t="s">
        <v>177</v>
      </c>
      <c r="C1298" s="1" t="s">
        <v>4446</v>
      </c>
      <c r="D1298" s="1" t="s">
        <v>28</v>
      </c>
      <c r="E1298" s="1" t="s">
        <v>29</v>
      </c>
      <c r="F1298" s="5">
        <v>750000.0</v>
      </c>
      <c r="G1298" s="1" t="s">
        <v>3964</v>
      </c>
      <c r="H1298" s="4">
        <v>44448.0</v>
      </c>
      <c r="I1298" s="1" t="s">
        <v>104</v>
      </c>
      <c r="K1298" s="1">
        <v>0.0</v>
      </c>
      <c r="L1298" s="1" t="s">
        <v>1036</v>
      </c>
      <c r="M1298" s="1" t="str">
        <f>VLOOKUP(L1298,'Copy of PMD Workday Constants -'!B1267:Y1953,22,false)</f>
        <v>#N/A</v>
      </c>
      <c r="N1298" s="1" t="s">
        <v>32</v>
      </c>
      <c r="O1298" s="1" t="s">
        <v>33</v>
      </c>
      <c r="P1298" s="1" t="s">
        <v>82</v>
      </c>
      <c r="Q1298" s="1" t="s">
        <v>82</v>
      </c>
      <c r="R1298" s="1" t="s">
        <v>83</v>
      </c>
      <c r="S1298" s="1" t="s">
        <v>153</v>
      </c>
      <c r="T1298" s="1">
        <v>1.0090037E8</v>
      </c>
      <c r="W1298" s="1" t="s">
        <v>85</v>
      </c>
      <c r="X1298" s="1" t="s">
        <v>3220</v>
      </c>
    </row>
    <row r="1299">
      <c r="A1299" s="1" t="s">
        <v>4447</v>
      </c>
      <c r="B1299" s="1" t="s">
        <v>77</v>
      </c>
      <c r="C1299" s="1" t="s">
        <v>4448</v>
      </c>
      <c r="D1299" s="1" t="s">
        <v>51</v>
      </c>
      <c r="E1299" s="1" t="s">
        <v>29</v>
      </c>
      <c r="F1299" s="5">
        <v>750000.0</v>
      </c>
      <c r="G1299" s="1" t="s">
        <v>3964</v>
      </c>
      <c r="H1299" s="4">
        <v>44450.0</v>
      </c>
      <c r="I1299" s="1" t="s">
        <v>80</v>
      </c>
      <c r="K1299" s="1">
        <v>0.0</v>
      </c>
      <c r="L1299" s="1" t="s">
        <v>2655</v>
      </c>
      <c r="M1299" s="1" t="str">
        <f>VLOOKUP(L1299,'Copy of PMD Workday Constants -'!B1268:Y1954,22,false)</f>
        <v>#N/A</v>
      </c>
      <c r="N1299" s="1" t="s">
        <v>32</v>
      </c>
      <c r="O1299" s="1" t="s">
        <v>33</v>
      </c>
      <c r="P1299" s="1" t="s">
        <v>210</v>
      </c>
      <c r="Q1299" s="1" t="s">
        <v>210</v>
      </c>
      <c r="R1299" s="1" t="s">
        <v>211</v>
      </c>
      <c r="S1299" s="1" t="s">
        <v>1313</v>
      </c>
      <c r="T1299" s="1">
        <v>1.0062606E8</v>
      </c>
      <c r="W1299" s="1" t="s">
        <v>85</v>
      </c>
      <c r="X1299" s="1" t="s">
        <v>2655</v>
      </c>
    </row>
    <row r="1300">
      <c r="A1300" s="1" t="s">
        <v>4449</v>
      </c>
      <c r="B1300" s="1" t="s">
        <v>507</v>
      </c>
      <c r="C1300" s="1" t="s">
        <v>4450</v>
      </c>
      <c r="D1300" s="1" t="s">
        <v>28</v>
      </c>
      <c r="E1300" s="1" t="s">
        <v>29</v>
      </c>
      <c r="F1300" s="5">
        <v>750000.0</v>
      </c>
      <c r="G1300" s="1" t="s">
        <v>3964</v>
      </c>
      <c r="H1300" s="1" t="s">
        <v>2365</v>
      </c>
      <c r="I1300" s="1" t="s">
        <v>453</v>
      </c>
      <c r="K1300" s="1">
        <v>0.0</v>
      </c>
      <c r="L1300" s="1" t="s">
        <v>582</v>
      </c>
      <c r="M1300" s="1" t="str">
        <f>VLOOKUP(L1300,'Copy of PMD Workday Constants -'!B1269:Y1955,22,false)</f>
        <v>#N/A</v>
      </c>
      <c r="N1300" s="1" t="s">
        <v>32</v>
      </c>
      <c r="O1300" s="1" t="s">
        <v>33</v>
      </c>
      <c r="P1300" s="1" t="s">
        <v>82</v>
      </c>
      <c r="Q1300" s="1" t="s">
        <v>82</v>
      </c>
      <c r="R1300" s="1" t="s">
        <v>83</v>
      </c>
      <c r="S1300" s="1" t="s">
        <v>583</v>
      </c>
      <c r="T1300" s="1">
        <v>1.00869732E8</v>
      </c>
      <c r="W1300" s="1" t="s">
        <v>456</v>
      </c>
      <c r="X1300" s="1" t="s">
        <v>4451</v>
      </c>
    </row>
    <row r="1301">
      <c r="A1301" s="1" t="s">
        <v>4452</v>
      </c>
      <c r="B1301" s="1" t="s">
        <v>3140</v>
      </c>
      <c r="C1301" s="1" t="s">
        <v>4453</v>
      </c>
      <c r="D1301" s="1" t="s">
        <v>103</v>
      </c>
      <c r="E1301" s="1" t="s">
        <v>29</v>
      </c>
      <c r="F1301" s="5">
        <v>750000.0</v>
      </c>
      <c r="G1301" s="1" t="s">
        <v>3964</v>
      </c>
      <c r="H1301" s="1" t="s">
        <v>322</v>
      </c>
      <c r="I1301" s="4">
        <v>44568.0</v>
      </c>
      <c r="K1301" s="1">
        <v>0.0</v>
      </c>
      <c r="L1301" s="1" t="s">
        <v>4454</v>
      </c>
      <c r="M1301" s="1" t="str">
        <f>VLOOKUP(L1301,'Copy of PMD Workday Constants -'!B1270:Y1956,22,false)</f>
        <v>#N/A</v>
      </c>
      <c r="N1301" s="1" t="s">
        <v>32</v>
      </c>
      <c r="O1301" s="1" t="s">
        <v>33</v>
      </c>
      <c r="P1301" s="1" t="s">
        <v>210</v>
      </c>
      <c r="Q1301" s="1" t="s">
        <v>210</v>
      </c>
      <c r="R1301" s="1" t="s">
        <v>211</v>
      </c>
      <c r="S1301" s="1" t="s">
        <v>416</v>
      </c>
      <c r="T1301" s="1">
        <v>1.0059557E8</v>
      </c>
      <c r="W1301" s="1" t="s">
        <v>56</v>
      </c>
      <c r="X1301" s="1" t="s">
        <v>4454</v>
      </c>
    </row>
    <row r="1302">
      <c r="A1302" s="1" t="s">
        <v>4455</v>
      </c>
      <c r="B1302" s="1" t="s">
        <v>160</v>
      </c>
      <c r="C1302" s="1" t="s">
        <v>4456</v>
      </c>
      <c r="D1302" s="1" t="s">
        <v>28</v>
      </c>
      <c r="E1302" s="1" t="s">
        <v>29</v>
      </c>
      <c r="F1302" s="5">
        <v>750000.0</v>
      </c>
      <c r="G1302" s="1" t="s">
        <v>3964</v>
      </c>
      <c r="H1302" s="1" t="s">
        <v>4457</v>
      </c>
      <c r="I1302" s="1" t="s">
        <v>865</v>
      </c>
      <c r="K1302" s="1">
        <v>0.0</v>
      </c>
      <c r="L1302" s="1" t="s">
        <v>570</v>
      </c>
      <c r="M1302" s="1" t="str">
        <f>VLOOKUP(L1302,'Copy of PMD Workday Constants -'!B1271:Y1957,22,false)</f>
        <v>#N/A</v>
      </c>
      <c r="N1302" s="1" t="s">
        <v>32</v>
      </c>
      <c r="O1302" s="1" t="s">
        <v>33</v>
      </c>
      <c r="P1302" s="1" t="s">
        <v>112</v>
      </c>
      <c r="Q1302" s="1" t="s">
        <v>112</v>
      </c>
      <c r="R1302" s="1" t="s">
        <v>113</v>
      </c>
      <c r="S1302" s="1" t="s">
        <v>120</v>
      </c>
      <c r="T1302" s="1">
        <v>1.00625415E8</v>
      </c>
      <c r="W1302" s="1" t="s">
        <v>56</v>
      </c>
      <c r="X1302" s="1" t="s">
        <v>4458</v>
      </c>
    </row>
    <row r="1303">
      <c r="A1303" s="1" t="s">
        <v>4459</v>
      </c>
      <c r="B1303" s="1" t="s">
        <v>450</v>
      </c>
      <c r="C1303" s="1" t="s">
        <v>4460</v>
      </c>
      <c r="D1303" s="1" t="s">
        <v>28</v>
      </c>
      <c r="E1303" s="1" t="s">
        <v>29</v>
      </c>
      <c r="F1303" s="5">
        <v>750000.0</v>
      </c>
      <c r="G1303" s="1" t="s">
        <v>3964</v>
      </c>
      <c r="H1303" s="4">
        <v>44716.0</v>
      </c>
      <c r="I1303" s="1" t="s">
        <v>302</v>
      </c>
      <c r="K1303" s="1">
        <v>0.0</v>
      </c>
      <c r="L1303" s="1" t="s">
        <v>4031</v>
      </c>
      <c r="M1303" s="1" t="str">
        <f>VLOOKUP(L1303,'Copy of PMD Workday Constants -'!B1272:Y1958,22,false)</f>
        <v>#N/A</v>
      </c>
      <c r="N1303" s="1" t="s">
        <v>32</v>
      </c>
      <c r="O1303" s="1" t="s">
        <v>33</v>
      </c>
      <c r="P1303" s="1" t="s">
        <v>34</v>
      </c>
      <c r="Q1303" s="1" t="s">
        <v>34</v>
      </c>
      <c r="R1303" s="1" t="s">
        <v>35</v>
      </c>
      <c r="S1303" s="1" t="s">
        <v>1166</v>
      </c>
      <c r="T1303" s="1">
        <v>1.00581763E8</v>
      </c>
      <c r="W1303" s="1" t="s">
        <v>456</v>
      </c>
      <c r="X1303" s="1" t="s">
        <v>4031</v>
      </c>
    </row>
    <row r="1304">
      <c r="A1304" s="1" t="s">
        <v>4461</v>
      </c>
      <c r="B1304" s="1" t="s">
        <v>954</v>
      </c>
      <c r="C1304" s="1" t="s">
        <v>4462</v>
      </c>
      <c r="D1304" s="1" t="s">
        <v>28</v>
      </c>
      <c r="E1304" s="1" t="s">
        <v>29</v>
      </c>
      <c r="F1304" s="5">
        <v>750000.0</v>
      </c>
      <c r="G1304" s="1" t="s">
        <v>3964</v>
      </c>
      <c r="H1304" s="1" t="s">
        <v>3234</v>
      </c>
      <c r="I1304" s="4">
        <v>44876.0</v>
      </c>
      <c r="K1304" s="1">
        <v>0.0</v>
      </c>
      <c r="L1304" s="1" t="s">
        <v>956</v>
      </c>
      <c r="M1304" s="1" t="str">
        <f>VLOOKUP(L1304,'Copy of PMD Workday Constants -'!B1273:Y1959,22,false)</f>
        <v>#N/A</v>
      </c>
      <c r="N1304" s="1" t="s">
        <v>32</v>
      </c>
      <c r="O1304" s="1" t="s">
        <v>33</v>
      </c>
      <c r="P1304" s="1" t="s">
        <v>173</v>
      </c>
      <c r="Q1304" s="1" t="s">
        <v>173</v>
      </c>
      <c r="R1304" s="1" t="s">
        <v>174</v>
      </c>
      <c r="S1304" s="1" t="s">
        <v>612</v>
      </c>
      <c r="T1304" s="1">
        <v>1.00623421E8</v>
      </c>
      <c r="W1304" s="1" t="s">
        <v>147</v>
      </c>
      <c r="X1304" s="1" t="s">
        <v>4463</v>
      </c>
    </row>
    <row r="1305">
      <c r="A1305" s="1" t="s">
        <v>4464</v>
      </c>
      <c r="B1305" s="1" t="s">
        <v>776</v>
      </c>
      <c r="C1305" s="1" t="s">
        <v>4465</v>
      </c>
      <c r="D1305" s="1" t="s">
        <v>28</v>
      </c>
      <c r="E1305" s="1" t="s">
        <v>29</v>
      </c>
      <c r="F1305" s="5">
        <v>750000.0</v>
      </c>
      <c r="G1305" s="1" t="s">
        <v>3964</v>
      </c>
      <c r="H1305" s="1" t="s">
        <v>1245</v>
      </c>
      <c r="I1305" s="1" t="s">
        <v>191</v>
      </c>
      <c r="K1305" s="1">
        <v>0.0</v>
      </c>
      <c r="L1305" s="1" t="s">
        <v>4213</v>
      </c>
      <c r="M1305" s="1" t="str">
        <f>VLOOKUP(L1305,'Copy of PMD Workday Constants -'!B1274:Y1960,22,false)</f>
        <v>#N/A</v>
      </c>
      <c r="N1305" s="1" t="s">
        <v>32</v>
      </c>
      <c r="O1305" s="1" t="s">
        <v>33</v>
      </c>
      <c r="P1305" s="1" t="s">
        <v>222</v>
      </c>
      <c r="Q1305" s="1" t="s">
        <v>222</v>
      </c>
      <c r="R1305" s="1" t="s">
        <v>223</v>
      </c>
      <c r="T1305" s="1">
        <v>1.00935884E8</v>
      </c>
      <c r="W1305" s="1" t="s">
        <v>74</v>
      </c>
      <c r="X1305" s="1" t="s">
        <v>4213</v>
      </c>
    </row>
    <row r="1306">
      <c r="A1306" s="1" t="s">
        <v>4466</v>
      </c>
      <c r="B1306" s="1" t="s">
        <v>4467</v>
      </c>
      <c r="C1306" s="1" t="s">
        <v>4468</v>
      </c>
      <c r="D1306" s="1" t="s">
        <v>51</v>
      </c>
      <c r="E1306" s="1" t="s">
        <v>29</v>
      </c>
      <c r="F1306" s="5">
        <v>750000.0</v>
      </c>
      <c r="G1306" s="1" t="s">
        <v>3964</v>
      </c>
      <c r="H1306" s="1" t="s">
        <v>4103</v>
      </c>
      <c r="I1306" s="1" t="s">
        <v>80</v>
      </c>
      <c r="K1306" s="1">
        <v>0.0</v>
      </c>
      <c r="L1306" s="1" t="s">
        <v>1646</v>
      </c>
      <c r="M1306" s="1" t="str">
        <f>VLOOKUP(L1306,'Copy of PMD Workday Constants -'!B1275:Y1961,22,false)</f>
        <v>#N/A</v>
      </c>
      <c r="N1306" s="1" t="s">
        <v>32</v>
      </c>
      <c r="O1306" s="1" t="s">
        <v>33</v>
      </c>
      <c r="P1306" s="1" t="s">
        <v>64</v>
      </c>
      <c r="Q1306" s="1" t="s">
        <v>64</v>
      </c>
      <c r="R1306" s="1" t="s">
        <v>65</v>
      </c>
      <c r="S1306" s="1" t="s">
        <v>66</v>
      </c>
      <c r="T1306" s="1">
        <v>1.00650657E8</v>
      </c>
      <c r="W1306" s="1" t="s">
        <v>308</v>
      </c>
      <c r="X1306" s="1" t="s">
        <v>2197</v>
      </c>
    </row>
    <row r="1307">
      <c r="A1307" s="1" t="s">
        <v>4469</v>
      </c>
      <c r="B1307" s="1" t="s">
        <v>4238</v>
      </c>
      <c r="C1307" s="1" t="s">
        <v>4470</v>
      </c>
      <c r="D1307" s="1" t="s">
        <v>103</v>
      </c>
      <c r="E1307" s="1" t="s">
        <v>29</v>
      </c>
      <c r="F1307" s="5">
        <v>750000.0</v>
      </c>
      <c r="G1307" s="1" t="s">
        <v>3964</v>
      </c>
      <c r="H1307" s="4">
        <v>44446.0</v>
      </c>
      <c r="I1307" s="4">
        <v>44569.0</v>
      </c>
      <c r="K1307" s="1">
        <v>0.0</v>
      </c>
      <c r="L1307" s="1" t="s">
        <v>4240</v>
      </c>
      <c r="M1307" s="1" t="str">
        <f>VLOOKUP(L1307,'Copy of PMD Workday Constants -'!B1276:Y1962,22,false)</f>
        <v>#N/A</v>
      </c>
      <c r="N1307" s="1" t="s">
        <v>32</v>
      </c>
      <c r="O1307" s="1" t="s">
        <v>33</v>
      </c>
      <c r="P1307" s="1" t="s">
        <v>210</v>
      </c>
      <c r="Q1307" s="1" t="s">
        <v>210</v>
      </c>
      <c r="R1307" s="1" t="s">
        <v>211</v>
      </c>
      <c r="S1307" s="1" t="s">
        <v>416</v>
      </c>
      <c r="T1307" s="1">
        <v>1.00625459E8</v>
      </c>
      <c r="W1307" s="1" t="s">
        <v>436</v>
      </c>
      <c r="X1307" s="1" t="s">
        <v>4471</v>
      </c>
    </row>
    <row r="1308">
      <c r="A1308" s="1" t="s">
        <v>4472</v>
      </c>
      <c r="B1308" s="1" t="s">
        <v>4473</v>
      </c>
      <c r="C1308" s="1" t="s">
        <v>4474</v>
      </c>
      <c r="D1308" s="1" t="s">
        <v>51</v>
      </c>
      <c r="E1308" s="1" t="s">
        <v>29</v>
      </c>
      <c r="F1308" s="5">
        <v>750000.0</v>
      </c>
      <c r="G1308" s="1" t="s">
        <v>3964</v>
      </c>
      <c r="H1308" s="4">
        <v>44266.0</v>
      </c>
      <c r="I1308" s="1" t="s">
        <v>80</v>
      </c>
      <c r="K1308" s="1">
        <v>0.0</v>
      </c>
      <c r="L1308" s="1" t="s">
        <v>1770</v>
      </c>
      <c r="M1308" s="1" t="str">
        <f>VLOOKUP(L1308,'Copy of PMD Workday Constants -'!B1277:Y1963,22,false)</f>
        <v>#N/A</v>
      </c>
      <c r="N1308" s="1" t="s">
        <v>32</v>
      </c>
      <c r="O1308" s="1" t="s">
        <v>33</v>
      </c>
      <c r="P1308" s="1" t="s">
        <v>210</v>
      </c>
      <c r="Q1308" s="1" t="s">
        <v>210</v>
      </c>
      <c r="R1308" s="1" t="s">
        <v>211</v>
      </c>
      <c r="S1308" s="1" t="s">
        <v>1313</v>
      </c>
      <c r="T1308" s="1">
        <v>1.00593918E8</v>
      </c>
      <c r="W1308" s="1" t="s">
        <v>436</v>
      </c>
      <c r="X1308" s="1" t="s">
        <v>1770</v>
      </c>
    </row>
    <row r="1309">
      <c r="A1309" s="1" t="s">
        <v>4475</v>
      </c>
      <c r="B1309" s="1" t="s">
        <v>4476</v>
      </c>
      <c r="C1309" s="1" t="s">
        <v>4477</v>
      </c>
      <c r="D1309" s="1" t="s">
        <v>103</v>
      </c>
      <c r="E1309" s="1" t="s">
        <v>29</v>
      </c>
      <c r="F1309" s="5">
        <v>750000.0</v>
      </c>
      <c r="G1309" s="1" t="s">
        <v>3964</v>
      </c>
      <c r="H1309" s="1" t="s">
        <v>785</v>
      </c>
      <c r="I1309" s="1" t="s">
        <v>538</v>
      </c>
      <c r="K1309" s="1">
        <v>0.0</v>
      </c>
      <c r="L1309" s="1" t="s">
        <v>3891</v>
      </c>
      <c r="M1309" s="1" t="str">
        <f>VLOOKUP(L1309,'Copy of PMD Workday Constants -'!B1278:Y1964,22,false)</f>
        <v>#N/A</v>
      </c>
      <c r="N1309" s="1" t="s">
        <v>32</v>
      </c>
      <c r="O1309" s="1" t="s">
        <v>33</v>
      </c>
      <c r="P1309" s="1" t="s">
        <v>112</v>
      </c>
      <c r="Q1309" s="1" t="s">
        <v>112</v>
      </c>
      <c r="R1309" s="1" t="s">
        <v>113</v>
      </c>
      <c r="S1309" s="1" t="s">
        <v>114</v>
      </c>
      <c r="T1309" s="1">
        <v>1.00589299E8</v>
      </c>
      <c r="W1309" s="1" t="s">
        <v>1303</v>
      </c>
      <c r="X1309" s="1" t="s">
        <v>3891</v>
      </c>
    </row>
    <row r="1310">
      <c r="A1310" s="1" t="s">
        <v>4478</v>
      </c>
      <c r="B1310" s="1" t="s">
        <v>4101</v>
      </c>
      <c r="C1310" s="1" t="s">
        <v>4479</v>
      </c>
      <c r="D1310" s="1" t="s">
        <v>28</v>
      </c>
      <c r="E1310" s="1" t="s">
        <v>29</v>
      </c>
      <c r="F1310" s="5">
        <v>750000.0</v>
      </c>
      <c r="G1310" s="1" t="s">
        <v>3964</v>
      </c>
      <c r="H1310" s="1" t="s">
        <v>1265</v>
      </c>
      <c r="I1310" s="1" t="s">
        <v>810</v>
      </c>
      <c r="K1310" s="1">
        <v>0.0</v>
      </c>
      <c r="L1310" s="1" t="s">
        <v>1525</v>
      </c>
      <c r="M1310" s="1" t="str">
        <f>VLOOKUP(L1310,'Copy of PMD Workday Constants -'!B1279:Y1965,22,false)</f>
        <v>#N/A</v>
      </c>
      <c r="N1310" s="1" t="s">
        <v>32</v>
      </c>
      <c r="O1310" s="1" t="s">
        <v>33</v>
      </c>
      <c r="P1310" s="1" t="s">
        <v>34</v>
      </c>
      <c r="Q1310" s="1" t="s">
        <v>34</v>
      </c>
      <c r="R1310" s="1" t="s">
        <v>35</v>
      </c>
      <c r="S1310" s="1" t="s">
        <v>1166</v>
      </c>
      <c r="T1310" s="1">
        <v>1.00637597E8</v>
      </c>
      <c r="W1310" s="1" t="s">
        <v>456</v>
      </c>
      <c r="X1310" s="1" t="s">
        <v>4480</v>
      </c>
    </row>
    <row r="1311">
      <c r="A1311" s="1" t="s">
        <v>4481</v>
      </c>
      <c r="B1311" s="1" t="s">
        <v>954</v>
      </c>
      <c r="C1311" s="1" t="s">
        <v>4482</v>
      </c>
      <c r="D1311" s="1" t="s">
        <v>103</v>
      </c>
      <c r="E1311" s="1" t="s">
        <v>29</v>
      </c>
      <c r="F1311" s="5">
        <v>750000.0</v>
      </c>
      <c r="G1311" s="1" t="s">
        <v>3964</v>
      </c>
      <c r="H1311" s="1" t="s">
        <v>865</v>
      </c>
      <c r="I1311" s="4">
        <v>44689.0</v>
      </c>
      <c r="K1311" s="1">
        <v>0.0</v>
      </c>
      <c r="L1311" s="1" t="s">
        <v>139</v>
      </c>
      <c r="M1311" s="1" t="str">
        <f>VLOOKUP(L1311,'Copy of PMD Workday Constants -'!B1280:Y1966,22,false)</f>
        <v>#N/A</v>
      </c>
      <c r="N1311" s="1" t="s">
        <v>32</v>
      </c>
      <c r="O1311" s="1" t="s">
        <v>33</v>
      </c>
      <c r="P1311" s="1" t="s">
        <v>112</v>
      </c>
      <c r="Q1311" s="1" t="s">
        <v>112</v>
      </c>
      <c r="R1311" s="1" t="s">
        <v>113</v>
      </c>
      <c r="S1311" s="1" t="s">
        <v>114</v>
      </c>
      <c r="T1311" s="1">
        <v>1.00592496E8</v>
      </c>
      <c r="U1311" s="1" t="s">
        <v>4483</v>
      </c>
      <c r="V1311" s="1" t="s">
        <v>781</v>
      </c>
      <c r="W1311" s="1" t="s">
        <v>147</v>
      </c>
      <c r="X1311" s="1" t="s">
        <v>139</v>
      </c>
    </row>
    <row r="1312">
      <c r="A1312" s="1" t="s">
        <v>4484</v>
      </c>
      <c r="B1312" s="1" t="s">
        <v>2091</v>
      </c>
      <c r="C1312" s="1" t="s">
        <v>4485</v>
      </c>
      <c r="D1312" s="1" t="s">
        <v>51</v>
      </c>
      <c r="E1312" s="1" t="s">
        <v>29</v>
      </c>
      <c r="F1312" s="5">
        <v>750000.0</v>
      </c>
      <c r="G1312" s="1" t="s">
        <v>3964</v>
      </c>
      <c r="H1312" s="4">
        <v>44533.0</v>
      </c>
      <c r="I1312" s="1" t="s">
        <v>80</v>
      </c>
      <c r="K1312" s="1">
        <v>0.0</v>
      </c>
      <c r="L1312" s="1" t="s">
        <v>275</v>
      </c>
      <c r="M1312" s="1" t="str">
        <f>VLOOKUP(L1312,'Copy of PMD Workday Constants -'!B1281:Y1967,22,false)</f>
        <v>#N/A</v>
      </c>
      <c r="N1312" s="1" t="s">
        <v>32</v>
      </c>
      <c r="O1312" s="1" t="s">
        <v>33</v>
      </c>
      <c r="P1312" s="1" t="s">
        <v>34</v>
      </c>
      <c r="Q1312" s="1" t="s">
        <v>34</v>
      </c>
      <c r="R1312" s="1" t="s">
        <v>35</v>
      </c>
      <c r="S1312" s="1" t="s">
        <v>126</v>
      </c>
      <c r="T1312" s="1">
        <v>1.00608828E8</v>
      </c>
      <c r="W1312" s="1" t="s">
        <v>308</v>
      </c>
      <c r="X1312" s="1" t="s">
        <v>4486</v>
      </c>
    </row>
    <row r="1313">
      <c r="A1313" s="1" t="s">
        <v>4487</v>
      </c>
      <c r="B1313" s="1" t="s">
        <v>4488</v>
      </c>
      <c r="C1313" s="1" t="s">
        <v>4489</v>
      </c>
      <c r="D1313" s="1" t="s">
        <v>28</v>
      </c>
      <c r="E1313" s="1" t="s">
        <v>29</v>
      </c>
      <c r="F1313" s="5">
        <v>750000.0</v>
      </c>
      <c r="G1313" s="1" t="s">
        <v>3964</v>
      </c>
      <c r="H1313" s="1" t="s">
        <v>3103</v>
      </c>
      <c r="I1313" s="1" t="s">
        <v>43</v>
      </c>
      <c r="K1313" s="1">
        <v>0.0</v>
      </c>
      <c r="L1313" s="1" t="s">
        <v>4490</v>
      </c>
      <c r="M1313" s="1" t="str">
        <f>VLOOKUP(L1313,'Copy of PMD Workday Constants -'!B1282:Y1968,22,false)</f>
        <v>#N/A</v>
      </c>
      <c r="N1313" s="1" t="s">
        <v>32</v>
      </c>
      <c r="O1313" s="1" t="s">
        <v>33</v>
      </c>
      <c r="P1313" s="1" t="s">
        <v>54</v>
      </c>
      <c r="Q1313" s="1" t="s">
        <v>54</v>
      </c>
      <c r="R1313" s="1" t="s">
        <v>55</v>
      </c>
      <c r="T1313" s="1">
        <v>1.00646804E8</v>
      </c>
      <c r="W1313" s="1" t="s">
        <v>436</v>
      </c>
      <c r="X1313" s="1" t="s">
        <v>4491</v>
      </c>
    </row>
    <row r="1314">
      <c r="A1314" s="1" t="s">
        <v>4492</v>
      </c>
      <c r="B1314" s="1" t="s">
        <v>993</v>
      </c>
      <c r="C1314" s="1" t="s">
        <v>4493</v>
      </c>
      <c r="D1314" s="1" t="s">
        <v>103</v>
      </c>
      <c r="E1314" s="1" t="s">
        <v>29</v>
      </c>
      <c r="F1314" s="5">
        <v>750000.0</v>
      </c>
      <c r="G1314" s="1" t="s">
        <v>3964</v>
      </c>
      <c r="H1314" s="4">
        <v>44840.0</v>
      </c>
      <c r="I1314" s="4">
        <v>44568.0</v>
      </c>
      <c r="K1314" s="1">
        <v>0.0</v>
      </c>
      <c r="L1314" s="1" t="s">
        <v>1278</v>
      </c>
      <c r="M1314" s="1" t="str">
        <f>VLOOKUP(L1314,'Copy of PMD Workday Constants -'!B1283:Y1969,22,false)</f>
        <v>#N/A</v>
      </c>
      <c r="N1314" s="1" t="s">
        <v>32</v>
      </c>
      <c r="O1314" s="1" t="s">
        <v>33</v>
      </c>
      <c r="P1314" s="1" t="s">
        <v>112</v>
      </c>
      <c r="Q1314" s="1" t="s">
        <v>112</v>
      </c>
      <c r="R1314" s="1" t="s">
        <v>113</v>
      </c>
      <c r="T1314" s="1">
        <v>1.00626753E8</v>
      </c>
      <c r="W1314" s="1" t="s">
        <v>74</v>
      </c>
      <c r="X1314" s="1" t="s">
        <v>4494</v>
      </c>
    </row>
    <row r="1315">
      <c r="A1315" s="1" t="s">
        <v>4495</v>
      </c>
      <c r="B1315" s="1" t="s">
        <v>353</v>
      </c>
      <c r="C1315" s="1" t="s">
        <v>4496</v>
      </c>
      <c r="D1315" s="1" t="s">
        <v>51</v>
      </c>
      <c r="E1315" s="1" t="s">
        <v>29</v>
      </c>
      <c r="F1315" s="5">
        <v>750000.0</v>
      </c>
      <c r="G1315" s="1" t="s">
        <v>3964</v>
      </c>
      <c r="H1315" s="1" t="s">
        <v>592</v>
      </c>
      <c r="I1315" s="4">
        <v>44572.0</v>
      </c>
      <c r="K1315" s="1">
        <v>0.0</v>
      </c>
      <c r="L1315" s="1" t="s">
        <v>355</v>
      </c>
      <c r="M1315" s="1" t="str">
        <f>VLOOKUP(L1315,'Copy of PMD Workday Constants -'!B1284:Y1970,22,false)</f>
        <v>#N/A</v>
      </c>
      <c r="N1315" s="1" t="s">
        <v>32</v>
      </c>
      <c r="O1315" s="1" t="s">
        <v>33</v>
      </c>
      <c r="P1315" s="1" t="s">
        <v>210</v>
      </c>
      <c r="Q1315" s="1" t="s">
        <v>210</v>
      </c>
      <c r="R1315" s="1" t="s">
        <v>211</v>
      </c>
      <c r="T1315" s="1">
        <v>1.00588753E8</v>
      </c>
      <c r="W1315" s="1" t="s">
        <v>258</v>
      </c>
      <c r="X1315" s="1" t="s">
        <v>4497</v>
      </c>
    </row>
    <row r="1316">
      <c r="A1316" s="1" t="s">
        <v>4498</v>
      </c>
      <c r="B1316" s="1" t="s">
        <v>996</v>
      </c>
      <c r="C1316" s="1" t="s">
        <v>4499</v>
      </c>
      <c r="D1316" s="1" t="s">
        <v>28</v>
      </c>
      <c r="E1316" s="1" t="s">
        <v>29</v>
      </c>
      <c r="F1316" s="5">
        <v>750000.0</v>
      </c>
      <c r="G1316" s="1" t="s">
        <v>3964</v>
      </c>
      <c r="H1316" s="1" t="s">
        <v>4500</v>
      </c>
      <c r="I1316" s="1" t="s">
        <v>217</v>
      </c>
      <c r="K1316" s="1">
        <v>0.0</v>
      </c>
      <c r="L1316" s="1" t="s">
        <v>1413</v>
      </c>
      <c r="M1316" s="1" t="str">
        <f>VLOOKUP(L1316,'Copy of PMD Workday Constants -'!B1285:Y1971,22,false)</f>
        <v>#N/A</v>
      </c>
      <c r="N1316" s="1" t="s">
        <v>32</v>
      </c>
      <c r="O1316" s="1" t="s">
        <v>33</v>
      </c>
      <c r="P1316" s="1" t="s">
        <v>34</v>
      </c>
      <c r="Q1316" s="1" t="s">
        <v>34</v>
      </c>
      <c r="R1316" s="1" t="s">
        <v>35</v>
      </c>
      <c r="S1316" s="1" t="s">
        <v>126</v>
      </c>
      <c r="T1316" s="1">
        <v>1.00643044E8</v>
      </c>
      <c r="W1316" s="1" t="s">
        <v>391</v>
      </c>
      <c r="X1316" s="1" t="s">
        <v>1413</v>
      </c>
    </row>
    <row r="1317">
      <c r="A1317" s="1" t="s">
        <v>4501</v>
      </c>
      <c r="B1317" s="1" t="s">
        <v>1132</v>
      </c>
      <c r="C1317" s="1" t="s">
        <v>4502</v>
      </c>
      <c r="D1317" s="1" t="s">
        <v>103</v>
      </c>
      <c r="E1317" s="1" t="s">
        <v>29</v>
      </c>
      <c r="F1317" s="5">
        <v>750000.0</v>
      </c>
      <c r="G1317" s="1" t="s">
        <v>3964</v>
      </c>
      <c r="H1317" s="1" t="s">
        <v>2069</v>
      </c>
      <c r="I1317" s="1" t="s">
        <v>80</v>
      </c>
      <c r="K1317" s="1">
        <v>0.0</v>
      </c>
      <c r="L1317" s="1" t="s">
        <v>645</v>
      </c>
      <c r="M1317" s="1" t="str">
        <f>VLOOKUP(L1317,'Copy of PMD Workday Constants -'!B1286:Y1972,22,false)</f>
        <v>#N/A</v>
      </c>
      <c r="N1317" s="1" t="s">
        <v>32</v>
      </c>
      <c r="O1317" s="1" t="s">
        <v>33</v>
      </c>
      <c r="P1317" s="1" t="s">
        <v>64</v>
      </c>
      <c r="Q1317" s="1" t="s">
        <v>64</v>
      </c>
      <c r="R1317" s="1" t="s">
        <v>65</v>
      </c>
      <c r="S1317" s="1" t="s">
        <v>98</v>
      </c>
      <c r="T1317" s="1">
        <v>1.00653597E8</v>
      </c>
      <c r="W1317" s="1" t="s">
        <v>56</v>
      </c>
      <c r="X1317" s="1" t="s">
        <v>645</v>
      </c>
    </row>
    <row r="1318">
      <c r="A1318" s="1" t="s">
        <v>4503</v>
      </c>
      <c r="B1318" s="1" t="s">
        <v>2785</v>
      </c>
      <c r="C1318" s="1" t="s">
        <v>4504</v>
      </c>
      <c r="D1318" s="1" t="s">
        <v>28</v>
      </c>
      <c r="E1318" s="1" t="s">
        <v>29</v>
      </c>
      <c r="F1318" s="5">
        <v>750000.0</v>
      </c>
      <c r="G1318" s="1" t="s">
        <v>3964</v>
      </c>
      <c r="H1318" s="4">
        <v>44598.0</v>
      </c>
      <c r="I1318" s="4">
        <v>44872.0</v>
      </c>
      <c r="K1318" s="1">
        <v>0.0</v>
      </c>
      <c r="L1318" s="1" t="s">
        <v>428</v>
      </c>
      <c r="M1318" s="1" t="str">
        <f>VLOOKUP(L1318,'Copy of PMD Workday Constants -'!B1287:Y1973,22,false)</f>
        <v>#N/A</v>
      </c>
      <c r="N1318" s="1" t="s">
        <v>32</v>
      </c>
      <c r="O1318" s="1" t="s">
        <v>33</v>
      </c>
      <c r="P1318" s="1" t="s">
        <v>173</v>
      </c>
      <c r="Q1318" s="1" t="s">
        <v>173</v>
      </c>
      <c r="R1318" s="1" t="s">
        <v>174</v>
      </c>
      <c r="T1318" s="1">
        <v>1.00654085E8</v>
      </c>
      <c r="W1318" s="1" t="s">
        <v>85</v>
      </c>
      <c r="X1318" s="1" t="s">
        <v>428</v>
      </c>
    </row>
    <row r="1319">
      <c r="A1319" s="1" t="s">
        <v>4505</v>
      </c>
      <c r="B1319" s="1" t="s">
        <v>1247</v>
      </c>
      <c r="C1319" s="1" t="s">
        <v>4506</v>
      </c>
      <c r="D1319" s="1" t="s">
        <v>28</v>
      </c>
      <c r="E1319" s="1" t="s">
        <v>29</v>
      </c>
      <c r="F1319" s="5">
        <v>750000.0</v>
      </c>
      <c r="G1319" s="1" t="s">
        <v>3964</v>
      </c>
      <c r="H1319" s="1" t="s">
        <v>2360</v>
      </c>
      <c r="I1319" s="1" t="s">
        <v>80</v>
      </c>
      <c r="K1319" s="1">
        <v>0.0</v>
      </c>
      <c r="L1319" s="1" t="s">
        <v>3891</v>
      </c>
      <c r="M1319" s="1" t="str">
        <f>VLOOKUP(L1319,'Copy of PMD Workday Constants -'!B1288:Y1974,22,false)</f>
        <v>#N/A</v>
      </c>
      <c r="N1319" s="1" t="s">
        <v>32</v>
      </c>
      <c r="O1319" s="1" t="s">
        <v>33</v>
      </c>
      <c r="P1319" s="1" t="s">
        <v>112</v>
      </c>
      <c r="Q1319" s="1" t="s">
        <v>112</v>
      </c>
      <c r="R1319" s="1" t="s">
        <v>113</v>
      </c>
      <c r="S1319" s="1" t="s">
        <v>114</v>
      </c>
      <c r="T1319" s="1">
        <v>1.00589299E8</v>
      </c>
      <c r="W1319" s="1" t="s">
        <v>140</v>
      </c>
      <c r="X1319" s="1" t="s">
        <v>4108</v>
      </c>
    </row>
    <row r="1320">
      <c r="A1320" s="1" t="s">
        <v>4507</v>
      </c>
      <c r="B1320" s="1" t="s">
        <v>4508</v>
      </c>
      <c r="C1320" s="1" t="s">
        <v>4509</v>
      </c>
      <c r="D1320" s="1" t="s">
        <v>28</v>
      </c>
      <c r="E1320" s="1" t="s">
        <v>29</v>
      </c>
      <c r="F1320" s="5">
        <v>750000.0</v>
      </c>
      <c r="G1320" s="1" t="s">
        <v>3964</v>
      </c>
      <c r="H1320" s="1" t="s">
        <v>2360</v>
      </c>
      <c r="I1320" s="1" t="s">
        <v>80</v>
      </c>
      <c r="K1320" s="1">
        <v>0.0</v>
      </c>
      <c r="L1320" s="1" t="s">
        <v>3891</v>
      </c>
      <c r="M1320" s="1" t="str">
        <f>VLOOKUP(L1320,'Copy of PMD Workday Constants -'!B1289:Y1975,22,false)</f>
        <v>#N/A</v>
      </c>
      <c r="N1320" s="1" t="s">
        <v>32</v>
      </c>
      <c r="O1320" s="1" t="s">
        <v>33</v>
      </c>
      <c r="P1320" s="1" t="s">
        <v>112</v>
      </c>
      <c r="Q1320" s="1" t="s">
        <v>112</v>
      </c>
      <c r="R1320" s="1" t="s">
        <v>113</v>
      </c>
      <c r="S1320" s="1" t="s">
        <v>114</v>
      </c>
      <c r="T1320" s="1">
        <v>1.00589299E8</v>
      </c>
      <c r="W1320" s="1" t="s">
        <v>140</v>
      </c>
      <c r="X1320" s="1" t="s">
        <v>4108</v>
      </c>
    </row>
    <row r="1321">
      <c r="A1321" s="1" t="s">
        <v>4510</v>
      </c>
      <c r="B1321" s="1" t="s">
        <v>4511</v>
      </c>
      <c r="C1321" s="1" t="s">
        <v>4512</v>
      </c>
      <c r="D1321" s="1" t="s">
        <v>28</v>
      </c>
      <c r="E1321" s="1" t="s">
        <v>29</v>
      </c>
      <c r="F1321" s="5">
        <v>750000.0</v>
      </c>
      <c r="G1321" s="1" t="s">
        <v>3964</v>
      </c>
      <c r="H1321" s="1" t="s">
        <v>2360</v>
      </c>
      <c r="I1321" s="1" t="s">
        <v>80</v>
      </c>
      <c r="K1321" s="1">
        <v>0.0</v>
      </c>
      <c r="L1321" s="1" t="s">
        <v>3891</v>
      </c>
      <c r="M1321" s="1" t="str">
        <f>VLOOKUP(L1321,'Copy of PMD Workday Constants -'!B1290:Y1976,22,false)</f>
        <v>#N/A</v>
      </c>
      <c r="N1321" s="1" t="s">
        <v>32</v>
      </c>
      <c r="O1321" s="1" t="s">
        <v>33</v>
      </c>
      <c r="P1321" s="1" t="s">
        <v>112</v>
      </c>
      <c r="Q1321" s="1" t="s">
        <v>112</v>
      </c>
      <c r="R1321" s="1" t="s">
        <v>113</v>
      </c>
      <c r="S1321" s="1" t="s">
        <v>114</v>
      </c>
      <c r="T1321" s="1">
        <v>1.00589299E8</v>
      </c>
      <c r="W1321" s="1" t="s">
        <v>1303</v>
      </c>
      <c r="X1321" s="1" t="s">
        <v>4108</v>
      </c>
    </row>
    <row r="1322">
      <c r="A1322" s="1" t="s">
        <v>4513</v>
      </c>
      <c r="B1322" s="1" t="s">
        <v>4514</v>
      </c>
      <c r="C1322" s="1" t="s">
        <v>4515</v>
      </c>
      <c r="D1322" s="1" t="s">
        <v>28</v>
      </c>
      <c r="E1322" s="1" t="s">
        <v>29</v>
      </c>
      <c r="F1322" s="5">
        <v>750000.0</v>
      </c>
      <c r="G1322" s="1" t="s">
        <v>3964</v>
      </c>
      <c r="H1322" s="1" t="s">
        <v>2360</v>
      </c>
      <c r="I1322" s="1" t="s">
        <v>80</v>
      </c>
      <c r="K1322" s="1">
        <v>0.0</v>
      </c>
      <c r="L1322" s="1" t="s">
        <v>3891</v>
      </c>
      <c r="M1322" s="1" t="str">
        <f>VLOOKUP(L1322,'Copy of PMD Workday Constants -'!B1291:Y1977,22,false)</f>
        <v>#N/A</v>
      </c>
      <c r="N1322" s="1" t="s">
        <v>32</v>
      </c>
      <c r="O1322" s="1" t="s">
        <v>33</v>
      </c>
      <c r="P1322" s="1" t="s">
        <v>112</v>
      </c>
      <c r="Q1322" s="1" t="s">
        <v>112</v>
      </c>
      <c r="R1322" s="1" t="s">
        <v>113</v>
      </c>
      <c r="S1322" s="1" t="s">
        <v>307</v>
      </c>
      <c r="T1322" s="1">
        <v>1.00589299E8</v>
      </c>
      <c r="W1322" s="1" t="s">
        <v>339</v>
      </c>
      <c r="X1322" s="1" t="s">
        <v>4108</v>
      </c>
    </row>
    <row r="1323">
      <c r="A1323" s="1" t="s">
        <v>4516</v>
      </c>
      <c r="B1323" s="1" t="s">
        <v>4517</v>
      </c>
      <c r="C1323" s="1" t="s">
        <v>4518</v>
      </c>
      <c r="D1323" s="1" t="s">
        <v>28</v>
      </c>
      <c r="E1323" s="1" t="s">
        <v>29</v>
      </c>
      <c r="F1323" s="5">
        <v>750000.0</v>
      </c>
      <c r="G1323" s="1" t="s">
        <v>3964</v>
      </c>
      <c r="H1323" s="1" t="s">
        <v>2360</v>
      </c>
      <c r="I1323" s="1" t="s">
        <v>80</v>
      </c>
      <c r="K1323" s="1">
        <v>0.0</v>
      </c>
      <c r="L1323" s="1" t="s">
        <v>3891</v>
      </c>
      <c r="M1323" s="1" t="str">
        <f>VLOOKUP(L1323,'Copy of PMD Workday Constants -'!B1292:Y1978,22,false)</f>
        <v>#N/A</v>
      </c>
      <c r="N1323" s="1" t="s">
        <v>32</v>
      </c>
      <c r="O1323" s="1" t="s">
        <v>33</v>
      </c>
      <c r="P1323" s="1" t="s">
        <v>112</v>
      </c>
      <c r="Q1323" s="1" t="s">
        <v>112</v>
      </c>
      <c r="R1323" s="1" t="s">
        <v>113</v>
      </c>
      <c r="S1323" s="1" t="s">
        <v>134</v>
      </c>
      <c r="T1323" s="1">
        <v>1.00589299E8</v>
      </c>
      <c r="W1323" s="1" t="s">
        <v>74</v>
      </c>
      <c r="X1323" s="1" t="s">
        <v>4108</v>
      </c>
    </row>
    <row r="1324">
      <c r="A1324" s="1" t="s">
        <v>4519</v>
      </c>
      <c r="B1324" s="1" t="s">
        <v>3883</v>
      </c>
      <c r="C1324" s="1" t="s">
        <v>4520</v>
      </c>
      <c r="D1324" s="1" t="s">
        <v>28</v>
      </c>
      <c r="E1324" s="1" t="s">
        <v>29</v>
      </c>
      <c r="F1324" s="5">
        <v>750000.0</v>
      </c>
      <c r="G1324" s="1" t="s">
        <v>3964</v>
      </c>
      <c r="H1324" s="1" t="s">
        <v>2360</v>
      </c>
      <c r="I1324" s="1" t="s">
        <v>80</v>
      </c>
      <c r="K1324" s="1">
        <v>0.0</v>
      </c>
      <c r="L1324" s="1" t="s">
        <v>3891</v>
      </c>
      <c r="M1324" s="1" t="str">
        <f>VLOOKUP(L1324,'Copy of PMD Workday Constants -'!B1293:Y1979,22,false)</f>
        <v>#N/A</v>
      </c>
      <c r="N1324" s="1" t="s">
        <v>32</v>
      </c>
      <c r="O1324" s="1" t="s">
        <v>33</v>
      </c>
      <c r="P1324" s="1" t="s">
        <v>112</v>
      </c>
      <c r="Q1324" s="1" t="s">
        <v>112</v>
      </c>
      <c r="R1324" s="1" t="s">
        <v>113</v>
      </c>
      <c r="S1324" s="1" t="s">
        <v>114</v>
      </c>
      <c r="T1324" s="1">
        <v>1.00589299E8</v>
      </c>
      <c r="W1324" s="1" t="s">
        <v>147</v>
      </c>
      <c r="X1324" s="1" t="s">
        <v>4108</v>
      </c>
    </row>
    <row r="1325">
      <c r="A1325" s="1" t="s">
        <v>4521</v>
      </c>
      <c r="B1325" s="1" t="s">
        <v>311</v>
      </c>
      <c r="C1325" s="1" t="s">
        <v>4522</v>
      </c>
      <c r="D1325" s="1" t="s">
        <v>28</v>
      </c>
      <c r="E1325" s="1" t="s">
        <v>29</v>
      </c>
      <c r="F1325" s="5">
        <v>750000.0</v>
      </c>
      <c r="G1325" s="1" t="s">
        <v>3964</v>
      </c>
      <c r="H1325" s="1" t="s">
        <v>2360</v>
      </c>
      <c r="I1325" s="1" t="s">
        <v>80</v>
      </c>
      <c r="K1325" s="1">
        <v>0.0</v>
      </c>
      <c r="L1325" s="1" t="s">
        <v>3891</v>
      </c>
      <c r="M1325" s="1" t="str">
        <f>VLOOKUP(L1325,'Copy of PMD Workday Constants -'!B1294:Y1980,22,false)</f>
        <v>#N/A</v>
      </c>
      <c r="N1325" s="1" t="s">
        <v>32</v>
      </c>
      <c r="O1325" s="1" t="s">
        <v>33</v>
      </c>
      <c r="P1325" s="1" t="s">
        <v>112</v>
      </c>
      <c r="Q1325" s="1" t="s">
        <v>112</v>
      </c>
      <c r="R1325" s="1" t="s">
        <v>113</v>
      </c>
      <c r="S1325" s="1" t="s">
        <v>114</v>
      </c>
      <c r="T1325" s="1">
        <v>1.00589299E8</v>
      </c>
      <c r="W1325" s="1" t="s">
        <v>140</v>
      </c>
      <c r="X1325" s="1" t="s">
        <v>4108</v>
      </c>
    </row>
    <row r="1326">
      <c r="A1326" s="1" t="s">
        <v>4523</v>
      </c>
      <c r="B1326" s="1" t="s">
        <v>2394</v>
      </c>
      <c r="C1326" s="1" t="s">
        <v>4524</v>
      </c>
      <c r="D1326" s="1" t="s">
        <v>28</v>
      </c>
      <c r="E1326" s="1" t="s">
        <v>29</v>
      </c>
      <c r="F1326" s="5">
        <v>750000.0</v>
      </c>
      <c r="G1326" s="1" t="s">
        <v>3964</v>
      </c>
      <c r="H1326" s="1" t="s">
        <v>2360</v>
      </c>
      <c r="I1326" s="1" t="s">
        <v>80</v>
      </c>
      <c r="K1326" s="1">
        <v>0.0</v>
      </c>
      <c r="L1326" s="1" t="s">
        <v>3891</v>
      </c>
      <c r="M1326" s="1" t="str">
        <f>VLOOKUP(L1326,'Copy of PMD Workday Constants -'!B1295:Y1981,22,false)</f>
        <v>#N/A</v>
      </c>
      <c r="N1326" s="1" t="s">
        <v>32</v>
      </c>
      <c r="O1326" s="1" t="s">
        <v>33</v>
      </c>
      <c r="P1326" s="1" t="s">
        <v>112</v>
      </c>
      <c r="Q1326" s="1" t="s">
        <v>112</v>
      </c>
      <c r="R1326" s="1" t="s">
        <v>113</v>
      </c>
      <c r="S1326" s="1" t="s">
        <v>134</v>
      </c>
      <c r="T1326" s="1">
        <v>1.00589299E8</v>
      </c>
      <c r="W1326" s="1" t="s">
        <v>250</v>
      </c>
      <c r="X1326" s="1" t="s">
        <v>4108</v>
      </c>
    </row>
    <row r="1327">
      <c r="A1327" s="1" t="s">
        <v>4525</v>
      </c>
      <c r="B1327" s="1" t="s">
        <v>77</v>
      </c>
      <c r="C1327" s="1" t="s">
        <v>4526</v>
      </c>
      <c r="D1327" s="1" t="s">
        <v>28</v>
      </c>
      <c r="E1327" s="1" t="s">
        <v>29</v>
      </c>
      <c r="F1327" s="5">
        <v>750000.0</v>
      </c>
      <c r="G1327" s="1" t="s">
        <v>3964</v>
      </c>
      <c r="H1327" s="1" t="s">
        <v>1161</v>
      </c>
      <c r="I1327" s="4">
        <v>44876.0</v>
      </c>
      <c r="K1327" s="1">
        <v>0.0</v>
      </c>
      <c r="L1327" s="1" t="s">
        <v>319</v>
      </c>
      <c r="M1327" s="1" t="str">
        <f>VLOOKUP(L1327,'Copy of PMD Workday Constants -'!B1296:Y1982,22,false)</f>
        <v>#N/A</v>
      </c>
      <c r="N1327" s="1" t="s">
        <v>32</v>
      </c>
      <c r="O1327" s="1" t="s">
        <v>33</v>
      </c>
      <c r="P1327" s="1" t="s">
        <v>82</v>
      </c>
      <c r="Q1327" s="1" t="s">
        <v>82</v>
      </c>
      <c r="R1327" s="1" t="s">
        <v>83</v>
      </c>
      <c r="S1327" s="1" t="s">
        <v>84</v>
      </c>
      <c r="T1327" s="1">
        <v>1.00654705E8</v>
      </c>
      <c r="W1327" s="1" t="s">
        <v>85</v>
      </c>
      <c r="X1327" s="1" t="s">
        <v>319</v>
      </c>
    </row>
    <row r="1328">
      <c r="A1328" s="1" t="s">
        <v>4527</v>
      </c>
      <c r="B1328" s="1" t="s">
        <v>1118</v>
      </c>
      <c r="C1328" s="1" t="s">
        <v>4528</v>
      </c>
      <c r="D1328" s="1" t="s">
        <v>28</v>
      </c>
      <c r="E1328" s="1" t="s">
        <v>29</v>
      </c>
      <c r="F1328" s="5">
        <v>750000.0</v>
      </c>
      <c r="G1328" s="1" t="s">
        <v>3964</v>
      </c>
      <c r="H1328" s="4">
        <v>44810.0</v>
      </c>
      <c r="I1328" s="1" t="s">
        <v>302</v>
      </c>
      <c r="K1328" s="1">
        <v>0.0</v>
      </c>
      <c r="L1328" s="1" t="s">
        <v>3891</v>
      </c>
      <c r="M1328" s="1" t="str">
        <f>VLOOKUP(L1328,'Copy of PMD Workday Constants -'!B1297:Y1983,22,false)</f>
        <v>#N/A</v>
      </c>
      <c r="N1328" s="1" t="s">
        <v>32</v>
      </c>
      <c r="O1328" s="1" t="s">
        <v>33</v>
      </c>
      <c r="P1328" s="1" t="s">
        <v>112</v>
      </c>
      <c r="Q1328" s="1" t="s">
        <v>112</v>
      </c>
      <c r="R1328" s="1" t="s">
        <v>113</v>
      </c>
      <c r="S1328" s="1" t="s">
        <v>455</v>
      </c>
      <c r="T1328" s="1">
        <v>1.00589299E8</v>
      </c>
      <c r="W1328" s="1" t="s">
        <v>85</v>
      </c>
      <c r="X1328" s="1" t="s">
        <v>4108</v>
      </c>
    </row>
    <row r="1329">
      <c r="A1329" s="1" t="s">
        <v>4529</v>
      </c>
      <c r="B1329" s="1" t="s">
        <v>4530</v>
      </c>
      <c r="C1329" s="1" t="s">
        <v>4531</v>
      </c>
      <c r="D1329" s="1" t="s">
        <v>28</v>
      </c>
      <c r="E1329" s="1" t="s">
        <v>29</v>
      </c>
      <c r="F1329" s="5">
        <v>750000.0</v>
      </c>
      <c r="G1329" s="1" t="s">
        <v>3964</v>
      </c>
      <c r="H1329" s="4">
        <v>44810.0</v>
      </c>
      <c r="I1329" s="1" t="s">
        <v>302</v>
      </c>
      <c r="K1329" s="1">
        <v>0.0</v>
      </c>
      <c r="L1329" s="1" t="s">
        <v>3891</v>
      </c>
      <c r="M1329" s="1" t="str">
        <f>VLOOKUP(L1329,'Copy of PMD Workday Constants -'!B1298:Y1984,22,false)</f>
        <v>#N/A</v>
      </c>
      <c r="N1329" s="1" t="s">
        <v>32</v>
      </c>
      <c r="O1329" s="1" t="s">
        <v>33</v>
      </c>
      <c r="P1329" s="1" t="s">
        <v>112</v>
      </c>
      <c r="Q1329" s="1" t="s">
        <v>112</v>
      </c>
      <c r="R1329" s="1" t="s">
        <v>113</v>
      </c>
      <c r="S1329" s="1" t="s">
        <v>307</v>
      </c>
      <c r="T1329" s="1">
        <v>1.00589299E8</v>
      </c>
      <c r="W1329" s="1" t="s">
        <v>287</v>
      </c>
      <c r="X1329" s="1" t="s">
        <v>4108</v>
      </c>
    </row>
    <row r="1330">
      <c r="A1330" s="1" t="s">
        <v>4532</v>
      </c>
      <c r="B1330" s="1" t="s">
        <v>585</v>
      </c>
      <c r="C1330" s="1" t="s">
        <v>4533</v>
      </c>
      <c r="D1330" s="1" t="s">
        <v>28</v>
      </c>
      <c r="E1330" s="1" t="s">
        <v>29</v>
      </c>
      <c r="F1330" s="5">
        <v>750000.0</v>
      </c>
      <c r="G1330" s="1" t="s">
        <v>3964</v>
      </c>
      <c r="H1330" s="1" t="s">
        <v>1514</v>
      </c>
      <c r="I1330" s="1" t="s">
        <v>400</v>
      </c>
      <c r="K1330" s="1">
        <v>0.0</v>
      </c>
      <c r="L1330" s="1" t="s">
        <v>4534</v>
      </c>
      <c r="M1330" s="1" t="str">
        <f>VLOOKUP(L1330,'Copy of PMD Workday Constants -'!B1299:Y1985,22,false)</f>
        <v>#N/A</v>
      </c>
      <c r="N1330" s="1" t="s">
        <v>32</v>
      </c>
      <c r="O1330" s="1" t="s">
        <v>33</v>
      </c>
      <c r="P1330" s="1" t="s">
        <v>173</v>
      </c>
      <c r="Q1330" s="1" t="s">
        <v>173</v>
      </c>
      <c r="R1330" s="1" t="s">
        <v>174</v>
      </c>
      <c r="S1330" s="1" t="s">
        <v>612</v>
      </c>
      <c r="T1330" s="1">
        <v>1.00620934E8</v>
      </c>
      <c r="W1330" s="1" t="s">
        <v>91</v>
      </c>
      <c r="X1330" s="1" t="s">
        <v>4534</v>
      </c>
    </row>
    <row r="1331">
      <c r="A1331" s="1" t="s">
        <v>4535</v>
      </c>
      <c r="B1331" s="1" t="s">
        <v>77</v>
      </c>
      <c r="C1331" s="1" t="s">
        <v>4536</v>
      </c>
      <c r="D1331" s="1" t="s">
        <v>28</v>
      </c>
      <c r="E1331" s="1" t="s">
        <v>29</v>
      </c>
      <c r="F1331" s="5">
        <v>750000.0</v>
      </c>
      <c r="G1331" s="1" t="s">
        <v>3964</v>
      </c>
      <c r="H1331" s="1" t="s">
        <v>1785</v>
      </c>
      <c r="I1331" s="4">
        <v>44689.0</v>
      </c>
      <c r="K1331" s="1">
        <v>0.0</v>
      </c>
      <c r="L1331" s="1" t="s">
        <v>192</v>
      </c>
      <c r="M1331" s="1" t="str">
        <f>VLOOKUP(L1331,'Copy of PMD Workday Constants -'!B1300:Y1986,22,false)</f>
        <v>#N/A</v>
      </c>
      <c r="N1331" s="1" t="s">
        <v>32</v>
      </c>
      <c r="O1331" s="1" t="s">
        <v>33</v>
      </c>
      <c r="P1331" s="1" t="s">
        <v>82</v>
      </c>
      <c r="Q1331" s="1" t="s">
        <v>82</v>
      </c>
      <c r="R1331" s="1" t="s">
        <v>83</v>
      </c>
      <c r="S1331" s="1" t="s">
        <v>84</v>
      </c>
      <c r="T1331" s="1">
        <v>1.00650575E8</v>
      </c>
      <c r="W1331" s="1" t="s">
        <v>85</v>
      </c>
      <c r="X1331" s="1" t="s">
        <v>4537</v>
      </c>
    </row>
    <row r="1332">
      <c r="A1332" s="1" t="s">
        <v>4538</v>
      </c>
      <c r="B1332" s="1" t="s">
        <v>4539</v>
      </c>
      <c r="C1332" s="1" t="s">
        <v>4540</v>
      </c>
      <c r="D1332" s="1" t="s">
        <v>28</v>
      </c>
      <c r="E1332" s="1" t="s">
        <v>29</v>
      </c>
      <c r="F1332" s="5">
        <v>750000.0</v>
      </c>
      <c r="G1332" s="1" t="s">
        <v>3964</v>
      </c>
      <c r="H1332" s="4">
        <v>44234.0</v>
      </c>
      <c r="I1332" s="1" t="s">
        <v>4541</v>
      </c>
      <c r="K1332" s="1">
        <v>0.0</v>
      </c>
      <c r="L1332" s="1" t="s">
        <v>2042</v>
      </c>
      <c r="M1332" s="1" t="str">
        <f>VLOOKUP(L1332,'Copy of PMD Workday Constants -'!B1301:Y1987,22,false)</f>
        <v>#N/A</v>
      </c>
      <c r="N1332" s="1" t="s">
        <v>32</v>
      </c>
      <c r="O1332" s="1" t="s">
        <v>33</v>
      </c>
      <c r="P1332" s="1" t="s">
        <v>34</v>
      </c>
      <c r="Q1332" s="1" t="s">
        <v>34</v>
      </c>
      <c r="R1332" s="1" t="s">
        <v>35</v>
      </c>
      <c r="S1332" s="1" t="s">
        <v>126</v>
      </c>
      <c r="T1332" s="1">
        <v>1.00611284E8</v>
      </c>
      <c r="V1332" s="1" t="s">
        <v>422</v>
      </c>
      <c r="W1332" s="1" t="s">
        <v>436</v>
      </c>
      <c r="X1332" s="1" t="s">
        <v>4542</v>
      </c>
    </row>
    <row r="1333">
      <c r="A1333" s="1" t="s">
        <v>4543</v>
      </c>
      <c r="B1333" s="1" t="s">
        <v>4544</v>
      </c>
      <c r="C1333" s="1" t="s">
        <v>4545</v>
      </c>
      <c r="D1333" s="1" t="s">
        <v>79</v>
      </c>
      <c r="E1333" s="1" t="s">
        <v>29</v>
      </c>
      <c r="F1333" s="5">
        <v>750000.0</v>
      </c>
      <c r="G1333" s="1" t="s">
        <v>3964</v>
      </c>
      <c r="H1333" s="1" t="s">
        <v>870</v>
      </c>
      <c r="I1333" s="1" t="s">
        <v>248</v>
      </c>
      <c r="K1333" s="1">
        <v>0.0</v>
      </c>
      <c r="L1333" s="1" t="s">
        <v>2356</v>
      </c>
      <c r="M1333" s="1" t="str">
        <f>VLOOKUP(L1333,'Copy of PMD Workday Constants -'!B1302:Y1988,22,false)</f>
        <v>#N/A</v>
      </c>
      <c r="N1333" s="1" t="s">
        <v>32</v>
      </c>
      <c r="O1333" s="1" t="s">
        <v>33</v>
      </c>
      <c r="P1333" s="1" t="s">
        <v>173</v>
      </c>
      <c r="Q1333" s="1" t="s">
        <v>173</v>
      </c>
      <c r="R1333" s="1" t="s">
        <v>174</v>
      </c>
      <c r="S1333" s="1" t="s">
        <v>185</v>
      </c>
      <c r="T1333" s="1">
        <v>1.00620162E8</v>
      </c>
      <c r="W1333" s="1" t="s">
        <v>74</v>
      </c>
      <c r="X1333" s="1" t="s">
        <v>2356</v>
      </c>
    </row>
    <row r="1334">
      <c r="A1334" s="1" t="s">
        <v>4546</v>
      </c>
      <c r="B1334" s="1" t="s">
        <v>4547</v>
      </c>
      <c r="C1334" s="1" t="s">
        <v>4548</v>
      </c>
      <c r="D1334" s="1" t="s">
        <v>79</v>
      </c>
      <c r="E1334" s="1" t="s">
        <v>29</v>
      </c>
      <c r="F1334" s="5">
        <v>750000.0</v>
      </c>
      <c r="G1334" s="1" t="s">
        <v>3964</v>
      </c>
      <c r="H1334" s="1" t="s">
        <v>2724</v>
      </c>
      <c r="I1334" s="1" t="s">
        <v>699</v>
      </c>
      <c r="K1334" s="1">
        <v>0.0</v>
      </c>
      <c r="L1334" s="1" t="s">
        <v>1120</v>
      </c>
      <c r="M1334" s="1" t="str">
        <f>VLOOKUP(L1334,'Copy of PMD Workday Constants -'!B1303:Y1989,22,false)</f>
        <v>#N/A</v>
      </c>
      <c r="N1334" s="1" t="s">
        <v>32</v>
      </c>
      <c r="O1334" s="1" t="s">
        <v>33</v>
      </c>
      <c r="P1334" s="1" t="s">
        <v>82</v>
      </c>
      <c r="Q1334" s="1" t="s">
        <v>82</v>
      </c>
      <c r="R1334" s="1" t="s">
        <v>83</v>
      </c>
      <c r="S1334" s="1" t="s">
        <v>180</v>
      </c>
      <c r="T1334" s="1">
        <v>1.00603613E8</v>
      </c>
      <c r="W1334" s="1" t="s">
        <v>74</v>
      </c>
      <c r="X1334" s="1" t="s">
        <v>4549</v>
      </c>
    </row>
    <row r="1335">
      <c r="A1335" s="1" t="s">
        <v>4550</v>
      </c>
      <c r="B1335" s="1" t="s">
        <v>1882</v>
      </c>
      <c r="C1335" s="1" t="s">
        <v>4551</v>
      </c>
      <c r="D1335" s="1" t="s">
        <v>51</v>
      </c>
      <c r="E1335" s="1" t="s">
        <v>29</v>
      </c>
      <c r="F1335" s="5">
        <v>750000.0</v>
      </c>
      <c r="G1335" s="1" t="s">
        <v>3964</v>
      </c>
      <c r="H1335" s="4">
        <v>44481.0</v>
      </c>
      <c r="I1335" s="1" t="s">
        <v>302</v>
      </c>
      <c r="K1335" s="1">
        <v>0.0</v>
      </c>
      <c r="L1335" s="1" t="s">
        <v>1198</v>
      </c>
      <c r="M1335" s="1" t="str">
        <f>VLOOKUP(L1335,'Copy of PMD Workday Constants -'!B1304:Y1990,22,false)</f>
        <v>#N/A</v>
      </c>
      <c r="N1335" s="1" t="s">
        <v>32</v>
      </c>
      <c r="O1335" s="1" t="s">
        <v>33</v>
      </c>
      <c r="P1335" s="1" t="s">
        <v>64</v>
      </c>
      <c r="Q1335" s="1" t="s">
        <v>64</v>
      </c>
      <c r="R1335" s="1" t="s">
        <v>65</v>
      </c>
      <c r="T1335" s="1">
        <v>1.01127868E8</v>
      </c>
      <c r="W1335" s="1" t="s">
        <v>47</v>
      </c>
      <c r="X1335" s="1" t="s">
        <v>4552</v>
      </c>
    </row>
    <row r="1336">
      <c r="A1336" s="1" t="s">
        <v>4553</v>
      </c>
      <c r="B1336" s="1" t="s">
        <v>40</v>
      </c>
      <c r="C1336" s="1" t="s">
        <v>4554</v>
      </c>
      <c r="D1336" s="1" t="s">
        <v>51</v>
      </c>
      <c r="E1336" s="1" t="s">
        <v>29</v>
      </c>
      <c r="F1336" s="5">
        <v>750000.0</v>
      </c>
      <c r="G1336" s="1" t="s">
        <v>3964</v>
      </c>
      <c r="H1336" s="4">
        <v>44535.0</v>
      </c>
      <c r="I1336" s="1" t="s">
        <v>80</v>
      </c>
      <c r="K1336" s="1">
        <v>0.0</v>
      </c>
      <c r="L1336" s="1" t="s">
        <v>275</v>
      </c>
      <c r="M1336" s="1" t="str">
        <f>VLOOKUP(L1336,'Copy of PMD Workday Constants -'!B1305:Y1991,22,false)</f>
        <v>#N/A</v>
      </c>
      <c r="N1336" s="1" t="s">
        <v>32</v>
      </c>
      <c r="O1336" s="1" t="s">
        <v>33</v>
      </c>
      <c r="P1336" s="1" t="s">
        <v>34</v>
      </c>
      <c r="Q1336" s="1" t="s">
        <v>34</v>
      </c>
      <c r="R1336" s="1" t="s">
        <v>35</v>
      </c>
      <c r="S1336" s="1" t="s">
        <v>126</v>
      </c>
      <c r="T1336" s="1">
        <v>1.00608828E8</v>
      </c>
      <c r="W1336" s="1" t="s">
        <v>47</v>
      </c>
      <c r="X1336" s="1" t="s">
        <v>718</v>
      </c>
    </row>
    <row r="1337">
      <c r="A1337" s="1" t="s">
        <v>4555</v>
      </c>
      <c r="B1337" s="1" t="s">
        <v>1163</v>
      </c>
      <c r="C1337" s="1" t="s">
        <v>4556</v>
      </c>
      <c r="D1337" s="1" t="s">
        <v>103</v>
      </c>
      <c r="E1337" s="1" t="s">
        <v>29</v>
      </c>
      <c r="F1337" s="5">
        <v>750000.0</v>
      </c>
      <c r="G1337" s="1" t="s">
        <v>3964</v>
      </c>
      <c r="H1337" s="1" t="s">
        <v>420</v>
      </c>
      <c r="I1337" s="1" t="s">
        <v>4557</v>
      </c>
      <c r="K1337" s="1">
        <v>0.0</v>
      </c>
      <c r="L1337" s="1" t="s">
        <v>1165</v>
      </c>
      <c r="M1337" s="1" t="str">
        <f>VLOOKUP(L1337,'Copy of PMD Workday Constants -'!B1306:Y1992,22,false)</f>
        <v>#N/A</v>
      </c>
      <c r="N1337" s="1" t="s">
        <v>32</v>
      </c>
      <c r="O1337" s="1" t="s">
        <v>33</v>
      </c>
      <c r="P1337" s="1" t="s">
        <v>34</v>
      </c>
      <c r="Q1337" s="1" t="s">
        <v>34</v>
      </c>
      <c r="R1337" s="1" t="s">
        <v>35</v>
      </c>
      <c r="S1337" s="1" t="s">
        <v>1166</v>
      </c>
      <c r="T1337" s="1">
        <v>1.00586863E8</v>
      </c>
      <c r="W1337" s="1" t="s">
        <v>147</v>
      </c>
      <c r="X1337" s="1" t="s">
        <v>1165</v>
      </c>
    </row>
    <row r="1338">
      <c r="A1338" s="1" t="s">
        <v>4558</v>
      </c>
      <c r="B1338" s="1" t="s">
        <v>704</v>
      </c>
      <c r="C1338" s="1" t="s">
        <v>4559</v>
      </c>
      <c r="D1338" s="1" t="s">
        <v>28</v>
      </c>
      <c r="E1338" s="1" t="s">
        <v>29</v>
      </c>
      <c r="F1338" s="5">
        <v>750000.0</v>
      </c>
      <c r="G1338" s="1" t="s">
        <v>3964</v>
      </c>
      <c r="H1338" s="1" t="s">
        <v>301</v>
      </c>
      <c r="I1338" s="4">
        <v>44958.0</v>
      </c>
      <c r="K1338" s="1">
        <v>0.0</v>
      </c>
      <c r="L1338" s="1" t="s">
        <v>344</v>
      </c>
      <c r="M1338" s="1" t="str">
        <f>VLOOKUP(L1338,'Copy of PMD Workday Constants -'!B1307:Y1993,22,false)</f>
        <v>#N/A</v>
      </c>
      <c r="N1338" s="1" t="s">
        <v>32</v>
      </c>
      <c r="O1338" s="1" t="s">
        <v>33</v>
      </c>
      <c r="P1338" s="1" t="s">
        <v>82</v>
      </c>
      <c r="Q1338" s="1" t="s">
        <v>82</v>
      </c>
      <c r="R1338" s="1" t="s">
        <v>83</v>
      </c>
      <c r="S1338" s="1" t="s">
        <v>180</v>
      </c>
      <c r="T1338" s="1">
        <v>1.00610483E8</v>
      </c>
      <c r="W1338" s="1" t="s">
        <v>85</v>
      </c>
      <c r="X1338" s="1" t="s">
        <v>344</v>
      </c>
    </row>
    <row r="1339">
      <c r="A1339" s="1" t="s">
        <v>4560</v>
      </c>
      <c r="B1339" s="1" t="s">
        <v>108</v>
      </c>
      <c r="C1339" s="1" t="s">
        <v>4561</v>
      </c>
      <c r="D1339" s="1" t="s">
        <v>51</v>
      </c>
      <c r="E1339" s="1" t="s">
        <v>29</v>
      </c>
      <c r="F1339" s="5">
        <v>750000.0</v>
      </c>
      <c r="G1339" s="1" t="s">
        <v>3964</v>
      </c>
      <c r="H1339" s="1" t="s">
        <v>2290</v>
      </c>
      <c r="I1339" s="1" t="s">
        <v>302</v>
      </c>
      <c r="K1339" s="1">
        <v>0.0</v>
      </c>
      <c r="L1339" s="1" t="s">
        <v>717</v>
      </c>
      <c r="M1339" s="1" t="str">
        <f>VLOOKUP(L1339,'Copy of PMD Workday Constants -'!B1308:Y1994,22,false)</f>
        <v>#N/A</v>
      </c>
      <c r="N1339" s="1" t="s">
        <v>32</v>
      </c>
      <c r="O1339" s="1" t="s">
        <v>33</v>
      </c>
      <c r="P1339" s="1" t="s">
        <v>34</v>
      </c>
      <c r="Q1339" s="1" t="s">
        <v>34</v>
      </c>
      <c r="R1339" s="1" t="s">
        <v>35</v>
      </c>
      <c r="S1339" s="1" t="s">
        <v>383</v>
      </c>
      <c r="T1339" s="1">
        <v>1.00642379E8</v>
      </c>
      <c r="U1339" s="1" t="s">
        <v>4562</v>
      </c>
      <c r="V1339" s="1" t="s">
        <v>46</v>
      </c>
      <c r="W1339" s="1" t="s">
        <v>115</v>
      </c>
      <c r="X1339" s="1" t="s">
        <v>4563</v>
      </c>
    </row>
    <row r="1340">
      <c r="A1340" s="1" t="s">
        <v>4564</v>
      </c>
      <c r="B1340" s="1" t="s">
        <v>993</v>
      </c>
      <c r="C1340" s="1" t="s">
        <v>4565</v>
      </c>
      <c r="D1340" s="1" t="s">
        <v>28</v>
      </c>
      <c r="E1340" s="1" t="s">
        <v>29</v>
      </c>
      <c r="F1340" s="5">
        <v>750000.0</v>
      </c>
      <c r="G1340" s="1" t="s">
        <v>3964</v>
      </c>
      <c r="H1340" s="4">
        <v>44263.0</v>
      </c>
      <c r="I1340" s="1" t="s">
        <v>80</v>
      </c>
      <c r="K1340" s="1">
        <v>0.0</v>
      </c>
      <c r="L1340" s="1" t="s">
        <v>1278</v>
      </c>
      <c r="M1340" s="1" t="str">
        <f>VLOOKUP(L1340,'Copy of PMD Workday Constants -'!B1309:Y1995,22,false)</f>
        <v>#N/A</v>
      </c>
      <c r="N1340" s="1" t="s">
        <v>32</v>
      </c>
      <c r="O1340" s="1" t="s">
        <v>33</v>
      </c>
      <c r="P1340" s="1" t="s">
        <v>112</v>
      </c>
      <c r="Q1340" s="1" t="s">
        <v>112</v>
      </c>
      <c r="R1340" s="1" t="s">
        <v>113</v>
      </c>
      <c r="T1340" s="1">
        <v>1.00626753E8</v>
      </c>
      <c r="W1340" s="1" t="s">
        <v>74</v>
      </c>
      <c r="X1340" s="1" t="s">
        <v>1278</v>
      </c>
    </row>
    <row r="1341">
      <c r="A1341" s="1" t="s">
        <v>4566</v>
      </c>
      <c r="B1341" s="1" t="s">
        <v>808</v>
      </c>
      <c r="C1341" s="1" t="s">
        <v>4567</v>
      </c>
      <c r="D1341" s="1" t="s">
        <v>28</v>
      </c>
      <c r="E1341" s="1" t="s">
        <v>29</v>
      </c>
      <c r="F1341" s="5">
        <v>750000.0</v>
      </c>
      <c r="G1341" s="1" t="s">
        <v>3964</v>
      </c>
      <c r="H1341" s="1" t="s">
        <v>498</v>
      </c>
      <c r="I1341" s="1" t="s">
        <v>816</v>
      </c>
      <c r="K1341" s="1">
        <v>0.0</v>
      </c>
      <c r="L1341" s="1" t="s">
        <v>505</v>
      </c>
      <c r="M1341" s="1" t="str">
        <f>VLOOKUP(L1341,'Copy of PMD Workday Constants -'!B1310:Y1996,22,false)</f>
        <v>#N/A</v>
      </c>
      <c r="N1341" s="1" t="s">
        <v>32</v>
      </c>
      <c r="O1341" s="1" t="s">
        <v>33</v>
      </c>
      <c r="P1341" s="1" t="s">
        <v>112</v>
      </c>
      <c r="Q1341" s="1" t="s">
        <v>112</v>
      </c>
      <c r="R1341" s="1" t="s">
        <v>113</v>
      </c>
      <c r="S1341" s="1" t="s">
        <v>307</v>
      </c>
      <c r="T1341" s="1">
        <v>1.0062347E8</v>
      </c>
      <c r="W1341" s="1" t="s">
        <v>308</v>
      </c>
      <c r="X1341" s="1" t="s">
        <v>505</v>
      </c>
    </row>
    <row r="1342">
      <c r="A1342" s="1" t="s">
        <v>4568</v>
      </c>
      <c r="B1342" s="1" t="s">
        <v>353</v>
      </c>
      <c r="C1342" s="1" t="s">
        <v>4569</v>
      </c>
      <c r="D1342" s="1" t="s">
        <v>28</v>
      </c>
      <c r="E1342" s="1" t="s">
        <v>29</v>
      </c>
      <c r="F1342" s="5">
        <v>750000.0</v>
      </c>
      <c r="G1342" s="1" t="s">
        <v>3964</v>
      </c>
      <c r="H1342" s="1" t="s">
        <v>4570</v>
      </c>
      <c r="I1342" s="1" t="s">
        <v>302</v>
      </c>
      <c r="K1342" s="1">
        <v>0.0</v>
      </c>
      <c r="L1342" s="1" t="s">
        <v>4277</v>
      </c>
      <c r="M1342" s="1" t="str">
        <f>VLOOKUP(L1342,'Copy of PMD Workday Constants -'!B1311:Y1997,22,false)</f>
        <v>#N/A</v>
      </c>
      <c r="N1342" s="1" t="s">
        <v>32</v>
      </c>
      <c r="O1342" s="1" t="s">
        <v>33</v>
      </c>
      <c r="P1342" s="1" t="s">
        <v>173</v>
      </c>
      <c r="Q1342" s="1" t="s">
        <v>173</v>
      </c>
      <c r="R1342" s="1" t="s">
        <v>174</v>
      </c>
      <c r="S1342" s="1" t="s">
        <v>297</v>
      </c>
      <c r="T1342" s="1">
        <v>1.00650304E8</v>
      </c>
      <c r="W1342" s="1" t="s">
        <v>258</v>
      </c>
      <c r="X1342" s="1" t="s">
        <v>2202</v>
      </c>
    </row>
    <row r="1343">
      <c r="A1343" s="1" t="s">
        <v>4571</v>
      </c>
      <c r="B1343" s="1" t="s">
        <v>1516</v>
      </c>
      <c r="C1343" s="1" t="s">
        <v>4572</v>
      </c>
      <c r="D1343" s="1" t="s">
        <v>28</v>
      </c>
      <c r="E1343" s="1" t="s">
        <v>29</v>
      </c>
      <c r="F1343" s="5">
        <v>750000.0</v>
      </c>
      <c r="G1343" s="1" t="s">
        <v>3964</v>
      </c>
      <c r="H1343" s="1" t="s">
        <v>2884</v>
      </c>
      <c r="I1343" s="1" t="s">
        <v>1369</v>
      </c>
      <c r="K1343" s="1">
        <v>0.0</v>
      </c>
      <c r="L1343" s="1" t="s">
        <v>2154</v>
      </c>
      <c r="M1343" s="1" t="str">
        <f>VLOOKUP(L1343,'Copy of PMD Workday Constants -'!B1312:Y1998,22,false)</f>
        <v>#N/A</v>
      </c>
      <c r="N1343" s="1" t="s">
        <v>32</v>
      </c>
      <c r="O1343" s="1" t="s">
        <v>33</v>
      </c>
      <c r="P1343" s="1" t="s">
        <v>173</v>
      </c>
      <c r="Q1343" s="1" t="s">
        <v>173</v>
      </c>
      <c r="R1343" s="1" t="s">
        <v>174</v>
      </c>
      <c r="S1343" s="1" t="s">
        <v>612</v>
      </c>
      <c r="T1343" s="1">
        <v>1.00639477E8</v>
      </c>
      <c r="W1343" s="1" t="s">
        <v>456</v>
      </c>
      <c r="X1343" s="1" t="s">
        <v>3371</v>
      </c>
    </row>
    <row r="1344">
      <c r="A1344" s="1" t="s">
        <v>4573</v>
      </c>
      <c r="B1344" s="1" t="s">
        <v>1516</v>
      </c>
      <c r="C1344" s="1" t="s">
        <v>4574</v>
      </c>
      <c r="D1344" s="1" t="s">
        <v>28</v>
      </c>
      <c r="E1344" s="1" t="s">
        <v>29</v>
      </c>
      <c r="F1344" s="5">
        <v>750000.0</v>
      </c>
      <c r="G1344" s="1" t="s">
        <v>3964</v>
      </c>
      <c r="H1344" s="1" t="s">
        <v>2884</v>
      </c>
      <c r="I1344" s="4">
        <v>44693.0</v>
      </c>
      <c r="K1344" s="1">
        <v>0.0</v>
      </c>
      <c r="L1344" s="1" t="s">
        <v>2154</v>
      </c>
      <c r="M1344" s="1" t="str">
        <f>VLOOKUP(L1344,'Copy of PMD Workday Constants -'!B1313:Y1999,22,false)</f>
        <v>#N/A</v>
      </c>
      <c r="N1344" s="1" t="s">
        <v>32</v>
      </c>
      <c r="O1344" s="1" t="s">
        <v>33</v>
      </c>
      <c r="P1344" s="1" t="s">
        <v>173</v>
      </c>
      <c r="Q1344" s="1" t="s">
        <v>173</v>
      </c>
      <c r="R1344" s="1" t="s">
        <v>174</v>
      </c>
      <c r="S1344" s="1" t="s">
        <v>612</v>
      </c>
      <c r="T1344" s="1">
        <v>1.00639477E8</v>
      </c>
      <c r="W1344" s="1" t="s">
        <v>456</v>
      </c>
      <c r="X1344" s="1" t="s">
        <v>3371</v>
      </c>
    </row>
    <row r="1345">
      <c r="A1345" s="1" t="s">
        <v>4575</v>
      </c>
      <c r="B1345" s="1" t="s">
        <v>507</v>
      </c>
      <c r="C1345" s="1" t="s">
        <v>4576</v>
      </c>
      <c r="D1345" s="1" t="s">
        <v>28</v>
      </c>
      <c r="E1345" s="1" t="s">
        <v>29</v>
      </c>
      <c r="F1345" s="5">
        <v>750000.0</v>
      </c>
      <c r="G1345" s="1" t="s">
        <v>3964</v>
      </c>
      <c r="H1345" s="4">
        <v>44836.0</v>
      </c>
      <c r="I1345" s="1" t="s">
        <v>191</v>
      </c>
      <c r="K1345" s="1">
        <v>0.0</v>
      </c>
      <c r="L1345" s="1" t="s">
        <v>1282</v>
      </c>
      <c r="M1345" s="1" t="str">
        <f>VLOOKUP(L1345,'Copy of PMD Workday Constants -'!B1314:Y2000,22,false)</f>
        <v>#N/A</v>
      </c>
      <c r="N1345" s="1" t="s">
        <v>32</v>
      </c>
      <c r="O1345" s="1" t="s">
        <v>33</v>
      </c>
      <c r="P1345" s="1" t="s">
        <v>34</v>
      </c>
      <c r="Q1345" s="1" t="s">
        <v>34</v>
      </c>
      <c r="R1345" s="1" t="s">
        <v>35</v>
      </c>
      <c r="S1345" s="1" t="s">
        <v>1166</v>
      </c>
      <c r="T1345" s="1">
        <v>1.006096E8</v>
      </c>
      <c r="W1345" s="1" t="s">
        <v>456</v>
      </c>
      <c r="X1345" s="1" t="s">
        <v>1283</v>
      </c>
    </row>
    <row r="1346">
      <c r="A1346" s="1" t="s">
        <v>4577</v>
      </c>
      <c r="B1346" s="1" t="s">
        <v>573</v>
      </c>
      <c r="C1346" s="1" t="s">
        <v>4578</v>
      </c>
      <c r="D1346" s="1" t="s">
        <v>28</v>
      </c>
      <c r="E1346" s="1" t="s">
        <v>29</v>
      </c>
      <c r="F1346" s="5">
        <v>750000.0</v>
      </c>
      <c r="G1346" s="1" t="s">
        <v>3964</v>
      </c>
      <c r="H1346" s="1" t="s">
        <v>1765</v>
      </c>
      <c r="I1346" s="1" t="s">
        <v>80</v>
      </c>
      <c r="K1346" s="1">
        <v>0.0</v>
      </c>
      <c r="L1346" s="1" t="s">
        <v>3891</v>
      </c>
      <c r="M1346" s="1" t="str">
        <f>VLOOKUP(L1346,'Copy of PMD Workday Constants -'!B1315:Y2001,22,false)</f>
        <v>#N/A</v>
      </c>
      <c r="N1346" s="1" t="s">
        <v>32</v>
      </c>
      <c r="O1346" s="1" t="s">
        <v>33</v>
      </c>
      <c r="P1346" s="1" t="s">
        <v>112</v>
      </c>
      <c r="Q1346" s="1" t="s">
        <v>112</v>
      </c>
      <c r="R1346" s="1" t="s">
        <v>113</v>
      </c>
      <c r="S1346" s="1" t="s">
        <v>134</v>
      </c>
      <c r="T1346" s="1">
        <v>1.00589299E8</v>
      </c>
      <c r="W1346" s="1" t="s">
        <v>74</v>
      </c>
      <c r="X1346" s="1" t="s">
        <v>4108</v>
      </c>
    </row>
    <row r="1347">
      <c r="A1347" s="1" t="s">
        <v>4579</v>
      </c>
      <c r="B1347" s="1" t="s">
        <v>3355</v>
      </c>
      <c r="C1347" s="1" t="s">
        <v>4580</v>
      </c>
      <c r="D1347" s="1" t="s">
        <v>28</v>
      </c>
      <c r="E1347" s="1" t="s">
        <v>29</v>
      </c>
      <c r="F1347" s="5">
        <v>750000.0</v>
      </c>
      <c r="G1347" s="1" t="s">
        <v>3964</v>
      </c>
      <c r="H1347" s="1" t="s">
        <v>706</v>
      </c>
      <c r="I1347" s="1" t="s">
        <v>104</v>
      </c>
      <c r="K1347" s="1">
        <v>0.0</v>
      </c>
      <c r="L1347" s="1" t="s">
        <v>72</v>
      </c>
      <c r="M1347" s="1" t="str">
        <f>VLOOKUP(L1347,'Copy of PMD Workday Constants -'!B1316:Y2002,22,false)</f>
        <v>#N/A</v>
      </c>
      <c r="N1347" s="1" t="s">
        <v>32</v>
      </c>
      <c r="O1347" s="1" t="s">
        <v>33</v>
      </c>
      <c r="P1347" s="1" t="s">
        <v>34</v>
      </c>
      <c r="Q1347" s="1" t="s">
        <v>34</v>
      </c>
      <c r="R1347" s="1" t="s">
        <v>35</v>
      </c>
      <c r="S1347" s="1" t="s">
        <v>126</v>
      </c>
      <c r="T1347" s="1">
        <v>1.0060843E8</v>
      </c>
      <c r="W1347" s="1" t="s">
        <v>74</v>
      </c>
      <c r="X1347" s="1" t="s">
        <v>2700</v>
      </c>
    </row>
    <row r="1348">
      <c r="A1348" s="1" t="s">
        <v>4581</v>
      </c>
      <c r="B1348" s="1" t="s">
        <v>4582</v>
      </c>
      <c r="C1348" s="1" t="s">
        <v>4583</v>
      </c>
      <c r="D1348" s="1" t="s">
        <v>28</v>
      </c>
      <c r="E1348" s="1" t="s">
        <v>29</v>
      </c>
      <c r="F1348" s="5">
        <v>750000.0</v>
      </c>
      <c r="G1348" s="1" t="s">
        <v>3964</v>
      </c>
      <c r="H1348" s="1" t="s">
        <v>706</v>
      </c>
      <c r="I1348" s="1" t="s">
        <v>302</v>
      </c>
      <c r="K1348" s="1">
        <v>0.0</v>
      </c>
      <c r="L1348" s="1" t="s">
        <v>2699</v>
      </c>
      <c r="M1348" s="1" t="str">
        <f>VLOOKUP(L1348,'Copy of PMD Workday Constants -'!B1317:Y2003,22,false)</f>
        <v>#N/A</v>
      </c>
      <c r="N1348" s="1" t="s">
        <v>32</v>
      </c>
      <c r="O1348" s="1" t="s">
        <v>33</v>
      </c>
      <c r="P1348" s="1" t="s">
        <v>34</v>
      </c>
      <c r="Q1348" s="1" t="s">
        <v>34</v>
      </c>
      <c r="R1348" s="1" t="s">
        <v>35</v>
      </c>
      <c r="S1348" s="1" t="s">
        <v>126</v>
      </c>
      <c r="T1348" s="1">
        <v>1.00610367E8</v>
      </c>
      <c r="W1348" s="1" t="s">
        <v>74</v>
      </c>
      <c r="X1348" s="1" t="s">
        <v>2700</v>
      </c>
    </row>
    <row r="1349">
      <c r="A1349" s="1" t="s">
        <v>4584</v>
      </c>
      <c r="B1349" s="1" t="s">
        <v>744</v>
      </c>
      <c r="C1349" s="1" t="s">
        <v>4585</v>
      </c>
      <c r="D1349" s="1" t="s">
        <v>51</v>
      </c>
      <c r="E1349" s="1" t="s">
        <v>29</v>
      </c>
      <c r="F1349" s="5">
        <v>750000.0</v>
      </c>
      <c r="G1349" s="1" t="s">
        <v>3964</v>
      </c>
      <c r="H1349" s="4">
        <v>43507.0</v>
      </c>
      <c r="I1349" s="1" t="s">
        <v>104</v>
      </c>
      <c r="K1349" s="1">
        <v>0.0</v>
      </c>
      <c r="L1349" s="1" t="s">
        <v>255</v>
      </c>
      <c r="M1349" s="1" t="str">
        <f>VLOOKUP(L1349,'Copy of PMD Workday Constants -'!B1318:Y2004,22,false)</f>
        <v>#N/A</v>
      </c>
      <c r="N1349" s="1" t="s">
        <v>32</v>
      </c>
      <c r="O1349" s="1" t="s">
        <v>33</v>
      </c>
      <c r="P1349" s="1" t="s">
        <v>112</v>
      </c>
      <c r="Q1349" s="1" t="s">
        <v>112</v>
      </c>
      <c r="R1349" s="1" t="s">
        <v>113</v>
      </c>
      <c r="S1349" s="1" t="s">
        <v>256</v>
      </c>
      <c r="T1349" s="1">
        <v>1.00659114E8</v>
      </c>
      <c r="V1349" s="1" t="s">
        <v>781</v>
      </c>
      <c r="W1349" s="1" t="s">
        <v>258</v>
      </c>
      <c r="X1349" s="1" t="s">
        <v>259</v>
      </c>
    </row>
    <row r="1350">
      <c r="A1350" s="1" t="s">
        <v>4586</v>
      </c>
      <c r="B1350" s="1" t="s">
        <v>4587</v>
      </c>
      <c r="C1350" s="1" t="s">
        <v>4588</v>
      </c>
      <c r="D1350" s="1" t="s">
        <v>103</v>
      </c>
      <c r="E1350" s="1" t="s">
        <v>29</v>
      </c>
      <c r="F1350" s="5">
        <v>750000.0</v>
      </c>
      <c r="G1350" s="1" t="s">
        <v>3964</v>
      </c>
      <c r="H1350" s="1" t="s">
        <v>1287</v>
      </c>
      <c r="I1350" s="1" t="s">
        <v>4589</v>
      </c>
      <c r="K1350" s="1">
        <v>0.0</v>
      </c>
      <c r="L1350" s="1" t="s">
        <v>1611</v>
      </c>
      <c r="M1350" s="1" t="str">
        <f>VLOOKUP(L1350,'Copy of PMD Workday Constants -'!B1319:Y2005,22,false)</f>
        <v>#N/A</v>
      </c>
      <c r="N1350" s="1" t="s">
        <v>32</v>
      </c>
      <c r="O1350" s="1" t="s">
        <v>33</v>
      </c>
      <c r="P1350" s="1" t="s">
        <v>34</v>
      </c>
      <c r="Q1350" s="1" t="s">
        <v>34</v>
      </c>
      <c r="R1350" s="1" t="s">
        <v>35</v>
      </c>
      <c r="S1350" s="1" t="s">
        <v>126</v>
      </c>
      <c r="T1350" s="1">
        <v>1.00645852E8</v>
      </c>
      <c r="W1350" s="1" t="s">
        <v>456</v>
      </c>
      <c r="X1350" s="1" t="s">
        <v>4590</v>
      </c>
    </row>
    <row r="1351">
      <c r="A1351" s="1" t="s">
        <v>4591</v>
      </c>
      <c r="B1351" s="1" t="s">
        <v>1163</v>
      </c>
      <c r="C1351" s="1" t="s">
        <v>4592</v>
      </c>
      <c r="D1351" s="1" t="s">
        <v>103</v>
      </c>
      <c r="E1351" s="1" t="s">
        <v>29</v>
      </c>
      <c r="F1351" s="5">
        <v>750000.0</v>
      </c>
      <c r="G1351" s="1" t="s">
        <v>3964</v>
      </c>
      <c r="H1351" s="1" t="s">
        <v>4593</v>
      </c>
      <c r="I1351" s="1" t="s">
        <v>80</v>
      </c>
      <c r="K1351" s="1">
        <v>0.0</v>
      </c>
      <c r="L1351" s="1" t="s">
        <v>1165</v>
      </c>
      <c r="M1351" s="1" t="str">
        <f>VLOOKUP(L1351,'Copy of PMD Workday Constants -'!B1320:Y2006,22,false)</f>
        <v>#N/A</v>
      </c>
      <c r="N1351" s="1" t="s">
        <v>32</v>
      </c>
      <c r="O1351" s="1" t="s">
        <v>33</v>
      </c>
      <c r="P1351" s="1" t="s">
        <v>34</v>
      </c>
      <c r="Q1351" s="1" t="s">
        <v>34</v>
      </c>
      <c r="R1351" s="1" t="s">
        <v>35</v>
      </c>
      <c r="S1351" s="1" t="s">
        <v>1166</v>
      </c>
      <c r="T1351" s="1">
        <v>1.00586863E8</v>
      </c>
      <c r="W1351" s="1" t="s">
        <v>147</v>
      </c>
      <c r="X1351" s="1" t="s">
        <v>1165</v>
      </c>
    </row>
    <row r="1352">
      <c r="A1352" s="1" t="s">
        <v>4594</v>
      </c>
      <c r="B1352" s="1" t="s">
        <v>4595</v>
      </c>
      <c r="C1352" s="1" t="s">
        <v>4596</v>
      </c>
      <c r="D1352" s="1" t="s">
        <v>103</v>
      </c>
      <c r="E1352" s="1" t="s">
        <v>29</v>
      </c>
      <c r="F1352" s="5">
        <v>750000.0</v>
      </c>
      <c r="G1352" s="1" t="s">
        <v>3964</v>
      </c>
      <c r="H1352" s="1" t="s">
        <v>3443</v>
      </c>
      <c r="I1352" s="1" t="s">
        <v>80</v>
      </c>
      <c r="K1352" s="1">
        <v>0.0</v>
      </c>
      <c r="L1352" s="1" t="s">
        <v>3917</v>
      </c>
      <c r="M1352" s="1" t="str">
        <f>VLOOKUP(L1352,'Copy of PMD Workday Constants -'!B1321:Y2007,22,false)</f>
        <v>#N/A</v>
      </c>
      <c r="N1352" s="1" t="s">
        <v>32</v>
      </c>
      <c r="O1352" s="1" t="s">
        <v>33</v>
      </c>
      <c r="P1352" s="1" t="s">
        <v>82</v>
      </c>
      <c r="Q1352" s="1" t="s">
        <v>82</v>
      </c>
      <c r="R1352" s="1" t="s">
        <v>83</v>
      </c>
      <c r="S1352" s="1" t="s">
        <v>180</v>
      </c>
      <c r="T1352" s="1">
        <v>1.00611547E8</v>
      </c>
      <c r="W1352" s="1" t="s">
        <v>2098</v>
      </c>
      <c r="X1352" s="1" t="s">
        <v>1293</v>
      </c>
    </row>
    <row r="1353">
      <c r="A1353" s="1" t="s">
        <v>4597</v>
      </c>
      <c r="B1353" s="1" t="s">
        <v>324</v>
      </c>
      <c r="C1353" s="1" t="s">
        <v>4598</v>
      </c>
      <c r="D1353" s="1" t="s">
        <v>28</v>
      </c>
      <c r="E1353" s="1" t="s">
        <v>29</v>
      </c>
      <c r="F1353" s="5">
        <v>750000.0</v>
      </c>
      <c r="G1353" s="1" t="s">
        <v>3964</v>
      </c>
      <c r="H1353" s="4">
        <v>44140.0</v>
      </c>
      <c r="I1353" s="1" t="s">
        <v>326</v>
      </c>
      <c r="K1353" s="1">
        <v>0.0</v>
      </c>
      <c r="L1353" s="1" t="s">
        <v>3994</v>
      </c>
      <c r="M1353" s="1" t="str">
        <f>VLOOKUP(L1353,'Copy of PMD Workday Constants -'!B1322:Y2008,22,false)</f>
        <v>#N/A</v>
      </c>
      <c r="N1353" s="1" t="s">
        <v>32</v>
      </c>
      <c r="O1353" s="1" t="s">
        <v>33</v>
      </c>
      <c r="P1353" s="1" t="s">
        <v>210</v>
      </c>
      <c r="Q1353" s="1" t="s">
        <v>210</v>
      </c>
      <c r="R1353" s="1" t="s">
        <v>211</v>
      </c>
      <c r="S1353" s="1" t="s">
        <v>1313</v>
      </c>
      <c r="T1353" s="1">
        <v>1.00646809E8</v>
      </c>
      <c r="W1353" s="1" t="s">
        <v>56</v>
      </c>
      <c r="X1353" s="1" t="s">
        <v>2487</v>
      </c>
    </row>
    <row r="1354">
      <c r="A1354" s="1" t="s">
        <v>4599</v>
      </c>
      <c r="B1354" s="1" t="s">
        <v>507</v>
      </c>
      <c r="C1354" s="1" t="s">
        <v>4600</v>
      </c>
      <c r="D1354" s="1" t="s">
        <v>28</v>
      </c>
      <c r="E1354" s="1" t="s">
        <v>29</v>
      </c>
      <c r="F1354" s="5">
        <v>750000.0</v>
      </c>
      <c r="G1354" s="1" t="s">
        <v>3964</v>
      </c>
      <c r="H1354" s="4">
        <v>44839.0</v>
      </c>
      <c r="I1354" s="1" t="s">
        <v>998</v>
      </c>
      <c r="K1354" s="1">
        <v>0.0</v>
      </c>
      <c r="L1354" s="1" t="s">
        <v>2762</v>
      </c>
      <c r="M1354" s="1" t="str">
        <f>VLOOKUP(L1354,'Copy of PMD Workday Constants -'!B1323:Y2009,22,false)</f>
        <v>#N/A</v>
      </c>
      <c r="N1354" s="1" t="s">
        <v>32</v>
      </c>
      <c r="O1354" s="1" t="s">
        <v>33</v>
      </c>
      <c r="P1354" s="1" t="s">
        <v>82</v>
      </c>
      <c r="Q1354" s="1" t="s">
        <v>82</v>
      </c>
      <c r="R1354" s="1" t="s">
        <v>83</v>
      </c>
      <c r="S1354" s="1" t="s">
        <v>583</v>
      </c>
      <c r="T1354" s="1">
        <v>1.00637221E8</v>
      </c>
      <c r="W1354" s="1" t="s">
        <v>456</v>
      </c>
      <c r="X1354" s="1" t="s">
        <v>2763</v>
      </c>
    </row>
    <row r="1355">
      <c r="A1355" s="1" t="s">
        <v>4601</v>
      </c>
      <c r="B1355" s="1" t="s">
        <v>4602</v>
      </c>
      <c r="C1355" s="1" t="s">
        <v>4603</v>
      </c>
      <c r="D1355" s="1" t="s">
        <v>28</v>
      </c>
      <c r="E1355" s="1" t="s">
        <v>29</v>
      </c>
      <c r="F1355" s="5">
        <v>750000.0</v>
      </c>
      <c r="G1355" s="1" t="s">
        <v>3964</v>
      </c>
      <c r="H1355" s="1" t="s">
        <v>509</v>
      </c>
      <c r="I1355" s="4">
        <v>44601.0</v>
      </c>
      <c r="K1355" s="1">
        <v>0.0</v>
      </c>
      <c r="L1355" s="1" t="s">
        <v>1525</v>
      </c>
      <c r="M1355" s="1" t="str">
        <f>VLOOKUP(L1355,'Copy of PMD Workday Constants -'!B1324:Y2010,22,false)</f>
        <v>#N/A</v>
      </c>
      <c r="N1355" s="1" t="s">
        <v>32</v>
      </c>
      <c r="O1355" s="1" t="s">
        <v>33</v>
      </c>
      <c r="P1355" s="1" t="s">
        <v>34</v>
      </c>
      <c r="Q1355" s="1" t="s">
        <v>34</v>
      </c>
      <c r="R1355" s="1" t="s">
        <v>35</v>
      </c>
      <c r="S1355" s="1" t="s">
        <v>1166</v>
      </c>
      <c r="T1355" s="1">
        <v>1.00637597E8</v>
      </c>
      <c r="U1355" s="1" t="s">
        <v>4604</v>
      </c>
      <c r="V1355" s="1" t="s">
        <v>187</v>
      </c>
      <c r="W1355" s="1" t="s">
        <v>85</v>
      </c>
      <c r="X1355" s="1" t="s">
        <v>1525</v>
      </c>
    </row>
    <row r="1356">
      <c r="A1356" s="1" t="s">
        <v>4605</v>
      </c>
      <c r="B1356" s="1" t="s">
        <v>4606</v>
      </c>
      <c r="C1356" s="1" t="s">
        <v>4607</v>
      </c>
      <c r="D1356" s="1" t="s">
        <v>51</v>
      </c>
      <c r="E1356" s="1" t="s">
        <v>29</v>
      </c>
      <c r="F1356" s="5">
        <v>750000.0</v>
      </c>
      <c r="G1356" s="1" t="s">
        <v>3964</v>
      </c>
      <c r="H1356" s="4">
        <v>44476.0</v>
      </c>
      <c r="I1356" s="1" t="s">
        <v>302</v>
      </c>
      <c r="K1356" s="1">
        <v>0.0</v>
      </c>
      <c r="L1356" s="1" t="s">
        <v>4608</v>
      </c>
      <c r="M1356" s="1" t="str">
        <f>VLOOKUP(L1356,'Copy of PMD Workday Constants -'!B1325:Y2011,22,false)</f>
        <v>#N/A</v>
      </c>
      <c r="N1356" s="1" t="s">
        <v>32</v>
      </c>
      <c r="O1356" s="1" t="s">
        <v>33</v>
      </c>
      <c r="P1356" s="1" t="s">
        <v>222</v>
      </c>
      <c r="Q1356" s="1" t="s">
        <v>222</v>
      </c>
      <c r="R1356" s="1" t="s">
        <v>223</v>
      </c>
      <c r="S1356" s="1" t="s">
        <v>482</v>
      </c>
      <c r="T1356" s="1">
        <v>1.00592715E8</v>
      </c>
      <c r="W1356" s="1" t="s">
        <v>115</v>
      </c>
      <c r="X1356" s="1" t="s">
        <v>4608</v>
      </c>
    </row>
    <row r="1357">
      <c r="A1357" s="1" t="s">
        <v>4609</v>
      </c>
      <c r="B1357" s="1" t="s">
        <v>4610</v>
      </c>
      <c r="C1357" s="1" t="s">
        <v>4611</v>
      </c>
      <c r="D1357" s="1" t="s">
        <v>103</v>
      </c>
      <c r="E1357" s="1" t="s">
        <v>29</v>
      </c>
      <c r="F1357" s="5">
        <v>750000.0</v>
      </c>
      <c r="G1357" s="1" t="s">
        <v>3964</v>
      </c>
      <c r="H1357" s="1" t="s">
        <v>4612</v>
      </c>
      <c r="I1357" s="1" t="s">
        <v>302</v>
      </c>
      <c r="K1357" s="1">
        <v>0.0</v>
      </c>
      <c r="L1357" s="1" t="s">
        <v>270</v>
      </c>
      <c r="M1357" s="1" t="str">
        <f>VLOOKUP(L1357,'Copy of PMD Workday Constants -'!B1326:Y2012,22,false)</f>
        <v>#N/A</v>
      </c>
      <c r="N1357" s="1" t="s">
        <v>32</v>
      </c>
      <c r="O1357" s="1" t="s">
        <v>33</v>
      </c>
      <c r="P1357" s="1" t="s">
        <v>34</v>
      </c>
      <c r="Q1357" s="1" t="s">
        <v>34</v>
      </c>
      <c r="R1357" s="1" t="s">
        <v>35</v>
      </c>
      <c r="S1357" s="1" t="s">
        <v>383</v>
      </c>
      <c r="T1357" s="1">
        <v>1.00597826E8</v>
      </c>
      <c r="W1357" s="1" t="s">
        <v>140</v>
      </c>
      <c r="X1357" s="1" t="s">
        <v>270</v>
      </c>
    </row>
    <row r="1358">
      <c r="A1358" s="1" t="s">
        <v>4613</v>
      </c>
      <c r="B1358" s="1" t="s">
        <v>3126</v>
      </c>
      <c r="C1358" s="1" t="s">
        <v>4614</v>
      </c>
      <c r="D1358" s="1" t="s">
        <v>28</v>
      </c>
      <c r="E1358" s="1" t="s">
        <v>29</v>
      </c>
      <c r="F1358" s="5">
        <v>750000.0</v>
      </c>
      <c r="G1358" s="1" t="s">
        <v>3964</v>
      </c>
      <c r="H1358" s="1" t="s">
        <v>1765</v>
      </c>
      <c r="I1358" s="1" t="s">
        <v>80</v>
      </c>
      <c r="K1358" s="1">
        <v>0.0</v>
      </c>
      <c r="L1358" s="1" t="s">
        <v>3891</v>
      </c>
      <c r="M1358" s="1" t="str">
        <f>VLOOKUP(L1358,'Copy of PMD Workday Constants -'!B1327:Y2013,22,false)</f>
        <v>#N/A</v>
      </c>
      <c r="N1358" s="1" t="s">
        <v>32</v>
      </c>
      <c r="O1358" s="1" t="s">
        <v>33</v>
      </c>
      <c r="P1358" s="1" t="s">
        <v>112</v>
      </c>
      <c r="Q1358" s="1" t="s">
        <v>112</v>
      </c>
      <c r="R1358" s="1" t="s">
        <v>113</v>
      </c>
      <c r="S1358" s="1" t="s">
        <v>204</v>
      </c>
      <c r="T1358" s="1">
        <v>1.00589299E8</v>
      </c>
      <c r="W1358" s="1" t="s">
        <v>37</v>
      </c>
      <c r="X1358" s="1" t="s">
        <v>4108</v>
      </c>
    </row>
    <row r="1359">
      <c r="A1359" s="1" t="s">
        <v>4615</v>
      </c>
      <c r="B1359" s="1" t="s">
        <v>665</v>
      </c>
      <c r="C1359" s="1" t="s">
        <v>4616</v>
      </c>
      <c r="D1359" s="1" t="s">
        <v>51</v>
      </c>
      <c r="E1359" s="1" t="s">
        <v>29</v>
      </c>
      <c r="F1359" s="5">
        <v>750000.0</v>
      </c>
      <c r="G1359" s="1" t="s">
        <v>3964</v>
      </c>
      <c r="H1359" s="4">
        <v>44837.0</v>
      </c>
      <c r="I1359" s="1" t="s">
        <v>80</v>
      </c>
      <c r="K1359" s="1">
        <v>0.0</v>
      </c>
      <c r="L1359" s="1" t="s">
        <v>667</v>
      </c>
      <c r="M1359" s="1" t="str">
        <f>VLOOKUP(L1359,'Copy of PMD Workday Constants -'!B1328:Y2014,22,false)</f>
        <v>#N/A</v>
      </c>
      <c r="N1359" s="1" t="s">
        <v>32</v>
      </c>
      <c r="O1359" s="1" t="s">
        <v>33</v>
      </c>
      <c r="P1359" s="1" t="s">
        <v>112</v>
      </c>
      <c r="Q1359" s="1" t="s">
        <v>112</v>
      </c>
      <c r="R1359" s="1" t="s">
        <v>113</v>
      </c>
      <c r="S1359" s="1" t="s">
        <v>307</v>
      </c>
      <c r="T1359" s="1">
        <v>1.00616804E8</v>
      </c>
      <c r="W1359" s="1" t="s">
        <v>115</v>
      </c>
      <c r="X1359" s="1" t="s">
        <v>667</v>
      </c>
    </row>
    <row r="1360">
      <c r="A1360" s="1" t="s">
        <v>4617</v>
      </c>
      <c r="B1360" s="1" t="s">
        <v>4618</v>
      </c>
      <c r="C1360" s="1" t="s">
        <v>4619</v>
      </c>
      <c r="D1360" s="1" t="s">
        <v>28</v>
      </c>
      <c r="E1360" s="1" t="s">
        <v>29</v>
      </c>
      <c r="F1360" s="5">
        <v>750000.0</v>
      </c>
      <c r="G1360" s="1" t="s">
        <v>3964</v>
      </c>
      <c r="H1360" s="4">
        <v>44239.0</v>
      </c>
      <c r="I1360" s="1" t="s">
        <v>80</v>
      </c>
      <c r="K1360" s="1">
        <v>0.0</v>
      </c>
      <c r="L1360" s="1" t="s">
        <v>3848</v>
      </c>
      <c r="M1360" s="1" t="str">
        <f>VLOOKUP(L1360,'Copy of PMD Workday Constants -'!B1329:Y2015,22,false)</f>
        <v>#N/A</v>
      </c>
      <c r="N1360" s="1" t="s">
        <v>32</v>
      </c>
      <c r="O1360" s="1" t="s">
        <v>33</v>
      </c>
      <c r="P1360" s="1" t="s">
        <v>173</v>
      </c>
      <c r="Q1360" s="1" t="s">
        <v>173</v>
      </c>
      <c r="R1360" s="1" t="s">
        <v>174</v>
      </c>
      <c r="S1360" s="1" t="s">
        <v>612</v>
      </c>
      <c r="T1360" s="1">
        <v>1.00654914E8</v>
      </c>
      <c r="W1360" s="1" t="s">
        <v>140</v>
      </c>
      <c r="X1360" s="1" t="s">
        <v>3849</v>
      </c>
    </row>
    <row r="1361">
      <c r="A1361" s="1" t="s">
        <v>4620</v>
      </c>
      <c r="B1361" s="1" t="s">
        <v>573</v>
      </c>
      <c r="C1361" s="1" t="s">
        <v>4621</v>
      </c>
      <c r="D1361" s="1" t="s">
        <v>28</v>
      </c>
      <c r="E1361" s="1" t="s">
        <v>29</v>
      </c>
      <c r="F1361" s="5">
        <v>750000.0</v>
      </c>
      <c r="G1361" s="1" t="s">
        <v>3964</v>
      </c>
      <c r="H1361" s="4">
        <v>44779.0</v>
      </c>
      <c r="I1361" s="4">
        <v>44568.0</v>
      </c>
      <c r="K1361" s="1">
        <v>0.0</v>
      </c>
      <c r="L1361" s="1" t="s">
        <v>1870</v>
      </c>
      <c r="M1361" s="1" t="str">
        <f>VLOOKUP(L1361,'Copy of PMD Workday Constants -'!B1330:Y2016,22,false)</f>
        <v>#N/A</v>
      </c>
      <c r="N1361" s="1" t="s">
        <v>32</v>
      </c>
      <c r="O1361" s="1" t="s">
        <v>33</v>
      </c>
      <c r="P1361" s="1" t="s">
        <v>112</v>
      </c>
      <c r="Q1361" s="1" t="s">
        <v>112</v>
      </c>
      <c r="R1361" s="1" t="s">
        <v>113</v>
      </c>
      <c r="S1361" s="1" t="s">
        <v>1336</v>
      </c>
      <c r="T1361" s="1">
        <v>1.00638639E8</v>
      </c>
      <c r="W1361" s="1" t="s">
        <v>56</v>
      </c>
      <c r="X1361" s="1" t="s">
        <v>4622</v>
      </c>
    </row>
    <row r="1362">
      <c r="A1362" s="1" t="s">
        <v>4623</v>
      </c>
      <c r="B1362" s="1" t="s">
        <v>756</v>
      </c>
      <c r="C1362" s="1" t="s">
        <v>4624</v>
      </c>
      <c r="D1362" s="1" t="s">
        <v>28</v>
      </c>
      <c r="E1362" s="1" t="s">
        <v>29</v>
      </c>
      <c r="F1362" s="5">
        <v>750000.0</v>
      </c>
      <c r="G1362" s="1" t="s">
        <v>3964</v>
      </c>
      <c r="H1362" s="1" t="s">
        <v>4625</v>
      </c>
      <c r="I1362" s="1" t="s">
        <v>400</v>
      </c>
      <c r="K1362" s="1">
        <v>0.0</v>
      </c>
      <c r="L1362" s="1" t="s">
        <v>1344</v>
      </c>
      <c r="M1362" s="1" t="str">
        <f>VLOOKUP(L1362,'Copy of PMD Workday Constants -'!B1331:Y2017,22,false)</f>
        <v>#N/A</v>
      </c>
      <c r="N1362" s="1" t="s">
        <v>32</v>
      </c>
      <c r="O1362" s="1" t="s">
        <v>33</v>
      </c>
      <c r="P1362" s="1" t="s">
        <v>112</v>
      </c>
      <c r="Q1362" s="1" t="s">
        <v>112</v>
      </c>
      <c r="R1362" s="1" t="s">
        <v>113</v>
      </c>
      <c r="S1362" s="1" t="s">
        <v>126</v>
      </c>
      <c r="T1362" s="1">
        <v>1.0061941E8</v>
      </c>
      <c r="W1362" s="1" t="s">
        <v>74</v>
      </c>
      <c r="X1362" s="1" t="s">
        <v>4626</v>
      </c>
    </row>
    <row r="1363">
      <c r="A1363" s="1" t="s">
        <v>4627</v>
      </c>
      <c r="B1363" s="1" t="s">
        <v>1252</v>
      </c>
      <c r="C1363" s="1" t="s">
        <v>4628</v>
      </c>
      <c r="D1363" s="1" t="s">
        <v>28</v>
      </c>
      <c r="E1363" s="1" t="s">
        <v>29</v>
      </c>
      <c r="F1363" s="5">
        <v>750000.0</v>
      </c>
      <c r="G1363" s="1" t="s">
        <v>3964</v>
      </c>
      <c r="H1363" s="1" t="s">
        <v>1785</v>
      </c>
      <c r="I1363" s="1" t="s">
        <v>217</v>
      </c>
      <c r="K1363" s="1">
        <v>0.0</v>
      </c>
      <c r="L1363" s="1" t="s">
        <v>4629</v>
      </c>
      <c r="M1363" s="1" t="str">
        <f>VLOOKUP(L1363,'Copy of PMD Workday Constants -'!B1332:Y2018,22,false)</f>
        <v>#N/A</v>
      </c>
      <c r="N1363" s="1" t="s">
        <v>32</v>
      </c>
      <c r="O1363" s="1" t="s">
        <v>33</v>
      </c>
      <c r="P1363" s="1" t="s">
        <v>210</v>
      </c>
      <c r="Q1363" s="1" t="s">
        <v>210</v>
      </c>
      <c r="R1363" s="1" t="s">
        <v>211</v>
      </c>
      <c r="S1363" s="1" t="s">
        <v>416</v>
      </c>
      <c r="T1363" s="1">
        <v>1.01017204E8</v>
      </c>
      <c r="W1363" s="1" t="s">
        <v>56</v>
      </c>
      <c r="X1363" s="1" t="s">
        <v>4629</v>
      </c>
    </row>
    <row r="1364">
      <c r="A1364" s="1" t="s">
        <v>4630</v>
      </c>
      <c r="B1364" s="1" t="s">
        <v>1144</v>
      </c>
      <c r="C1364" s="1" t="s">
        <v>4631</v>
      </c>
      <c r="D1364" s="1" t="s">
        <v>51</v>
      </c>
      <c r="E1364" s="1" t="s">
        <v>29</v>
      </c>
      <c r="F1364" s="5">
        <v>750000.0</v>
      </c>
      <c r="G1364" s="1" t="s">
        <v>3964</v>
      </c>
      <c r="H1364" s="1" t="s">
        <v>1015</v>
      </c>
      <c r="I1364" s="1" t="s">
        <v>414</v>
      </c>
      <c r="K1364" s="1">
        <v>0.0</v>
      </c>
      <c r="L1364" s="1" t="s">
        <v>491</v>
      </c>
      <c r="M1364" s="1" t="str">
        <f>VLOOKUP(L1364,'Copy of PMD Workday Constants -'!B1333:Y2019,22,false)</f>
        <v>#N/A</v>
      </c>
      <c r="N1364" s="1" t="s">
        <v>32</v>
      </c>
      <c r="O1364" s="1" t="s">
        <v>33</v>
      </c>
      <c r="P1364" s="1" t="s">
        <v>112</v>
      </c>
      <c r="Q1364" s="1" t="s">
        <v>112</v>
      </c>
      <c r="R1364" s="1" t="s">
        <v>113</v>
      </c>
      <c r="S1364" s="1" t="s">
        <v>1336</v>
      </c>
      <c r="T1364" s="1">
        <v>1.00623914E8</v>
      </c>
      <c r="W1364" s="1" t="s">
        <v>37</v>
      </c>
      <c r="X1364" s="1" t="s">
        <v>491</v>
      </c>
    </row>
    <row r="1365">
      <c r="A1365" s="1" t="s">
        <v>4632</v>
      </c>
      <c r="B1365" s="1" t="s">
        <v>993</v>
      </c>
      <c r="C1365" s="1" t="s">
        <v>4633</v>
      </c>
      <c r="D1365" s="1" t="s">
        <v>28</v>
      </c>
      <c r="E1365" s="1" t="s">
        <v>29</v>
      </c>
      <c r="F1365" s="5">
        <v>750000.0</v>
      </c>
      <c r="G1365" s="1" t="s">
        <v>3964</v>
      </c>
      <c r="H1365" s="4">
        <v>44451.0</v>
      </c>
      <c r="I1365" s="1" t="s">
        <v>166</v>
      </c>
      <c r="K1365" s="1">
        <v>0.0</v>
      </c>
      <c r="L1365" s="1" t="s">
        <v>4634</v>
      </c>
      <c r="M1365" s="1" t="str">
        <f>VLOOKUP(L1365,'Copy of PMD Workday Constants -'!B1334:Y2020,22,false)</f>
        <v>#N/A</v>
      </c>
      <c r="N1365" s="1" t="s">
        <v>32</v>
      </c>
      <c r="O1365" s="1" t="s">
        <v>33</v>
      </c>
      <c r="P1365" s="1" t="s">
        <v>112</v>
      </c>
      <c r="Q1365" s="1" t="s">
        <v>112</v>
      </c>
      <c r="R1365" s="1" t="s">
        <v>113</v>
      </c>
      <c r="S1365" s="1" t="s">
        <v>114</v>
      </c>
      <c r="T1365" s="1">
        <v>1.00585718E8</v>
      </c>
      <c r="W1365" s="1" t="s">
        <v>140</v>
      </c>
      <c r="X1365" s="1" t="s">
        <v>3642</v>
      </c>
    </row>
    <row r="1366">
      <c r="A1366" s="1" t="s">
        <v>4635</v>
      </c>
      <c r="B1366" s="1" t="s">
        <v>993</v>
      </c>
      <c r="C1366" s="1" t="s">
        <v>4636</v>
      </c>
      <c r="D1366" s="1" t="s">
        <v>28</v>
      </c>
      <c r="E1366" s="1" t="s">
        <v>29</v>
      </c>
      <c r="F1366" s="5">
        <v>750000.0</v>
      </c>
      <c r="G1366" s="1" t="s">
        <v>3964</v>
      </c>
      <c r="H1366" s="4">
        <v>44451.0</v>
      </c>
      <c r="I1366" s="1" t="s">
        <v>406</v>
      </c>
      <c r="K1366" s="1">
        <v>0.0</v>
      </c>
      <c r="L1366" s="1" t="s">
        <v>759</v>
      </c>
      <c r="M1366" s="1" t="str">
        <f>VLOOKUP(L1366,'Copy of PMD Workday Constants -'!B1335:Y2021,22,false)</f>
        <v>#N/A</v>
      </c>
      <c r="N1366" s="1" t="s">
        <v>32</v>
      </c>
      <c r="O1366" s="1" t="s">
        <v>33</v>
      </c>
      <c r="P1366" s="1" t="s">
        <v>64</v>
      </c>
      <c r="Q1366" s="1" t="s">
        <v>64</v>
      </c>
      <c r="R1366" s="1" t="s">
        <v>65</v>
      </c>
      <c r="S1366" s="1" t="s">
        <v>185</v>
      </c>
      <c r="T1366" s="1">
        <v>1.00610205E8</v>
      </c>
      <c r="W1366" s="1" t="s">
        <v>74</v>
      </c>
      <c r="X1366" s="1" t="s">
        <v>3642</v>
      </c>
    </row>
    <row r="1367">
      <c r="A1367" s="1" t="s">
        <v>4637</v>
      </c>
      <c r="B1367" s="1" t="s">
        <v>833</v>
      </c>
      <c r="C1367" s="1" t="s">
        <v>4638</v>
      </c>
      <c r="D1367" s="1" t="s">
        <v>28</v>
      </c>
      <c r="E1367" s="1" t="s">
        <v>29</v>
      </c>
      <c r="F1367" s="5">
        <v>750000.0</v>
      </c>
      <c r="G1367" s="1" t="s">
        <v>3964</v>
      </c>
      <c r="H1367" s="4">
        <v>44713.0</v>
      </c>
      <c r="I1367" s="1" t="s">
        <v>80</v>
      </c>
      <c r="K1367" s="1">
        <v>0.0</v>
      </c>
      <c r="L1367" s="1" t="s">
        <v>491</v>
      </c>
      <c r="M1367" s="1" t="str">
        <f>VLOOKUP(L1367,'Copy of PMD Workday Constants -'!B1336:Y2022,22,false)</f>
        <v>#N/A</v>
      </c>
      <c r="N1367" s="1" t="s">
        <v>32</v>
      </c>
      <c r="O1367" s="1" t="s">
        <v>33</v>
      </c>
      <c r="P1367" s="1" t="s">
        <v>112</v>
      </c>
      <c r="Q1367" s="1" t="s">
        <v>112</v>
      </c>
      <c r="R1367" s="1" t="s">
        <v>113</v>
      </c>
      <c r="S1367" s="1" t="s">
        <v>114</v>
      </c>
      <c r="T1367" s="1">
        <v>1.00623914E8</v>
      </c>
      <c r="W1367" s="1" t="s">
        <v>140</v>
      </c>
      <c r="X1367" s="1" t="s">
        <v>491</v>
      </c>
    </row>
    <row r="1368">
      <c r="A1368" s="1" t="s">
        <v>4639</v>
      </c>
      <c r="B1368" s="1" t="s">
        <v>2280</v>
      </c>
      <c r="C1368" s="1" t="s">
        <v>4640</v>
      </c>
      <c r="D1368" s="1" t="s">
        <v>103</v>
      </c>
      <c r="E1368" s="1" t="s">
        <v>29</v>
      </c>
      <c r="F1368" s="5">
        <v>750000.0</v>
      </c>
      <c r="G1368" s="1" t="s">
        <v>3964</v>
      </c>
      <c r="H1368" s="1" t="s">
        <v>1672</v>
      </c>
      <c r="I1368" s="1" t="s">
        <v>80</v>
      </c>
      <c r="K1368" s="1">
        <v>0.0</v>
      </c>
      <c r="L1368" s="1" t="s">
        <v>1120</v>
      </c>
      <c r="M1368" s="1" t="str">
        <f>VLOOKUP(L1368,'Copy of PMD Workday Constants -'!B1337:Y2023,22,false)</f>
        <v>#N/A</v>
      </c>
      <c r="N1368" s="1" t="s">
        <v>32</v>
      </c>
      <c r="O1368" s="1" t="s">
        <v>33</v>
      </c>
      <c r="P1368" s="1" t="s">
        <v>82</v>
      </c>
      <c r="Q1368" s="1" t="s">
        <v>82</v>
      </c>
      <c r="R1368" s="1" t="s">
        <v>83</v>
      </c>
      <c r="S1368" s="1" t="s">
        <v>180</v>
      </c>
      <c r="T1368" s="1">
        <v>1.00603613E8</v>
      </c>
      <c r="W1368" s="1" t="s">
        <v>85</v>
      </c>
      <c r="X1368" s="1" t="s">
        <v>4549</v>
      </c>
    </row>
    <row r="1369">
      <c r="A1369" s="1" t="s">
        <v>4641</v>
      </c>
      <c r="B1369" s="1" t="s">
        <v>4642</v>
      </c>
      <c r="C1369" s="1" t="s">
        <v>4643</v>
      </c>
      <c r="D1369" s="1" t="s">
        <v>28</v>
      </c>
      <c r="E1369" s="1" t="s">
        <v>29</v>
      </c>
      <c r="F1369" s="5">
        <v>750000.0</v>
      </c>
      <c r="G1369" s="1" t="s">
        <v>3964</v>
      </c>
      <c r="H1369" s="4">
        <v>43839.0</v>
      </c>
      <c r="I1369" s="1" t="s">
        <v>732</v>
      </c>
      <c r="K1369" s="1">
        <v>0.0</v>
      </c>
      <c r="L1369" s="1" t="s">
        <v>4644</v>
      </c>
      <c r="M1369" s="1" t="str">
        <f>VLOOKUP(L1369,'Copy of PMD Workday Constants -'!B1338:Y2024,22,false)</f>
        <v>#N/A</v>
      </c>
      <c r="N1369" s="1" t="s">
        <v>32</v>
      </c>
      <c r="O1369" s="1" t="s">
        <v>33</v>
      </c>
      <c r="P1369" s="1" t="s">
        <v>210</v>
      </c>
      <c r="Q1369" s="1" t="s">
        <v>210</v>
      </c>
      <c r="R1369" s="1" t="s">
        <v>211</v>
      </c>
      <c r="S1369" s="1" t="s">
        <v>1313</v>
      </c>
      <c r="T1369" s="1">
        <v>1.00637587E8</v>
      </c>
      <c r="W1369" s="1" t="s">
        <v>436</v>
      </c>
      <c r="X1369" s="1" t="s">
        <v>4644</v>
      </c>
    </row>
    <row r="1370">
      <c r="A1370" s="1" t="s">
        <v>4645</v>
      </c>
      <c r="B1370" s="1" t="s">
        <v>40</v>
      </c>
      <c r="C1370" s="1" t="s">
        <v>4646</v>
      </c>
      <c r="D1370" s="1" t="s">
        <v>51</v>
      </c>
      <c r="E1370" s="1" t="s">
        <v>29</v>
      </c>
      <c r="F1370" s="5">
        <v>750000.0</v>
      </c>
      <c r="G1370" s="1" t="s">
        <v>3964</v>
      </c>
      <c r="H1370" s="1" t="s">
        <v>434</v>
      </c>
      <c r="I1370" s="1" t="s">
        <v>732</v>
      </c>
      <c r="K1370" s="1">
        <v>0.0</v>
      </c>
      <c r="L1370" s="1" t="s">
        <v>4438</v>
      </c>
      <c r="M1370" s="1" t="str">
        <f>VLOOKUP(L1370,'Copy of PMD Workday Constants -'!B1339:Y2025,22,false)</f>
        <v>#N/A</v>
      </c>
      <c r="N1370" s="1" t="s">
        <v>32</v>
      </c>
      <c r="O1370" s="1" t="s">
        <v>33</v>
      </c>
      <c r="P1370" s="1" t="s">
        <v>34</v>
      </c>
      <c r="Q1370" s="1" t="s">
        <v>34</v>
      </c>
      <c r="R1370" s="1" t="s">
        <v>35</v>
      </c>
      <c r="T1370" s="1">
        <v>1.01088701E8</v>
      </c>
      <c r="U1370" s="1" t="s">
        <v>528</v>
      </c>
      <c r="V1370" s="1" t="s">
        <v>46</v>
      </c>
      <c r="W1370" s="1" t="s">
        <v>47</v>
      </c>
      <c r="X1370" s="1" t="s">
        <v>4647</v>
      </c>
    </row>
    <row r="1371">
      <c r="A1371" s="1" t="s">
        <v>4648</v>
      </c>
      <c r="B1371" s="1" t="s">
        <v>324</v>
      </c>
      <c r="C1371" s="1" t="s">
        <v>4649</v>
      </c>
      <c r="D1371" s="1" t="s">
        <v>51</v>
      </c>
      <c r="E1371" s="1" t="s">
        <v>29</v>
      </c>
      <c r="F1371" s="5">
        <v>750000.0</v>
      </c>
      <c r="G1371" s="1" t="s">
        <v>3964</v>
      </c>
      <c r="H1371" s="1" t="s">
        <v>4650</v>
      </c>
      <c r="I1371" s="1" t="s">
        <v>3052</v>
      </c>
      <c r="K1371" s="1">
        <v>0.0</v>
      </c>
      <c r="L1371" s="1" t="s">
        <v>327</v>
      </c>
      <c r="M1371" s="1" t="str">
        <f>VLOOKUP(L1371,'Copy of PMD Workday Constants -'!B1340:Y2026,22,false)</f>
        <v>#N/A</v>
      </c>
      <c r="N1371" s="1" t="s">
        <v>32</v>
      </c>
      <c r="O1371" s="1" t="s">
        <v>33</v>
      </c>
      <c r="P1371" s="1" t="s">
        <v>112</v>
      </c>
      <c r="Q1371" s="1" t="s">
        <v>112</v>
      </c>
      <c r="R1371" s="1" t="s">
        <v>113</v>
      </c>
      <c r="S1371" s="1" t="s">
        <v>120</v>
      </c>
      <c r="T1371" s="1">
        <v>1.00646485E8</v>
      </c>
      <c r="W1371" s="1" t="s">
        <v>56</v>
      </c>
      <c r="X1371" s="1" t="s">
        <v>4651</v>
      </c>
    </row>
    <row r="1372">
      <c r="A1372" s="1" t="s">
        <v>4652</v>
      </c>
      <c r="B1372" s="1" t="s">
        <v>1609</v>
      </c>
      <c r="C1372" s="1" t="s">
        <v>4653</v>
      </c>
      <c r="D1372" s="1" t="s">
        <v>28</v>
      </c>
      <c r="E1372" s="1" t="s">
        <v>29</v>
      </c>
      <c r="F1372" s="5">
        <v>750000.0</v>
      </c>
      <c r="G1372" s="1" t="s">
        <v>3964</v>
      </c>
      <c r="H1372" s="4">
        <v>44866.0</v>
      </c>
      <c r="I1372" s="1" t="s">
        <v>302</v>
      </c>
      <c r="K1372" s="1">
        <v>0.0</v>
      </c>
      <c r="L1372" s="1" t="s">
        <v>2205</v>
      </c>
      <c r="M1372" s="1" t="str">
        <f>VLOOKUP(L1372,'Copy of PMD Workday Constants -'!B1341:Y2027,22,false)</f>
        <v>#N/A</v>
      </c>
      <c r="N1372" s="1" t="s">
        <v>32</v>
      </c>
      <c r="O1372" s="1" t="s">
        <v>33</v>
      </c>
      <c r="P1372" s="1" t="s">
        <v>112</v>
      </c>
      <c r="Q1372" s="1" t="s">
        <v>112</v>
      </c>
      <c r="R1372" s="1" t="s">
        <v>113</v>
      </c>
      <c r="S1372" s="1" t="s">
        <v>307</v>
      </c>
      <c r="T1372" s="1">
        <v>1.0059365E8</v>
      </c>
      <c r="W1372" s="1" t="s">
        <v>391</v>
      </c>
      <c r="X1372" s="1" t="s">
        <v>2205</v>
      </c>
    </row>
    <row r="1373">
      <c r="A1373" s="1" t="s">
        <v>4654</v>
      </c>
      <c r="B1373" s="1" t="s">
        <v>1596</v>
      </c>
      <c r="C1373" s="1" t="s">
        <v>4655</v>
      </c>
      <c r="D1373" s="1" t="s">
        <v>28</v>
      </c>
      <c r="E1373" s="1" t="s">
        <v>29</v>
      </c>
      <c r="F1373" s="5">
        <v>750000.0</v>
      </c>
      <c r="G1373" s="1" t="s">
        <v>3964</v>
      </c>
      <c r="H1373" s="1" t="s">
        <v>4656</v>
      </c>
      <c r="I1373" s="4">
        <v>44958.0</v>
      </c>
      <c r="K1373" s="1">
        <v>0.0</v>
      </c>
      <c r="L1373" s="1" t="s">
        <v>3480</v>
      </c>
      <c r="M1373" s="1" t="str">
        <f>VLOOKUP(L1373,'Copy of PMD Workday Constants -'!B1342:Y2028,22,false)</f>
        <v>#N/A</v>
      </c>
      <c r="N1373" s="1" t="s">
        <v>32</v>
      </c>
      <c r="O1373" s="1" t="s">
        <v>33</v>
      </c>
      <c r="P1373" s="1" t="s">
        <v>112</v>
      </c>
      <c r="Q1373" s="1" t="s">
        <v>112</v>
      </c>
      <c r="R1373" s="1" t="s">
        <v>113</v>
      </c>
      <c r="S1373" s="1" t="s">
        <v>4657</v>
      </c>
      <c r="T1373" s="1">
        <v>1.00628223E8</v>
      </c>
      <c r="W1373" s="1" t="s">
        <v>391</v>
      </c>
      <c r="X1373" s="1" t="s">
        <v>3480</v>
      </c>
    </row>
    <row r="1374">
      <c r="A1374" s="1" t="s">
        <v>4658</v>
      </c>
      <c r="B1374" s="1" t="s">
        <v>1415</v>
      </c>
      <c r="C1374" s="1" t="s">
        <v>4659</v>
      </c>
      <c r="D1374" s="1" t="s">
        <v>28</v>
      </c>
      <c r="E1374" s="1" t="s">
        <v>29</v>
      </c>
      <c r="F1374" s="5">
        <v>750000.0</v>
      </c>
      <c r="G1374" s="1" t="s">
        <v>3964</v>
      </c>
      <c r="H1374" s="1" t="s">
        <v>1005</v>
      </c>
      <c r="I1374" s="1" t="s">
        <v>104</v>
      </c>
      <c r="K1374" s="1">
        <v>0.0</v>
      </c>
      <c r="L1374" s="1" t="s">
        <v>836</v>
      </c>
      <c r="M1374" s="1" t="str">
        <f>VLOOKUP(L1374,'Copy of PMD Workday Constants -'!B1343:Y2029,22,false)</f>
        <v>#N/A</v>
      </c>
      <c r="N1374" s="1" t="s">
        <v>32</v>
      </c>
      <c r="O1374" s="1" t="s">
        <v>33</v>
      </c>
      <c r="P1374" s="1" t="s">
        <v>173</v>
      </c>
      <c r="Q1374" s="1" t="s">
        <v>173</v>
      </c>
      <c r="R1374" s="1" t="s">
        <v>174</v>
      </c>
      <c r="S1374" s="1" t="s">
        <v>612</v>
      </c>
      <c r="T1374" s="1">
        <v>1.00648457E8</v>
      </c>
      <c r="W1374" s="1" t="s">
        <v>1303</v>
      </c>
      <c r="X1374" s="1" t="s">
        <v>1418</v>
      </c>
    </row>
    <row r="1375">
      <c r="A1375" s="1" t="s">
        <v>4660</v>
      </c>
      <c r="B1375" s="1" t="s">
        <v>1586</v>
      </c>
      <c r="C1375" s="1" t="s">
        <v>4661</v>
      </c>
      <c r="D1375" s="1" t="s">
        <v>51</v>
      </c>
      <c r="E1375" s="1" t="s">
        <v>29</v>
      </c>
      <c r="F1375" s="5">
        <v>750000.0</v>
      </c>
      <c r="G1375" s="1" t="s">
        <v>3964</v>
      </c>
      <c r="H1375" s="1" t="s">
        <v>460</v>
      </c>
      <c r="I1375" s="1" t="s">
        <v>132</v>
      </c>
      <c r="K1375" s="1">
        <v>0.0</v>
      </c>
      <c r="L1375" s="1" t="s">
        <v>1587</v>
      </c>
      <c r="M1375" s="1" t="str">
        <f>VLOOKUP(L1375,'Copy of PMD Workday Constants -'!B1344:Y2030,22,false)</f>
        <v>#N/A</v>
      </c>
      <c r="N1375" s="1" t="s">
        <v>32</v>
      </c>
      <c r="O1375" s="1" t="s">
        <v>33</v>
      </c>
      <c r="P1375" s="1" t="s">
        <v>64</v>
      </c>
      <c r="Q1375" s="1" t="s">
        <v>64</v>
      </c>
      <c r="R1375" s="1" t="s">
        <v>65</v>
      </c>
      <c r="S1375" s="1" t="s">
        <v>1336</v>
      </c>
      <c r="T1375" s="1">
        <v>1.01141441E8</v>
      </c>
      <c r="W1375" s="1" t="s">
        <v>91</v>
      </c>
      <c r="X1375" s="1" t="s">
        <v>1587</v>
      </c>
    </row>
    <row r="1376">
      <c r="A1376" s="1" t="s">
        <v>4662</v>
      </c>
      <c r="B1376" s="1" t="s">
        <v>2835</v>
      </c>
      <c r="C1376" s="1" t="s">
        <v>4663</v>
      </c>
      <c r="D1376" s="1" t="s">
        <v>51</v>
      </c>
      <c r="E1376" s="1" t="s">
        <v>29</v>
      </c>
      <c r="F1376" s="5">
        <v>750000.0</v>
      </c>
      <c r="G1376" s="1" t="s">
        <v>3964</v>
      </c>
      <c r="H1376" s="1" t="s">
        <v>2837</v>
      </c>
      <c r="I1376" s="1" t="s">
        <v>217</v>
      </c>
      <c r="K1376" s="1">
        <v>0.0</v>
      </c>
      <c r="L1376" s="1" t="s">
        <v>2838</v>
      </c>
      <c r="M1376" s="1" t="str">
        <f>VLOOKUP(L1376,'Copy of PMD Workday Constants -'!B1345:Y2031,22,false)</f>
        <v>#N/A</v>
      </c>
      <c r="N1376" s="1" t="s">
        <v>32</v>
      </c>
      <c r="O1376" s="1" t="s">
        <v>33</v>
      </c>
      <c r="P1376" s="1" t="s">
        <v>112</v>
      </c>
      <c r="Q1376" s="1" t="s">
        <v>112</v>
      </c>
      <c r="R1376" s="1" t="s">
        <v>113</v>
      </c>
      <c r="S1376" s="1" t="s">
        <v>114</v>
      </c>
      <c r="T1376" s="1">
        <v>1.00654835E8</v>
      </c>
      <c r="W1376" s="1" t="s">
        <v>140</v>
      </c>
      <c r="X1376" s="1" t="s">
        <v>2838</v>
      </c>
    </row>
    <row r="1377">
      <c r="A1377" s="1" t="s">
        <v>4664</v>
      </c>
      <c r="B1377" s="1" t="s">
        <v>3355</v>
      </c>
      <c r="C1377" s="1" t="s">
        <v>4665</v>
      </c>
      <c r="D1377" s="1" t="s">
        <v>103</v>
      </c>
      <c r="E1377" s="1" t="s">
        <v>29</v>
      </c>
      <c r="F1377" s="5">
        <v>750000.0</v>
      </c>
      <c r="G1377" s="1" t="s">
        <v>3964</v>
      </c>
      <c r="H1377" s="1" t="s">
        <v>1078</v>
      </c>
      <c r="I1377" s="1" t="s">
        <v>302</v>
      </c>
      <c r="K1377" s="1">
        <v>0.0</v>
      </c>
      <c r="L1377" s="1" t="s">
        <v>72</v>
      </c>
      <c r="M1377" s="1" t="str">
        <f>VLOOKUP(L1377,'Copy of PMD Workday Constants -'!B1346:Y2032,22,false)</f>
        <v>#N/A</v>
      </c>
      <c r="N1377" s="1" t="s">
        <v>32</v>
      </c>
      <c r="O1377" s="1" t="s">
        <v>33</v>
      </c>
      <c r="P1377" s="1" t="s">
        <v>34</v>
      </c>
      <c r="Q1377" s="1" t="s">
        <v>34</v>
      </c>
      <c r="R1377" s="1" t="s">
        <v>35</v>
      </c>
      <c r="S1377" s="1" t="s">
        <v>126</v>
      </c>
      <c r="T1377" s="1">
        <v>1.0060843E8</v>
      </c>
      <c r="W1377" s="1" t="s">
        <v>74</v>
      </c>
      <c r="X1377" s="1" t="s">
        <v>72</v>
      </c>
    </row>
    <row r="1378">
      <c r="A1378" s="1" t="s">
        <v>4666</v>
      </c>
      <c r="B1378" s="1" t="s">
        <v>988</v>
      </c>
      <c r="C1378" s="1" t="s">
        <v>4667</v>
      </c>
      <c r="D1378" s="1" t="s">
        <v>28</v>
      </c>
      <c r="E1378" s="1" t="s">
        <v>29</v>
      </c>
      <c r="F1378" s="5">
        <v>750000.0</v>
      </c>
      <c r="G1378" s="1" t="s">
        <v>3964</v>
      </c>
      <c r="H1378" s="1" t="s">
        <v>2510</v>
      </c>
      <c r="I1378" s="1" t="s">
        <v>152</v>
      </c>
      <c r="K1378" s="1">
        <v>0.0</v>
      </c>
      <c r="L1378" s="1" t="s">
        <v>532</v>
      </c>
      <c r="M1378" s="1" t="str">
        <f>VLOOKUP(L1378,'Copy of PMD Workday Constants -'!B1347:Y2033,22,false)</f>
        <v>#N/A</v>
      </c>
      <c r="N1378" s="1" t="s">
        <v>32</v>
      </c>
      <c r="O1378" s="1" t="s">
        <v>33</v>
      </c>
      <c r="P1378" s="1" t="s">
        <v>112</v>
      </c>
      <c r="Q1378" s="1" t="s">
        <v>112</v>
      </c>
      <c r="R1378" s="1" t="s">
        <v>113</v>
      </c>
      <c r="S1378" s="1" t="s">
        <v>204</v>
      </c>
      <c r="T1378" s="1">
        <v>1.00646702E8</v>
      </c>
      <c r="W1378" s="1" t="s">
        <v>37</v>
      </c>
      <c r="X1378" s="1" t="s">
        <v>1147</v>
      </c>
    </row>
    <row r="1379">
      <c r="A1379" s="1" t="s">
        <v>4668</v>
      </c>
      <c r="B1379" s="1" t="s">
        <v>4669</v>
      </c>
      <c r="C1379" s="1" t="s">
        <v>4670</v>
      </c>
      <c r="D1379" s="1" t="s">
        <v>51</v>
      </c>
      <c r="E1379" s="1" t="s">
        <v>29</v>
      </c>
      <c r="F1379" s="5">
        <v>750000.0</v>
      </c>
      <c r="G1379" s="1" t="s">
        <v>3964</v>
      </c>
      <c r="H1379" s="1" t="s">
        <v>1254</v>
      </c>
      <c r="I1379" s="1" t="s">
        <v>810</v>
      </c>
      <c r="K1379" s="1">
        <v>0.0</v>
      </c>
      <c r="L1379" s="1" t="s">
        <v>2699</v>
      </c>
      <c r="M1379" s="1" t="str">
        <f>VLOOKUP(L1379,'Copy of PMD Workday Constants -'!B1348:Y2034,22,false)</f>
        <v>#N/A</v>
      </c>
      <c r="N1379" s="1" t="s">
        <v>32</v>
      </c>
      <c r="O1379" s="1" t="s">
        <v>33</v>
      </c>
      <c r="P1379" s="1" t="s">
        <v>34</v>
      </c>
      <c r="Q1379" s="1" t="s">
        <v>34</v>
      </c>
      <c r="R1379" s="1" t="s">
        <v>35</v>
      </c>
      <c r="S1379" s="1" t="s">
        <v>126</v>
      </c>
      <c r="T1379" s="1">
        <v>1.00610367E8</v>
      </c>
      <c r="W1379" s="1" t="s">
        <v>74</v>
      </c>
      <c r="X1379" s="1" t="s">
        <v>4671</v>
      </c>
    </row>
    <row r="1380">
      <c r="A1380" s="1" t="s">
        <v>4672</v>
      </c>
      <c r="B1380" s="1" t="s">
        <v>2633</v>
      </c>
      <c r="C1380" s="1" t="s">
        <v>4673</v>
      </c>
      <c r="D1380" s="1" t="s">
        <v>103</v>
      </c>
      <c r="E1380" s="1" t="s">
        <v>29</v>
      </c>
      <c r="F1380" s="5">
        <v>750000.0</v>
      </c>
      <c r="G1380" s="1" t="s">
        <v>3964</v>
      </c>
      <c r="H1380" s="4">
        <v>44656.0</v>
      </c>
      <c r="I1380" s="1" t="s">
        <v>96</v>
      </c>
      <c r="K1380" s="1">
        <v>0.0</v>
      </c>
      <c r="L1380" s="1" t="s">
        <v>428</v>
      </c>
      <c r="M1380" s="1" t="str">
        <f>VLOOKUP(L1380,'Copy of PMD Workday Constants -'!B1349:Y2035,22,false)</f>
        <v>#N/A</v>
      </c>
      <c r="N1380" s="1" t="s">
        <v>32</v>
      </c>
      <c r="O1380" s="1" t="s">
        <v>33</v>
      </c>
      <c r="P1380" s="1" t="s">
        <v>173</v>
      </c>
      <c r="Q1380" s="1" t="s">
        <v>173</v>
      </c>
      <c r="R1380" s="1" t="s">
        <v>174</v>
      </c>
      <c r="S1380" s="1" t="s">
        <v>153</v>
      </c>
      <c r="T1380" s="1">
        <v>1.00654085E8</v>
      </c>
      <c r="W1380" s="1" t="s">
        <v>85</v>
      </c>
      <c r="X1380" s="1" t="s">
        <v>428</v>
      </c>
    </row>
    <row r="1381">
      <c r="A1381" s="1" t="s">
        <v>4674</v>
      </c>
      <c r="B1381" s="1" t="s">
        <v>2641</v>
      </c>
      <c r="C1381" s="1" t="s">
        <v>4675</v>
      </c>
      <c r="D1381" s="1" t="s">
        <v>103</v>
      </c>
      <c r="E1381" s="1" t="s">
        <v>29</v>
      </c>
      <c r="F1381" s="5">
        <v>750000.0</v>
      </c>
      <c r="G1381" s="1" t="s">
        <v>3964</v>
      </c>
      <c r="H1381" s="4">
        <v>44206.0</v>
      </c>
      <c r="I1381" s="4">
        <v>44780.0</v>
      </c>
      <c r="K1381" s="1">
        <v>0.0</v>
      </c>
      <c r="L1381" s="1" t="s">
        <v>4534</v>
      </c>
      <c r="M1381" s="1" t="str">
        <f>VLOOKUP(L1381,'Copy of PMD Workday Constants -'!B1350:Y2036,22,false)</f>
        <v>#N/A</v>
      </c>
      <c r="N1381" s="1" t="s">
        <v>32</v>
      </c>
      <c r="O1381" s="1" t="s">
        <v>33</v>
      </c>
      <c r="P1381" s="1" t="s">
        <v>173</v>
      </c>
      <c r="Q1381" s="1" t="s">
        <v>173</v>
      </c>
      <c r="R1381" s="1" t="s">
        <v>174</v>
      </c>
      <c r="S1381" s="1" t="s">
        <v>612</v>
      </c>
      <c r="T1381" s="1">
        <v>1.00620934E8</v>
      </c>
      <c r="W1381" s="1" t="s">
        <v>456</v>
      </c>
      <c r="X1381" s="1" t="s">
        <v>4534</v>
      </c>
    </row>
    <row r="1382">
      <c r="A1382" s="1" t="s">
        <v>4676</v>
      </c>
      <c r="B1382" s="1" t="s">
        <v>4677</v>
      </c>
      <c r="C1382" s="1" t="s">
        <v>4678</v>
      </c>
      <c r="D1382" s="1" t="s">
        <v>51</v>
      </c>
      <c r="E1382" s="1" t="s">
        <v>29</v>
      </c>
      <c r="F1382" s="5">
        <v>750000.0</v>
      </c>
      <c r="G1382" s="1" t="s">
        <v>3964</v>
      </c>
      <c r="H1382" s="4">
        <v>44869.0</v>
      </c>
      <c r="I1382" s="1" t="s">
        <v>810</v>
      </c>
      <c r="K1382" s="1">
        <v>0.0</v>
      </c>
      <c r="L1382" s="1" t="s">
        <v>4679</v>
      </c>
      <c r="M1382" s="1" t="str">
        <f>VLOOKUP(L1382,'Copy of PMD Workday Constants -'!B1351:Y2037,22,false)</f>
        <v>#N/A</v>
      </c>
      <c r="N1382" s="1" t="s">
        <v>32</v>
      </c>
      <c r="O1382" s="1" t="s">
        <v>33</v>
      </c>
      <c r="P1382" s="1" t="s">
        <v>222</v>
      </c>
      <c r="Q1382" s="1" t="s">
        <v>222</v>
      </c>
      <c r="R1382" s="1" t="s">
        <v>223</v>
      </c>
      <c r="S1382" s="1" t="s">
        <v>482</v>
      </c>
      <c r="T1382" s="1">
        <v>1.00620023E8</v>
      </c>
      <c r="W1382" s="1" t="s">
        <v>258</v>
      </c>
      <c r="X1382" s="1" t="s">
        <v>4679</v>
      </c>
    </row>
    <row r="1383">
      <c r="A1383" s="1" t="s">
        <v>4680</v>
      </c>
      <c r="B1383" s="1" t="s">
        <v>863</v>
      </c>
      <c r="C1383" s="1" t="s">
        <v>4681</v>
      </c>
      <c r="D1383" s="1" t="s">
        <v>28</v>
      </c>
      <c r="E1383" s="1" t="s">
        <v>29</v>
      </c>
      <c r="F1383" s="5">
        <v>750000.0</v>
      </c>
      <c r="G1383" s="1" t="s">
        <v>3964</v>
      </c>
      <c r="H1383" s="4">
        <v>44147.0</v>
      </c>
      <c r="I1383" s="1" t="s">
        <v>406</v>
      </c>
      <c r="K1383" s="1">
        <v>0.0</v>
      </c>
      <c r="L1383" s="1" t="s">
        <v>4682</v>
      </c>
      <c r="M1383" s="1" t="str">
        <f>VLOOKUP(L1383,'Copy of PMD Workday Constants -'!B1352:Y2038,22,false)</f>
        <v>#N/A</v>
      </c>
      <c r="N1383" s="1" t="s">
        <v>32</v>
      </c>
      <c r="O1383" s="1" t="s">
        <v>33</v>
      </c>
      <c r="P1383" s="1" t="s">
        <v>173</v>
      </c>
      <c r="Q1383" s="1" t="s">
        <v>173</v>
      </c>
      <c r="R1383" s="1" t="s">
        <v>174</v>
      </c>
      <c r="S1383" s="1" t="s">
        <v>153</v>
      </c>
      <c r="T1383" s="1">
        <v>1.0064746E8</v>
      </c>
      <c r="W1383" s="1" t="s">
        <v>85</v>
      </c>
      <c r="X1383" s="1" t="s">
        <v>1534</v>
      </c>
    </row>
    <row r="1384">
      <c r="A1384" s="1" t="s">
        <v>4683</v>
      </c>
      <c r="B1384" s="1" t="s">
        <v>623</v>
      </c>
      <c r="C1384" s="1" t="s">
        <v>4684</v>
      </c>
      <c r="D1384" s="1" t="s">
        <v>51</v>
      </c>
      <c r="E1384" s="1" t="s">
        <v>29</v>
      </c>
      <c r="F1384" s="5">
        <v>750000.0</v>
      </c>
      <c r="G1384" s="1" t="s">
        <v>3964</v>
      </c>
      <c r="H1384" s="4">
        <v>44208.0</v>
      </c>
      <c r="I1384" s="1" t="s">
        <v>152</v>
      </c>
      <c r="K1384" s="1">
        <v>0.0</v>
      </c>
      <c r="L1384" s="1" t="s">
        <v>198</v>
      </c>
      <c r="M1384" s="1" t="str">
        <f>VLOOKUP(L1384,'Copy of PMD Workday Constants -'!B1353:Y2039,22,false)</f>
        <v>#N/A</v>
      </c>
      <c r="N1384" s="1" t="s">
        <v>32</v>
      </c>
      <c r="O1384" s="1" t="s">
        <v>33</v>
      </c>
      <c r="P1384" s="1" t="s">
        <v>82</v>
      </c>
      <c r="Q1384" s="1" t="s">
        <v>82</v>
      </c>
      <c r="R1384" s="1" t="s">
        <v>83</v>
      </c>
      <c r="S1384" s="1" t="s">
        <v>180</v>
      </c>
      <c r="T1384" s="1">
        <v>1.00590896E8</v>
      </c>
      <c r="W1384" s="1" t="s">
        <v>85</v>
      </c>
      <c r="X1384" s="1" t="s">
        <v>4685</v>
      </c>
    </row>
    <row r="1385">
      <c r="A1385" s="1" t="s">
        <v>4686</v>
      </c>
      <c r="B1385" s="1" t="s">
        <v>4687</v>
      </c>
      <c r="C1385" s="1" t="s">
        <v>4688</v>
      </c>
      <c r="D1385" s="1" t="s">
        <v>79</v>
      </c>
      <c r="E1385" s="1" t="s">
        <v>29</v>
      </c>
      <c r="F1385" s="5">
        <v>750000.0</v>
      </c>
      <c r="G1385" s="1" t="s">
        <v>3964</v>
      </c>
      <c r="H1385" s="4">
        <v>44625.0</v>
      </c>
      <c r="I1385" s="4">
        <v>44780.0</v>
      </c>
      <c r="K1385" s="1">
        <v>0.0</v>
      </c>
      <c r="L1385" s="1" t="s">
        <v>1677</v>
      </c>
      <c r="M1385" s="1" t="str">
        <f>VLOOKUP(L1385,'Copy of PMD Workday Constants -'!B1354:Y2040,22,false)</f>
        <v>#N/A</v>
      </c>
      <c r="N1385" s="1" t="s">
        <v>32</v>
      </c>
      <c r="O1385" s="1" t="s">
        <v>33</v>
      </c>
      <c r="P1385" s="1" t="s">
        <v>54</v>
      </c>
      <c r="Q1385" s="1" t="s">
        <v>54</v>
      </c>
      <c r="R1385" s="1" t="s">
        <v>55</v>
      </c>
      <c r="S1385" s="1" t="s">
        <v>701</v>
      </c>
      <c r="T1385" s="1">
        <v>1.00623248E8</v>
      </c>
      <c r="W1385" s="1" t="s">
        <v>74</v>
      </c>
      <c r="X1385" s="1" t="s">
        <v>4689</v>
      </c>
    </row>
    <row r="1386">
      <c r="A1386" s="1" t="s">
        <v>4690</v>
      </c>
      <c r="B1386" s="1" t="s">
        <v>4691</v>
      </c>
      <c r="C1386" s="1" t="s">
        <v>4692</v>
      </c>
      <c r="D1386" s="1" t="s">
        <v>51</v>
      </c>
      <c r="E1386" s="1" t="s">
        <v>29</v>
      </c>
      <c r="F1386" s="5">
        <v>750000.0</v>
      </c>
      <c r="G1386" s="1" t="s">
        <v>3964</v>
      </c>
      <c r="H1386" s="1" t="s">
        <v>1245</v>
      </c>
      <c r="I1386" s="4">
        <v>44780.0</v>
      </c>
      <c r="K1386" s="1">
        <v>0.0</v>
      </c>
      <c r="L1386" s="1" t="s">
        <v>428</v>
      </c>
      <c r="M1386" s="1" t="str">
        <f>VLOOKUP(L1386,'Copy of PMD Workday Constants -'!B1355:Y2041,22,false)</f>
        <v>#N/A</v>
      </c>
      <c r="N1386" s="1" t="s">
        <v>32</v>
      </c>
      <c r="O1386" s="1" t="s">
        <v>33</v>
      </c>
      <c r="P1386" s="1" t="s">
        <v>173</v>
      </c>
      <c r="Q1386" s="1" t="s">
        <v>173</v>
      </c>
      <c r="R1386" s="1" t="s">
        <v>174</v>
      </c>
      <c r="S1386" s="1" t="s">
        <v>153</v>
      </c>
      <c r="T1386" s="1">
        <v>1.00654085E8</v>
      </c>
      <c r="W1386" s="1" t="s">
        <v>85</v>
      </c>
      <c r="X1386" s="1" t="s">
        <v>428</v>
      </c>
    </row>
    <row r="1387">
      <c r="A1387" s="1" t="s">
        <v>4693</v>
      </c>
      <c r="B1387" s="1" t="s">
        <v>4694</v>
      </c>
      <c r="C1387" s="1" t="s">
        <v>4695</v>
      </c>
      <c r="D1387" s="1" t="s">
        <v>51</v>
      </c>
      <c r="E1387" s="1" t="s">
        <v>29</v>
      </c>
      <c r="F1387" s="5">
        <v>750000.0</v>
      </c>
      <c r="G1387" s="1" t="s">
        <v>3964</v>
      </c>
      <c r="H1387" s="1" t="s">
        <v>460</v>
      </c>
      <c r="I1387" s="4">
        <v>44569.0</v>
      </c>
      <c r="K1387" s="1">
        <v>0.0</v>
      </c>
      <c r="L1387" s="1" t="s">
        <v>956</v>
      </c>
      <c r="M1387" s="1" t="str">
        <f>VLOOKUP(L1387,'Copy of PMD Workday Constants -'!B1356:Y2042,22,false)</f>
        <v>#N/A</v>
      </c>
      <c r="N1387" s="1" t="s">
        <v>32</v>
      </c>
      <c r="O1387" s="1" t="s">
        <v>33</v>
      </c>
      <c r="P1387" s="1" t="s">
        <v>173</v>
      </c>
      <c r="Q1387" s="1" t="s">
        <v>173</v>
      </c>
      <c r="R1387" s="1" t="s">
        <v>174</v>
      </c>
      <c r="T1387" s="1">
        <v>1.00623421E8</v>
      </c>
      <c r="W1387" s="1" t="s">
        <v>1181</v>
      </c>
      <c r="X1387" s="1" t="s">
        <v>4696</v>
      </c>
    </row>
    <row r="1388">
      <c r="A1388" s="1" t="s">
        <v>4697</v>
      </c>
      <c r="B1388" s="1" t="s">
        <v>489</v>
      </c>
      <c r="C1388" s="1" t="s">
        <v>4698</v>
      </c>
      <c r="D1388" s="1" t="s">
        <v>28</v>
      </c>
      <c r="E1388" s="1" t="s">
        <v>29</v>
      </c>
      <c r="F1388" s="5">
        <v>750000.0</v>
      </c>
      <c r="G1388" s="1" t="s">
        <v>3964</v>
      </c>
      <c r="H1388" s="4">
        <v>44717.0</v>
      </c>
      <c r="I1388" s="1" t="s">
        <v>152</v>
      </c>
      <c r="K1388" s="1">
        <v>0.0</v>
      </c>
      <c r="L1388" s="1" t="s">
        <v>4699</v>
      </c>
      <c r="M1388" s="1" t="str">
        <f>VLOOKUP(L1388,'Copy of PMD Workday Constants -'!B1357:Y2043,22,false)</f>
        <v>#N/A</v>
      </c>
      <c r="N1388" s="1" t="s">
        <v>32</v>
      </c>
      <c r="O1388" s="1" t="s">
        <v>33</v>
      </c>
      <c r="P1388" s="1" t="s">
        <v>222</v>
      </c>
      <c r="Q1388" s="1" t="s">
        <v>222</v>
      </c>
      <c r="R1388" s="1" t="s">
        <v>223</v>
      </c>
      <c r="T1388" s="1">
        <v>1.00986592E8</v>
      </c>
      <c r="W1388" s="1" t="s">
        <v>493</v>
      </c>
      <c r="X1388" s="1" t="s">
        <v>4700</v>
      </c>
    </row>
    <row r="1389">
      <c r="A1389" s="1" t="s">
        <v>4701</v>
      </c>
      <c r="B1389" s="1" t="s">
        <v>4702</v>
      </c>
      <c r="C1389" s="1" t="s">
        <v>4703</v>
      </c>
      <c r="D1389" s="1" t="s">
        <v>28</v>
      </c>
      <c r="E1389" s="1" t="s">
        <v>29</v>
      </c>
      <c r="F1389" s="5">
        <v>750000.0</v>
      </c>
      <c r="G1389" s="1" t="s">
        <v>3964</v>
      </c>
      <c r="H1389" s="1" t="s">
        <v>556</v>
      </c>
      <c r="I1389" s="1" t="s">
        <v>152</v>
      </c>
      <c r="K1389" s="1">
        <v>0.0</v>
      </c>
      <c r="L1389" s="1" t="s">
        <v>2630</v>
      </c>
      <c r="M1389" s="1" t="str">
        <f>VLOOKUP(L1389,'Copy of PMD Workday Constants -'!B1358:Y2044,22,false)</f>
        <v>#N/A</v>
      </c>
      <c r="N1389" s="1" t="s">
        <v>32</v>
      </c>
      <c r="O1389" s="1" t="s">
        <v>33</v>
      </c>
      <c r="P1389" s="1" t="s">
        <v>34</v>
      </c>
      <c r="Q1389" s="1" t="s">
        <v>34</v>
      </c>
      <c r="R1389" s="1" t="s">
        <v>35</v>
      </c>
      <c r="T1389" s="1">
        <v>1.00606975E8</v>
      </c>
      <c r="W1389" s="1" t="s">
        <v>258</v>
      </c>
      <c r="X1389" s="1" t="s">
        <v>4704</v>
      </c>
    </row>
    <row r="1390">
      <c r="A1390" s="1" t="s">
        <v>4705</v>
      </c>
      <c r="B1390" s="1" t="s">
        <v>4706</v>
      </c>
      <c r="C1390" s="1" t="s">
        <v>4707</v>
      </c>
      <c r="D1390" s="1" t="s">
        <v>103</v>
      </c>
      <c r="E1390" s="1" t="s">
        <v>29</v>
      </c>
      <c r="F1390" s="5">
        <v>750000.0</v>
      </c>
      <c r="G1390" s="1" t="s">
        <v>3964</v>
      </c>
      <c r="H1390" s="1" t="s">
        <v>4413</v>
      </c>
      <c r="I1390" s="4">
        <v>44780.0</v>
      </c>
      <c r="K1390" s="1">
        <v>0.0</v>
      </c>
      <c r="L1390" s="1" t="s">
        <v>1549</v>
      </c>
      <c r="M1390" s="1" t="str">
        <f>VLOOKUP(L1390,'Copy of PMD Workday Constants -'!B1359:Y2045,22,false)</f>
        <v>#N/A</v>
      </c>
      <c r="N1390" s="1" t="s">
        <v>32</v>
      </c>
      <c r="O1390" s="1" t="s">
        <v>33</v>
      </c>
      <c r="P1390" s="1" t="s">
        <v>173</v>
      </c>
      <c r="Q1390" s="1" t="s">
        <v>173</v>
      </c>
      <c r="R1390" s="1" t="s">
        <v>174</v>
      </c>
      <c r="S1390" s="1" t="s">
        <v>612</v>
      </c>
      <c r="T1390" s="1">
        <v>1.00646908E8</v>
      </c>
      <c r="W1390" s="1" t="s">
        <v>947</v>
      </c>
      <c r="X1390" s="1" t="s">
        <v>4708</v>
      </c>
    </row>
    <row r="1391">
      <c r="A1391" s="1" t="s">
        <v>4709</v>
      </c>
      <c r="B1391" s="1" t="s">
        <v>155</v>
      </c>
      <c r="C1391" s="1" t="s">
        <v>4710</v>
      </c>
      <c r="D1391" s="1" t="s">
        <v>103</v>
      </c>
      <c r="E1391" s="1" t="s">
        <v>29</v>
      </c>
      <c r="F1391" s="5">
        <v>750000.0</v>
      </c>
      <c r="G1391" s="1" t="s">
        <v>3964</v>
      </c>
      <c r="H1391" s="1" t="s">
        <v>466</v>
      </c>
      <c r="I1391" s="1" t="s">
        <v>104</v>
      </c>
      <c r="K1391" s="1">
        <v>0.0</v>
      </c>
      <c r="L1391" s="1" t="s">
        <v>338</v>
      </c>
      <c r="M1391" s="1" t="str">
        <f>VLOOKUP(L1391,'Copy of PMD Workday Constants -'!B1360:Y2046,22,false)</f>
        <v>#N/A</v>
      </c>
      <c r="N1391" s="1" t="s">
        <v>32</v>
      </c>
      <c r="O1391" s="1" t="s">
        <v>33</v>
      </c>
      <c r="P1391" s="1" t="s">
        <v>34</v>
      </c>
      <c r="Q1391" s="1" t="s">
        <v>34</v>
      </c>
      <c r="R1391" s="1" t="s">
        <v>35</v>
      </c>
      <c r="S1391" s="1" t="s">
        <v>36</v>
      </c>
      <c r="T1391" s="1">
        <v>1.00619817E8</v>
      </c>
      <c r="W1391" s="1" t="s">
        <v>91</v>
      </c>
      <c r="X1391" s="1" t="s">
        <v>338</v>
      </c>
    </row>
    <row r="1392">
      <c r="A1392" s="1" t="s">
        <v>4711</v>
      </c>
      <c r="B1392" s="1" t="s">
        <v>160</v>
      </c>
      <c r="C1392" s="1" t="s">
        <v>4712</v>
      </c>
      <c r="D1392" s="1" t="s">
        <v>51</v>
      </c>
      <c r="E1392" s="1" t="s">
        <v>29</v>
      </c>
      <c r="F1392" s="5">
        <v>750000.0</v>
      </c>
      <c r="G1392" s="1" t="s">
        <v>3964</v>
      </c>
      <c r="H1392" s="1" t="s">
        <v>4413</v>
      </c>
      <c r="I1392" s="1" t="s">
        <v>104</v>
      </c>
      <c r="K1392" s="1">
        <v>0.0</v>
      </c>
      <c r="L1392" s="1" t="s">
        <v>1790</v>
      </c>
      <c r="M1392" s="1" t="str">
        <f>VLOOKUP(L1392,'Copy of PMD Workday Constants -'!B1361:Y2047,22,false)</f>
        <v>#N/A</v>
      </c>
      <c r="N1392" s="1" t="s">
        <v>32</v>
      </c>
      <c r="O1392" s="1" t="s">
        <v>33</v>
      </c>
      <c r="P1392" s="1" t="s">
        <v>222</v>
      </c>
      <c r="Q1392" s="1" t="s">
        <v>222</v>
      </c>
      <c r="R1392" s="1" t="s">
        <v>223</v>
      </c>
      <c r="S1392" s="1" t="s">
        <v>601</v>
      </c>
      <c r="T1392" s="1">
        <v>1.00645232E8</v>
      </c>
      <c r="W1392" s="1" t="s">
        <v>56</v>
      </c>
      <c r="X1392" s="1" t="s">
        <v>4713</v>
      </c>
    </row>
    <row r="1393">
      <c r="A1393" s="1" t="s">
        <v>4714</v>
      </c>
      <c r="B1393" s="1" t="s">
        <v>108</v>
      </c>
      <c r="C1393" s="1" t="s">
        <v>4715</v>
      </c>
      <c r="D1393" s="1" t="s">
        <v>28</v>
      </c>
      <c r="E1393" s="1" t="s">
        <v>29</v>
      </c>
      <c r="F1393" s="5">
        <v>750000.0</v>
      </c>
      <c r="G1393" s="1" t="s">
        <v>3964</v>
      </c>
      <c r="H1393" s="4">
        <v>44655.0</v>
      </c>
      <c r="I1393" s="4">
        <v>44813.0</v>
      </c>
      <c r="K1393" s="1">
        <v>0.0</v>
      </c>
      <c r="L1393" s="1" t="s">
        <v>717</v>
      </c>
      <c r="M1393" s="1" t="str">
        <f>VLOOKUP(L1393,'Copy of PMD Workday Constants -'!B1362:Y2048,22,false)</f>
        <v>#N/A</v>
      </c>
      <c r="N1393" s="1" t="s">
        <v>32</v>
      </c>
      <c r="O1393" s="1" t="s">
        <v>33</v>
      </c>
      <c r="P1393" s="1" t="s">
        <v>34</v>
      </c>
      <c r="Q1393" s="1" t="s">
        <v>34</v>
      </c>
      <c r="R1393" s="1" t="s">
        <v>35</v>
      </c>
      <c r="T1393" s="1">
        <v>1.00642379E8</v>
      </c>
      <c r="W1393" s="1" t="s">
        <v>115</v>
      </c>
      <c r="X1393" s="1" t="s">
        <v>717</v>
      </c>
    </row>
    <row r="1394">
      <c r="A1394" s="1" t="s">
        <v>4716</v>
      </c>
      <c r="B1394" s="1" t="s">
        <v>4717</v>
      </c>
      <c r="C1394" s="1" t="s">
        <v>4718</v>
      </c>
      <c r="D1394" s="1" t="s">
        <v>28</v>
      </c>
      <c r="E1394" s="1" t="s">
        <v>29</v>
      </c>
      <c r="F1394" s="5">
        <v>750000.0</v>
      </c>
      <c r="G1394" s="1" t="s">
        <v>3964</v>
      </c>
      <c r="H1394" s="1" t="s">
        <v>399</v>
      </c>
      <c r="I1394" s="1" t="s">
        <v>538</v>
      </c>
      <c r="K1394" s="1">
        <v>0.0</v>
      </c>
      <c r="L1394" s="1" t="s">
        <v>2771</v>
      </c>
      <c r="M1394" s="1" t="str">
        <f>VLOOKUP(L1394,'Copy of PMD Workday Constants -'!B1363:Y2049,22,false)</f>
        <v>#N/A</v>
      </c>
      <c r="N1394" s="1" t="s">
        <v>32</v>
      </c>
      <c r="O1394" s="1" t="s">
        <v>33</v>
      </c>
      <c r="P1394" s="1" t="s">
        <v>222</v>
      </c>
      <c r="Q1394" s="1" t="s">
        <v>222</v>
      </c>
      <c r="R1394" s="1" t="s">
        <v>223</v>
      </c>
      <c r="S1394" s="1" t="s">
        <v>601</v>
      </c>
      <c r="T1394" s="1">
        <v>1.00641939E8</v>
      </c>
      <c r="W1394" s="1" t="s">
        <v>4719</v>
      </c>
      <c r="X1394" s="1" t="s">
        <v>2771</v>
      </c>
    </row>
    <row r="1395">
      <c r="A1395" s="1" t="s">
        <v>4720</v>
      </c>
      <c r="B1395" s="1" t="s">
        <v>4721</v>
      </c>
      <c r="C1395" s="1" t="s">
        <v>4722</v>
      </c>
      <c r="D1395" s="1" t="s">
        <v>28</v>
      </c>
      <c r="E1395" s="1" t="s">
        <v>29</v>
      </c>
      <c r="F1395" s="5">
        <v>750000.0</v>
      </c>
      <c r="G1395" s="1" t="s">
        <v>3964</v>
      </c>
      <c r="H1395" s="1" t="s">
        <v>778</v>
      </c>
      <c r="I1395" s="1" t="s">
        <v>132</v>
      </c>
      <c r="K1395" s="1">
        <v>0.0</v>
      </c>
      <c r="L1395" s="1" t="s">
        <v>4723</v>
      </c>
      <c r="M1395" s="1" t="str">
        <f>VLOOKUP(L1395,'Copy of PMD Workday Constants -'!B1364:Y2050,22,false)</f>
        <v>#N/A</v>
      </c>
      <c r="N1395" s="1" t="s">
        <v>32</v>
      </c>
      <c r="O1395" s="1" t="s">
        <v>33</v>
      </c>
      <c r="P1395" s="1" t="s">
        <v>210</v>
      </c>
      <c r="Q1395" s="1" t="s">
        <v>210</v>
      </c>
      <c r="R1395" s="1" t="s">
        <v>211</v>
      </c>
      <c r="S1395" s="1" t="s">
        <v>1313</v>
      </c>
      <c r="T1395" s="1">
        <v>1.00585834E8</v>
      </c>
      <c r="W1395" s="1" t="s">
        <v>436</v>
      </c>
      <c r="X1395" s="1" t="s">
        <v>4723</v>
      </c>
    </row>
    <row r="1396">
      <c r="A1396" s="1" t="s">
        <v>4724</v>
      </c>
      <c r="B1396" s="1" t="s">
        <v>3146</v>
      </c>
      <c r="C1396" s="1" t="s">
        <v>4725</v>
      </c>
      <c r="D1396" s="1" t="s">
        <v>103</v>
      </c>
      <c r="E1396" s="1" t="s">
        <v>29</v>
      </c>
      <c r="F1396" s="5">
        <v>750000.0</v>
      </c>
      <c r="G1396" s="1" t="s">
        <v>3964</v>
      </c>
      <c r="H1396" s="4">
        <v>44748.0</v>
      </c>
      <c r="I1396" s="1" t="s">
        <v>80</v>
      </c>
      <c r="K1396" s="1">
        <v>0.0</v>
      </c>
      <c r="L1396" s="1" t="s">
        <v>3148</v>
      </c>
      <c r="M1396" s="1" t="str">
        <f>VLOOKUP(L1396,'Copy of PMD Workday Constants -'!B1365:Y2051,22,false)</f>
        <v>#N/A</v>
      </c>
      <c r="N1396" s="1" t="s">
        <v>32</v>
      </c>
      <c r="O1396" s="1" t="s">
        <v>33</v>
      </c>
      <c r="P1396" s="1" t="s">
        <v>112</v>
      </c>
      <c r="Q1396" s="1" t="s">
        <v>112</v>
      </c>
      <c r="R1396" s="1" t="s">
        <v>113</v>
      </c>
      <c r="S1396" s="1" t="s">
        <v>455</v>
      </c>
      <c r="T1396" s="1">
        <v>1.00620159E8</v>
      </c>
      <c r="W1396" s="1" t="s">
        <v>85</v>
      </c>
      <c r="X1396" s="1" t="s">
        <v>3149</v>
      </c>
    </row>
    <row r="1397">
      <c r="A1397" s="1" t="s">
        <v>4726</v>
      </c>
      <c r="B1397" s="1" t="s">
        <v>4727</v>
      </c>
      <c r="C1397" s="1" t="s">
        <v>4728</v>
      </c>
      <c r="D1397" s="1" t="s">
        <v>51</v>
      </c>
      <c r="E1397" s="1" t="s">
        <v>29</v>
      </c>
      <c r="F1397" s="5">
        <v>750000.0</v>
      </c>
      <c r="G1397" s="1" t="s">
        <v>3964</v>
      </c>
      <c r="H1397" s="4">
        <v>44836.0</v>
      </c>
      <c r="I1397" s="4">
        <v>44572.0</v>
      </c>
      <c r="K1397" s="1">
        <v>0.0</v>
      </c>
      <c r="L1397" s="1" t="s">
        <v>678</v>
      </c>
      <c r="M1397" s="1" t="str">
        <f>VLOOKUP(L1397,'Copy of PMD Workday Constants -'!B1366:Y2052,22,false)</f>
        <v>#N/A</v>
      </c>
      <c r="N1397" s="1" t="s">
        <v>32</v>
      </c>
      <c r="O1397" s="1" t="s">
        <v>33</v>
      </c>
      <c r="P1397" s="1" t="s">
        <v>210</v>
      </c>
      <c r="Q1397" s="1" t="s">
        <v>210</v>
      </c>
      <c r="R1397" s="1" t="s">
        <v>211</v>
      </c>
      <c r="S1397" s="1" t="s">
        <v>416</v>
      </c>
      <c r="T1397" s="1">
        <v>1.00609073E8</v>
      </c>
      <c r="W1397" s="1" t="s">
        <v>56</v>
      </c>
      <c r="X1397" s="1" t="s">
        <v>1255</v>
      </c>
    </row>
    <row r="1398">
      <c r="A1398" s="1" t="s">
        <v>4729</v>
      </c>
      <c r="B1398" s="1" t="s">
        <v>458</v>
      </c>
      <c r="C1398" s="1" t="s">
        <v>4730</v>
      </c>
      <c r="D1398" s="1" t="s">
        <v>51</v>
      </c>
      <c r="E1398" s="1" t="s">
        <v>29</v>
      </c>
      <c r="F1398" s="5">
        <v>750000.0</v>
      </c>
      <c r="G1398" s="1" t="s">
        <v>3964</v>
      </c>
      <c r="H1398" s="4">
        <v>44625.0</v>
      </c>
      <c r="I1398" s="1" t="s">
        <v>132</v>
      </c>
      <c r="K1398" s="1">
        <v>0.0</v>
      </c>
      <c r="L1398" s="1" t="s">
        <v>678</v>
      </c>
      <c r="M1398" s="1" t="str">
        <f>VLOOKUP(L1398,'Copy of PMD Workday Constants -'!B1367:Y2053,22,false)</f>
        <v>#N/A</v>
      </c>
      <c r="N1398" s="1" t="s">
        <v>32</v>
      </c>
      <c r="O1398" s="1" t="s">
        <v>33</v>
      </c>
      <c r="P1398" s="1" t="s">
        <v>210</v>
      </c>
      <c r="Q1398" s="1" t="s">
        <v>210</v>
      </c>
      <c r="R1398" s="1" t="s">
        <v>211</v>
      </c>
      <c r="S1398" s="1" t="s">
        <v>416</v>
      </c>
      <c r="T1398" s="1">
        <v>1.00609073E8</v>
      </c>
      <c r="W1398" s="1" t="s">
        <v>56</v>
      </c>
      <c r="X1398" s="1" t="s">
        <v>678</v>
      </c>
    </row>
    <row r="1399">
      <c r="A1399" s="1" t="s">
        <v>4731</v>
      </c>
      <c r="B1399" s="1" t="s">
        <v>610</v>
      </c>
      <c r="C1399" s="1" t="s">
        <v>4732</v>
      </c>
      <c r="D1399" s="1" t="s">
        <v>103</v>
      </c>
      <c r="E1399" s="1" t="s">
        <v>29</v>
      </c>
      <c r="F1399" s="5">
        <v>750000.0</v>
      </c>
      <c r="G1399" s="1" t="s">
        <v>3964</v>
      </c>
      <c r="H1399" s="4">
        <v>44743.0</v>
      </c>
      <c r="I1399" s="4">
        <v>44571.0</v>
      </c>
      <c r="K1399" s="1">
        <v>0.0</v>
      </c>
      <c r="L1399" s="1" t="s">
        <v>338</v>
      </c>
      <c r="M1399" s="1" t="str">
        <f>VLOOKUP(L1399,'Copy of PMD Workday Constants -'!B1368:Y2054,22,false)</f>
        <v>#N/A</v>
      </c>
      <c r="N1399" s="1" t="s">
        <v>32</v>
      </c>
      <c r="O1399" s="1" t="s">
        <v>33</v>
      </c>
      <c r="P1399" s="1" t="s">
        <v>34</v>
      </c>
      <c r="Q1399" s="1" t="s">
        <v>34</v>
      </c>
      <c r="R1399" s="1" t="s">
        <v>35</v>
      </c>
      <c r="S1399" s="1" t="s">
        <v>126</v>
      </c>
      <c r="T1399" s="1">
        <v>1.00619817E8</v>
      </c>
      <c r="W1399" s="1" t="s">
        <v>533</v>
      </c>
      <c r="X1399" s="1" t="s">
        <v>675</v>
      </c>
    </row>
    <row r="1400">
      <c r="A1400" s="1" t="s">
        <v>4733</v>
      </c>
      <c r="B1400" s="1" t="s">
        <v>4734</v>
      </c>
      <c r="C1400" s="1" t="s">
        <v>4735</v>
      </c>
      <c r="D1400" s="1" t="s">
        <v>28</v>
      </c>
      <c r="E1400" s="1" t="s">
        <v>29</v>
      </c>
      <c r="F1400" s="5">
        <v>750000.0</v>
      </c>
      <c r="G1400" s="1" t="s">
        <v>3964</v>
      </c>
      <c r="H1400" s="1" t="s">
        <v>4736</v>
      </c>
      <c r="I1400" s="1" t="s">
        <v>1327</v>
      </c>
      <c r="K1400" s="1">
        <v>0.0</v>
      </c>
      <c r="L1400" s="1" t="s">
        <v>3762</v>
      </c>
      <c r="M1400" s="1" t="str">
        <f>VLOOKUP(L1400,'Copy of PMD Workday Constants -'!B1369:Y2055,22,false)</f>
        <v>#N/A</v>
      </c>
      <c r="N1400" s="1" t="s">
        <v>32</v>
      </c>
      <c r="O1400" s="1" t="s">
        <v>33</v>
      </c>
      <c r="P1400" s="1" t="s">
        <v>112</v>
      </c>
      <c r="Q1400" s="1" t="s">
        <v>112</v>
      </c>
      <c r="R1400" s="1" t="s">
        <v>113</v>
      </c>
      <c r="S1400" s="1" t="s">
        <v>3763</v>
      </c>
      <c r="T1400" s="1">
        <v>1.00953783E8</v>
      </c>
      <c r="W1400" s="1" t="s">
        <v>308</v>
      </c>
      <c r="X1400" s="1" t="s">
        <v>2596</v>
      </c>
    </row>
    <row r="1401">
      <c r="A1401" s="1" t="s">
        <v>4737</v>
      </c>
      <c r="B1401" s="1" t="s">
        <v>580</v>
      </c>
      <c r="C1401" s="1" t="s">
        <v>4738</v>
      </c>
      <c r="D1401" s="1" t="s">
        <v>51</v>
      </c>
      <c r="E1401" s="1" t="s">
        <v>29</v>
      </c>
      <c r="F1401" s="5">
        <v>750000.0</v>
      </c>
      <c r="G1401" s="1" t="s">
        <v>3964</v>
      </c>
      <c r="H1401" s="1" t="s">
        <v>4739</v>
      </c>
      <c r="I1401" s="4">
        <v>44568.0</v>
      </c>
      <c r="K1401" s="1">
        <v>0.0</v>
      </c>
      <c r="L1401" s="1" t="s">
        <v>1308</v>
      </c>
      <c r="M1401" s="1" t="str">
        <f>VLOOKUP(L1401,'Copy of PMD Workday Constants -'!B1370:Y2056,22,false)</f>
        <v>#N/A</v>
      </c>
      <c r="N1401" s="1" t="s">
        <v>32</v>
      </c>
      <c r="O1401" s="1" t="s">
        <v>33</v>
      </c>
      <c r="P1401" s="1" t="s">
        <v>173</v>
      </c>
      <c r="Q1401" s="1" t="s">
        <v>173</v>
      </c>
      <c r="R1401" s="1" t="s">
        <v>174</v>
      </c>
      <c r="S1401" s="1" t="s">
        <v>153</v>
      </c>
      <c r="T1401" s="1">
        <v>1.00653074E8</v>
      </c>
      <c r="W1401" s="1" t="s">
        <v>456</v>
      </c>
      <c r="X1401" s="1" t="s">
        <v>1308</v>
      </c>
    </row>
    <row r="1402">
      <c r="A1402" s="1" t="s">
        <v>4740</v>
      </c>
      <c r="B1402" s="1" t="s">
        <v>1721</v>
      </c>
      <c r="C1402" s="1" t="s">
        <v>4741</v>
      </c>
      <c r="D1402" s="1" t="s">
        <v>79</v>
      </c>
      <c r="E1402" s="1" t="s">
        <v>29</v>
      </c>
      <c r="F1402" s="5">
        <v>750000.0</v>
      </c>
      <c r="G1402" s="1" t="s">
        <v>3964</v>
      </c>
      <c r="H1402" s="4">
        <v>44717.0</v>
      </c>
      <c r="I1402" s="1" t="s">
        <v>80</v>
      </c>
      <c r="K1402" s="1">
        <v>0.0</v>
      </c>
      <c r="L1402" s="1" t="s">
        <v>2205</v>
      </c>
      <c r="M1402" s="1" t="str">
        <f>VLOOKUP(L1402,'Copy of PMD Workday Constants -'!B1371:Y2057,22,false)</f>
        <v>#N/A</v>
      </c>
      <c r="N1402" s="1" t="s">
        <v>32</v>
      </c>
      <c r="O1402" s="1" t="s">
        <v>33</v>
      </c>
      <c r="P1402" s="1" t="s">
        <v>112</v>
      </c>
      <c r="Q1402" s="1" t="s">
        <v>112</v>
      </c>
      <c r="R1402" s="1" t="s">
        <v>113</v>
      </c>
      <c r="S1402" s="1" t="s">
        <v>307</v>
      </c>
      <c r="T1402" s="1">
        <v>1.0059365E8</v>
      </c>
      <c r="W1402" s="1" t="s">
        <v>391</v>
      </c>
      <c r="X1402" s="1" t="s">
        <v>2205</v>
      </c>
    </row>
    <row r="1403">
      <c r="A1403" s="1" t="s">
        <v>4742</v>
      </c>
      <c r="B1403" s="1" t="s">
        <v>1763</v>
      </c>
      <c r="C1403" s="1" t="s">
        <v>4743</v>
      </c>
      <c r="D1403" s="1" t="s">
        <v>103</v>
      </c>
      <c r="E1403" s="1" t="s">
        <v>29</v>
      </c>
      <c r="F1403" s="5">
        <v>750000.0</v>
      </c>
      <c r="G1403" s="1" t="s">
        <v>3964</v>
      </c>
      <c r="H1403" s="4">
        <v>44713.0</v>
      </c>
      <c r="I1403" s="4">
        <v>44689.0</v>
      </c>
      <c r="K1403" s="1">
        <v>0.0</v>
      </c>
      <c r="L1403" s="1" t="s">
        <v>275</v>
      </c>
      <c r="M1403" s="1" t="str">
        <f>VLOOKUP(L1403,'Copy of PMD Workday Constants -'!B1372:Y2058,22,false)</f>
        <v>#N/A</v>
      </c>
      <c r="N1403" s="1" t="s">
        <v>32</v>
      </c>
      <c r="O1403" s="1" t="s">
        <v>33</v>
      </c>
      <c r="P1403" s="1" t="s">
        <v>34</v>
      </c>
      <c r="Q1403" s="1" t="s">
        <v>34</v>
      </c>
      <c r="R1403" s="1" t="s">
        <v>35</v>
      </c>
      <c r="S1403" s="1" t="s">
        <v>126</v>
      </c>
      <c r="T1403" s="1">
        <v>1.00608828E8</v>
      </c>
      <c r="W1403" s="1" t="s">
        <v>533</v>
      </c>
      <c r="X1403" s="1" t="s">
        <v>338</v>
      </c>
    </row>
    <row r="1404">
      <c r="A1404" s="1" t="s">
        <v>4744</v>
      </c>
      <c r="B1404" s="1" t="s">
        <v>324</v>
      </c>
      <c r="C1404" s="1" t="s">
        <v>4745</v>
      </c>
      <c r="D1404" s="1" t="s">
        <v>28</v>
      </c>
      <c r="E1404" s="1" t="s">
        <v>29</v>
      </c>
      <c r="F1404" s="5">
        <v>750000.0</v>
      </c>
      <c r="G1404" s="1" t="s">
        <v>3964</v>
      </c>
      <c r="H1404" s="4">
        <v>44471.0</v>
      </c>
      <c r="I1404" s="1" t="s">
        <v>1673</v>
      </c>
      <c r="K1404" s="1">
        <v>0.0</v>
      </c>
      <c r="L1404" s="1" t="s">
        <v>3994</v>
      </c>
      <c r="M1404" s="1" t="str">
        <f>VLOOKUP(L1404,'Copy of PMD Workday Constants -'!B1373:Y2059,22,false)</f>
        <v>#N/A</v>
      </c>
      <c r="N1404" s="1" t="s">
        <v>32</v>
      </c>
      <c r="O1404" s="1" t="s">
        <v>33</v>
      </c>
      <c r="P1404" s="1" t="s">
        <v>210</v>
      </c>
      <c r="Q1404" s="1" t="s">
        <v>210</v>
      </c>
      <c r="R1404" s="1" t="s">
        <v>211</v>
      </c>
      <c r="S1404" s="1" t="s">
        <v>1313</v>
      </c>
      <c r="T1404" s="1">
        <v>1.00646809E8</v>
      </c>
      <c r="W1404" s="1" t="s">
        <v>56</v>
      </c>
      <c r="X1404" s="1" t="s">
        <v>4746</v>
      </c>
    </row>
    <row r="1405">
      <c r="A1405" s="1" t="s">
        <v>4747</v>
      </c>
      <c r="B1405" s="1" t="s">
        <v>289</v>
      </c>
      <c r="C1405" s="1" t="s">
        <v>4748</v>
      </c>
      <c r="D1405" s="1" t="s">
        <v>103</v>
      </c>
      <c r="E1405" s="1" t="s">
        <v>29</v>
      </c>
      <c r="F1405" s="5">
        <v>750000.0</v>
      </c>
      <c r="G1405" s="1" t="s">
        <v>3964</v>
      </c>
      <c r="H1405" s="1" t="s">
        <v>2787</v>
      </c>
      <c r="I1405" s="1" t="s">
        <v>302</v>
      </c>
      <c r="K1405" s="1">
        <v>0.0</v>
      </c>
      <c r="L1405" s="1" t="s">
        <v>382</v>
      </c>
      <c r="M1405" s="1" t="str">
        <f>VLOOKUP(L1405,'Copy of PMD Workday Constants -'!B1374:Y2060,22,false)</f>
        <v>#N/A</v>
      </c>
      <c r="N1405" s="1" t="s">
        <v>32</v>
      </c>
      <c r="O1405" s="1" t="s">
        <v>33</v>
      </c>
      <c r="P1405" s="1" t="s">
        <v>34</v>
      </c>
      <c r="Q1405" s="1" t="s">
        <v>34</v>
      </c>
      <c r="R1405" s="1" t="s">
        <v>35</v>
      </c>
      <c r="T1405" s="1">
        <v>1.0059112E8</v>
      </c>
      <c r="W1405" s="1" t="s">
        <v>74</v>
      </c>
      <c r="X1405" s="1" t="s">
        <v>4749</v>
      </c>
    </row>
    <row r="1406">
      <c r="A1406" s="1" t="s">
        <v>4750</v>
      </c>
      <c r="B1406" s="1" t="s">
        <v>610</v>
      </c>
      <c r="C1406" s="1" t="s">
        <v>4751</v>
      </c>
      <c r="D1406" s="1" t="s">
        <v>103</v>
      </c>
      <c r="E1406" s="1" t="s">
        <v>29</v>
      </c>
      <c r="F1406" s="5">
        <v>750000.0</v>
      </c>
      <c r="G1406" s="1" t="s">
        <v>3964</v>
      </c>
      <c r="H1406" s="4">
        <v>44746.0</v>
      </c>
      <c r="I1406" s="1" t="s">
        <v>302</v>
      </c>
      <c r="K1406" s="1">
        <v>0.0</v>
      </c>
      <c r="L1406" s="1" t="s">
        <v>338</v>
      </c>
      <c r="M1406" s="1" t="str">
        <f>VLOOKUP(L1406,'Copy of PMD Workday Constants -'!B1375:Y2061,22,false)</f>
        <v>#N/A</v>
      </c>
      <c r="N1406" s="1" t="s">
        <v>32</v>
      </c>
      <c r="O1406" s="1" t="s">
        <v>33</v>
      </c>
      <c r="P1406" s="1" t="s">
        <v>34</v>
      </c>
      <c r="Q1406" s="1" t="s">
        <v>34</v>
      </c>
      <c r="R1406" s="1" t="s">
        <v>35</v>
      </c>
      <c r="S1406" s="1" t="s">
        <v>126</v>
      </c>
      <c r="T1406" s="1">
        <v>1.00619817E8</v>
      </c>
      <c r="W1406" s="1" t="s">
        <v>258</v>
      </c>
      <c r="X1406" s="1" t="s">
        <v>338</v>
      </c>
    </row>
    <row r="1407">
      <c r="A1407" s="1" t="s">
        <v>4752</v>
      </c>
      <c r="B1407" s="1" t="s">
        <v>965</v>
      </c>
      <c r="C1407" s="1" t="s">
        <v>4753</v>
      </c>
      <c r="D1407" s="1" t="s">
        <v>28</v>
      </c>
      <c r="E1407" s="1" t="s">
        <v>29</v>
      </c>
      <c r="F1407" s="5">
        <v>750000.0</v>
      </c>
      <c r="G1407" s="1" t="s">
        <v>3964</v>
      </c>
      <c r="H1407" s="4">
        <v>44626.0</v>
      </c>
      <c r="I1407" s="1" t="s">
        <v>1859</v>
      </c>
      <c r="K1407" s="1">
        <v>0.0</v>
      </c>
      <c r="L1407" s="1" t="s">
        <v>1238</v>
      </c>
      <c r="M1407" s="1" t="str">
        <f>VLOOKUP(L1407,'Copy of PMD Workday Constants -'!B1376:Y2062,22,false)</f>
        <v>#N/A</v>
      </c>
      <c r="N1407" s="1" t="s">
        <v>32</v>
      </c>
      <c r="O1407" s="1" t="s">
        <v>33</v>
      </c>
      <c r="P1407" s="1" t="s">
        <v>210</v>
      </c>
      <c r="Q1407" s="1" t="s">
        <v>210</v>
      </c>
      <c r="R1407" s="1" t="s">
        <v>211</v>
      </c>
      <c r="S1407" s="1" t="s">
        <v>416</v>
      </c>
      <c r="T1407" s="1">
        <v>1.00586959E8</v>
      </c>
      <c r="W1407" s="1" t="s">
        <v>56</v>
      </c>
      <c r="X1407" s="1" t="s">
        <v>1238</v>
      </c>
    </row>
    <row r="1408">
      <c r="A1408" s="1" t="s">
        <v>4754</v>
      </c>
      <c r="B1408" s="1" t="s">
        <v>1817</v>
      </c>
      <c r="C1408" s="1" t="s">
        <v>4755</v>
      </c>
      <c r="D1408" s="1" t="s">
        <v>28</v>
      </c>
      <c r="E1408" s="1" t="s">
        <v>29</v>
      </c>
      <c r="F1408" s="5">
        <v>750000.0</v>
      </c>
      <c r="G1408" s="1" t="s">
        <v>3964</v>
      </c>
      <c r="H1408" s="1" t="s">
        <v>413</v>
      </c>
      <c r="I1408" s="1" t="s">
        <v>406</v>
      </c>
      <c r="K1408" s="1">
        <v>0.0</v>
      </c>
      <c r="L1408" s="1" t="s">
        <v>3917</v>
      </c>
      <c r="M1408" s="1" t="str">
        <f>VLOOKUP(L1408,'Copy of PMD Workday Constants -'!B1377:Y2063,22,false)</f>
        <v>#N/A</v>
      </c>
      <c r="N1408" s="1" t="s">
        <v>32</v>
      </c>
      <c r="O1408" s="1" t="s">
        <v>33</v>
      </c>
      <c r="P1408" s="1" t="s">
        <v>82</v>
      </c>
      <c r="Q1408" s="1" t="s">
        <v>82</v>
      </c>
      <c r="R1408" s="1" t="s">
        <v>83</v>
      </c>
      <c r="S1408" s="1" t="s">
        <v>180</v>
      </c>
      <c r="T1408" s="1">
        <v>1.00611547E8</v>
      </c>
      <c r="W1408" s="1" t="s">
        <v>85</v>
      </c>
      <c r="X1408" s="1" t="s">
        <v>1293</v>
      </c>
    </row>
    <row r="1409">
      <c r="A1409" s="1" t="s">
        <v>4756</v>
      </c>
      <c r="B1409" s="1" t="s">
        <v>4757</v>
      </c>
      <c r="C1409" s="1" t="s">
        <v>4758</v>
      </c>
      <c r="D1409" s="1" t="s">
        <v>28</v>
      </c>
      <c r="E1409" s="1" t="s">
        <v>29</v>
      </c>
      <c r="F1409" s="5">
        <v>750000.0</v>
      </c>
      <c r="G1409" s="1" t="s">
        <v>3964</v>
      </c>
      <c r="H1409" s="4">
        <v>44625.0</v>
      </c>
      <c r="I1409" s="1" t="s">
        <v>152</v>
      </c>
      <c r="K1409" s="1">
        <v>0.0</v>
      </c>
      <c r="L1409" s="1" t="s">
        <v>1120</v>
      </c>
      <c r="M1409" s="1" t="str">
        <f>VLOOKUP(L1409,'Copy of PMD Workday Constants -'!B1378:Y2064,22,false)</f>
        <v>#N/A</v>
      </c>
      <c r="N1409" s="1" t="s">
        <v>32</v>
      </c>
      <c r="O1409" s="1" t="s">
        <v>33</v>
      </c>
      <c r="P1409" s="1" t="s">
        <v>82</v>
      </c>
      <c r="Q1409" s="1" t="s">
        <v>82</v>
      </c>
      <c r="R1409" s="1" t="s">
        <v>83</v>
      </c>
      <c r="S1409" s="1" t="s">
        <v>180</v>
      </c>
      <c r="T1409" s="1">
        <v>1.00603613E8</v>
      </c>
      <c r="W1409" s="1" t="s">
        <v>115</v>
      </c>
      <c r="X1409" s="1" t="s">
        <v>4549</v>
      </c>
    </row>
    <row r="1410">
      <c r="A1410" s="1" t="s">
        <v>4759</v>
      </c>
      <c r="B1410" s="1" t="s">
        <v>361</v>
      </c>
      <c r="C1410" s="1" t="s">
        <v>4760</v>
      </c>
      <c r="D1410" s="1" t="s">
        <v>51</v>
      </c>
      <c r="E1410" s="1" t="s">
        <v>29</v>
      </c>
      <c r="F1410" s="5">
        <v>750000.0</v>
      </c>
      <c r="G1410" s="1" t="s">
        <v>3964</v>
      </c>
      <c r="H1410" s="1" t="s">
        <v>1842</v>
      </c>
      <c r="I1410" s="4">
        <v>44689.0</v>
      </c>
      <c r="K1410" s="1">
        <v>0.0</v>
      </c>
      <c r="L1410" s="1" t="s">
        <v>4761</v>
      </c>
      <c r="M1410" s="1" t="str">
        <f>VLOOKUP(L1410,'Copy of PMD Workday Constants -'!B1379:Y2065,22,false)</f>
        <v>#N/A</v>
      </c>
      <c r="N1410" s="1" t="s">
        <v>32</v>
      </c>
      <c r="O1410" s="1" t="s">
        <v>33</v>
      </c>
      <c r="P1410" s="1" t="s">
        <v>210</v>
      </c>
      <c r="Q1410" s="1" t="s">
        <v>210</v>
      </c>
      <c r="R1410" s="1" t="s">
        <v>211</v>
      </c>
      <c r="S1410" s="1" t="s">
        <v>297</v>
      </c>
      <c r="T1410" s="1">
        <v>1.00600653E8</v>
      </c>
      <c r="W1410" s="1" t="s">
        <v>258</v>
      </c>
      <c r="X1410" s="1" t="s">
        <v>370</v>
      </c>
    </row>
    <row r="1411">
      <c r="A1411" s="1" t="s">
        <v>4762</v>
      </c>
      <c r="B1411" s="1" t="s">
        <v>913</v>
      </c>
      <c r="C1411" s="1" t="s">
        <v>4763</v>
      </c>
      <c r="D1411" s="1" t="s">
        <v>28</v>
      </c>
      <c r="E1411" s="1" t="s">
        <v>29</v>
      </c>
      <c r="F1411" s="5">
        <v>750000.0</v>
      </c>
      <c r="G1411" s="1" t="s">
        <v>3964</v>
      </c>
      <c r="H1411" s="1" t="s">
        <v>2932</v>
      </c>
      <c r="I1411" s="1" t="s">
        <v>2110</v>
      </c>
      <c r="K1411" s="1">
        <v>0.0</v>
      </c>
      <c r="L1411" s="1" t="s">
        <v>938</v>
      </c>
      <c r="M1411" s="1" t="str">
        <f>VLOOKUP(L1411,'Copy of PMD Workday Constants -'!B1380:Y2066,22,false)</f>
        <v>#N/A</v>
      </c>
      <c r="N1411" s="1" t="s">
        <v>32</v>
      </c>
      <c r="O1411" s="1" t="s">
        <v>33</v>
      </c>
      <c r="P1411" s="1" t="s">
        <v>82</v>
      </c>
      <c r="Q1411" s="1" t="s">
        <v>82</v>
      </c>
      <c r="R1411" s="1" t="s">
        <v>83</v>
      </c>
      <c r="S1411" s="1" t="s">
        <v>84</v>
      </c>
      <c r="T1411" s="1">
        <v>1.00653499E8</v>
      </c>
      <c r="W1411" s="1" t="s">
        <v>85</v>
      </c>
      <c r="X1411" s="1" t="s">
        <v>2086</v>
      </c>
    </row>
    <row r="1412">
      <c r="A1412" s="1" t="s">
        <v>4764</v>
      </c>
      <c r="B1412" s="1" t="s">
        <v>521</v>
      </c>
      <c r="C1412" s="1" t="s">
        <v>4765</v>
      </c>
      <c r="D1412" s="1" t="s">
        <v>103</v>
      </c>
      <c r="E1412" s="1" t="s">
        <v>29</v>
      </c>
      <c r="F1412" s="5">
        <v>750000.0</v>
      </c>
      <c r="G1412" s="1" t="s">
        <v>3964</v>
      </c>
      <c r="H1412" s="4">
        <v>44625.0</v>
      </c>
      <c r="I1412" s="1" t="s">
        <v>96</v>
      </c>
      <c r="K1412" s="1">
        <v>0.0</v>
      </c>
      <c r="L1412" s="1" t="s">
        <v>4338</v>
      </c>
      <c r="M1412" s="1" t="str">
        <f>VLOOKUP(L1412,'Copy of PMD Workday Constants -'!B1381:Y2067,22,false)</f>
        <v>#N/A</v>
      </c>
      <c r="N1412" s="1" t="s">
        <v>32</v>
      </c>
      <c r="O1412" s="1" t="s">
        <v>33</v>
      </c>
      <c r="P1412" s="1" t="s">
        <v>173</v>
      </c>
      <c r="Q1412" s="1" t="s">
        <v>173</v>
      </c>
      <c r="R1412" s="1" t="s">
        <v>174</v>
      </c>
      <c r="T1412" s="1">
        <v>1.00616269E8</v>
      </c>
      <c r="W1412" s="1" t="s">
        <v>456</v>
      </c>
      <c r="X1412" s="1" t="s">
        <v>2688</v>
      </c>
    </row>
    <row r="1413">
      <c r="A1413" s="1" t="s">
        <v>4766</v>
      </c>
      <c r="B1413" s="1" t="s">
        <v>3355</v>
      </c>
      <c r="C1413" s="1" t="s">
        <v>4767</v>
      </c>
      <c r="D1413" s="1" t="s">
        <v>103</v>
      </c>
      <c r="E1413" s="1" t="s">
        <v>29</v>
      </c>
      <c r="F1413" s="5">
        <v>750000.0</v>
      </c>
      <c r="G1413" s="1" t="s">
        <v>3964</v>
      </c>
      <c r="H1413" s="1" t="s">
        <v>1245</v>
      </c>
      <c r="I1413" s="4">
        <v>44658.0</v>
      </c>
      <c r="K1413" s="1">
        <v>0.0</v>
      </c>
      <c r="L1413" s="1" t="s">
        <v>72</v>
      </c>
      <c r="M1413" s="1" t="str">
        <f>VLOOKUP(L1413,'Copy of PMD Workday Constants -'!B1382:Y2068,22,false)</f>
        <v>#N/A</v>
      </c>
      <c r="N1413" s="1" t="s">
        <v>32</v>
      </c>
      <c r="O1413" s="1" t="s">
        <v>33</v>
      </c>
      <c r="P1413" s="1" t="s">
        <v>34</v>
      </c>
      <c r="Q1413" s="1" t="s">
        <v>34</v>
      </c>
      <c r="R1413" s="1" t="s">
        <v>35</v>
      </c>
      <c r="S1413" s="1" t="s">
        <v>134</v>
      </c>
      <c r="T1413" s="1">
        <v>1.0060843E8</v>
      </c>
      <c r="W1413" s="1" t="s">
        <v>74</v>
      </c>
      <c r="X1413" s="1" t="s">
        <v>4768</v>
      </c>
    </row>
    <row r="1414">
      <c r="A1414" s="1" t="s">
        <v>4769</v>
      </c>
      <c r="B1414" s="1" t="s">
        <v>2633</v>
      </c>
      <c r="C1414" s="1" t="s">
        <v>4770</v>
      </c>
      <c r="D1414" s="1" t="s">
        <v>28</v>
      </c>
      <c r="E1414" s="1" t="s">
        <v>29</v>
      </c>
      <c r="F1414" s="5">
        <v>750000.0</v>
      </c>
      <c r="G1414" s="1" t="s">
        <v>3964</v>
      </c>
      <c r="H1414" s="1" t="s">
        <v>1245</v>
      </c>
      <c r="I1414" s="1" t="s">
        <v>302</v>
      </c>
      <c r="K1414" s="1">
        <v>0.0</v>
      </c>
      <c r="L1414" s="1" t="s">
        <v>428</v>
      </c>
      <c r="M1414" s="1" t="str">
        <f>VLOOKUP(L1414,'Copy of PMD Workday Constants -'!B1383:Y2069,22,false)</f>
        <v>#N/A</v>
      </c>
      <c r="N1414" s="1" t="s">
        <v>32</v>
      </c>
      <c r="O1414" s="1" t="s">
        <v>33</v>
      </c>
      <c r="P1414" s="1" t="s">
        <v>173</v>
      </c>
      <c r="Q1414" s="1" t="s">
        <v>173</v>
      </c>
      <c r="R1414" s="1" t="s">
        <v>174</v>
      </c>
      <c r="S1414" s="1" t="s">
        <v>153</v>
      </c>
      <c r="T1414" s="1">
        <v>1.00654085E8</v>
      </c>
      <c r="W1414" s="1" t="s">
        <v>85</v>
      </c>
      <c r="X1414" s="1" t="s">
        <v>428</v>
      </c>
    </row>
    <row r="1415">
      <c r="A1415" s="1" t="s">
        <v>4771</v>
      </c>
      <c r="B1415" s="1" t="s">
        <v>2375</v>
      </c>
      <c r="C1415" s="1" t="s">
        <v>4772</v>
      </c>
      <c r="D1415" s="1" t="s">
        <v>28</v>
      </c>
      <c r="E1415" s="1" t="s">
        <v>29</v>
      </c>
      <c r="F1415" s="5">
        <v>750000.0</v>
      </c>
      <c r="G1415" s="1" t="s">
        <v>3964</v>
      </c>
      <c r="H1415" s="4">
        <v>44471.0</v>
      </c>
      <c r="I1415" s="1" t="s">
        <v>421</v>
      </c>
      <c r="K1415" s="1">
        <v>0.0</v>
      </c>
      <c r="L1415" s="1" t="s">
        <v>2201</v>
      </c>
      <c r="M1415" s="1" t="str">
        <f>VLOOKUP(L1415,'Copy of PMD Workday Constants -'!B1384:Y2070,22,false)</f>
        <v>#N/A</v>
      </c>
      <c r="N1415" s="1" t="s">
        <v>32</v>
      </c>
      <c r="O1415" s="1" t="s">
        <v>33</v>
      </c>
      <c r="P1415" s="1" t="s">
        <v>64</v>
      </c>
      <c r="Q1415" s="1" t="s">
        <v>64</v>
      </c>
      <c r="R1415" s="1" t="s">
        <v>65</v>
      </c>
      <c r="S1415" s="1" t="s">
        <v>1496</v>
      </c>
      <c r="T1415" s="1">
        <v>1.00649936E8</v>
      </c>
      <c r="W1415" s="1" t="s">
        <v>258</v>
      </c>
      <c r="X1415" s="1" t="s">
        <v>3024</v>
      </c>
    </row>
    <row r="1416">
      <c r="A1416" s="1" t="s">
        <v>4773</v>
      </c>
      <c r="B1416" s="1" t="s">
        <v>3293</v>
      </c>
      <c r="C1416" s="1" t="s">
        <v>4774</v>
      </c>
      <c r="D1416" s="1" t="s">
        <v>51</v>
      </c>
      <c r="E1416" s="1" t="s">
        <v>29</v>
      </c>
      <c r="F1416" s="5">
        <v>750000.0</v>
      </c>
      <c r="G1416" s="1" t="s">
        <v>3964</v>
      </c>
      <c r="H1416" s="4">
        <v>44625.0</v>
      </c>
      <c r="I1416" s="4">
        <v>44780.0</v>
      </c>
      <c r="K1416" s="1">
        <v>0.0</v>
      </c>
      <c r="L1416" s="1" t="s">
        <v>1870</v>
      </c>
      <c r="M1416" s="1" t="str">
        <f>VLOOKUP(L1416,'Copy of PMD Workday Constants -'!B1385:Y2071,22,false)</f>
        <v>#N/A</v>
      </c>
      <c r="N1416" s="1" t="s">
        <v>32</v>
      </c>
      <c r="O1416" s="1" t="s">
        <v>33</v>
      </c>
      <c r="P1416" s="1" t="s">
        <v>112</v>
      </c>
      <c r="Q1416" s="1" t="s">
        <v>112</v>
      </c>
      <c r="R1416" s="1" t="s">
        <v>113</v>
      </c>
      <c r="S1416" s="1" t="s">
        <v>1336</v>
      </c>
      <c r="T1416" s="1">
        <v>1.00638639E8</v>
      </c>
      <c r="W1416" s="1" t="s">
        <v>56</v>
      </c>
      <c r="X1416" s="1" t="s">
        <v>4622</v>
      </c>
    </row>
    <row r="1417">
      <c r="A1417" s="1" t="s">
        <v>4775</v>
      </c>
      <c r="B1417" s="1" t="s">
        <v>143</v>
      </c>
      <c r="C1417" s="1" t="s">
        <v>4776</v>
      </c>
      <c r="D1417" s="1" t="s">
        <v>103</v>
      </c>
      <c r="E1417" s="1" t="s">
        <v>29</v>
      </c>
      <c r="F1417" s="5">
        <v>748500.0</v>
      </c>
      <c r="G1417" s="1" t="s">
        <v>3964</v>
      </c>
      <c r="H1417" s="1" t="s">
        <v>480</v>
      </c>
      <c r="I1417" s="4">
        <v>44658.0</v>
      </c>
      <c r="K1417" s="1">
        <v>0.0</v>
      </c>
      <c r="L1417" s="1" t="s">
        <v>2133</v>
      </c>
      <c r="M1417" s="1" t="str">
        <f>VLOOKUP(L1417,'Copy of PMD Workday Constants -'!B1386:Y2072,22,false)</f>
        <v>#N/A</v>
      </c>
      <c r="N1417" s="1" t="s">
        <v>32</v>
      </c>
      <c r="O1417" s="1" t="s">
        <v>33</v>
      </c>
      <c r="P1417" s="1" t="s">
        <v>64</v>
      </c>
      <c r="Q1417" s="1" t="s">
        <v>64</v>
      </c>
      <c r="R1417" s="1" t="s">
        <v>65</v>
      </c>
      <c r="S1417" s="1" t="s">
        <v>612</v>
      </c>
      <c r="T1417" s="1">
        <v>1.00653977E8</v>
      </c>
      <c r="W1417" s="1" t="s">
        <v>147</v>
      </c>
      <c r="X1417" s="1" t="s">
        <v>3074</v>
      </c>
    </row>
    <row r="1418">
      <c r="A1418" s="1" t="s">
        <v>4777</v>
      </c>
      <c r="B1418" s="1" t="s">
        <v>70</v>
      </c>
      <c r="C1418" s="1" t="s">
        <v>4778</v>
      </c>
      <c r="D1418" s="1" t="s">
        <v>103</v>
      </c>
      <c r="E1418" s="1" t="s">
        <v>29</v>
      </c>
      <c r="F1418" s="5">
        <v>745000.0</v>
      </c>
      <c r="G1418" s="1" t="s">
        <v>3964</v>
      </c>
      <c r="H1418" s="1" t="s">
        <v>4779</v>
      </c>
      <c r="I1418" s="1" t="s">
        <v>227</v>
      </c>
      <c r="K1418" s="1">
        <v>0.0</v>
      </c>
      <c r="L1418" s="1" t="s">
        <v>72</v>
      </c>
      <c r="M1418" s="1" t="str">
        <f>VLOOKUP(L1418,'Copy of PMD Workday Constants -'!B1387:Y2073,22,false)</f>
        <v>#N/A</v>
      </c>
      <c r="N1418" s="1" t="s">
        <v>32</v>
      </c>
      <c r="O1418" s="1" t="s">
        <v>33</v>
      </c>
      <c r="P1418" s="1" t="s">
        <v>34</v>
      </c>
      <c r="Q1418" s="1" t="s">
        <v>34</v>
      </c>
      <c r="R1418" s="1" t="s">
        <v>35</v>
      </c>
      <c r="S1418" s="1" t="s">
        <v>126</v>
      </c>
      <c r="T1418" s="1">
        <v>1.0060843E8</v>
      </c>
      <c r="W1418" s="1" t="s">
        <v>74</v>
      </c>
      <c r="X1418" s="1" t="s">
        <v>72</v>
      </c>
    </row>
    <row r="1419">
      <c r="A1419" s="1" t="s">
        <v>4780</v>
      </c>
      <c r="B1419" s="1" t="s">
        <v>996</v>
      </c>
      <c r="C1419" s="1" t="s">
        <v>4781</v>
      </c>
      <c r="D1419" s="1" t="s">
        <v>28</v>
      </c>
      <c r="E1419" s="1" t="s">
        <v>29</v>
      </c>
      <c r="F1419" s="5">
        <v>745000.0</v>
      </c>
      <c r="G1419" s="1" t="s">
        <v>3964</v>
      </c>
      <c r="H1419" s="1" t="s">
        <v>4782</v>
      </c>
      <c r="I1419" s="1" t="s">
        <v>538</v>
      </c>
      <c r="K1419" s="1">
        <v>0.0</v>
      </c>
      <c r="L1419" s="1" t="s">
        <v>1413</v>
      </c>
      <c r="M1419" s="1" t="str">
        <f>VLOOKUP(L1419,'Copy of PMD Workday Constants -'!B1388:Y2074,22,false)</f>
        <v>#N/A</v>
      </c>
      <c r="N1419" s="1" t="s">
        <v>32</v>
      </c>
      <c r="O1419" s="1" t="s">
        <v>33</v>
      </c>
      <c r="P1419" s="1" t="s">
        <v>34</v>
      </c>
      <c r="Q1419" s="1" t="s">
        <v>34</v>
      </c>
      <c r="R1419" s="1" t="s">
        <v>35</v>
      </c>
      <c r="S1419" s="1" t="s">
        <v>126</v>
      </c>
      <c r="T1419" s="1">
        <v>1.00643044E8</v>
      </c>
      <c r="W1419" s="1" t="s">
        <v>391</v>
      </c>
      <c r="X1419" s="1" t="s">
        <v>2050</v>
      </c>
    </row>
    <row r="1420">
      <c r="A1420" s="1" t="s">
        <v>4783</v>
      </c>
      <c r="B1420" s="1" t="s">
        <v>129</v>
      </c>
      <c r="C1420" s="1" t="s">
        <v>4784</v>
      </c>
      <c r="D1420" s="1" t="s">
        <v>51</v>
      </c>
      <c r="E1420" s="1" t="s">
        <v>29</v>
      </c>
      <c r="F1420" s="5">
        <v>735000.0</v>
      </c>
      <c r="G1420" s="1" t="s">
        <v>3964</v>
      </c>
      <c r="H1420" s="1" t="s">
        <v>263</v>
      </c>
      <c r="I1420" s="1" t="s">
        <v>152</v>
      </c>
      <c r="K1420" s="1">
        <v>0.0</v>
      </c>
      <c r="L1420" s="1" t="s">
        <v>4785</v>
      </c>
      <c r="M1420" s="1" t="str">
        <f>VLOOKUP(L1420,'Copy of PMD Workday Constants -'!B1389:Y2075,22,false)</f>
        <v>#N/A</v>
      </c>
      <c r="N1420" s="1" t="s">
        <v>32</v>
      </c>
      <c r="O1420" s="1" t="s">
        <v>33</v>
      </c>
      <c r="P1420" s="1" t="s">
        <v>173</v>
      </c>
      <c r="Q1420" s="1" t="s">
        <v>173</v>
      </c>
      <c r="R1420" s="1" t="s">
        <v>174</v>
      </c>
      <c r="T1420" s="1">
        <v>1.00609226E8</v>
      </c>
      <c r="W1420" s="1" t="s">
        <v>74</v>
      </c>
      <c r="X1420" s="1" t="s">
        <v>4786</v>
      </c>
    </row>
    <row r="1421">
      <c r="A1421" s="1" t="s">
        <v>4787</v>
      </c>
      <c r="B1421" s="1" t="s">
        <v>324</v>
      </c>
      <c r="C1421" s="1" t="s">
        <v>4788</v>
      </c>
      <c r="D1421" s="1" t="s">
        <v>79</v>
      </c>
      <c r="E1421" s="1" t="s">
        <v>29</v>
      </c>
      <c r="F1421" s="5">
        <v>728000.0</v>
      </c>
      <c r="G1421" s="1" t="s">
        <v>3964</v>
      </c>
      <c r="H1421" s="4">
        <v>44267.0</v>
      </c>
      <c r="I1421" s="4">
        <v>44872.0</v>
      </c>
      <c r="K1421" s="1">
        <v>0.0</v>
      </c>
      <c r="L1421" s="1" t="s">
        <v>1674</v>
      </c>
      <c r="M1421" s="1" t="str">
        <f>VLOOKUP(L1421,'Copy of PMD Workday Constants -'!B1390:Y2076,22,false)</f>
        <v>#N/A</v>
      </c>
      <c r="N1421" s="1" t="s">
        <v>32</v>
      </c>
      <c r="O1421" s="1" t="s">
        <v>33</v>
      </c>
      <c r="P1421" s="1" t="s">
        <v>210</v>
      </c>
      <c r="Q1421" s="1" t="s">
        <v>210</v>
      </c>
      <c r="R1421" s="1" t="s">
        <v>211</v>
      </c>
      <c r="S1421" s="1" t="s">
        <v>212</v>
      </c>
      <c r="T1421" s="1">
        <v>1.00648421E8</v>
      </c>
      <c r="U1421" s="1" t="s">
        <v>4789</v>
      </c>
      <c r="V1421" s="1" t="s">
        <v>46</v>
      </c>
      <c r="W1421" s="1" t="s">
        <v>56</v>
      </c>
      <c r="X1421" s="1" t="s">
        <v>4790</v>
      </c>
    </row>
    <row r="1422">
      <c r="A1422" s="1" t="s">
        <v>4791</v>
      </c>
      <c r="B1422" s="1" t="s">
        <v>4792</v>
      </c>
      <c r="C1422" s="1" t="s">
        <v>4793</v>
      </c>
      <c r="D1422" s="1" t="s">
        <v>51</v>
      </c>
      <c r="E1422" s="1" t="s">
        <v>29</v>
      </c>
      <c r="F1422" s="5">
        <v>725000.0</v>
      </c>
      <c r="G1422" s="1" t="s">
        <v>3964</v>
      </c>
      <c r="H1422" s="1" t="s">
        <v>4625</v>
      </c>
      <c r="I1422" s="1" t="s">
        <v>80</v>
      </c>
      <c r="K1422" s="1">
        <v>0.0</v>
      </c>
      <c r="L1422" s="1" t="s">
        <v>4794</v>
      </c>
      <c r="M1422" s="1" t="str">
        <f>VLOOKUP(L1422,'Copy of PMD Workday Constants -'!B1391:Y2077,22,false)</f>
        <v>#N/A</v>
      </c>
      <c r="N1422" s="1" t="s">
        <v>32</v>
      </c>
      <c r="O1422" s="1" t="s">
        <v>33</v>
      </c>
      <c r="P1422" s="1" t="s">
        <v>173</v>
      </c>
      <c r="Q1422" s="1" t="s">
        <v>173</v>
      </c>
      <c r="R1422" s="1" t="s">
        <v>174</v>
      </c>
      <c r="S1422" s="1" t="s">
        <v>612</v>
      </c>
      <c r="T1422" s="1">
        <v>1.00875111E8</v>
      </c>
      <c r="W1422" s="1" t="s">
        <v>56</v>
      </c>
      <c r="X1422" s="1" t="s">
        <v>4795</v>
      </c>
    </row>
    <row r="1423">
      <c r="A1423" s="1" t="s">
        <v>4796</v>
      </c>
      <c r="B1423" s="1" t="s">
        <v>4797</v>
      </c>
      <c r="C1423" s="1" t="s">
        <v>196</v>
      </c>
      <c r="D1423" s="1" t="s">
        <v>103</v>
      </c>
      <c r="E1423" s="1" t="s">
        <v>29</v>
      </c>
      <c r="F1423" s="5">
        <v>725000.0</v>
      </c>
      <c r="G1423" s="1" t="s">
        <v>3964</v>
      </c>
      <c r="H1423" s="1" t="s">
        <v>197</v>
      </c>
      <c r="I1423" s="1" t="s">
        <v>302</v>
      </c>
      <c r="K1423" s="1">
        <v>0.0</v>
      </c>
      <c r="L1423" s="1" t="s">
        <v>198</v>
      </c>
      <c r="M1423" s="1" t="str">
        <f>VLOOKUP(L1423,'Copy of PMD Workday Constants -'!B1392:Y2078,22,false)</f>
        <v>#N/A</v>
      </c>
      <c r="N1423" s="1" t="s">
        <v>32</v>
      </c>
      <c r="O1423" s="1" t="s">
        <v>33</v>
      </c>
      <c r="P1423" s="1" t="s">
        <v>82</v>
      </c>
      <c r="Q1423" s="1" t="s">
        <v>82</v>
      </c>
      <c r="R1423" s="1" t="s">
        <v>83</v>
      </c>
      <c r="S1423" s="1" t="s">
        <v>180</v>
      </c>
      <c r="T1423" s="1">
        <v>1.00590896E8</v>
      </c>
      <c r="W1423" s="1" t="s">
        <v>2098</v>
      </c>
      <c r="X1423" s="1" t="s">
        <v>199</v>
      </c>
    </row>
    <row r="1424">
      <c r="A1424" s="1" t="s">
        <v>4798</v>
      </c>
      <c r="B1424" s="1" t="s">
        <v>4799</v>
      </c>
      <c r="C1424" s="1" t="s">
        <v>4800</v>
      </c>
      <c r="D1424" s="1" t="s">
        <v>79</v>
      </c>
      <c r="E1424" s="1" t="s">
        <v>29</v>
      </c>
      <c r="F1424" s="5">
        <v>725000.0</v>
      </c>
      <c r="G1424" s="1" t="s">
        <v>3964</v>
      </c>
      <c r="H1424" s="4">
        <v>44745.0</v>
      </c>
      <c r="I1424" s="1" t="s">
        <v>248</v>
      </c>
      <c r="J1424" s="6">
        <v>44656.76180555556</v>
      </c>
      <c r="K1424" s="1">
        <v>0.0</v>
      </c>
      <c r="L1424" s="1" t="s">
        <v>3458</v>
      </c>
      <c r="M1424" s="1" t="str">
        <f>VLOOKUP(L1424,'Copy of PMD Workday Constants -'!B1393:Y2079,22,false)</f>
        <v>#N/A</v>
      </c>
      <c r="N1424" s="1" t="s">
        <v>32</v>
      </c>
      <c r="O1424" s="1" t="s">
        <v>33</v>
      </c>
      <c r="P1424" s="1" t="s">
        <v>112</v>
      </c>
      <c r="Q1424" s="1" t="s">
        <v>112</v>
      </c>
      <c r="R1424" s="1" t="s">
        <v>113</v>
      </c>
      <c r="S1424" s="1" t="s">
        <v>4801</v>
      </c>
      <c r="T1424" s="1">
        <v>1.00618416E8</v>
      </c>
      <c r="W1424" s="1" t="s">
        <v>4719</v>
      </c>
      <c r="X1424" s="1" t="s">
        <v>3458</v>
      </c>
    </row>
    <row r="1425">
      <c r="A1425" s="1" t="s">
        <v>4802</v>
      </c>
      <c r="B1425" s="1" t="s">
        <v>993</v>
      </c>
      <c r="C1425" s="1" t="s">
        <v>4803</v>
      </c>
      <c r="D1425" s="1" t="s">
        <v>103</v>
      </c>
      <c r="E1425" s="1" t="s">
        <v>29</v>
      </c>
      <c r="F1425" s="5">
        <v>720000.0</v>
      </c>
      <c r="G1425" s="1" t="s">
        <v>3964</v>
      </c>
      <c r="H1425" s="1" t="s">
        <v>556</v>
      </c>
      <c r="I1425" s="1" t="s">
        <v>152</v>
      </c>
      <c r="K1425" s="1">
        <v>0.0</v>
      </c>
      <c r="L1425" s="1" t="s">
        <v>4634</v>
      </c>
      <c r="M1425" s="1" t="str">
        <f>VLOOKUP(L1425,'Copy of PMD Workday Constants -'!B1394:Y2080,22,false)</f>
        <v>#N/A</v>
      </c>
      <c r="N1425" s="1" t="s">
        <v>32</v>
      </c>
      <c r="O1425" s="1" t="s">
        <v>33</v>
      </c>
      <c r="P1425" s="1" t="s">
        <v>112</v>
      </c>
      <c r="Q1425" s="1" t="s">
        <v>112</v>
      </c>
      <c r="R1425" s="1" t="s">
        <v>113</v>
      </c>
      <c r="S1425" s="1" t="s">
        <v>134</v>
      </c>
      <c r="T1425" s="1">
        <v>1.00585718E8</v>
      </c>
      <c r="W1425" s="1" t="s">
        <v>74</v>
      </c>
      <c r="X1425" s="1" t="s">
        <v>4804</v>
      </c>
    </row>
    <row r="1426">
      <c r="A1426" s="1" t="s">
        <v>4805</v>
      </c>
      <c r="B1426" s="1" t="s">
        <v>1568</v>
      </c>
      <c r="C1426" s="1" t="s">
        <v>4806</v>
      </c>
      <c r="D1426" s="1" t="s">
        <v>28</v>
      </c>
      <c r="E1426" s="1" t="s">
        <v>29</v>
      </c>
      <c r="F1426" s="5">
        <v>716000.0</v>
      </c>
      <c r="G1426" s="1" t="s">
        <v>3964</v>
      </c>
      <c r="H1426" s="1" t="s">
        <v>1575</v>
      </c>
      <c r="I1426" s="1" t="s">
        <v>96</v>
      </c>
      <c r="K1426" s="1">
        <v>0.0</v>
      </c>
      <c r="L1426" s="1" t="s">
        <v>806</v>
      </c>
      <c r="M1426" s="1" t="str">
        <f>VLOOKUP(L1426,'Copy of PMD Workday Constants -'!B1395:Y2081,22,false)</f>
        <v>#N/A</v>
      </c>
      <c r="N1426" s="1" t="s">
        <v>32</v>
      </c>
      <c r="O1426" s="1" t="s">
        <v>33</v>
      </c>
      <c r="P1426" s="1" t="s">
        <v>173</v>
      </c>
      <c r="Q1426" s="1" t="s">
        <v>173</v>
      </c>
      <c r="R1426" s="1" t="s">
        <v>174</v>
      </c>
      <c r="S1426" s="1" t="s">
        <v>612</v>
      </c>
      <c r="T1426" s="1">
        <v>1.00581784E8</v>
      </c>
      <c r="U1426" s="1" t="s">
        <v>4807</v>
      </c>
      <c r="V1426" s="1" t="s">
        <v>781</v>
      </c>
      <c r="W1426" s="1" t="s">
        <v>147</v>
      </c>
      <c r="X1426" s="1" t="s">
        <v>4808</v>
      </c>
    </row>
    <row r="1427">
      <c r="A1427" s="1" t="s">
        <v>4809</v>
      </c>
      <c r="B1427" s="1" t="s">
        <v>3267</v>
      </c>
      <c r="C1427" s="1" t="s">
        <v>4810</v>
      </c>
      <c r="D1427" s="1" t="s">
        <v>28</v>
      </c>
      <c r="E1427" s="1" t="s">
        <v>29</v>
      </c>
      <c r="F1427" s="5">
        <v>705000.0</v>
      </c>
      <c r="G1427" s="1" t="s">
        <v>3964</v>
      </c>
      <c r="H1427" s="1" t="s">
        <v>42</v>
      </c>
      <c r="I1427" s="4">
        <v>44573.0</v>
      </c>
      <c r="K1427" s="1">
        <v>0.0</v>
      </c>
      <c r="L1427" s="1" t="s">
        <v>1335</v>
      </c>
      <c r="M1427" s="1" t="str">
        <f>VLOOKUP(L1427,'Copy of PMD Workday Constants -'!B1396:Y2082,22,false)</f>
        <v>#N/A</v>
      </c>
      <c r="N1427" s="1" t="s">
        <v>32</v>
      </c>
      <c r="O1427" s="1" t="s">
        <v>33</v>
      </c>
      <c r="P1427" s="1" t="s">
        <v>210</v>
      </c>
      <c r="Q1427" s="1" t="s">
        <v>210</v>
      </c>
      <c r="R1427" s="1" t="s">
        <v>211</v>
      </c>
      <c r="S1427" s="1" t="s">
        <v>1336</v>
      </c>
      <c r="T1427" s="1">
        <v>1.00594397E8</v>
      </c>
      <c r="W1427" s="1" t="s">
        <v>258</v>
      </c>
      <c r="X1427" s="1" t="s">
        <v>1337</v>
      </c>
    </row>
    <row r="1428">
      <c r="A1428" s="1" t="s">
        <v>4811</v>
      </c>
      <c r="B1428" s="1" t="s">
        <v>965</v>
      </c>
      <c r="C1428" s="1" t="s">
        <v>4812</v>
      </c>
      <c r="D1428" s="1" t="s">
        <v>51</v>
      </c>
      <c r="E1428" s="1" t="s">
        <v>29</v>
      </c>
      <c r="F1428" s="5">
        <v>700000.0</v>
      </c>
      <c r="G1428" s="1" t="s">
        <v>3964</v>
      </c>
      <c r="H1428" s="4">
        <v>44866.0</v>
      </c>
      <c r="I1428" s="1" t="s">
        <v>313</v>
      </c>
      <c r="K1428" s="1">
        <v>0.0</v>
      </c>
      <c r="L1428" s="1" t="s">
        <v>474</v>
      </c>
      <c r="M1428" s="1" t="str">
        <f>VLOOKUP(L1428,'Copy of PMD Workday Constants -'!B1397:Y2083,22,false)</f>
        <v>#N/A</v>
      </c>
      <c r="N1428" s="1" t="s">
        <v>32</v>
      </c>
      <c r="O1428" s="1" t="s">
        <v>33</v>
      </c>
      <c r="P1428" s="1" t="s">
        <v>64</v>
      </c>
      <c r="Q1428" s="1" t="s">
        <v>64</v>
      </c>
      <c r="R1428" s="1" t="s">
        <v>65</v>
      </c>
      <c r="S1428" s="1" t="s">
        <v>98</v>
      </c>
      <c r="T1428" s="1">
        <v>1.00660049E8</v>
      </c>
      <c r="W1428" s="1" t="s">
        <v>56</v>
      </c>
      <c r="X1428" s="1" t="s">
        <v>4813</v>
      </c>
    </row>
    <row r="1429">
      <c r="A1429" s="1" t="s">
        <v>4814</v>
      </c>
      <c r="B1429" s="1" t="s">
        <v>515</v>
      </c>
      <c r="C1429" s="1" t="s">
        <v>518</v>
      </c>
      <c r="D1429" s="1" t="s">
        <v>103</v>
      </c>
      <c r="E1429" s="1" t="s">
        <v>29</v>
      </c>
      <c r="F1429" s="5">
        <v>700000.0</v>
      </c>
      <c r="G1429" s="1" t="s">
        <v>3964</v>
      </c>
      <c r="H1429" s="4">
        <v>44653.0</v>
      </c>
      <c r="I1429" s="1" t="s">
        <v>80</v>
      </c>
      <c r="K1429" s="1">
        <v>0.0</v>
      </c>
      <c r="L1429" s="1" t="s">
        <v>517</v>
      </c>
      <c r="M1429" s="1" t="str">
        <f>VLOOKUP(L1429,'Copy of PMD Workday Constants -'!B1398:Y2084,22,false)</f>
        <v>#N/A</v>
      </c>
      <c r="N1429" s="1" t="s">
        <v>32</v>
      </c>
      <c r="O1429" s="1" t="s">
        <v>33</v>
      </c>
      <c r="P1429" s="1" t="s">
        <v>64</v>
      </c>
      <c r="Q1429" s="1" t="s">
        <v>64</v>
      </c>
      <c r="R1429" s="1" t="s">
        <v>65</v>
      </c>
      <c r="S1429" s="1" t="s">
        <v>229</v>
      </c>
      <c r="T1429" s="1">
        <v>1.01001596E8</v>
      </c>
      <c r="V1429" s="1" t="s">
        <v>67</v>
      </c>
      <c r="W1429" s="1" t="s">
        <v>85</v>
      </c>
      <c r="X1429" s="1" t="s">
        <v>4815</v>
      </c>
    </row>
    <row r="1430">
      <c r="A1430" s="1" t="s">
        <v>4816</v>
      </c>
      <c r="B1430" s="1" t="s">
        <v>4817</v>
      </c>
      <c r="C1430" s="1" t="s">
        <v>4818</v>
      </c>
      <c r="D1430" s="1" t="s">
        <v>103</v>
      </c>
      <c r="E1430" s="1" t="s">
        <v>29</v>
      </c>
      <c r="F1430" s="5">
        <v>700000.0</v>
      </c>
      <c r="G1430" s="1" t="s">
        <v>3964</v>
      </c>
      <c r="H1430" s="1" t="s">
        <v>4457</v>
      </c>
      <c r="I1430" s="1" t="s">
        <v>1327</v>
      </c>
      <c r="K1430" s="1">
        <v>0.0</v>
      </c>
      <c r="L1430" s="1" t="s">
        <v>866</v>
      </c>
      <c r="M1430" s="1" t="str">
        <f>VLOOKUP(L1430,'Copy of PMD Workday Constants -'!B1399:Y2085,22,false)</f>
        <v>#N/A</v>
      </c>
      <c r="N1430" s="1" t="s">
        <v>32</v>
      </c>
      <c r="O1430" s="1" t="s">
        <v>33</v>
      </c>
      <c r="P1430" s="1" t="s">
        <v>82</v>
      </c>
      <c r="Q1430" s="1" t="s">
        <v>82</v>
      </c>
      <c r="R1430" s="1" t="s">
        <v>83</v>
      </c>
      <c r="S1430" s="1" t="s">
        <v>84</v>
      </c>
      <c r="T1430" s="1">
        <v>1.00941744E8</v>
      </c>
      <c r="W1430" s="1" t="s">
        <v>85</v>
      </c>
      <c r="X1430" s="1" t="s">
        <v>866</v>
      </c>
    </row>
    <row r="1431">
      <c r="A1431" s="1" t="s">
        <v>4819</v>
      </c>
      <c r="B1431" s="1" t="s">
        <v>4820</v>
      </c>
      <c r="C1431" s="1" t="s">
        <v>4821</v>
      </c>
      <c r="D1431" s="1" t="s">
        <v>79</v>
      </c>
      <c r="E1431" s="1" t="s">
        <v>29</v>
      </c>
      <c r="F1431" s="5">
        <v>700000.0</v>
      </c>
      <c r="G1431" s="1" t="s">
        <v>3964</v>
      </c>
      <c r="H1431" s="4">
        <v>44653.0</v>
      </c>
      <c r="I1431" s="1" t="s">
        <v>732</v>
      </c>
      <c r="K1431" s="1">
        <v>0.0</v>
      </c>
      <c r="L1431" s="1" t="s">
        <v>4822</v>
      </c>
      <c r="M1431" s="1" t="str">
        <f>VLOOKUP(L1431,'Copy of PMD Workday Constants -'!B1400:Y2086,22,false)</f>
        <v>#N/A</v>
      </c>
      <c r="N1431" s="1" t="s">
        <v>32</v>
      </c>
      <c r="O1431" s="1" t="s">
        <v>33</v>
      </c>
      <c r="P1431" s="1" t="s">
        <v>222</v>
      </c>
      <c r="Q1431" s="1" t="s">
        <v>222</v>
      </c>
      <c r="R1431" s="1" t="s">
        <v>223</v>
      </c>
      <c r="T1431" s="1">
        <v>1.00619685E8</v>
      </c>
      <c r="W1431" s="1" t="s">
        <v>74</v>
      </c>
      <c r="X1431" s="1" t="s">
        <v>4823</v>
      </c>
    </row>
    <row r="1432">
      <c r="A1432" s="1" t="s">
        <v>4824</v>
      </c>
      <c r="B1432" s="1" t="s">
        <v>4825</v>
      </c>
      <c r="C1432" s="1" t="s">
        <v>4826</v>
      </c>
      <c r="D1432" s="1" t="s">
        <v>51</v>
      </c>
      <c r="E1432" s="1" t="s">
        <v>29</v>
      </c>
      <c r="F1432" s="5">
        <v>700000.0</v>
      </c>
      <c r="G1432" s="1" t="s">
        <v>3964</v>
      </c>
      <c r="H1432" s="1" t="s">
        <v>1842</v>
      </c>
      <c r="I1432" s="4">
        <v>44718.0</v>
      </c>
      <c r="K1432" s="1">
        <v>0.0</v>
      </c>
      <c r="L1432" s="1" t="s">
        <v>474</v>
      </c>
      <c r="M1432" s="1" t="str">
        <f>VLOOKUP(L1432,'Copy of PMD Workday Constants -'!B1401:Y2087,22,false)</f>
        <v>#N/A</v>
      </c>
      <c r="N1432" s="1" t="s">
        <v>32</v>
      </c>
      <c r="O1432" s="1" t="s">
        <v>33</v>
      </c>
      <c r="P1432" s="1" t="s">
        <v>64</v>
      </c>
      <c r="Q1432" s="1" t="s">
        <v>64</v>
      </c>
      <c r="R1432" s="1" t="s">
        <v>65</v>
      </c>
      <c r="T1432" s="1">
        <v>1.00660049E8</v>
      </c>
      <c r="W1432" s="1" t="s">
        <v>56</v>
      </c>
      <c r="X1432" s="1" t="s">
        <v>4827</v>
      </c>
    </row>
    <row r="1433">
      <c r="A1433" s="1" t="s">
        <v>4828</v>
      </c>
      <c r="B1433" s="1" t="s">
        <v>1664</v>
      </c>
      <c r="C1433" s="1" t="s">
        <v>4829</v>
      </c>
      <c r="D1433" s="1" t="s">
        <v>51</v>
      </c>
      <c r="E1433" s="1" t="s">
        <v>29</v>
      </c>
      <c r="F1433" s="5">
        <v>700000.0</v>
      </c>
      <c r="G1433" s="1" t="s">
        <v>3964</v>
      </c>
      <c r="H1433" s="1" t="s">
        <v>1842</v>
      </c>
      <c r="I1433" s="1" t="s">
        <v>661</v>
      </c>
      <c r="K1433" s="1">
        <v>0.0</v>
      </c>
      <c r="L1433" s="1" t="s">
        <v>3465</v>
      </c>
      <c r="M1433" s="1" t="str">
        <f>VLOOKUP(L1433,'Copy of PMD Workday Constants -'!B1402:Y2088,22,false)</f>
        <v>#N/A</v>
      </c>
      <c r="N1433" s="1" t="s">
        <v>32</v>
      </c>
      <c r="O1433" s="1" t="s">
        <v>33</v>
      </c>
      <c r="P1433" s="1" t="s">
        <v>34</v>
      </c>
      <c r="Q1433" s="1" t="s">
        <v>34</v>
      </c>
      <c r="R1433" s="1" t="s">
        <v>35</v>
      </c>
      <c r="S1433" s="1" t="s">
        <v>383</v>
      </c>
      <c r="T1433" s="1">
        <v>1.00588959E8</v>
      </c>
      <c r="W1433" s="1" t="s">
        <v>147</v>
      </c>
      <c r="X1433" s="1" t="s">
        <v>2194</v>
      </c>
    </row>
    <row r="1434">
      <c r="A1434" s="1" t="s">
        <v>4830</v>
      </c>
      <c r="B1434" s="1" t="s">
        <v>1257</v>
      </c>
      <c r="C1434" s="1" t="s">
        <v>4831</v>
      </c>
      <c r="D1434" s="1" t="s">
        <v>103</v>
      </c>
      <c r="E1434" s="1" t="s">
        <v>29</v>
      </c>
      <c r="F1434" s="5">
        <v>700000.0</v>
      </c>
      <c r="G1434" s="1" t="s">
        <v>3964</v>
      </c>
      <c r="H1434" s="1" t="s">
        <v>322</v>
      </c>
      <c r="I1434" s="4">
        <v>44688.0</v>
      </c>
      <c r="K1434" s="1">
        <v>0.0</v>
      </c>
      <c r="L1434" s="1" t="s">
        <v>1238</v>
      </c>
      <c r="M1434" s="1" t="str">
        <f>VLOOKUP(L1434,'Copy of PMD Workday Constants -'!B1403:Y2089,22,false)</f>
        <v>#N/A</v>
      </c>
      <c r="N1434" s="1" t="s">
        <v>32</v>
      </c>
      <c r="O1434" s="1" t="s">
        <v>33</v>
      </c>
      <c r="P1434" s="1" t="s">
        <v>210</v>
      </c>
      <c r="Q1434" s="1" t="s">
        <v>210</v>
      </c>
      <c r="R1434" s="1" t="s">
        <v>211</v>
      </c>
      <c r="S1434" s="1" t="s">
        <v>416</v>
      </c>
      <c r="T1434" s="1">
        <v>1.00586959E8</v>
      </c>
      <c r="W1434" s="1" t="s">
        <v>56</v>
      </c>
      <c r="X1434" s="1" t="s">
        <v>968</v>
      </c>
    </row>
    <row r="1435">
      <c r="A1435" s="1" t="s">
        <v>4832</v>
      </c>
      <c r="B1435" s="1" t="s">
        <v>931</v>
      </c>
      <c r="C1435" s="1" t="s">
        <v>4833</v>
      </c>
      <c r="D1435" s="1" t="s">
        <v>103</v>
      </c>
      <c r="E1435" s="1" t="s">
        <v>29</v>
      </c>
      <c r="F1435" s="5">
        <v>700000.0</v>
      </c>
      <c r="G1435" s="1" t="s">
        <v>3964</v>
      </c>
      <c r="H1435" s="1" t="s">
        <v>1842</v>
      </c>
      <c r="I1435" s="4">
        <v>44872.0</v>
      </c>
      <c r="K1435" s="1">
        <v>0.0</v>
      </c>
      <c r="L1435" s="1" t="s">
        <v>1370</v>
      </c>
      <c r="M1435" s="1" t="str">
        <f>VLOOKUP(L1435,'Copy of PMD Workday Constants -'!B1404:Y2090,22,false)</f>
        <v>#N/A</v>
      </c>
      <c r="N1435" s="1" t="s">
        <v>32</v>
      </c>
      <c r="O1435" s="1" t="s">
        <v>33</v>
      </c>
      <c r="P1435" s="1" t="s">
        <v>173</v>
      </c>
      <c r="Q1435" s="1" t="s">
        <v>173</v>
      </c>
      <c r="R1435" s="1" t="s">
        <v>174</v>
      </c>
      <c r="S1435" s="1" t="s">
        <v>153</v>
      </c>
      <c r="T1435" s="1">
        <v>1.00869794E8</v>
      </c>
      <c r="W1435" s="1" t="s">
        <v>85</v>
      </c>
      <c r="X1435" s="1" t="s">
        <v>1370</v>
      </c>
    </row>
    <row r="1436">
      <c r="A1436" s="1" t="s">
        <v>4834</v>
      </c>
      <c r="B1436" s="1" t="s">
        <v>931</v>
      </c>
      <c r="C1436" s="1" t="s">
        <v>4835</v>
      </c>
      <c r="D1436" s="1" t="s">
        <v>103</v>
      </c>
      <c r="E1436" s="1" t="s">
        <v>29</v>
      </c>
      <c r="F1436" s="5">
        <v>700000.0</v>
      </c>
      <c r="G1436" s="1" t="s">
        <v>3964</v>
      </c>
      <c r="H1436" s="4">
        <v>44840.0</v>
      </c>
      <c r="I1436" s="1" t="s">
        <v>1350</v>
      </c>
      <c r="K1436" s="1">
        <v>0.0</v>
      </c>
      <c r="L1436" s="1" t="s">
        <v>1370</v>
      </c>
      <c r="M1436" s="1" t="str">
        <f>VLOOKUP(L1436,'Copy of PMD Workday Constants -'!B1405:Y2091,22,false)</f>
        <v>#N/A</v>
      </c>
      <c r="N1436" s="1" t="s">
        <v>32</v>
      </c>
      <c r="O1436" s="1" t="s">
        <v>33</v>
      </c>
      <c r="P1436" s="1" t="s">
        <v>173</v>
      </c>
      <c r="Q1436" s="1" t="s">
        <v>173</v>
      </c>
      <c r="R1436" s="1" t="s">
        <v>174</v>
      </c>
      <c r="S1436" s="1" t="s">
        <v>153</v>
      </c>
      <c r="T1436" s="1">
        <v>1.00869794E8</v>
      </c>
      <c r="W1436" s="1" t="s">
        <v>85</v>
      </c>
      <c r="X1436" s="1" t="s">
        <v>1370</v>
      </c>
    </row>
    <row r="1437">
      <c r="A1437" s="1" t="s">
        <v>4836</v>
      </c>
      <c r="B1437" s="1" t="s">
        <v>324</v>
      </c>
      <c r="C1437" s="1" t="s">
        <v>4837</v>
      </c>
      <c r="D1437" s="1" t="s">
        <v>28</v>
      </c>
      <c r="E1437" s="1" t="s">
        <v>29</v>
      </c>
      <c r="F1437" s="5">
        <v>700000.0</v>
      </c>
      <c r="G1437" s="1" t="s">
        <v>3964</v>
      </c>
      <c r="H1437" s="1" t="s">
        <v>4838</v>
      </c>
      <c r="I1437" s="1" t="s">
        <v>4839</v>
      </c>
      <c r="K1437" s="1">
        <v>0.0</v>
      </c>
      <c r="L1437" s="1" t="s">
        <v>415</v>
      </c>
      <c r="M1437" s="1" t="str">
        <f>VLOOKUP(L1437,'Copy of PMD Workday Constants -'!B1406:Y2092,22,false)</f>
        <v>#N/A</v>
      </c>
      <c r="N1437" s="1" t="s">
        <v>32</v>
      </c>
      <c r="O1437" s="1" t="s">
        <v>33</v>
      </c>
      <c r="P1437" s="1" t="s">
        <v>210</v>
      </c>
      <c r="Q1437" s="1" t="s">
        <v>210</v>
      </c>
      <c r="R1437" s="1" t="s">
        <v>211</v>
      </c>
      <c r="S1437" s="1" t="s">
        <v>1313</v>
      </c>
      <c r="T1437" s="1">
        <v>1.00650375E8</v>
      </c>
      <c r="W1437" s="1" t="s">
        <v>56</v>
      </c>
      <c r="X1437" s="1" t="s">
        <v>415</v>
      </c>
    </row>
    <row r="1438">
      <c r="A1438" s="1" t="s">
        <v>4840</v>
      </c>
      <c r="B1438" s="1" t="s">
        <v>4841</v>
      </c>
      <c r="C1438" s="1" t="s">
        <v>4842</v>
      </c>
      <c r="D1438" s="1" t="s">
        <v>51</v>
      </c>
      <c r="E1438" s="1" t="s">
        <v>29</v>
      </c>
      <c r="F1438" s="5">
        <v>700000.0</v>
      </c>
      <c r="G1438" s="1" t="s">
        <v>3964</v>
      </c>
      <c r="H1438" s="4">
        <v>44594.0</v>
      </c>
      <c r="I1438" s="1" t="s">
        <v>96</v>
      </c>
      <c r="K1438" s="1">
        <v>0.0</v>
      </c>
      <c r="L1438" s="1" t="s">
        <v>4843</v>
      </c>
      <c r="M1438" s="1" t="str">
        <f>VLOOKUP(L1438,'Copy of PMD Workday Constants -'!B1407:Y2093,22,false)</f>
        <v>#N/A</v>
      </c>
      <c r="N1438" s="1" t="s">
        <v>32</v>
      </c>
      <c r="O1438" s="1" t="s">
        <v>33</v>
      </c>
      <c r="P1438" s="1" t="s">
        <v>64</v>
      </c>
      <c r="Q1438" s="1" t="s">
        <v>64</v>
      </c>
      <c r="R1438" s="1" t="s">
        <v>65</v>
      </c>
      <c r="S1438" s="1" t="s">
        <v>66</v>
      </c>
      <c r="T1438" s="1">
        <v>1.01164038E8</v>
      </c>
      <c r="W1438" s="1" t="s">
        <v>147</v>
      </c>
      <c r="X1438" s="1" t="s">
        <v>4844</v>
      </c>
    </row>
    <row r="1439">
      <c r="A1439" s="1" t="s">
        <v>4845</v>
      </c>
      <c r="B1439" s="1" t="s">
        <v>137</v>
      </c>
      <c r="C1439" s="1" t="s">
        <v>4846</v>
      </c>
      <c r="D1439" s="1" t="s">
        <v>103</v>
      </c>
      <c r="E1439" s="1" t="s">
        <v>29</v>
      </c>
      <c r="F1439" s="5">
        <v>700000.0</v>
      </c>
      <c r="G1439" s="1" t="s">
        <v>3964</v>
      </c>
      <c r="H1439" s="4">
        <v>44236.0</v>
      </c>
      <c r="I1439" s="4">
        <v>44689.0</v>
      </c>
      <c r="K1439" s="1">
        <v>0.0</v>
      </c>
      <c r="L1439" s="1" t="s">
        <v>139</v>
      </c>
      <c r="M1439" s="1" t="str">
        <f>VLOOKUP(L1439,'Copy of PMD Workday Constants -'!B1408:Y2094,22,false)</f>
        <v>#N/A</v>
      </c>
      <c r="N1439" s="1" t="s">
        <v>32</v>
      </c>
      <c r="O1439" s="1" t="s">
        <v>33</v>
      </c>
      <c r="P1439" s="1" t="s">
        <v>112</v>
      </c>
      <c r="Q1439" s="1" t="s">
        <v>112</v>
      </c>
      <c r="R1439" s="1" t="s">
        <v>113</v>
      </c>
      <c r="S1439" s="1" t="s">
        <v>114</v>
      </c>
      <c r="T1439" s="1">
        <v>1.00592496E8</v>
      </c>
      <c r="W1439" s="1" t="s">
        <v>140</v>
      </c>
      <c r="X1439" s="1" t="s">
        <v>139</v>
      </c>
    </row>
    <row r="1440">
      <c r="A1440" s="1" t="s">
        <v>4847</v>
      </c>
      <c r="B1440" s="1" t="s">
        <v>324</v>
      </c>
      <c r="C1440" s="1" t="s">
        <v>4848</v>
      </c>
      <c r="D1440" s="1" t="s">
        <v>51</v>
      </c>
      <c r="E1440" s="1" t="s">
        <v>29</v>
      </c>
      <c r="F1440" s="5">
        <v>700000.0</v>
      </c>
      <c r="G1440" s="1" t="s">
        <v>3964</v>
      </c>
      <c r="H1440" s="1" t="s">
        <v>4849</v>
      </c>
      <c r="I1440" s="1" t="s">
        <v>1673</v>
      </c>
      <c r="K1440" s="1">
        <v>0.0</v>
      </c>
      <c r="L1440" s="1" t="s">
        <v>3731</v>
      </c>
      <c r="M1440" s="1" t="str">
        <f>VLOOKUP(L1440,'Copy of PMD Workday Constants -'!B1409:Y2095,22,false)</f>
        <v>#N/A</v>
      </c>
      <c r="N1440" s="1" t="s">
        <v>32</v>
      </c>
      <c r="O1440" s="1" t="s">
        <v>33</v>
      </c>
      <c r="P1440" s="1" t="s">
        <v>210</v>
      </c>
      <c r="Q1440" s="1" t="s">
        <v>210</v>
      </c>
      <c r="R1440" s="1" t="s">
        <v>211</v>
      </c>
      <c r="T1440" s="1">
        <v>1.00648252E8</v>
      </c>
      <c r="W1440" s="1" t="s">
        <v>56</v>
      </c>
      <c r="X1440" s="1" t="s">
        <v>4850</v>
      </c>
    </row>
    <row r="1441">
      <c r="A1441" s="1" t="s">
        <v>4851</v>
      </c>
      <c r="B1441" s="1" t="s">
        <v>4106</v>
      </c>
      <c r="C1441" s="1" t="s">
        <v>4852</v>
      </c>
      <c r="D1441" s="1" t="s">
        <v>103</v>
      </c>
      <c r="E1441" s="1" t="s">
        <v>29</v>
      </c>
      <c r="F1441" s="5">
        <v>700000.0</v>
      </c>
      <c r="G1441" s="1" t="s">
        <v>3964</v>
      </c>
      <c r="H1441" s="4">
        <v>44810.0</v>
      </c>
      <c r="I1441" s="1" t="s">
        <v>248</v>
      </c>
      <c r="K1441" s="1">
        <v>0.0</v>
      </c>
      <c r="L1441" s="1" t="s">
        <v>1397</v>
      </c>
      <c r="M1441" s="1" t="str">
        <f>VLOOKUP(L1441,'Copy of PMD Workday Constants -'!B1410:Y2096,22,false)</f>
        <v>#N/A</v>
      </c>
      <c r="N1441" s="1" t="s">
        <v>32</v>
      </c>
      <c r="O1441" s="1" t="s">
        <v>33</v>
      </c>
      <c r="P1441" s="1" t="s">
        <v>112</v>
      </c>
      <c r="Q1441" s="1" t="s">
        <v>112</v>
      </c>
      <c r="R1441" s="1" t="s">
        <v>113</v>
      </c>
      <c r="S1441" s="1" t="s">
        <v>134</v>
      </c>
      <c r="T1441" s="1">
        <v>1.00613841E8</v>
      </c>
      <c r="W1441" s="1" t="s">
        <v>74</v>
      </c>
      <c r="X1441" s="1" t="s">
        <v>4853</v>
      </c>
    </row>
    <row r="1442">
      <c r="A1442" s="1" t="s">
        <v>4854</v>
      </c>
      <c r="B1442" s="1" t="s">
        <v>913</v>
      </c>
      <c r="C1442" s="1" t="s">
        <v>4855</v>
      </c>
      <c r="D1442" s="1" t="s">
        <v>28</v>
      </c>
      <c r="E1442" s="1" t="s">
        <v>29</v>
      </c>
      <c r="F1442" s="5">
        <v>700000.0</v>
      </c>
      <c r="G1442" s="1" t="s">
        <v>3964</v>
      </c>
      <c r="H1442" s="1" t="s">
        <v>870</v>
      </c>
      <c r="I1442" s="1" t="s">
        <v>3052</v>
      </c>
      <c r="K1442" s="1">
        <v>0.0</v>
      </c>
      <c r="L1442" s="1" t="s">
        <v>3053</v>
      </c>
      <c r="M1442" s="1" t="str">
        <f>VLOOKUP(L1442,'Copy of PMD Workday Constants -'!B1411:Y2097,22,false)</f>
        <v>#N/A</v>
      </c>
      <c r="N1442" s="1" t="s">
        <v>32</v>
      </c>
      <c r="O1442" s="1" t="s">
        <v>33</v>
      </c>
      <c r="P1442" s="1" t="s">
        <v>173</v>
      </c>
      <c r="Q1442" s="1" t="s">
        <v>173</v>
      </c>
      <c r="R1442" s="1" t="s">
        <v>174</v>
      </c>
      <c r="T1442" s="1">
        <v>1.00626436E8</v>
      </c>
      <c r="W1442" s="1" t="s">
        <v>85</v>
      </c>
      <c r="X1442" s="1" t="s">
        <v>916</v>
      </c>
    </row>
    <row r="1443">
      <c r="A1443" s="1" t="s">
        <v>4856</v>
      </c>
      <c r="B1443" s="1" t="s">
        <v>765</v>
      </c>
      <c r="C1443" s="1" t="s">
        <v>4857</v>
      </c>
      <c r="D1443" s="1" t="s">
        <v>51</v>
      </c>
      <c r="E1443" s="1" t="s">
        <v>29</v>
      </c>
      <c r="F1443" s="5">
        <v>700000.0</v>
      </c>
      <c r="G1443" s="1" t="s">
        <v>3964</v>
      </c>
      <c r="H1443" s="4">
        <v>44717.0</v>
      </c>
      <c r="I1443" s="1" t="s">
        <v>80</v>
      </c>
      <c r="K1443" s="1">
        <v>0.0</v>
      </c>
      <c r="L1443" s="1" t="s">
        <v>2612</v>
      </c>
      <c r="M1443" s="1" t="str">
        <f>VLOOKUP(L1443,'Copy of PMD Workday Constants -'!B1412:Y2098,22,false)</f>
        <v>#N/A</v>
      </c>
      <c r="N1443" s="1" t="s">
        <v>32</v>
      </c>
      <c r="O1443" s="1" t="s">
        <v>33</v>
      </c>
      <c r="P1443" s="1" t="s">
        <v>173</v>
      </c>
      <c r="Q1443" s="1" t="s">
        <v>173</v>
      </c>
      <c r="R1443" s="1" t="s">
        <v>174</v>
      </c>
      <c r="T1443" s="1">
        <v>1.00609544E8</v>
      </c>
      <c r="W1443" s="1" t="s">
        <v>456</v>
      </c>
      <c r="X1443" s="1" t="s">
        <v>4858</v>
      </c>
    </row>
    <row r="1444">
      <c r="A1444" s="1" t="s">
        <v>4859</v>
      </c>
      <c r="B1444" s="1" t="s">
        <v>4860</v>
      </c>
      <c r="C1444" s="1" t="s">
        <v>4861</v>
      </c>
      <c r="D1444" s="1" t="s">
        <v>51</v>
      </c>
      <c r="E1444" s="1" t="s">
        <v>29</v>
      </c>
      <c r="F1444" s="5">
        <v>700000.0</v>
      </c>
      <c r="G1444" s="1" t="s">
        <v>3964</v>
      </c>
      <c r="H1444" s="1" t="s">
        <v>1134</v>
      </c>
      <c r="I1444" s="1" t="s">
        <v>152</v>
      </c>
      <c r="K1444" s="1">
        <v>0.0</v>
      </c>
      <c r="L1444" s="1" t="s">
        <v>1591</v>
      </c>
      <c r="M1444" s="1" t="str">
        <f>VLOOKUP(L1444,'Copy of PMD Workday Constants -'!B1413:Y2099,22,false)</f>
        <v>#N/A</v>
      </c>
      <c r="N1444" s="1" t="s">
        <v>32</v>
      </c>
      <c r="O1444" s="1" t="s">
        <v>33</v>
      </c>
      <c r="P1444" s="1" t="s">
        <v>34</v>
      </c>
      <c r="Q1444" s="1" t="s">
        <v>34</v>
      </c>
      <c r="R1444" s="1" t="s">
        <v>35</v>
      </c>
      <c r="T1444" s="1">
        <v>1.00587799E8</v>
      </c>
      <c r="W1444" s="1" t="s">
        <v>140</v>
      </c>
      <c r="X1444" s="1" t="s">
        <v>1591</v>
      </c>
    </row>
    <row r="1445">
      <c r="A1445" s="1" t="s">
        <v>4862</v>
      </c>
      <c r="B1445" s="1" t="s">
        <v>1062</v>
      </c>
      <c r="C1445" s="1" t="s">
        <v>4863</v>
      </c>
      <c r="D1445" s="1" t="s">
        <v>103</v>
      </c>
      <c r="E1445" s="1" t="s">
        <v>29</v>
      </c>
      <c r="F1445" s="5">
        <v>700000.0</v>
      </c>
      <c r="G1445" s="1" t="s">
        <v>3964</v>
      </c>
      <c r="H1445" s="1" t="s">
        <v>4864</v>
      </c>
      <c r="I1445" s="4">
        <v>44660.0</v>
      </c>
      <c r="K1445" s="1">
        <v>0.0</v>
      </c>
      <c r="L1445" s="1" t="s">
        <v>1065</v>
      </c>
      <c r="M1445" s="1" t="str">
        <f>VLOOKUP(L1445,'Copy of PMD Workday Constants -'!B1414:Y2100,22,false)</f>
        <v>#N/A</v>
      </c>
      <c r="N1445" s="1" t="s">
        <v>32</v>
      </c>
      <c r="O1445" s="1" t="s">
        <v>33</v>
      </c>
      <c r="P1445" s="1" t="s">
        <v>173</v>
      </c>
      <c r="Q1445" s="1" t="s">
        <v>173</v>
      </c>
      <c r="R1445" s="1" t="s">
        <v>174</v>
      </c>
      <c r="S1445" s="1" t="s">
        <v>540</v>
      </c>
      <c r="T1445" s="1">
        <v>1.00594872E8</v>
      </c>
      <c r="W1445" s="1" t="s">
        <v>493</v>
      </c>
      <c r="X1445" s="1" t="s">
        <v>1065</v>
      </c>
    </row>
    <row r="1446">
      <c r="A1446" s="1" t="s">
        <v>4865</v>
      </c>
      <c r="B1446" s="1" t="s">
        <v>4132</v>
      </c>
      <c r="C1446" s="1" t="s">
        <v>4866</v>
      </c>
      <c r="D1446" s="1" t="s">
        <v>103</v>
      </c>
      <c r="E1446" s="1" t="s">
        <v>29</v>
      </c>
      <c r="F1446" s="5">
        <v>700000.0</v>
      </c>
      <c r="G1446" s="1" t="s">
        <v>3964</v>
      </c>
      <c r="H1446" s="4">
        <v>44776.0</v>
      </c>
      <c r="I1446" s="4">
        <v>44840.0</v>
      </c>
      <c r="K1446" s="1">
        <v>0.0</v>
      </c>
      <c r="L1446" s="1" t="s">
        <v>4134</v>
      </c>
      <c r="M1446" s="1" t="str">
        <f>VLOOKUP(L1446,'Copy of PMD Workday Constants -'!B1415:Y2101,22,false)</f>
        <v>#N/A</v>
      </c>
      <c r="N1446" s="1" t="s">
        <v>32</v>
      </c>
      <c r="O1446" s="1" t="s">
        <v>33</v>
      </c>
      <c r="P1446" s="1" t="s">
        <v>210</v>
      </c>
      <c r="Q1446" s="1" t="s">
        <v>210</v>
      </c>
      <c r="R1446" s="1" t="s">
        <v>211</v>
      </c>
      <c r="S1446" s="1" t="s">
        <v>1313</v>
      </c>
      <c r="T1446" s="1">
        <v>1.00945646E8</v>
      </c>
      <c r="W1446" s="1" t="s">
        <v>436</v>
      </c>
      <c r="X1446" s="1" t="s">
        <v>4135</v>
      </c>
    </row>
    <row r="1447">
      <c r="A1447" s="1" t="s">
        <v>4867</v>
      </c>
      <c r="B1447" s="1" t="s">
        <v>4294</v>
      </c>
      <c r="C1447" s="1" t="s">
        <v>4868</v>
      </c>
      <c r="D1447" s="1" t="s">
        <v>51</v>
      </c>
      <c r="E1447" s="1" t="s">
        <v>29</v>
      </c>
      <c r="F1447" s="5">
        <v>700000.0</v>
      </c>
      <c r="G1447" s="1" t="s">
        <v>3964</v>
      </c>
      <c r="H1447" s="4">
        <v>44900.0</v>
      </c>
      <c r="I1447" s="1" t="s">
        <v>80</v>
      </c>
      <c r="K1447" s="1">
        <v>0.0</v>
      </c>
      <c r="L1447" s="1" t="s">
        <v>546</v>
      </c>
      <c r="M1447" s="1" t="str">
        <f>VLOOKUP(L1447,'Copy of PMD Workday Constants -'!B1416:Y2102,22,false)</f>
        <v>#N/A</v>
      </c>
      <c r="N1447" s="1" t="s">
        <v>32</v>
      </c>
      <c r="O1447" s="1" t="s">
        <v>33</v>
      </c>
      <c r="P1447" s="1" t="s">
        <v>64</v>
      </c>
      <c r="Q1447" s="1" t="s">
        <v>64</v>
      </c>
      <c r="R1447" s="1" t="s">
        <v>65</v>
      </c>
      <c r="S1447" s="1" t="s">
        <v>84</v>
      </c>
      <c r="T1447" s="1">
        <v>1.00579505E8</v>
      </c>
      <c r="W1447" s="1" t="s">
        <v>85</v>
      </c>
      <c r="X1447" s="1" t="s">
        <v>4869</v>
      </c>
    </row>
    <row r="1448">
      <c r="A1448" s="1" t="s">
        <v>4870</v>
      </c>
      <c r="B1448" s="1" t="s">
        <v>3585</v>
      </c>
      <c r="C1448" s="1" t="s">
        <v>4871</v>
      </c>
      <c r="D1448" s="1" t="s">
        <v>51</v>
      </c>
      <c r="E1448" s="1" t="s">
        <v>29</v>
      </c>
      <c r="F1448" s="5">
        <v>700000.0</v>
      </c>
      <c r="G1448" s="1" t="s">
        <v>3964</v>
      </c>
      <c r="H1448" s="1" t="s">
        <v>4872</v>
      </c>
      <c r="I1448" s="1" t="s">
        <v>80</v>
      </c>
      <c r="K1448" s="1">
        <v>0.0</v>
      </c>
      <c r="L1448" s="1" t="s">
        <v>4873</v>
      </c>
      <c r="M1448" s="1" t="str">
        <f>VLOOKUP(L1448,'Copy of PMD Workday Constants -'!B1417:Y2103,22,false)</f>
        <v>#N/A</v>
      </c>
      <c r="N1448" s="1" t="s">
        <v>32</v>
      </c>
      <c r="O1448" s="1" t="s">
        <v>33</v>
      </c>
      <c r="P1448" s="1" t="s">
        <v>34</v>
      </c>
      <c r="Q1448" s="1" t="s">
        <v>34</v>
      </c>
      <c r="R1448" s="1" t="s">
        <v>35</v>
      </c>
      <c r="T1448" s="1">
        <v>1.00587881E8</v>
      </c>
      <c r="X1448" s="1" t="s">
        <v>4874</v>
      </c>
    </row>
    <row r="1449">
      <c r="A1449" s="1" t="s">
        <v>4875</v>
      </c>
      <c r="B1449" s="1" t="s">
        <v>1305</v>
      </c>
      <c r="C1449" s="1" t="s">
        <v>4876</v>
      </c>
      <c r="D1449" s="1" t="s">
        <v>51</v>
      </c>
      <c r="E1449" s="1" t="s">
        <v>29</v>
      </c>
      <c r="F1449" s="5">
        <v>700000.0</v>
      </c>
      <c r="G1449" s="1" t="s">
        <v>3964</v>
      </c>
      <c r="H1449" s="4">
        <v>44538.0</v>
      </c>
      <c r="I1449" s="1" t="s">
        <v>302</v>
      </c>
      <c r="K1449" s="1">
        <v>0.0</v>
      </c>
      <c r="L1449" s="1" t="s">
        <v>767</v>
      </c>
      <c r="M1449" s="1" t="str">
        <f>VLOOKUP(L1449,'Copy of PMD Workday Constants -'!B1418:Y2104,22,false)</f>
        <v>#N/A</v>
      </c>
      <c r="N1449" s="1" t="s">
        <v>32</v>
      </c>
      <c r="O1449" s="1" t="s">
        <v>33</v>
      </c>
      <c r="P1449" s="1" t="s">
        <v>82</v>
      </c>
      <c r="Q1449" s="1" t="s">
        <v>82</v>
      </c>
      <c r="R1449" s="1" t="s">
        <v>83</v>
      </c>
      <c r="S1449" s="1" t="s">
        <v>583</v>
      </c>
      <c r="T1449" s="1">
        <v>1.00589481E8</v>
      </c>
      <c r="W1449" s="1" t="s">
        <v>456</v>
      </c>
      <c r="X1449" s="1" t="s">
        <v>767</v>
      </c>
    </row>
    <row r="1450">
      <c r="A1450" s="1" t="s">
        <v>4877</v>
      </c>
      <c r="B1450" s="1" t="s">
        <v>751</v>
      </c>
      <c r="C1450" s="1" t="s">
        <v>4878</v>
      </c>
      <c r="D1450" s="1" t="s">
        <v>103</v>
      </c>
      <c r="E1450" s="1" t="s">
        <v>29</v>
      </c>
      <c r="F1450" s="5">
        <v>695000.0</v>
      </c>
      <c r="G1450" s="1" t="s">
        <v>3964</v>
      </c>
      <c r="H1450" s="1" t="s">
        <v>4625</v>
      </c>
      <c r="I1450" s="4">
        <v>44572.0</v>
      </c>
      <c r="K1450" s="1">
        <v>0.0</v>
      </c>
      <c r="L1450" s="1" t="s">
        <v>753</v>
      </c>
      <c r="M1450" s="1" t="str">
        <f>VLOOKUP(L1450,'Copy of PMD Workday Constants -'!B1419:Y2105,22,false)</f>
        <v>#N/A</v>
      </c>
      <c r="N1450" s="1" t="s">
        <v>32</v>
      </c>
      <c r="O1450" s="1" t="s">
        <v>33</v>
      </c>
      <c r="P1450" s="1" t="s">
        <v>82</v>
      </c>
      <c r="Q1450" s="1" t="s">
        <v>82</v>
      </c>
      <c r="R1450" s="1" t="s">
        <v>83</v>
      </c>
      <c r="S1450" s="1" t="s">
        <v>180</v>
      </c>
      <c r="T1450" s="1">
        <v>1.0061032E8</v>
      </c>
      <c r="W1450" s="1" t="s">
        <v>85</v>
      </c>
      <c r="X1450" s="1" t="s">
        <v>4879</v>
      </c>
    </row>
    <row r="1451">
      <c r="A1451" s="1" t="s">
        <v>4880</v>
      </c>
      <c r="B1451" s="1" t="s">
        <v>4881</v>
      </c>
      <c r="C1451" s="1" t="s">
        <v>4882</v>
      </c>
      <c r="D1451" s="1" t="s">
        <v>51</v>
      </c>
      <c r="E1451" s="1" t="s">
        <v>29</v>
      </c>
      <c r="F1451" s="5">
        <v>690000.0</v>
      </c>
      <c r="G1451" s="1" t="s">
        <v>3964</v>
      </c>
      <c r="H1451" s="1" t="s">
        <v>3781</v>
      </c>
      <c r="I1451" s="1" t="s">
        <v>732</v>
      </c>
      <c r="K1451" s="1">
        <v>0.0</v>
      </c>
      <c r="L1451" s="1" t="s">
        <v>2954</v>
      </c>
      <c r="M1451" s="1" t="str">
        <f>VLOOKUP(L1451,'Copy of PMD Workday Constants -'!B1420:Y2106,22,false)</f>
        <v>#N/A</v>
      </c>
      <c r="N1451" s="1" t="s">
        <v>32</v>
      </c>
      <c r="O1451" s="1" t="s">
        <v>33</v>
      </c>
      <c r="P1451" s="1" t="s">
        <v>34</v>
      </c>
      <c r="Q1451" s="1" t="s">
        <v>34</v>
      </c>
      <c r="R1451" s="1" t="s">
        <v>35</v>
      </c>
      <c r="S1451" s="1" t="s">
        <v>126</v>
      </c>
      <c r="T1451" s="1">
        <v>1.00589948E8</v>
      </c>
      <c r="W1451" s="1" t="s">
        <v>115</v>
      </c>
      <c r="X1451" s="1" t="s">
        <v>4433</v>
      </c>
    </row>
    <row r="1452">
      <c r="A1452" s="1" t="s">
        <v>4883</v>
      </c>
      <c r="B1452" s="1" t="s">
        <v>3521</v>
      </c>
      <c r="C1452" s="1" t="s">
        <v>4884</v>
      </c>
      <c r="D1452" s="1" t="s">
        <v>79</v>
      </c>
      <c r="E1452" s="1" t="s">
        <v>29</v>
      </c>
      <c r="F1452" s="5">
        <v>690000.0</v>
      </c>
      <c r="G1452" s="1" t="s">
        <v>3964</v>
      </c>
      <c r="H1452" s="4">
        <v>44565.0</v>
      </c>
      <c r="I1452" s="1" t="s">
        <v>4885</v>
      </c>
      <c r="K1452" s="1">
        <v>0.0</v>
      </c>
      <c r="L1452" s="1" t="s">
        <v>1534</v>
      </c>
      <c r="M1452" s="1" t="str">
        <f>VLOOKUP(L1452,'Copy of PMD Workday Constants -'!B1421:Y2107,22,false)</f>
        <v>#N/A</v>
      </c>
      <c r="N1452" s="1" t="s">
        <v>32</v>
      </c>
      <c r="O1452" s="1" t="s">
        <v>33</v>
      </c>
      <c r="P1452" s="1" t="s">
        <v>82</v>
      </c>
      <c r="Q1452" s="1" t="s">
        <v>82</v>
      </c>
      <c r="R1452" s="1" t="s">
        <v>83</v>
      </c>
      <c r="S1452" s="1" t="s">
        <v>84</v>
      </c>
      <c r="T1452" s="1">
        <v>1.00618842E8</v>
      </c>
      <c r="W1452" s="1" t="s">
        <v>85</v>
      </c>
      <c r="X1452" s="1" t="s">
        <v>1534</v>
      </c>
    </row>
    <row r="1453">
      <c r="A1453" s="1" t="s">
        <v>4886</v>
      </c>
      <c r="B1453" s="1" t="s">
        <v>4887</v>
      </c>
      <c r="C1453" s="1" t="s">
        <v>4888</v>
      </c>
      <c r="D1453" s="1" t="s">
        <v>103</v>
      </c>
      <c r="E1453" s="1" t="s">
        <v>29</v>
      </c>
      <c r="F1453" s="5">
        <v>684000.0</v>
      </c>
      <c r="G1453" s="1" t="s">
        <v>3964</v>
      </c>
      <c r="H1453" s="4">
        <v>44657.0</v>
      </c>
      <c r="I1453" s="1" t="s">
        <v>326</v>
      </c>
      <c r="K1453" s="1">
        <v>0.0</v>
      </c>
      <c r="L1453" s="1" t="s">
        <v>871</v>
      </c>
      <c r="M1453" s="1" t="str">
        <f>VLOOKUP(L1453,'Copy of PMD Workday Constants -'!B1422:Y2108,22,false)</f>
        <v>#N/A</v>
      </c>
      <c r="N1453" s="1" t="s">
        <v>32</v>
      </c>
      <c r="O1453" s="1" t="s">
        <v>33</v>
      </c>
      <c r="P1453" s="1" t="s">
        <v>64</v>
      </c>
      <c r="Q1453" s="1" t="s">
        <v>64</v>
      </c>
      <c r="R1453" s="1" t="s">
        <v>65</v>
      </c>
      <c r="T1453" s="1">
        <v>1.00653785E8</v>
      </c>
      <c r="W1453" s="1" t="s">
        <v>37</v>
      </c>
      <c r="X1453" s="1" t="s">
        <v>4889</v>
      </c>
    </row>
    <row r="1454">
      <c r="A1454" s="1" t="s">
        <v>4890</v>
      </c>
      <c r="B1454" s="1" t="s">
        <v>77</v>
      </c>
      <c r="C1454" s="1" t="s">
        <v>4891</v>
      </c>
      <c r="D1454" s="1" t="s">
        <v>103</v>
      </c>
      <c r="E1454" s="1" t="s">
        <v>29</v>
      </c>
      <c r="F1454" s="5">
        <v>684000.0</v>
      </c>
      <c r="G1454" s="1" t="s">
        <v>3964</v>
      </c>
      <c r="H1454" s="1" t="s">
        <v>4892</v>
      </c>
      <c r="I1454" s="1" t="s">
        <v>816</v>
      </c>
      <c r="K1454" s="1">
        <v>0.0</v>
      </c>
      <c r="L1454" s="1" t="s">
        <v>3201</v>
      </c>
      <c r="M1454" s="1" t="str">
        <f>VLOOKUP(L1454,'Copy of PMD Workday Constants -'!B1423:Y2109,22,false)</f>
        <v>#N/A</v>
      </c>
      <c r="N1454" s="1" t="s">
        <v>32</v>
      </c>
      <c r="O1454" s="1" t="s">
        <v>33</v>
      </c>
      <c r="P1454" s="1" t="s">
        <v>34</v>
      </c>
      <c r="Q1454" s="1" t="s">
        <v>34</v>
      </c>
      <c r="R1454" s="1" t="s">
        <v>35</v>
      </c>
      <c r="S1454" s="1" t="s">
        <v>126</v>
      </c>
      <c r="T1454" s="1">
        <v>1.00651946E8</v>
      </c>
      <c r="W1454" s="1" t="s">
        <v>85</v>
      </c>
      <c r="X1454" s="1" t="s">
        <v>4893</v>
      </c>
    </row>
    <row r="1455">
      <c r="A1455" s="1" t="s">
        <v>4894</v>
      </c>
      <c r="B1455" s="1" t="s">
        <v>756</v>
      </c>
      <c r="C1455" s="1" t="s">
        <v>4895</v>
      </c>
      <c r="D1455" s="1" t="s">
        <v>103</v>
      </c>
      <c r="E1455" s="1" t="s">
        <v>29</v>
      </c>
      <c r="F1455" s="5">
        <v>682000.0</v>
      </c>
      <c r="G1455" s="1" t="s">
        <v>3964</v>
      </c>
      <c r="H1455" s="4">
        <v>44840.0</v>
      </c>
      <c r="I1455" s="1" t="s">
        <v>248</v>
      </c>
      <c r="K1455" s="1">
        <v>0.0</v>
      </c>
      <c r="L1455" s="1" t="s">
        <v>1344</v>
      </c>
      <c r="M1455" s="1" t="str">
        <f>VLOOKUP(L1455,'Copy of PMD Workday Constants -'!B1424:Y2110,22,false)</f>
        <v>#N/A</v>
      </c>
      <c r="N1455" s="1" t="s">
        <v>32</v>
      </c>
      <c r="O1455" s="1" t="s">
        <v>33</v>
      </c>
      <c r="P1455" s="1" t="s">
        <v>112</v>
      </c>
      <c r="Q1455" s="1" t="s">
        <v>112</v>
      </c>
      <c r="R1455" s="1" t="s">
        <v>113</v>
      </c>
      <c r="S1455" s="1" t="s">
        <v>134</v>
      </c>
      <c r="T1455" s="1">
        <v>1.0061941E8</v>
      </c>
      <c r="W1455" s="1" t="s">
        <v>74</v>
      </c>
      <c r="X1455" s="1" t="s">
        <v>1711</v>
      </c>
    </row>
    <row r="1456">
      <c r="A1456" s="1" t="s">
        <v>4896</v>
      </c>
      <c r="B1456" s="1" t="s">
        <v>3355</v>
      </c>
      <c r="C1456" s="1" t="s">
        <v>4897</v>
      </c>
      <c r="D1456" s="1" t="s">
        <v>103</v>
      </c>
      <c r="E1456" s="1" t="s">
        <v>29</v>
      </c>
      <c r="F1456" s="5">
        <v>680360.0</v>
      </c>
      <c r="G1456" s="1" t="s">
        <v>3964</v>
      </c>
      <c r="H1456" s="4">
        <v>44622.0</v>
      </c>
      <c r="I1456" s="1" t="s">
        <v>4147</v>
      </c>
      <c r="K1456" s="1">
        <v>0.0</v>
      </c>
      <c r="L1456" s="1" t="s">
        <v>72</v>
      </c>
      <c r="M1456" s="1" t="str">
        <f>VLOOKUP(L1456,'Copy of PMD Workday Constants -'!B1425:Y2111,22,false)</f>
        <v>#N/A</v>
      </c>
      <c r="N1456" s="1" t="s">
        <v>32</v>
      </c>
      <c r="O1456" s="1" t="s">
        <v>33</v>
      </c>
      <c r="P1456" s="1" t="s">
        <v>34</v>
      </c>
      <c r="Q1456" s="1" t="s">
        <v>34</v>
      </c>
      <c r="R1456" s="1" t="s">
        <v>35</v>
      </c>
      <c r="S1456" s="1" t="s">
        <v>126</v>
      </c>
      <c r="T1456" s="1">
        <v>1.0060843E8</v>
      </c>
      <c r="W1456" s="1" t="s">
        <v>74</v>
      </c>
      <c r="X1456" s="1" t="s">
        <v>72</v>
      </c>
    </row>
    <row r="1457">
      <c r="A1457" s="1" t="s">
        <v>4898</v>
      </c>
      <c r="B1457" s="1" t="s">
        <v>1009</v>
      </c>
      <c r="C1457" s="1" t="s">
        <v>4899</v>
      </c>
      <c r="D1457" s="1" t="s">
        <v>103</v>
      </c>
      <c r="E1457" s="1" t="s">
        <v>29</v>
      </c>
      <c r="F1457" s="5">
        <v>680000.0</v>
      </c>
      <c r="G1457" s="1" t="s">
        <v>3964</v>
      </c>
      <c r="H1457" s="4">
        <v>44626.0</v>
      </c>
      <c r="I1457" s="1" t="s">
        <v>96</v>
      </c>
      <c r="K1457" s="1">
        <v>0.0</v>
      </c>
      <c r="L1457" s="1" t="s">
        <v>3352</v>
      </c>
      <c r="M1457" s="1" t="str">
        <f>VLOOKUP(L1457,'Copy of PMD Workday Constants -'!B1426:Y2112,22,false)</f>
        <v>#N/A</v>
      </c>
      <c r="N1457" s="1" t="s">
        <v>32</v>
      </c>
      <c r="O1457" s="1" t="s">
        <v>33</v>
      </c>
      <c r="P1457" s="1" t="s">
        <v>54</v>
      </c>
      <c r="Q1457" s="1" t="s">
        <v>54</v>
      </c>
      <c r="R1457" s="1" t="s">
        <v>55</v>
      </c>
      <c r="T1457" s="1">
        <v>1.00904603E8</v>
      </c>
      <c r="X1457" s="1" t="s">
        <v>4900</v>
      </c>
    </row>
    <row r="1458">
      <c r="A1458" s="1" t="s">
        <v>4901</v>
      </c>
      <c r="B1458" s="1" t="s">
        <v>610</v>
      </c>
      <c r="C1458" s="1" t="s">
        <v>4902</v>
      </c>
      <c r="D1458" s="1" t="s">
        <v>103</v>
      </c>
      <c r="E1458" s="1" t="s">
        <v>29</v>
      </c>
      <c r="F1458" s="5">
        <v>680000.0</v>
      </c>
      <c r="G1458" s="1" t="s">
        <v>3964</v>
      </c>
      <c r="H1458" s="1" t="s">
        <v>1765</v>
      </c>
      <c r="I1458" s="1" t="s">
        <v>132</v>
      </c>
      <c r="K1458" s="1">
        <v>0.0</v>
      </c>
      <c r="L1458" s="1" t="s">
        <v>387</v>
      </c>
      <c r="M1458" s="1" t="str">
        <f>VLOOKUP(L1458,'Copy of PMD Workday Constants -'!B1427:Y2113,22,false)</f>
        <v>#N/A</v>
      </c>
      <c r="N1458" s="1" t="s">
        <v>32</v>
      </c>
      <c r="O1458" s="1" t="s">
        <v>33</v>
      </c>
      <c r="P1458" s="1" t="s">
        <v>34</v>
      </c>
      <c r="Q1458" s="1" t="s">
        <v>34</v>
      </c>
      <c r="R1458" s="1" t="s">
        <v>35</v>
      </c>
      <c r="S1458" s="1" t="s">
        <v>383</v>
      </c>
      <c r="T1458" s="1">
        <v>1.00642129E8</v>
      </c>
      <c r="V1458" s="1" t="s">
        <v>67</v>
      </c>
      <c r="W1458" s="1" t="s">
        <v>140</v>
      </c>
      <c r="X1458" s="1" t="s">
        <v>1068</v>
      </c>
    </row>
    <row r="1459">
      <c r="A1459" s="1" t="s">
        <v>4903</v>
      </c>
      <c r="B1459" s="1" t="s">
        <v>70</v>
      </c>
      <c r="C1459" s="1" t="s">
        <v>4904</v>
      </c>
      <c r="D1459" s="1" t="s">
        <v>51</v>
      </c>
      <c r="E1459" s="1" t="s">
        <v>29</v>
      </c>
      <c r="F1459" s="5">
        <v>675000.0</v>
      </c>
      <c r="G1459" s="1" t="s">
        <v>3964</v>
      </c>
      <c r="H1459" s="4">
        <v>44900.0</v>
      </c>
      <c r="I1459" s="1" t="s">
        <v>152</v>
      </c>
      <c r="K1459" s="1">
        <v>0.0</v>
      </c>
      <c r="L1459" s="1" t="s">
        <v>1823</v>
      </c>
      <c r="M1459" s="1" t="str">
        <f>VLOOKUP(L1459,'Copy of PMD Workday Constants -'!B1428:Y2114,22,false)</f>
        <v>#N/A</v>
      </c>
      <c r="N1459" s="1" t="s">
        <v>32</v>
      </c>
      <c r="O1459" s="1" t="s">
        <v>33</v>
      </c>
      <c r="P1459" s="1" t="s">
        <v>222</v>
      </c>
      <c r="Q1459" s="1" t="s">
        <v>222</v>
      </c>
      <c r="R1459" s="1" t="s">
        <v>223</v>
      </c>
      <c r="T1459" s="1">
        <v>1.0064195E8</v>
      </c>
      <c r="W1459" s="1" t="s">
        <v>74</v>
      </c>
      <c r="X1459" s="1" t="s">
        <v>1823</v>
      </c>
    </row>
    <row r="1460">
      <c r="A1460" s="1" t="s">
        <v>4905</v>
      </c>
      <c r="B1460" s="1" t="s">
        <v>507</v>
      </c>
      <c r="C1460" s="1" t="s">
        <v>4906</v>
      </c>
      <c r="D1460" s="1" t="s">
        <v>51</v>
      </c>
      <c r="E1460" s="1" t="s">
        <v>29</v>
      </c>
      <c r="F1460" s="5">
        <v>670000.0</v>
      </c>
      <c r="G1460" s="1" t="s">
        <v>3964</v>
      </c>
      <c r="H1460" s="1" t="s">
        <v>4907</v>
      </c>
      <c r="I1460" s="1" t="s">
        <v>302</v>
      </c>
      <c r="K1460" s="1">
        <v>0.0</v>
      </c>
      <c r="L1460" s="1" t="s">
        <v>1282</v>
      </c>
      <c r="M1460" s="1" t="str">
        <f>VLOOKUP(L1460,'Copy of PMD Workday Constants -'!B1429:Y2115,22,false)</f>
        <v>#N/A</v>
      </c>
      <c r="N1460" s="1" t="s">
        <v>32</v>
      </c>
      <c r="O1460" s="1" t="s">
        <v>33</v>
      </c>
      <c r="P1460" s="1" t="s">
        <v>34</v>
      </c>
      <c r="Q1460" s="1" t="s">
        <v>34</v>
      </c>
      <c r="R1460" s="1" t="s">
        <v>35</v>
      </c>
      <c r="S1460" s="1" t="s">
        <v>1166</v>
      </c>
      <c r="T1460" s="1">
        <v>1.006096E8</v>
      </c>
      <c r="W1460" s="1" t="s">
        <v>456</v>
      </c>
      <c r="X1460" s="1" t="s">
        <v>1282</v>
      </c>
    </row>
    <row r="1461">
      <c r="A1461" s="1" t="s">
        <v>4908</v>
      </c>
      <c r="B1461" s="1" t="s">
        <v>756</v>
      </c>
      <c r="C1461" s="1" t="s">
        <v>4909</v>
      </c>
      <c r="D1461" s="1" t="s">
        <v>103</v>
      </c>
      <c r="E1461" s="1" t="s">
        <v>29</v>
      </c>
      <c r="F1461" s="5">
        <v>670000.0</v>
      </c>
      <c r="G1461" s="1" t="s">
        <v>3964</v>
      </c>
      <c r="H1461" s="1" t="s">
        <v>301</v>
      </c>
      <c r="I1461" s="1" t="s">
        <v>526</v>
      </c>
      <c r="K1461" s="1">
        <v>0.0</v>
      </c>
      <c r="L1461" s="1" t="s">
        <v>1723</v>
      </c>
      <c r="M1461" s="1" t="str">
        <f>VLOOKUP(L1461,'Copy of PMD Workday Constants -'!B1430:Y2116,22,false)</f>
        <v>#N/A</v>
      </c>
      <c r="N1461" s="1" t="s">
        <v>32</v>
      </c>
      <c r="O1461" s="1" t="s">
        <v>33</v>
      </c>
      <c r="P1461" s="1" t="s">
        <v>222</v>
      </c>
      <c r="Q1461" s="1" t="s">
        <v>222</v>
      </c>
      <c r="R1461" s="1" t="s">
        <v>223</v>
      </c>
      <c r="S1461" s="1" t="s">
        <v>601</v>
      </c>
      <c r="T1461" s="1">
        <v>1.00901211E8</v>
      </c>
      <c r="W1461" s="1" t="s">
        <v>74</v>
      </c>
      <c r="X1461" s="1" t="s">
        <v>3045</v>
      </c>
    </row>
    <row r="1462">
      <c r="A1462" s="1" t="s">
        <v>4910</v>
      </c>
      <c r="B1462" s="1" t="s">
        <v>4911</v>
      </c>
      <c r="C1462" s="1" t="s">
        <v>4912</v>
      </c>
      <c r="D1462" s="1" t="s">
        <v>103</v>
      </c>
      <c r="E1462" s="1" t="s">
        <v>29</v>
      </c>
      <c r="F1462" s="5">
        <v>670000.0</v>
      </c>
      <c r="G1462" s="1" t="s">
        <v>3964</v>
      </c>
      <c r="H1462" s="4">
        <v>44625.0</v>
      </c>
      <c r="I1462" s="1" t="s">
        <v>80</v>
      </c>
      <c r="K1462" s="1">
        <v>0.0</v>
      </c>
      <c r="L1462" s="1" t="s">
        <v>790</v>
      </c>
      <c r="M1462" s="1" t="str">
        <f>VLOOKUP(L1462,'Copy of PMD Workday Constants -'!B1431:Y2117,22,false)</f>
        <v>#N/A</v>
      </c>
      <c r="N1462" s="1" t="s">
        <v>32</v>
      </c>
      <c r="O1462" s="1" t="s">
        <v>33</v>
      </c>
      <c r="P1462" s="1" t="s">
        <v>64</v>
      </c>
      <c r="Q1462" s="1" t="s">
        <v>64</v>
      </c>
      <c r="R1462" s="1" t="s">
        <v>65</v>
      </c>
      <c r="S1462" s="1" t="s">
        <v>791</v>
      </c>
      <c r="T1462" s="1">
        <v>1.00661738E8</v>
      </c>
      <c r="W1462" s="1" t="s">
        <v>456</v>
      </c>
      <c r="X1462" s="1" t="s">
        <v>3259</v>
      </c>
    </row>
    <row r="1463">
      <c r="A1463" s="1" t="s">
        <v>4913</v>
      </c>
      <c r="B1463" s="1" t="s">
        <v>776</v>
      </c>
      <c r="C1463" s="1" t="s">
        <v>4914</v>
      </c>
      <c r="D1463" s="1" t="s">
        <v>103</v>
      </c>
      <c r="E1463" s="1" t="s">
        <v>29</v>
      </c>
      <c r="F1463" s="5">
        <v>660000.0</v>
      </c>
      <c r="G1463" s="1" t="s">
        <v>3964</v>
      </c>
      <c r="H1463" s="1" t="s">
        <v>170</v>
      </c>
      <c r="I1463" s="1" t="s">
        <v>104</v>
      </c>
      <c r="K1463" s="1">
        <v>0.0</v>
      </c>
      <c r="L1463" s="1" t="s">
        <v>1170</v>
      </c>
      <c r="M1463" s="1" t="str">
        <f>VLOOKUP(L1463,'Copy of PMD Workday Constants -'!B1432:Y2118,22,false)</f>
        <v>#N/A</v>
      </c>
      <c r="N1463" s="1" t="s">
        <v>32</v>
      </c>
      <c r="O1463" s="1" t="s">
        <v>33</v>
      </c>
      <c r="P1463" s="1" t="s">
        <v>112</v>
      </c>
      <c r="Q1463" s="1" t="s">
        <v>112</v>
      </c>
      <c r="R1463" s="1" t="s">
        <v>113</v>
      </c>
      <c r="S1463" s="1" t="s">
        <v>4915</v>
      </c>
      <c r="T1463" s="1">
        <v>1.00595231E8</v>
      </c>
      <c r="U1463" s="1" t="s">
        <v>4916</v>
      </c>
      <c r="V1463" s="1" t="s">
        <v>46</v>
      </c>
      <c r="W1463" s="1" t="s">
        <v>74</v>
      </c>
      <c r="X1463" s="1" t="s">
        <v>4917</v>
      </c>
    </row>
    <row r="1464">
      <c r="A1464" s="1" t="s">
        <v>4918</v>
      </c>
      <c r="B1464" s="1" t="s">
        <v>4919</v>
      </c>
      <c r="C1464" s="1" t="s">
        <v>4920</v>
      </c>
      <c r="D1464" s="1" t="s">
        <v>103</v>
      </c>
      <c r="E1464" s="1" t="s">
        <v>29</v>
      </c>
      <c r="F1464" s="5">
        <v>660000.0</v>
      </c>
      <c r="G1464" s="1" t="s">
        <v>3964</v>
      </c>
      <c r="H1464" s="1" t="s">
        <v>2515</v>
      </c>
      <c r="I1464" s="4">
        <v>44570.0</v>
      </c>
      <c r="K1464" s="1">
        <v>0.0</v>
      </c>
      <c r="L1464" s="1" t="s">
        <v>4921</v>
      </c>
      <c r="M1464" s="1" t="str">
        <f>VLOOKUP(L1464,'Copy of PMD Workday Constants -'!B1433:Y2119,22,false)</f>
        <v>#N/A</v>
      </c>
      <c r="N1464" s="1" t="s">
        <v>32</v>
      </c>
      <c r="O1464" s="1" t="s">
        <v>33</v>
      </c>
      <c r="P1464" s="1" t="s">
        <v>54</v>
      </c>
      <c r="Q1464" s="1" t="s">
        <v>54</v>
      </c>
      <c r="R1464" s="1" t="s">
        <v>55</v>
      </c>
      <c r="S1464" s="1" t="s">
        <v>4414</v>
      </c>
      <c r="T1464" s="1">
        <v>1.00603236E8</v>
      </c>
      <c r="W1464" s="1" t="s">
        <v>74</v>
      </c>
      <c r="X1464" s="1" t="s">
        <v>4921</v>
      </c>
    </row>
    <row r="1465">
      <c r="A1465" s="1" t="s">
        <v>4922</v>
      </c>
      <c r="B1465" s="1" t="s">
        <v>637</v>
      </c>
      <c r="C1465" s="1" t="s">
        <v>4923</v>
      </c>
      <c r="D1465" s="1" t="s">
        <v>51</v>
      </c>
      <c r="E1465" s="1" t="s">
        <v>29</v>
      </c>
      <c r="F1465" s="5">
        <v>660000.0</v>
      </c>
      <c r="G1465" s="1" t="s">
        <v>3964</v>
      </c>
      <c r="H1465" s="1" t="s">
        <v>2463</v>
      </c>
      <c r="I1465" s="1" t="s">
        <v>96</v>
      </c>
      <c r="K1465" s="1">
        <v>0.0</v>
      </c>
      <c r="L1465" s="1" t="s">
        <v>4924</v>
      </c>
      <c r="M1465" s="1" t="str">
        <f>VLOOKUP(L1465,'Copy of PMD Workday Constants -'!B1434:Y2120,22,false)</f>
        <v>#N/A</v>
      </c>
      <c r="N1465" s="1" t="s">
        <v>32</v>
      </c>
      <c r="O1465" s="1" t="s">
        <v>33</v>
      </c>
      <c r="P1465" s="1" t="s">
        <v>210</v>
      </c>
      <c r="Q1465" s="1" t="s">
        <v>210</v>
      </c>
      <c r="R1465" s="1" t="s">
        <v>211</v>
      </c>
      <c r="S1465" s="1" t="s">
        <v>212</v>
      </c>
      <c r="T1465" s="1">
        <v>1.00634482E8</v>
      </c>
      <c r="W1465" s="1" t="s">
        <v>56</v>
      </c>
      <c r="X1465" s="1" t="s">
        <v>4925</v>
      </c>
    </row>
    <row r="1466">
      <c r="A1466" s="1" t="s">
        <v>4926</v>
      </c>
      <c r="B1466" s="1" t="s">
        <v>615</v>
      </c>
      <c r="C1466" s="1" t="s">
        <v>4927</v>
      </c>
      <c r="D1466" s="1" t="s">
        <v>28</v>
      </c>
      <c r="E1466" s="1" t="s">
        <v>29</v>
      </c>
      <c r="F1466" s="5">
        <v>650000.0</v>
      </c>
      <c r="G1466" s="1" t="s">
        <v>3964</v>
      </c>
      <c r="H1466" s="4">
        <v>44597.0</v>
      </c>
      <c r="I1466" s="1" t="s">
        <v>810</v>
      </c>
      <c r="K1466" s="1">
        <v>0.0</v>
      </c>
      <c r="L1466" s="1" t="s">
        <v>618</v>
      </c>
      <c r="M1466" s="1" t="str">
        <f>VLOOKUP(L1466,'Copy of PMD Workday Constants -'!B1435:Y2121,22,false)</f>
        <v>#N/A</v>
      </c>
      <c r="N1466" s="1" t="s">
        <v>32</v>
      </c>
      <c r="O1466" s="1" t="s">
        <v>33</v>
      </c>
      <c r="P1466" s="1" t="s">
        <v>173</v>
      </c>
      <c r="Q1466" s="1" t="s">
        <v>173</v>
      </c>
      <c r="R1466" s="1" t="s">
        <v>174</v>
      </c>
      <c r="T1466" s="1">
        <v>1.00591141E8</v>
      </c>
      <c r="W1466" s="1" t="s">
        <v>74</v>
      </c>
      <c r="X1466" s="1" t="s">
        <v>4928</v>
      </c>
    </row>
    <row r="1467">
      <c r="A1467" s="1" t="s">
        <v>4929</v>
      </c>
      <c r="B1467" s="1" t="s">
        <v>610</v>
      </c>
      <c r="C1467" s="1" t="s">
        <v>4930</v>
      </c>
      <c r="D1467" s="1" t="s">
        <v>28</v>
      </c>
      <c r="E1467" s="1" t="s">
        <v>29</v>
      </c>
      <c r="F1467" s="5">
        <v>650000.0</v>
      </c>
      <c r="G1467" s="1" t="s">
        <v>3964</v>
      </c>
      <c r="H1467" s="4">
        <v>44566.0</v>
      </c>
      <c r="I1467" s="1" t="s">
        <v>43</v>
      </c>
      <c r="K1467" s="1">
        <v>0.0</v>
      </c>
      <c r="L1467" s="1" t="s">
        <v>338</v>
      </c>
      <c r="M1467" s="1" t="str">
        <f>VLOOKUP(L1467,'Copy of PMD Workday Constants -'!B1436:Y2122,22,false)</f>
        <v>#N/A</v>
      </c>
      <c r="N1467" s="1" t="s">
        <v>32</v>
      </c>
      <c r="O1467" s="1" t="s">
        <v>33</v>
      </c>
      <c r="P1467" s="1" t="s">
        <v>34</v>
      </c>
      <c r="Q1467" s="1" t="s">
        <v>34</v>
      </c>
      <c r="R1467" s="1" t="s">
        <v>35</v>
      </c>
      <c r="S1467" s="1" t="s">
        <v>126</v>
      </c>
      <c r="T1467" s="1">
        <v>1.00619817E8</v>
      </c>
      <c r="W1467" s="1" t="s">
        <v>533</v>
      </c>
      <c r="X1467" s="1" t="s">
        <v>4931</v>
      </c>
    </row>
    <row r="1468">
      <c r="A1468" s="1" t="s">
        <v>4932</v>
      </c>
      <c r="B1468" s="1" t="s">
        <v>3549</v>
      </c>
      <c r="C1468" s="1" t="s">
        <v>4933</v>
      </c>
      <c r="D1468" s="1" t="s">
        <v>51</v>
      </c>
      <c r="E1468" s="1" t="s">
        <v>29</v>
      </c>
      <c r="F1468" s="5">
        <v>650000.0</v>
      </c>
      <c r="G1468" s="1" t="s">
        <v>3964</v>
      </c>
      <c r="H1468" s="4">
        <v>44567.0</v>
      </c>
      <c r="I1468" s="4">
        <v>45201.0</v>
      </c>
      <c r="K1468" s="1">
        <v>0.0</v>
      </c>
      <c r="L1468" s="1" t="s">
        <v>2954</v>
      </c>
      <c r="M1468" s="1" t="str">
        <f>VLOOKUP(L1468,'Copy of PMD Workday Constants -'!B1437:Y2123,22,false)</f>
        <v>#N/A</v>
      </c>
      <c r="N1468" s="1" t="s">
        <v>32</v>
      </c>
      <c r="O1468" s="1" t="s">
        <v>33</v>
      </c>
      <c r="P1468" s="1" t="s">
        <v>34</v>
      </c>
      <c r="Q1468" s="1" t="s">
        <v>34</v>
      </c>
      <c r="R1468" s="1" t="s">
        <v>35</v>
      </c>
      <c r="S1468" s="1" t="s">
        <v>126</v>
      </c>
      <c r="T1468" s="1">
        <v>1.00589948E8</v>
      </c>
      <c r="W1468" s="1" t="s">
        <v>308</v>
      </c>
      <c r="X1468" s="1" t="s">
        <v>2954</v>
      </c>
    </row>
    <row r="1469">
      <c r="A1469" s="1" t="s">
        <v>4934</v>
      </c>
      <c r="B1469" s="1" t="s">
        <v>4935</v>
      </c>
      <c r="C1469" s="1" t="s">
        <v>4936</v>
      </c>
      <c r="D1469" s="1" t="s">
        <v>103</v>
      </c>
      <c r="E1469" s="1" t="s">
        <v>29</v>
      </c>
      <c r="F1469" s="5">
        <v>650000.0</v>
      </c>
      <c r="G1469" s="1" t="s">
        <v>3964</v>
      </c>
      <c r="H1469" s="1" t="s">
        <v>343</v>
      </c>
      <c r="I1469" s="1" t="s">
        <v>104</v>
      </c>
      <c r="K1469" s="1">
        <v>0.0</v>
      </c>
      <c r="L1469" s="1" t="s">
        <v>2020</v>
      </c>
      <c r="M1469" s="1" t="str">
        <f>VLOOKUP(L1469,'Copy of PMD Workday Constants -'!B1438:Y2124,22,false)</f>
        <v>#N/A</v>
      </c>
      <c r="N1469" s="1" t="s">
        <v>32</v>
      </c>
      <c r="O1469" s="1" t="s">
        <v>33</v>
      </c>
      <c r="P1469" s="1" t="s">
        <v>34</v>
      </c>
      <c r="Q1469" s="1" t="s">
        <v>34</v>
      </c>
      <c r="R1469" s="1" t="s">
        <v>35</v>
      </c>
      <c r="S1469" s="1" t="s">
        <v>383</v>
      </c>
      <c r="T1469" s="1">
        <v>1.00893232E8</v>
      </c>
      <c r="W1469" s="1" t="s">
        <v>147</v>
      </c>
      <c r="X1469" s="1" t="s">
        <v>4937</v>
      </c>
    </row>
    <row r="1470">
      <c r="A1470" s="1" t="s">
        <v>4938</v>
      </c>
      <c r="B1470" s="1" t="s">
        <v>4939</v>
      </c>
      <c r="C1470" s="1" t="s">
        <v>4940</v>
      </c>
      <c r="D1470" s="1" t="s">
        <v>28</v>
      </c>
      <c r="E1470" s="1" t="s">
        <v>29</v>
      </c>
      <c r="F1470" s="5">
        <v>650000.0</v>
      </c>
      <c r="G1470" s="1" t="s">
        <v>3964</v>
      </c>
      <c r="H1470" s="1" t="s">
        <v>4941</v>
      </c>
      <c r="I1470" s="4">
        <v>44630.0</v>
      </c>
      <c r="K1470" s="1">
        <v>0.0</v>
      </c>
      <c r="L1470" s="1" t="s">
        <v>1549</v>
      </c>
      <c r="M1470" s="1" t="str">
        <f>VLOOKUP(L1470,'Copy of PMD Workday Constants -'!B1439:Y2125,22,false)</f>
        <v>#N/A</v>
      </c>
      <c r="N1470" s="1" t="s">
        <v>32</v>
      </c>
      <c r="O1470" s="1" t="s">
        <v>33</v>
      </c>
      <c r="P1470" s="1" t="s">
        <v>173</v>
      </c>
      <c r="Q1470" s="1" t="s">
        <v>173</v>
      </c>
      <c r="R1470" s="1" t="s">
        <v>174</v>
      </c>
      <c r="T1470" s="1">
        <v>1.00646908E8</v>
      </c>
      <c r="W1470" s="1" t="s">
        <v>947</v>
      </c>
      <c r="X1470" s="1" t="s">
        <v>4942</v>
      </c>
    </row>
    <row r="1471">
      <c r="A1471" s="1" t="s">
        <v>4943</v>
      </c>
      <c r="B1471" s="1" t="s">
        <v>2882</v>
      </c>
      <c r="C1471" s="1" t="s">
        <v>4944</v>
      </c>
      <c r="D1471" s="1" t="s">
        <v>103</v>
      </c>
      <c r="E1471" s="1" t="s">
        <v>29</v>
      </c>
      <c r="F1471" s="5">
        <v>650000.0</v>
      </c>
      <c r="G1471" s="1" t="s">
        <v>3964</v>
      </c>
      <c r="H1471" s="1" t="s">
        <v>4945</v>
      </c>
      <c r="I1471" s="1" t="s">
        <v>80</v>
      </c>
      <c r="K1471" s="1">
        <v>0.0</v>
      </c>
      <c r="L1471" s="1" t="s">
        <v>4794</v>
      </c>
      <c r="M1471" s="1" t="str">
        <f>VLOOKUP(L1471,'Copy of PMD Workday Constants -'!B1440:Y2126,22,false)</f>
        <v>#N/A</v>
      </c>
      <c r="N1471" s="1" t="s">
        <v>32</v>
      </c>
      <c r="O1471" s="1" t="s">
        <v>33</v>
      </c>
      <c r="P1471" s="1" t="s">
        <v>173</v>
      </c>
      <c r="Q1471" s="1" t="s">
        <v>173</v>
      </c>
      <c r="R1471" s="1" t="s">
        <v>174</v>
      </c>
      <c r="S1471" s="1" t="s">
        <v>540</v>
      </c>
      <c r="T1471" s="1">
        <v>1.00875111E8</v>
      </c>
      <c r="W1471" s="1" t="s">
        <v>56</v>
      </c>
      <c r="X1471" s="1" t="s">
        <v>4795</v>
      </c>
    </row>
    <row r="1472">
      <c r="A1472" s="1" t="s">
        <v>4946</v>
      </c>
      <c r="B1472" s="1" t="s">
        <v>3743</v>
      </c>
      <c r="C1472" s="1" t="s">
        <v>4947</v>
      </c>
      <c r="D1472" s="1" t="s">
        <v>103</v>
      </c>
      <c r="E1472" s="1" t="s">
        <v>29</v>
      </c>
      <c r="F1472" s="5">
        <v>650000.0</v>
      </c>
      <c r="G1472" s="1" t="s">
        <v>3964</v>
      </c>
      <c r="H1472" s="4">
        <v>44598.0</v>
      </c>
      <c r="I1472" s="4">
        <v>44688.0</v>
      </c>
      <c r="K1472" s="1">
        <v>0.0</v>
      </c>
      <c r="L1472" s="1" t="s">
        <v>4045</v>
      </c>
      <c r="M1472" s="1" t="str">
        <f>VLOOKUP(L1472,'Copy of PMD Workday Constants -'!B1441:Y2127,22,false)</f>
        <v>#N/A</v>
      </c>
      <c r="N1472" s="1" t="s">
        <v>32</v>
      </c>
      <c r="O1472" s="1" t="s">
        <v>33</v>
      </c>
      <c r="P1472" s="1" t="s">
        <v>64</v>
      </c>
      <c r="Q1472" s="1" t="s">
        <v>64</v>
      </c>
      <c r="R1472" s="1" t="s">
        <v>65</v>
      </c>
      <c r="T1472" s="1">
        <v>1.00655236E8</v>
      </c>
      <c r="W1472" s="1" t="s">
        <v>56</v>
      </c>
      <c r="X1472" s="1" t="s">
        <v>4045</v>
      </c>
    </row>
    <row r="1473">
      <c r="A1473" s="1" t="s">
        <v>4948</v>
      </c>
      <c r="B1473" s="1" t="s">
        <v>4935</v>
      </c>
      <c r="C1473" s="1" t="s">
        <v>4949</v>
      </c>
      <c r="D1473" s="1" t="s">
        <v>28</v>
      </c>
      <c r="E1473" s="1" t="s">
        <v>29</v>
      </c>
      <c r="F1473" s="5">
        <v>650000.0</v>
      </c>
      <c r="G1473" s="1" t="s">
        <v>3964</v>
      </c>
      <c r="H1473" s="4">
        <v>44566.0</v>
      </c>
      <c r="I1473" s="1" t="s">
        <v>43</v>
      </c>
      <c r="K1473" s="1">
        <v>0.0</v>
      </c>
      <c r="L1473" s="1" t="s">
        <v>2020</v>
      </c>
      <c r="M1473" s="1" t="str">
        <f>VLOOKUP(L1473,'Copy of PMD Workday Constants -'!B1442:Y2128,22,false)</f>
        <v>#N/A</v>
      </c>
      <c r="N1473" s="1" t="s">
        <v>32</v>
      </c>
      <c r="O1473" s="1" t="s">
        <v>33</v>
      </c>
      <c r="P1473" s="1" t="s">
        <v>34</v>
      </c>
      <c r="Q1473" s="1" t="s">
        <v>34</v>
      </c>
      <c r="R1473" s="1" t="s">
        <v>35</v>
      </c>
      <c r="S1473" s="1" t="s">
        <v>383</v>
      </c>
      <c r="T1473" s="1">
        <v>1.00893232E8</v>
      </c>
      <c r="W1473" s="1" t="s">
        <v>147</v>
      </c>
      <c r="X1473" s="1" t="s">
        <v>4931</v>
      </c>
    </row>
    <row r="1474">
      <c r="A1474" s="1" t="s">
        <v>4950</v>
      </c>
      <c r="B1474" s="1" t="s">
        <v>4951</v>
      </c>
      <c r="C1474" s="1" t="s">
        <v>4952</v>
      </c>
      <c r="D1474" s="1" t="s">
        <v>51</v>
      </c>
      <c r="E1474" s="1" t="s">
        <v>29</v>
      </c>
      <c r="F1474" s="5">
        <v>650000.0</v>
      </c>
      <c r="G1474" s="1" t="s">
        <v>3964</v>
      </c>
      <c r="H1474" s="1" t="s">
        <v>2837</v>
      </c>
      <c r="I1474" s="4">
        <v>44780.0</v>
      </c>
      <c r="K1474" s="1">
        <v>0.0</v>
      </c>
      <c r="L1474" s="1" t="s">
        <v>4134</v>
      </c>
      <c r="M1474" s="1" t="str">
        <f>VLOOKUP(L1474,'Copy of PMD Workday Constants -'!B1443:Y2129,22,false)</f>
        <v>#N/A</v>
      </c>
      <c r="N1474" s="1" t="s">
        <v>32</v>
      </c>
      <c r="O1474" s="1" t="s">
        <v>33</v>
      </c>
      <c r="P1474" s="1" t="s">
        <v>210</v>
      </c>
      <c r="Q1474" s="1" t="s">
        <v>210</v>
      </c>
      <c r="R1474" s="1" t="s">
        <v>211</v>
      </c>
      <c r="S1474" s="1" t="s">
        <v>1313</v>
      </c>
      <c r="T1474" s="1">
        <v>1.00945646E8</v>
      </c>
      <c r="W1474" s="1" t="s">
        <v>436</v>
      </c>
      <c r="X1474" s="1" t="s">
        <v>4135</v>
      </c>
    </row>
    <row r="1475">
      <c r="A1475" s="1" t="s">
        <v>4953</v>
      </c>
      <c r="B1475" s="1" t="s">
        <v>489</v>
      </c>
      <c r="C1475" s="1" t="s">
        <v>4954</v>
      </c>
      <c r="D1475" s="1" t="s">
        <v>28</v>
      </c>
      <c r="E1475" s="1" t="s">
        <v>29</v>
      </c>
      <c r="F1475" s="5">
        <v>650000.0</v>
      </c>
      <c r="G1475" s="1" t="s">
        <v>3964</v>
      </c>
      <c r="H1475" s="4">
        <v>44870.0</v>
      </c>
      <c r="I1475" s="1" t="s">
        <v>166</v>
      </c>
      <c r="K1475" s="1">
        <v>0.0</v>
      </c>
      <c r="L1475" s="1" t="s">
        <v>2522</v>
      </c>
      <c r="M1475" s="1" t="str">
        <f>VLOOKUP(L1475,'Copy of PMD Workday Constants -'!B1444:Y2130,22,false)</f>
        <v>#N/A</v>
      </c>
      <c r="N1475" s="1" t="s">
        <v>32</v>
      </c>
      <c r="O1475" s="1" t="s">
        <v>33</v>
      </c>
      <c r="P1475" s="1" t="s">
        <v>173</v>
      </c>
      <c r="Q1475" s="1" t="s">
        <v>173</v>
      </c>
      <c r="R1475" s="1" t="s">
        <v>174</v>
      </c>
      <c r="T1475" s="1">
        <v>1.00590772E8</v>
      </c>
      <c r="W1475" s="1" t="s">
        <v>493</v>
      </c>
      <c r="X1475" s="1" t="s">
        <v>2034</v>
      </c>
    </row>
    <row r="1476">
      <c r="A1476" s="1" t="s">
        <v>4955</v>
      </c>
      <c r="B1476" s="1" t="s">
        <v>1047</v>
      </c>
      <c r="C1476" s="1" t="s">
        <v>4956</v>
      </c>
      <c r="D1476" s="1" t="s">
        <v>103</v>
      </c>
      <c r="E1476" s="1" t="s">
        <v>29</v>
      </c>
      <c r="F1476" s="5">
        <v>650000.0</v>
      </c>
      <c r="G1476" s="1" t="s">
        <v>3964</v>
      </c>
      <c r="H1476" s="1" t="s">
        <v>3513</v>
      </c>
      <c r="I1476" s="4">
        <v>44568.0</v>
      </c>
      <c r="K1476" s="1">
        <v>0.0</v>
      </c>
      <c r="L1476" s="1" t="s">
        <v>4277</v>
      </c>
      <c r="M1476" s="1" t="str">
        <f>VLOOKUP(L1476,'Copy of PMD Workday Constants -'!B1445:Y2131,22,false)</f>
        <v>#N/A</v>
      </c>
      <c r="N1476" s="1" t="s">
        <v>32</v>
      </c>
      <c r="O1476" s="1" t="s">
        <v>33</v>
      </c>
      <c r="P1476" s="1" t="s">
        <v>173</v>
      </c>
      <c r="Q1476" s="1" t="s">
        <v>173</v>
      </c>
      <c r="R1476" s="1" t="s">
        <v>174</v>
      </c>
      <c r="S1476" s="1" t="s">
        <v>297</v>
      </c>
      <c r="T1476" s="1">
        <v>1.00650304E8</v>
      </c>
      <c r="W1476" s="1" t="s">
        <v>258</v>
      </c>
      <c r="X1476" s="1" t="s">
        <v>4651</v>
      </c>
    </row>
    <row r="1477">
      <c r="A1477" s="1" t="s">
        <v>4957</v>
      </c>
      <c r="B1477" s="1" t="s">
        <v>4958</v>
      </c>
      <c r="C1477" s="1" t="s">
        <v>4959</v>
      </c>
      <c r="D1477" s="1" t="s">
        <v>103</v>
      </c>
      <c r="E1477" s="1" t="s">
        <v>29</v>
      </c>
      <c r="F1477" s="5">
        <v>650000.0</v>
      </c>
      <c r="G1477" s="1" t="s">
        <v>3964</v>
      </c>
      <c r="H1477" s="4">
        <v>44451.0</v>
      </c>
      <c r="I1477" s="1" t="s">
        <v>1187</v>
      </c>
      <c r="K1477" s="1">
        <v>0.0</v>
      </c>
      <c r="L1477" s="1" t="s">
        <v>1400</v>
      </c>
      <c r="M1477" s="1" t="str">
        <f>VLOOKUP(L1477,'Copy of PMD Workday Constants -'!B1446:Y2132,22,false)</f>
        <v>#N/A</v>
      </c>
      <c r="N1477" s="1" t="s">
        <v>32</v>
      </c>
      <c r="O1477" s="1" t="s">
        <v>33</v>
      </c>
      <c r="P1477" s="1" t="s">
        <v>64</v>
      </c>
      <c r="Q1477" s="1" t="s">
        <v>64</v>
      </c>
      <c r="R1477" s="1" t="s">
        <v>65</v>
      </c>
      <c r="S1477" s="1" t="s">
        <v>126</v>
      </c>
      <c r="T1477" s="1">
        <v>1.0059033E8</v>
      </c>
      <c r="W1477" s="1" t="s">
        <v>308</v>
      </c>
      <c r="X1477" s="1" t="s">
        <v>1400</v>
      </c>
    </row>
    <row r="1478">
      <c r="A1478" s="1" t="s">
        <v>4960</v>
      </c>
      <c r="B1478" s="1" t="s">
        <v>2079</v>
      </c>
      <c r="C1478" s="1" t="s">
        <v>4961</v>
      </c>
      <c r="D1478" s="1" t="s">
        <v>28</v>
      </c>
      <c r="E1478" s="1" t="s">
        <v>29</v>
      </c>
      <c r="F1478" s="5">
        <v>650000.0</v>
      </c>
      <c r="G1478" s="1" t="s">
        <v>3964</v>
      </c>
      <c r="H1478" s="4">
        <v>43959.0</v>
      </c>
      <c r="I1478" s="4">
        <v>44568.0</v>
      </c>
      <c r="K1478" s="1">
        <v>0.0</v>
      </c>
      <c r="L1478" s="1" t="s">
        <v>4794</v>
      </c>
      <c r="M1478" s="1" t="str">
        <f>VLOOKUP(L1478,'Copy of PMD Workday Constants -'!B1447:Y2133,22,false)</f>
        <v>#N/A</v>
      </c>
      <c r="N1478" s="1" t="s">
        <v>32</v>
      </c>
      <c r="O1478" s="1" t="s">
        <v>33</v>
      </c>
      <c r="P1478" s="1" t="s">
        <v>173</v>
      </c>
      <c r="Q1478" s="1" t="s">
        <v>173</v>
      </c>
      <c r="R1478" s="1" t="s">
        <v>174</v>
      </c>
      <c r="S1478" s="1" t="s">
        <v>612</v>
      </c>
      <c r="T1478" s="1">
        <v>1.00875111E8</v>
      </c>
      <c r="W1478" s="1" t="s">
        <v>258</v>
      </c>
      <c r="X1478" s="1" t="s">
        <v>4795</v>
      </c>
    </row>
    <row r="1479">
      <c r="A1479" s="1" t="s">
        <v>4962</v>
      </c>
      <c r="B1479" s="1" t="s">
        <v>4963</v>
      </c>
      <c r="C1479" s="1" t="s">
        <v>4964</v>
      </c>
      <c r="D1479" s="1" t="s">
        <v>51</v>
      </c>
      <c r="E1479" s="1" t="s">
        <v>29</v>
      </c>
      <c r="F1479" s="5">
        <v>650000.0</v>
      </c>
      <c r="G1479" s="1" t="s">
        <v>3964</v>
      </c>
      <c r="H1479" s="1" t="s">
        <v>4965</v>
      </c>
      <c r="I1479" s="1" t="s">
        <v>301</v>
      </c>
      <c r="K1479" s="1">
        <v>0.0</v>
      </c>
      <c r="L1479" s="1" t="s">
        <v>4966</v>
      </c>
      <c r="M1479" s="1" t="str">
        <f>VLOOKUP(L1479,'Copy of PMD Workday Constants -'!B1448:Y2134,22,false)</f>
        <v>#N/A</v>
      </c>
      <c r="N1479" s="1" t="s">
        <v>32</v>
      </c>
      <c r="O1479" s="1" t="s">
        <v>33</v>
      </c>
      <c r="P1479" s="1" t="s">
        <v>64</v>
      </c>
      <c r="Q1479" s="1" t="s">
        <v>64</v>
      </c>
      <c r="R1479" s="1" t="s">
        <v>65</v>
      </c>
      <c r="S1479" s="1" t="s">
        <v>153</v>
      </c>
      <c r="T1479" s="1">
        <v>1.00463736E8</v>
      </c>
      <c r="W1479" s="1" t="s">
        <v>140</v>
      </c>
      <c r="X1479" s="1" t="s">
        <v>1370</v>
      </c>
    </row>
    <row r="1480">
      <c r="A1480" s="1" t="s">
        <v>4967</v>
      </c>
      <c r="B1480" s="1" t="s">
        <v>4968</v>
      </c>
      <c r="C1480" s="1" t="s">
        <v>4969</v>
      </c>
      <c r="D1480" s="1" t="s">
        <v>28</v>
      </c>
      <c r="E1480" s="1" t="s">
        <v>29</v>
      </c>
      <c r="F1480" s="5">
        <v>650000.0</v>
      </c>
      <c r="G1480" s="1" t="s">
        <v>3964</v>
      </c>
      <c r="H1480" s="4">
        <v>44866.0</v>
      </c>
      <c r="I1480" s="1" t="s">
        <v>43</v>
      </c>
      <c r="K1480" s="1">
        <v>0.0</v>
      </c>
      <c r="L1480" s="1" t="s">
        <v>3813</v>
      </c>
      <c r="M1480" s="1" t="str">
        <f>VLOOKUP(L1480,'Copy of PMD Workday Constants -'!B1449:Y2135,22,false)</f>
        <v>#N/A</v>
      </c>
      <c r="N1480" s="1" t="s">
        <v>32</v>
      </c>
      <c r="O1480" s="1" t="s">
        <v>33</v>
      </c>
      <c r="P1480" s="1" t="s">
        <v>112</v>
      </c>
      <c r="Q1480" s="1" t="s">
        <v>112</v>
      </c>
      <c r="R1480" s="1" t="s">
        <v>113</v>
      </c>
      <c r="T1480" s="1">
        <v>1.00650841E8</v>
      </c>
      <c r="W1480" s="1" t="s">
        <v>456</v>
      </c>
      <c r="X1480" s="1" t="s">
        <v>3813</v>
      </c>
    </row>
    <row r="1481">
      <c r="A1481" s="1" t="s">
        <v>4970</v>
      </c>
      <c r="B1481" s="1" t="s">
        <v>4971</v>
      </c>
      <c r="C1481" s="1" t="s">
        <v>4972</v>
      </c>
      <c r="D1481" s="1" t="s">
        <v>103</v>
      </c>
      <c r="E1481" s="1" t="s">
        <v>29</v>
      </c>
      <c r="F1481" s="5">
        <v>650000.0</v>
      </c>
      <c r="G1481" s="1" t="s">
        <v>3964</v>
      </c>
      <c r="H1481" s="1" t="s">
        <v>1330</v>
      </c>
      <c r="I1481" s="1" t="s">
        <v>526</v>
      </c>
      <c r="K1481" s="1">
        <v>0.0</v>
      </c>
      <c r="L1481" s="1" t="s">
        <v>700</v>
      </c>
      <c r="M1481" s="1" t="str">
        <f>VLOOKUP(L1481,'Copy of PMD Workday Constants -'!B1450:Y2136,22,false)</f>
        <v>#N/A</v>
      </c>
      <c r="N1481" s="1" t="s">
        <v>32</v>
      </c>
      <c r="O1481" s="1" t="s">
        <v>33</v>
      </c>
      <c r="P1481" s="1" t="s">
        <v>54</v>
      </c>
      <c r="Q1481" s="1" t="s">
        <v>54</v>
      </c>
      <c r="R1481" s="1" t="s">
        <v>55</v>
      </c>
      <c r="S1481" s="1" t="s">
        <v>492</v>
      </c>
      <c r="T1481" s="1">
        <v>1.00622378E8</v>
      </c>
      <c r="W1481" s="1" t="s">
        <v>140</v>
      </c>
      <c r="X1481" s="1" t="s">
        <v>4973</v>
      </c>
    </row>
    <row r="1482">
      <c r="A1482" s="1" t="s">
        <v>4974</v>
      </c>
      <c r="B1482" s="1" t="s">
        <v>4975</v>
      </c>
      <c r="C1482" s="1" t="s">
        <v>4976</v>
      </c>
      <c r="D1482" s="1" t="s">
        <v>51</v>
      </c>
      <c r="E1482" s="1" t="s">
        <v>29</v>
      </c>
      <c r="F1482" s="5">
        <v>650000.0</v>
      </c>
      <c r="G1482" s="1" t="s">
        <v>3964</v>
      </c>
      <c r="H1482" s="1" t="s">
        <v>460</v>
      </c>
      <c r="I1482" s="4">
        <v>44872.0</v>
      </c>
      <c r="K1482" s="1">
        <v>0.0</v>
      </c>
      <c r="L1482" s="1" t="s">
        <v>1370</v>
      </c>
      <c r="M1482" s="1" t="str">
        <f>VLOOKUP(L1482,'Copy of PMD Workday Constants -'!B1451:Y2137,22,false)</f>
        <v>#N/A</v>
      </c>
      <c r="N1482" s="1" t="s">
        <v>32</v>
      </c>
      <c r="O1482" s="1" t="s">
        <v>33</v>
      </c>
      <c r="P1482" s="1" t="s">
        <v>173</v>
      </c>
      <c r="Q1482" s="1" t="s">
        <v>173</v>
      </c>
      <c r="R1482" s="1" t="s">
        <v>174</v>
      </c>
      <c r="S1482" s="1" t="s">
        <v>153</v>
      </c>
      <c r="T1482" s="1">
        <v>1.00869794E8</v>
      </c>
      <c r="W1482" s="1" t="s">
        <v>287</v>
      </c>
      <c r="X1482" s="1" t="s">
        <v>1370</v>
      </c>
    </row>
    <row r="1483">
      <c r="A1483" s="1" t="s">
        <v>4977</v>
      </c>
      <c r="B1483" s="1" t="s">
        <v>1817</v>
      </c>
      <c r="C1483" s="1" t="s">
        <v>4978</v>
      </c>
      <c r="D1483" s="1" t="s">
        <v>28</v>
      </c>
      <c r="E1483" s="1" t="s">
        <v>29</v>
      </c>
      <c r="F1483" s="5">
        <v>650000.0</v>
      </c>
      <c r="G1483" s="1" t="s">
        <v>3964</v>
      </c>
      <c r="H1483" s="1" t="s">
        <v>283</v>
      </c>
      <c r="I1483" s="4">
        <v>44573.0</v>
      </c>
      <c r="K1483" s="1">
        <v>0.0</v>
      </c>
      <c r="L1483" s="1" t="s">
        <v>228</v>
      </c>
      <c r="M1483" s="1" t="str">
        <f>VLOOKUP(L1483,'Copy of PMD Workday Constants -'!B1452:Y2138,22,false)</f>
        <v>#N/A</v>
      </c>
      <c r="N1483" s="1" t="s">
        <v>32</v>
      </c>
      <c r="O1483" s="1" t="s">
        <v>33</v>
      </c>
      <c r="P1483" s="1" t="s">
        <v>64</v>
      </c>
      <c r="Q1483" s="1" t="s">
        <v>64</v>
      </c>
      <c r="R1483" s="1" t="s">
        <v>65</v>
      </c>
      <c r="T1483" s="1">
        <v>1.00650619E8</v>
      </c>
      <c r="W1483" s="1" t="s">
        <v>85</v>
      </c>
      <c r="X1483" s="1" t="s">
        <v>1820</v>
      </c>
    </row>
    <row r="1484">
      <c r="A1484" s="1" t="s">
        <v>4979</v>
      </c>
      <c r="B1484" s="1" t="s">
        <v>4980</v>
      </c>
      <c r="C1484" s="1" t="s">
        <v>4981</v>
      </c>
      <c r="D1484" s="1" t="s">
        <v>51</v>
      </c>
      <c r="E1484" s="1" t="s">
        <v>29</v>
      </c>
      <c r="F1484" s="5">
        <v>650000.0</v>
      </c>
      <c r="G1484" s="1" t="s">
        <v>3964</v>
      </c>
      <c r="H1484" s="1" t="s">
        <v>1765</v>
      </c>
      <c r="I1484" s="4">
        <v>44626.0</v>
      </c>
      <c r="K1484" s="1">
        <v>0.0</v>
      </c>
      <c r="L1484" s="1" t="s">
        <v>428</v>
      </c>
      <c r="M1484" s="1" t="str">
        <f>VLOOKUP(L1484,'Copy of PMD Workday Constants -'!B1453:Y2139,22,false)</f>
        <v>#N/A</v>
      </c>
      <c r="N1484" s="1" t="s">
        <v>32</v>
      </c>
      <c r="O1484" s="1" t="s">
        <v>33</v>
      </c>
      <c r="P1484" s="1" t="s">
        <v>173</v>
      </c>
      <c r="Q1484" s="1" t="s">
        <v>173</v>
      </c>
      <c r="R1484" s="1" t="s">
        <v>174</v>
      </c>
      <c r="S1484" s="1" t="s">
        <v>153</v>
      </c>
      <c r="T1484" s="1">
        <v>1.00654085E8</v>
      </c>
      <c r="W1484" s="1" t="s">
        <v>85</v>
      </c>
      <c r="X1484" s="1" t="s">
        <v>4982</v>
      </c>
    </row>
    <row r="1485">
      <c r="A1485" s="1" t="s">
        <v>4983</v>
      </c>
      <c r="B1485" s="1" t="s">
        <v>1539</v>
      </c>
      <c r="C1485" s="1" t="s">
        <v>4984</v>
      </c>
      <c r="D1485" s="1" t="s">
        <v>28</v>
      </c>
      <c r="E1485" s="1" t="s">
        <v>29</v>
      </c>
      <c r="F1485" s="5">
        <v>650000.0</v>
      </c>
      <c r="G1485" s="1" t="s">
        <v>3964</v>
      </c>
      <c r="H1485" s="4">
        <v>44717.0</v>
      </c>
      <c r="I1485" s="1" t="s">
        <v>96</v>
      </c>
      <c r="K1485" s="1">
        <v>0.0</v>
      </c>
      <c r="L1485" s="1" t="s">
        <v>4392</v>
      </c>
      <c r="M1485" s="1" t="str">
        <f>VLOOKUP(L1485,'Copy of PMD Workday Constants -'!B1454:Y2140,22,false)</f>
        <v>#N/A</v>
      </c>
      <c r="N1485" s="1" t="s">
        <v>32</v>
      </c>
      <c r="O1485" s="1" t="s">
        <v>33</v>
      </c>
      <c r="P1485" s="1" t="s">
        <v>34</v>
      </c>
      <c r="Q1485" s="1" t="s">
        <v>34</v>
      </c>
      <c r="R1485" s="1" t="s">
        <v>35</v>
      </c>
      <c r="S1485" s="1" t="s">
        <v>1336</v>
      </c>
      <c r="T1485" s="1">
        <v>1.00648847E8</v>
      </c>
      <c r="W1485" s="1" t="s">
        <v>456</v>
      </c>
      <c r="X1485" s="1" t="s">
        <v>4392</v>
      </c>
    </row>
    <row r="1486">
      <c r="A1486" s="1" t="s">
        <v>4985</v>
      </c>
      <c r="B1486" s="1" t="s">
        <v>4986</v>
      </c>
      <c r="C1486" s="1" t="s">
        <v>4987</v>
      </c>
      <c r="D1486" s="1" t="s">
        <v>51</v>
      </c>
      <c r="E1486" s="1" t="s">
        <v>29</v>
      </c>
      <c r="F1486" s="5">
        <v>650000.0</v>
      </c>
      <c r="G1486" s="1" t="s">
        <v>3964</v>
      </c>
      <c r="H1486" s="1" t="s">
        <v>4988</v>
      </c>
      <c r="I1486" s="1" t="s">
        <v>414</v>
      </c>
      <c r="K1486" s="1">
        <v>0.0</v>
      </c>
      <c r="L1486" s="1" t="s">
        <v>3948</v>
      </c>
      <c r="M1486" s="1" t="str">
        <f>VLOOKUP(L1486,'Copy of PMD Workday Constants -'!B1455:Y2141,22,false)</f>
        <v>#N/A</v>
      </c>
      <c r="N1486" s="1" t="s">
        <v>32</v>
      </c>
      <c r="O1486" s="1" t="s">
        <v>33</v>
      </c>
      <c r="P1486" s="1" t="s">
        <v>112</v>
      </c>
      <c r="Q1486" s="1" t="s">
        <v>112</v>
      </c>
      <c r="R1486" s="1" t="s">
        <v>113</v>
      </c>
      <c r="S1486" s="1" t="s">
        <v>114</v>
      </c>
      <c r="T1486" s="1">
        <v>1.00627224E8</v>
      </c>
      <c r="W1486" s="1" t="s">
        <v>147</v>
      </c>
      <c r="X1486" s="1" t="s">
        <v>4989</v>
      </c>
    </row>
    <row r="1487">
      <c r="A1487" s="1" t="s">
        <v>4990</v>
      </c>
      <c r="B1487" s="1" t="s">
        <v>3811</v>
      </c>
      <c r="C1487" s="1" t="s">
        <v>4991</v>
      </c>
      <c r="D1487" s="1" t="s">
        <v>28</v>
      </c>
      <c r="E1487" s="1" t="s">
        <v>29</v>
      </c>
      <c r="F1487" s="5">
        <v>650000.0</v>
      </c>
      <c r="G1487" s="1" t="s">
        <v>3964</v>
      </c>
      <c r="H1487" s="4">
        <v>44623.0</v>
      </c>
      <c r="I1487" s="1" t="s">
        <v>414</v>
      </c>
      <c r="K1487" s="1">
        <v>0.0</v>
      </c>
      <c r="L1487" s="1" t="s">
        <v>3813</v>
      </c>
      <c r="M1487" s="1" t="str">
        <f>VLOOKUP(L1487,'Copy of PMD Workday Constants -'!B1456:Y2142,22,false)</f>
        <v>#N/A</v>
      </c>
      <c r="N1487" s="1" t="s">
        <v>32</v>
      </c>
      <c r="O1487" s="1" t="s">
        <v>33</v>
      </c>
      <c r="P1487" s="1" t="s">
        <v>112</v>
      </c>
      <c r="Q1487" s="1" t="s">
        <v>112</v>
      </c>
      <c r="R1487" s="1" t="s">
        <v>113</v>
      </c>
      <c r="T1487" s="1">
        <v>1.00650841E8</v>
      </c>
      <c r="W1487" s="1" t="s">
        <v>456</v>
      </c>
      <c r="X1487" s="1" t="s">
        <v>3813</v>
      </c>
    </row>
    <row r="1488">
      <c r="A1488" s="1" t="s">
        <v>4992</v>
      </c>
      <c r="B1488" s="1" t="s">
        <v>2785</v>
      </c>
      <c r="C1488" s="1" t="s">
        <v>4993</v>
      </c>
      <c r="D1488" s="1" t="s">
        <v>103</v>
      </c>
      <c r="E1488" s="1" t="s">
        <v>29</v>
      </c>
      <c r="F1488" s="5">
        <v>650000.0</v>
      </c>
      <c r="G1488" s="1" t="s">
        <v>3964</v>
      </c>
      <c r="H1488" s="1" t="s">
        <v>2515</v>
      </c>
      <c r="I1488" s="1" t="s">
        <v>80</v>
      </c>
      <c r="K1488" s="1">
        <v>0.0</v>
      </c>
      <c r="L1488" s="1" t="s">
        <v>4994</v>
      </c>
      <c r="M1488" s="1" t="str">
        <f>VLOOKUP(L1488,'Copy of PMD Workday Constants -'!B1457:Y2143,22,false)</f>
        <v>#N/A</v>
      </c>
      <c r="N1488" s="1" t="s">
        <v>32</v>
      </c>
      <c r="O1488" s="1" t="s">
        <v>33</v>
      </c>
      <c r="P1488" s="1" t="s">
        <v>82</v>
      </c>
      <c r="Q1488" s="1" t="s">
        <v>82</v>
      </c>
      <c r="R1488" s="1" t="s">
        <v>83</v>
      </c>
      <c r="S1488" s="1" t="s">
        <v>180</v>
      </c>
      <c r="T1488" s="1">
        <v>1.00618376E8</v>
      </c>
      <c r="W1488" s="1" t="s">
        <v>85</v>
      </c>
      <c r="X1488" s="1" t="s">
        <v>4994</v>
      </c>
    </row>
    <row r="1489">
      <c r="A1489" s="1" t="s">
        <v>4995</v>
      </c>
      <c r="B1489" s="1" t="s">
        <v>521</v>
      </c>
      <c r="C1489" s="1" t="s">
        <v>4996</v>
      </c>
      <c r="D1489" s="1" t="s">
        <v>51</v>
      </c>
      <c r="E1489" s="1" t="s">
        <v>29</v>
      </c>
      <c r="F1489" s="5">
        <v>650000.0</v>
      </c>
      <c r="G1489" s="1" t="s">
        <v>3964</v>
      </c>
      <c r="H1489" s="1" t="s">
        <v>2724</v>
      </c>
      <c r="I1489" s="4">
        <v>44780.0</v>
      </c>
      <c r="K1489" s="1">
        <v>0.0</v>
      </c>
      <c r="L1489" s="1" t="s">
        <v>3575</v>
      </c>
      <c r="M1489" s="1" t="str">
        <f>VLOOKUP(L1489,'Copy of PMD Workday Constants -'!B1458:Y2144,22,false)</f>
        <v>#N/A</v>
      </c>
      <c r="N1489" s="1" t="s">
        <v>32</v>
      </c>
      <c r="O1489" s="1" t="s">
        <v>33</v>
      </c>
      <c r="P1489" s="1" t="s">
        <v>64</v>
      </c>
      <c r="Q1489" s="1" t="s">
        <v>64</v>
      </c>
      <c r="R1489" s="1" t="s">
        <v>65</v>
      </c>
      <c r="T1489" s="1">
        <v>1.00652666E8</v>
      </c>
      <c r="W1489" s="1" t="s">
        <v>85</v>
      </c>
      <c r="X1489" s="1" t="s">
        <v>3575</v>
      </c>
    </row>
    <row r="1490">
      <c r="A1490" s="1" t="s">
        <v>4997</v>
      </c>
      <c r="B1490" s="1" t="s">
        <v>4998</v>
      </c>
      <c r="C1490" s="1" t="s">
        <v>4999</v>
      </c>
      <c r="D1490" s="1" t="s">
        <v>103</v>
      </c>
      <c r="E1490" s="1" t="s">
        <v>29</v>
      </c>
      <c r="F1490" s="5">
        <v>645000.0</v>
      </c>
      <c r="G1490" s="1" t="s">
        <v>3964</v>
      </c>
      <c r="H1490" s="1" t="s">
        <v>460</v>
      </c>
      <c r="I1490" s="1" t="s">
        <v>795</v>
      </c>
      <c r="K1490" s="1">
        <v>0.0</v>
      </c>
      <c r="L1490" s="1" t="s">
        <v>956</v>
      </c>
      <c r="M1490" s="1" t="str">
        <f>VLOOKUP(L1490,'Copy of PMD Workday Constants -'!B1459:Y2145,22,false)</f>
        <v>#N/A</v>
      </c>
      <c r="N1490" s="1" t="s">
        <v>32</v>
      </c>
      <c r="O1490" s="1" t="s">
        <v>33</v>
      </c>
      <c r="P1490" s="1" t="s">
        <v>173</v>
      </c>
      <c r="Q1490" s="1" t="s">
        <v>173</v>
      </c>
      <c r="R1490" s="1" t="s">
        <v>174</v>
      </c>
      <c r="S1490" s="1" t="s">
        <v>612</v>
      </c>
      <c r="T1490" s="1">
        <v>1.00623421E8</v>
      </c>
      <c r="W1490" s="1" t="s">
        <v>577</v>
      </c>
      <c r="X1490" s="1" t="s">
        <v>4696</v>
      </c>
    </row>
    <row r="1491">
      <c r="A1491" s="1" t="s">
        <v>5000</v>
      </c>
      <c r="B1491" s="1" t="s">
        <v>573</v>
      </c>
      <c r="C1491" s="1" t="s">
        <v>5001</v>
      </c>
      <c r="D1491" s="1" t="s">
        <v>103</v>
      </c>
      <c r="E1491" s="1" t="s">
        <v>29</v>
      </c>
      <c r="F1491" s="5">
        <v>636000.0</v>
      </c>
      <c r="G1491" s="1" t="s">
        <v>3964</v>
      </c>
      <c r="H1491" s="1" t="s">
        <v>526</v>
      </c>
      <c r="I1491" s="4">
        <v>44840.0</v>
      </c>
      <c r="J1491" s="1" t="s">
        <v>5002</v>
      </c>
      <c r="K1491" s="1">
        <v>0.0</v>
      </c>
      <c r="L1491" s="1" t="s">
        <v>1370</v>
      </c>
      <c r="M1491" s="1" t="str">
        <f>VLOOKUP(L1491,'Copy of PMD Workday Constants -'!B1460:Y2146,22,false)</f>
        <v>#N/A</v>
      </c>
      <c r="N1491" s="1" t="s">
        <v>32</v>
      </c>
      <c r="O1491" s="1" t="s">
        <v>33</v>
      </c>
      <c r="P1491" s="1" t="s">
        <v>173</v>
      </c>
      <c r="Q1491" s="1" t="s">
        <v>173</v>
      </c>
      <c r="R1491" s="1" t="s">
        <v>174</v>
      </c>
      <c r="S1491" s="1" t="s">
        <v>153</v>
      </c>
      <c r="T1491" s="1">
        <v>1.00869794E8</v>
      </c>
      <c r="W1491" s="1" t="s">
        <v>436</v>
      </c>
      <c r="X1491" s="1" t="s">
        <v>1370</v>
      </c>
    </row>
    <row r="1492">
      <c r="A1492" s="1" t="s">
        <v>5003</v>
      </c>
      <c r="B1492" s="1" t="s">
        <v>311</v>
      </c>
      <c r="C1492" s="1" t="s">
        <v>5004</v>
      </c>
      <c r="D1492" s="1" t="s">
        <v>103</v>
      </c>
      <c r="E1492" s="1" t="s">
        <v>29</v>
      </c>
      <c r="F1492" s="5">
        <v>635000.0</v>
      </c>
      <c r="G1492" s="1" t="s">
        <v>3964</v>
      </c>
      <c r="H1492" s="1" t="s">
        <v>2069</v>
      </c>
      <c r="I1492" s="1" t="s">
        <v>1746</v>
      </c>
      <c r="K1492" s="1">
        <v>0.0</v>
      </c>
      <c r="L1492" s="1" t="s">
        <v>5005</v>
      </c>
      <c r="M1492" s="1" t="str">
        <f>VLOOKUP(L1492,'Copy of PMD Workday Constants -'!B1461:Y2147,22,false)</f>
        <v>#N/A</v>
      </c>
      <c r="N1492" s="1" t="s">
        <v>32</v>
      </c>
      <c r="O1492" s="1" t="s">
        <v>33</v>
      </c>
      <c r="P1492" s="1" t="s">
        <v>82</v>
      </c>
      <c r="Q1492" s="1" t="s">
        <v>82</v>
      </c>
      <c r="R1492" s="1" t="s">
        <v>83</v>
      </c>
      <c r="S1492" s="1" t="s">
        <v>180</v>
      </c>
      <c r="T1492" s="1">
        <v>1.00615814E8</v>
      </c>
      <c r="W1492" s="1" t="s">
        <v>140</v>
      </c>
      <c r="X1492" s="1" t="s">
        <v>344</v>
      </c>
    </row>
    <row r="1493">
      <c r="A1493" s="1" t="s">
        <v>5006</v>
      </c>
      <c r="B1493" s="1" t="s">
        <v>5007</v>
      </c>
      <c r="C1493" s="1" t="s">
        <v>5008</v>
      </c>
      <c r="D1493" s="1" t="s">
        <v>103</v>
      </c>
      <c r="E1493" s="1" t="s">
        <v>29</v>
      </c>
      <c r="F1493" s="5">
        <v>630000.0</v>
      </c>
      <c r="G1493" s="1" t="s">
        <v>3964</v>
      </c>
      <c r="H1493" s="1" t="s">
        <v>4413</v>
      </c>
      <c r="I1493" s="4">
        <v>44626.0</v>
      </c>
      <c r="K1493" s="1">
        <v>0.0</v>
      </c>
      <c r="L1493" s="1" t="s">
        <v>4228</v>
      </c>
      <c r="M1493" s="1" t="str">
        <f>VLOOKUP(L1493,'Copy of PMD Workday Constants -'!B1462:Y2148,22,false)</f>
        <v>#N/A</v>
      </c>
      <c r="N1493" s="1" t="s">
        <v>32</v>
      </c>
      <c r="O1493" s="1" t="s">
        <v>33</v>
      </c>
      <c r="P1493" s="1" t="s">
        <v>64</v>
      </c>
      <c r="Q1493" s="1" t="s">
        <v>64</v>
      </c>
      <c r="R1493" s="1" t="s">
        <v>65</v>
      </c>
      <c r="T1493" s="1">
        <v>1.00651638E8</v>
      </c>
      <c r="W1493" s="1" t="s">
        <v>115</v>
      </c>
      <c r="X1493" s="1" t="s">
        <v>4229</v>
      </c>
    </row>
    <row r="1494">
      <c r="A1494" s="1" t="s">
        <v>5009</v>
      </c>
      <c r="B1494" s="1" t="s">
        <v>49</v>
      </c>
      <c r="C1494" s="1" t="s">
        <v>5010</v>
      </c>
      <c r="D1494" s="1" t="s">
        <v>79</v>
      </c>
      <c r="E1494" s="1" t="s">
        <v>29</v>
      </c>
      <c r="F1494" s="5">
        <v>625000.0</v>
      </c>
      <c r="G1494" s="1" t="s">
        <v>3964</v>
      </c>
      <c r="H1494" s="1" t="s">
        <v>1265</v>
      </c>
      <c r="I1494" s="1" t="s">
        <v>865</v>
      </c>
      <c r="K1494" s="1">
        <v>0.0</v>
      </c>
      <c r="L1494" s="1" t="s">
        <v>53</v>
      </c>
      <c r="M1494" s="1" t="str">
        <f>VLOOKUP(L1494,'Copy of PMD Workday Constants -'!B1463:Y2149,22,false)</f>
        <v>#N/A</v>
      </c>
      <c r="N1494" s="1" t="s">
        <v>32</v>
      </c>
      <c r="O1494" s="1" t="s">
        <v>33</v>
      </c>
      <c r="P1494" s="1" t="s">
        <v>54</v>
      </c>
      <c r="Q1494" s="1" t="s">
        <v>54</v>
      </c>
      <c r="R1494" s="1" t="s">
        <v>55</v>
      </c>
      <c r="S1494" s="1" t="s">
        <v>654</v>
      </c>
      <c r="T1494" s="1">
        <v>1.00690767E8</v>
      </c>
      <c r="W1494" s="1" t="s">
        <v>56</v>
      </c>
      <c r="X1494" s="1" t="s">
        <v>1266</v>
      </c>
    </row>
    <row r="1495">
      <c r="A1495" s="1" t="s">
        <v>5011</v>
      </c>
      <c r="B1495" s="1" t="s">
        <v>5012</v>
      </c>
      <c r="C1495" s="1" t="s">
        <v>5013</v>
      </c>
      <c r="D1495" s="1" t="s">
        <v>79</v>
      </c>
      <c r="E1495" s="1" t="s">
        <v>29</v>
      </c>
      <c r="F1495" s="5">
        <v>625000.0</v>
      </c>
      <c r="G1495" s="1" t="s">
        <v>3964</v>
      </c>
      <c r="H1495" s="4">
        <v>44866.0</v>
      </c>
      <c r="I1495" s="1" t="s">
        <v>1134</v>
      </c>
      <c r="K1495" s="1">
        <v>0.0</v>
      </c>
      <c r="L1495" s="1" t="s">
        <v>5014</v>
      </c>
      <c r="M1495" s="1" t="str">
        <f>VLOOKUP(L1495,'Copy of PMD Workday Constants -'!B1464:Y2150,22,false)</f>
        <v>#N/A</v>
      </c>
      <c r="N1495" s="1" t="s">
        <v>32</v>
      </c>
      <c r="O1495" s="1" t="s">
        <v>33</v>
      </c>
      <c r="P1495" s="1" t="s">
        <v>173</v>
      </c>
      <c r="Q1495" s="1" t="s">
        <v>173</v>
      </c>
      <c r="R1495" s="1" t="s">
        <v>174</v>
      </c>
      <c r="T1495" s="1">
        <v>1.01117107E8</v>
      </c>
      <c r="W1495" s="1" t="s">
        <v>85</v>
      </c>
      <c r="X1495" s="1" t="s">
        <v>5014</v>
      </c>
    </row>
    <row r="1496">
      <c r="A1496" s="1" t="s">
        <v>5015</v>
      </c>
      <c r="B1496" s="1" t="s">
        <v>1184</v>
      </c>
      <c r="C1496" s="1" t="s">
        <v>5016</v>
      </c>
      <c r="D1496" s="1" t="s">
        <v>51</v>
      </c>
      <c r="E1496" s="1" t="s">
        <v>29</v>
      </c>
      <c r="F1496" s="5">
        <v>625000.0</v>
      </c>
      <c r="G1496" s="1" t="s">
        <v>3964</v>
      </c>
      <c r="H1496" s="1" t="s">
        <v>526</v>
      </c>
      <c r="I1496" s="1" t="s">
        <v>80</v>
      </c>
      <c r="K1496" s="1">
        <v>0.0</v>
      </c>
      <c r="L1496" s="1" t="s">
        <v>5017</v>
      </c>
      <c r="M1496" s="1" t="str">
        <f>VLOOKUP(L1496,'Copy of PMD Workday Constants -'!B1465:Y2151,22,false)</f>
        <v>#N/A</v>
      </c>
      <c r="N1496" s="1" t="s">
        <v>32</v>
      </c>
      <c r="O1496" s="1" t="s">
        <v>33</v>
      </c>
      <c r="P1496" s="1" t="s">
        <v>210</v>
      </c>
      <c r="Q1496" s="1" t="s">
        <v>210</v>
      </c>
      <c r="R1496" s="1" t="s">
        <v>211</v>
      </c>
      <c r="T1496" s="1">
        <v>1.0060792E8</v>
      </c>
      <c r="W1496" s="1" t="s">
        <v>56</v>
      </c>
      <c r="X1496" s="1" t="s">
        <v>5018</v>
      </c>
    </row>
    <row r="1497">
      <c r="A1497" s="1" t="s">
        <v>5019</v>
      </c>
      <c r="B1497" s="1" t="s">
        <v>2394</v>
      </c>
      <c r="C1497" s="1" t="s">
        <v>5020</v>
      </c>
      <c r="D1497" s="1" t="s">
        <v>28</v>
      </c>
      <c r="E1497" s="1" t="s">
        <v>29</v>
      </c>
      <c r="F1497" s="5">
        <v>620000.0</v>
      </c>
      <c r="G1497" s="1" t="s">
        <v>3964</v>
      </c>
      <c r="H1497" s="4">
        <v>44774.0</v>
      </c>
      <c r="I1497" s="1" t="s">
        <v>80</v>
      </c>
      <c r="K1497" s="1">
        <v>0.0</v>
      </c>
      <c r="L1497" s="1" t="s">
        <v>3565</v>
      </c>
      <c r="M1497" s="1" t="str">
        <f>VLOOKUP(L1497,'Copy of PMD Workday Constants -'!B1466:Y2152,22,false)</f>
        <v>#N/A</v>
      </c>
      <c r="N1497" s="1" t="s">
        <v>32</v>
      </c>
      <c r="O1497" s="1" t="s">
        <v>33</v>
      </c>
      <c r="P1497" s="1" t="s">
        <v>112</v>
      </c>
      <c r="Q1497" s="1" t="s">
        <v>112</v>
      </c>
      <c r="R1497" s="1" t="s">
        <v>113</v>
      </c>
      <c r="S1497" s="1" t="s">
        <v>114</v>
      </c>
      <c r="T1497" s="1">
        <v>1.00658777E8</v>
      </c>
      <c r="W1497" s="1" t="s">
        <v>250</v>
      </c>
      <c r="X1497" s="1" t="s">
        <v>5021</v>
      </c>
    </row>
    <row r="1498">
      <c r="A1498" s="1" t="s">
        <v>5022</v>
      </c>
      <c r="B1498" s="1" t="s">
        <v>5023</v>
      </c>
      <c r="C1498" s="1" t="s">
        <v>5024</v>
      </c>
      <c r="D1498" s="1" t="s">
        <v>51</v>
      </c>
      <c r="E1498" s="1" t="s">
        <v>29</v>
      </c>
      <c r="F1498" s="5">
        <v>620000.0</v>
      </c>
      <c r="G1498" s="1" t="s">
        <v>3964</v>
      </c>
      <c r="H1498" s="1" t="s">
        <v>870</v>
      </c>
      <c r="I1498" s="1" t="s">
        <v>509</v>
      </c>
      <c r="K1498" s="1">
        <v>0.0</v>
      </c>
      <c r="L1498" s="1" t="s">
        <v>5025</v>
      </c>
      <c r="M1498" s="1" t="str">
        <f>VLOOKUP(L1498,'Copy of PMD Workday Constants -'!B1467:Y2153,22,false)</f>
        <v>#N/A</v>
      </c>
      <c r="N1498" s="1" t="s">
        <v>32</v>
      </c>
      <c r="O1498" s="1" t="s">
        <v>33</v>
      </c>
      <c r="P1498" s="1" t="s">
        <v>112</v>
      </c>
      <c r="Q1498" s="1" t="s">
        <v>112</v>
      </c>
      <c r="R1498" s="1" t="s">
        <v>113</v>
      </c>
      <c r="S1498" s="1" t="s">
        <v>204</v>
      </c>
      <c r="T1498" s="1">
        <v>1.00656882E8</v>
      </c>
      <c r="W1498" s="1" t="s">
        <v>91</v>
      </c>
      <c r="X1498" s="1" t="s">
        <v>5026</v>
      </c>
    </row>
    <row r="1499">
      <c r="A1499" s="1" t="s">
        <v>5027</v>
      </c>
      <c r="B1499" s="1" t="s">
        <v>445</v>
      </c>
      <c r="C1499" s="1" t="s">
        <v>5028</v>
      </c>
      <c r="D1499" s="1" t="s">
        <v>103</v>
      </c>
      <c r="E1499" s="1" t="s">
        <v>29</v>
      </c>
      <c r="F1499" s="5">
        <v>615000.0</v>
      </c>
      <c r="G1499" s="1" t="s">
        <v>3964</v>
      </c>
      <c r="H1499" s="1" t="s">
        <v>1349</v>
      </c>
      <c r="I1499" s="1" t="s">
        <v>152</v>
      </c>
      <c r="K1499" s="1">
        <v>0.0</v>
      </c>
      <c r="L1499" s="1" t="s">
        <v>448</v>
      </c>
      <c r="M1499" s="1" t="str">
        <f>VLOOKUP(L1499,'Copy of PMD Workday Constants -'!B1468:Y2154,22,false)</f>
        <v>#N/A</v>
      </c>
      <c r="N1499" s="1" t="s">
        <v>32</v>
      </c>
      <c r="O1499" s="1" t="s">
        <v>33</v>
      </c>
      <c r="P1499" s="1" t="s">
        <v>112</v>
      </c>
      <c r="Q1499" s="1" t="s">
        <v>112</v>
      </c>
      <c r="R1499" s="1" t="s">
        <v>113</v>
      </c>
      <c r="S1499" s="1" t="s">
        <v>307</v>
      </c>
      <c r="T1499" s="1">
        <v>1.00657929E8</v>
      </c>
      <c r="W1499" s="1" t="s">
        <v>308</v>
      </c>
      <c r="X1499" s="1" t="s">
        <v>5029</v>
      </c>
    </row>
    <row r="1500">
      <c r="A1500" s="1" t="s">
        <v>5030</v>
      </c>
      <c r="B1500" s="1" t="s">
        <v>4101</v>
      </c>
      <c r="C1500" s="1" t="s">
        <v>5031</v>
      </c>
      <c r="D1500" s="1" t="s">
        <v>79</v>
      </c>
      <c r="E1500" s="1" t="s">
        <v>29</v>
      </c>
      <c r="F1500" s="5">
        <v>615000.0</v>
      </c>
      <c r="G1500" s="1" t="s">
        <v>3964</v>
      </c>
      <c r="H1500" s="4">
        <v>44626.0</v>
      </c>
      <c r="I1500" s="4">
        <v>44568.0</v>
      </c>
      <c r="K1500" s="1">
        <v>0.0</v>
      </c>
      <c r="L1500" s="1" t="s">
        <v>3171</v>
      </c>
      <c r="M1500" s="1" t="str">
        <f>VLOOKUP(L1500,'Copy of PMD Workday Constants -'!B1469:Y2155,22,false)</f>
        <v>#N/A</v>
      </c>
      <c r="N1500" s="1" t="s">
        <v>32</v>
      </c>
      <c r="O1500" s="1" t="s">
        <v>33</v>
      </c>
      <c r="P1500" s="1" t="s">
        <v>173</v>
      </c>
      <c r="Q1500" s="1" t="s">
        <v>173</v>
      </c>
      <c r="R1500" s="1" t="s">
        <v>174</v>
      </c>
      <c r="T1500" s="1">
        <v>1.01170527E8</v>
      </c>
      <c r="W1500" s="1" t="s">
        <v>456</v>
      </c>
      <c r="X1500" s="1" t="s">
        <v>5032</v>
      </c>
    </row>
    <row r="1501">
      <c r="A1501" s="1" t="s">
        <v>5033</v>
      </c>
      <c r="B1501" s="1" t="s">
        <v>765</v>
      </c>
      <c r="C1501" s="1" t="s">
        <v>5034</v>
      </c>
      <c r="D1501" s="1" t="s">
        <v>51</v>
      </c>
      <c r="E1501" s="1" t="s">
        <v>29</v>
      </c>
      <c r="F1501" s="5">
        <v>612244.0</v>
      </c>
      <c r="G1501" s="1" t="s">
        <v>3964</v>
      </c>
      <c r="H1501" s="1" t="s">
        <v>2069</v>
      </c>
      <c r="I1501" s="1" t="s">
        <v>1349</v>
      </c>
      <c r="K1501" s="1">
        <v>0.0</v>
      </c>
      <c r="L1501" s="1" t="s">
        <v>2612</v>
      </c>
      <c r="M1501" s="1" t="str">
        <f>VLOOKUP(L1501,'Copy of PMD Workday Constants -'!B1470:Y2156,22,false)</f>
        <v>#N/A</v>
      </c>
      <c r="N1501" s="1" t="s">
        <v>32</v>
      </c>
      <c r="O1501" s="1" t="s">
        <v>33</v>
      </c>
      <c r="P1501" s="1" t="s">
        <v>173</v>
      </c>
      <c r="Q1501" s="1" t="s">
        <v>173</v>
      </c>
      <c r="R1501" s="1" t="s">
        <v>174</v>
      </c>
      <c r="S1501" s="1" t="s">
        <v>153</v>
      </c>
      <c r="T1501" s="1">
        <v>1.00609544E8</v>
      </c>
      <c r="W1501" s="1" t="s">
        <v>456</v>
      </c>
      <c r="X1501" s="1" t="s">
        <v>5035</v>
      </c>
    </row>
    <row r="1502">
      <c r="A1502" s="1" t="s">
        <v>5036</v>
      </c>
      <c r="B1502" s="1" t="s">
        <v>765</v>
      </c>
      <c r="C1502" s="1" t="s">
        <v>5037</v>
      </c>
      <c r="D1502" s="1" t="s">
        <v>79</v>
      </c>
      <c r="E1502" s="1" t="s">
        <v>29</v>
      </c>
      <c r="F1502" s="5">
        <v>612244.0</v>
      </c>
      <c r="G1502" s="1" t="s">
        <v>3964</v>
      </c>
      <c r="H1502" s="1" t="s">
        <v>131</v>
      </c>
      <c r="I1502" s="1" t="s">
        <v>104</v>
      </c>
      <c r="K1502" s="1">
        <v>0.0</v>
      </c>
      <c r="L1502" s="1" t="s">
        <v>2612</v>
      </c>
      <c r="M1502" s="1" t="str">
        <f>VLOOKUP(L1502,'Copy of PMD Workday Constants -'!B1471:Y2157,22,false)</f>
        <v>#N/A</v>
      </c>
      <c r="N1502" s="1" t="s">
        <v>32</v>
      </c>
      <c r="O1502" s="1" t="s">
        <v>33</v>
      </c>
      <c r="P1502" s="1" t="s">
        <v>173</v>
      </c>
      <c r="Q1502" s="1" t="s">
        <v>173</v>
      </c>
      <c r="R1502" s="1" t="s">
        <v>174</v>
      </c>
      <c r="S1502" s="1" t="s">
        <v>153</v>
      </c>
      <c r="T1502" s="1">
        <v>1.00609544E8</v>
      </c>
      <c r="W1502" s="1" t="s">
        <v>456</v>
      </c>
      <c r="X1502" s="1" t="s">
        <v>5035</v>
      </c>
    </row>
    <row r="1503">
      <c r="A1503" s="1" t="s">
        <v>5038</v>
      </c>
      <c r="B1503" s="1" t="s">
        <v>988</v>
      </c>
      <c r="C1503" s="1" t="s">
        <v>5039</v>
      </c>
      <c r="D1503" s="1" t="s">
        <v>103</v>
      </c>
      <c r="E1503" s="1" t="s">
        <v>29</v>
      </c>
      <c r="F1503" s="5">
        <v>610778.0</v>
      </c>
      <c r="G1503" s="1" t="s">
        <v>3964</v>
      </c>
      <c r="H1503" s="1" t="s">
        <v>466</v>
      </c>
      <c r="I1503" s="4">
        <v>44626.0</v>
      </c>
      <c r="K1503" s="1">
        <v>0.0</v>
      </c>
      <c r="L1503" s="1" t="s">
        <v>4197</v>
      </c>
      <c r="M1503" s="1" t="str">
        <f>VLOOKUP(L1503,'Copy of PMD Workday Constants -'!B1472:Y2158,22,false)</f>
        <v>#N/A</v>
      </c>
      <c r="N1503" s="1" t="s">
        <v>32</v>
      </c>
      <c r="O1503" s="1" t="s">
        <v>33</v>
      </c>
      <c r="P1503" s="1" t="s">
        <v>222</v>
      </c>
      <c r="Q1503" s="1" t="s">
        <v>222</v>
      </c>
      <c r="R1503" s="1" t="s">
        <v>223</v>
      </c>
      <c r="S1503" s="1" t="s">
        <v>601</v>
      </c>
      <c r="T1503" s="1">
        <v>1.00657185E8</v>
      </c>
      <c r="W1503" s="1" t="s">
        <v>37</v>
      </c>
      <c r="X1503" s="1" t="s">
        <v>5040</v>
      </c>
    </row>
    <row r="1504">
      <c r="A1504" s="1" t="s">
        <v>5041</v>
      </c>
      <c r="B1504" s="1" t="s">
        <v>341</v>
      </c>
      <c r="C1504" s="1" t="s">
        <v>5042</v>
      </c>
      <c r="D1504" s="1" t="s">
        <v>79</v>
      </c>
      <c r="E1504" s="1" t="s">
        <v>29</v>
      </c>
      <c r="F1504" s="5">
        <v>610000.0</v>
      </c>
      <c r="G1504" s="1" t="s">
        <v>3964</v>
      </c>
      <c r="H1504" s="1" t="s">
        <v>343</v>
      </c>
      <c r="I1504" s="4">
        <v>44568.0</v>
      </c>
      <c r="K1504" s="1">
        <v>0.0</v>
      </c>
      <c r="L1504" s="1" t="s">
        <v>344</v>
      </c>
      <c r="M1504" s="1" t="str">
        <f>VLOOKUP(L1504,'Copy of PMD Workday Constants -'!B1473:Y2159,22,false)</f>
        <v>#N/A</v>
      </c>
      <c r="N1504" s="1" t="s">
        <v>32</v>
      </c>
      <c r="O1504" s="1" t="s">
        <v>33</v>
      </c>
      <c r="P1504" s="1" t="s">
        <v>82</v>
      </c>
      <c r="Q1504" s="1" t="s">
        <v>82</v>
      </c>
      <c r="R1504" s="1" t="s">
        <v>83</v>
      </c>
      <c r="S1504" s="1" t="s">
        <v>180</v>
      </c>
      <c r="T1504" s="1">
        <v>1.00610483E8</v>
      </c>
      <c r="U1504" s="1" t="s">
        <v>5043</v>
      </c>
      <c r="V1504" s="1" t="s">
        <v>346</v>
      </c>
      <c r="W1504" s="1" t="s">
        <v>85</v>
      </c>
      <c r="X1504" s="1" t="s">
        <v>344</v>
      </c>
    </row>
    <row r="1505">
      <c r="A1505" s="1" t="s">
        <v>5044</v>
      </c>
      <c r="B1505" s="1" t="s">
        <v>2079</v>
      </c>
      <c r="C1505" s="1" t="s">
        <v>5045</v>
      </c>
      <c r="D1505" s="1" t="s">
        <v>79</v>
      </c>
      <c r="E1505" s="1" t="s">
        <v>29</v>
      </c>
      <c r="F1505" s="5">
        <v>610000.0</v>
      </c>
      <c r="G1505" s="1" t="s">
        <v>3964</v>
      </c>
      <c r="H1505" s="4">
        <v>44653.0</v>
      </c>
      <c r="I1505" s="1" t="s">
        <v>80</v>
      </c>
      <c r="K1505" s="1">
        <v>0.0</v>
      </c>
      <c r="L1505" s="1" t="s">
        <v>2146</v>
      </c>
      <c r="M1505" s="1" t="str">
        <f>VLOOKUP(L1505,'Copy of PMD Workday Constants -'!B1474:Y2160,22,false)</f>
        <v>#N/A</v>
      </c>
      <c r="N1505" s="1" t="s">
        <v>32</v>
      </c>
      <c r="O1505" s="1" t="s">
        <v>33</v>
      </c>
      <c r="P1505" s="1" t="s">
        <v>210</v>
      </c>
      <c r="Q1505" s="1" t="s">
        <v>210</v>
      </c>
      <c r="R1505" s="1" t="s">
        <v>211</v>
      </c>
      <c r="S1505" s="1" t="s">
        <v>297</v>
      </c>
      <c r="T1505" s="1">
        <v>1.00649726E8</v>
      </c>
      <c r="W1505" s="1" t="s">
        <v>258</v>
      </c>
      <c r="X1505" s="1" t="s">
        <v>2146</v>
      </c>
    </row>
    <row r="1506">
      <c r="A1506" s="1" t="s">
        <v>5046</v>
      </c>
      <c r="B1506" s="1" t="s">
        <v>1667</v>
      </c>
      <c r="C1506" s="1" t="s">
        <v>5047</v>
      </c>
      <c r="D1506" s="1" t="s">
        <v>28</v>
      </c>
      <c r="E1506" s="1" t="s">
        <v>29</v>
      </c>
      <c r="F1506" s="5">
        <v>600000.0</v>
      </c>
      <c r="G1506" s="1" t="s">
        <v>3964</v>
      </c>
      <c r="H1506" s="4">
        <v>43778.0</v>
      </c>
      <c r="I1506" s="1" t="s">
        <v>80</v>
      </c>
      <c r="K1506" s="1">
        <v>0.0</v>
      </c>
      <c r="L1506" s="1" t="s">
        <v>3137</v>
      </c>
      <c r="M1506" s="1" t="str">
        <f>VLOOKUP(L1506,'Copy of PMD Workday Constants -'!B1475:Y2161,22,false)</f>
        <v>#N/A</v>
      </c>
      <c r="N1506" s="1" t="s">
        <v>32</v>
      </c>
      <c r="O1506" s="1" t="s">
        <v>33</v>
      </c>
      <c r="P1506" s="1" t="s">
        <v>82</v>
      </c>
      <c r="Q1506" s="1" t="s">
        <v>82</v>
      </c>
      <c r="R1506" s="1" t="s">
        <v>83</v>
      </c>
      <c r="S1506" s="1" t="s">
        <v>180</v>
      </c>
      <c r="T1506" s="1">
        <v>1.00586452E8</v>
      </c>
      <c r="W1506" s="1" t="s">
        <v>85</v>
      </c>
      <c r="X1506" s="1" t="s">
        <v>3138</v>
      </c>
    </row>
    <row r="1507">
      <c r="A1507" s="1" t="s">
        <v>5048</v>
      </c>
      <c r="B1507" s="1" t="s">
        <v>1339</v>
      </c>
      <c r="C1507" s="1" t="s">
        <v>5049</v>
      </c>
      <c r="D1507" s="1" t="s">
        <v>103</v>
      </c>
      <c r="E1507" s="1" t="s">
        <v>29</v>
      </c>
      <c r="F1507" s="5">
        <v>600000.0</v>
      </c>
      <c r="G1507" s="1" t="s">
        <v>3964</v>
      </c>
      <c r="H1507" s="1" t="s">
        <v>1341</v>
      </c>
      <c r="I1507" s="1" t="s">
        <v>96</v>
      </c>
      <c r="K1507" s="1">
        <v>0.0</v>
      </c>
      <c r="L1507" s="1" t="s">
        <v>968</v>
      </c>
      <c r="M1507" s="1" t="str">
        <f>VLOOKUP(L1507,'Copy of PMD Workday Constants -'!B1476:Y2162,22,false)</f>
        <v>#N/A</v>
      </c>
      <c r="N1507" s="1" t="s">
        <v>32</v>
      </c>
      <c r="O1507" s="1" t="s">
        <v>33</v>
      </c>
      <c r="P1507" s="1" t="s">
        <v>210</v>
      </c>
      <c r="Q1507" s="1" t="s">
        <v>210</v>
      </c>
      <c r="R1507" s="1" t="s">
        <v>211</v>
      </c>
      <c r="S1507" s="1" t="s">
        <v>416</v>
      </c>
      <c r="T1507" s="1">
        <v>1.00647262E8</v>
      </c>
      <c r="W1507" s="1" t="s">
        <v>56</v>
      </c>
      <c r="X1507" s="1" t="s">
        <v>968</v>
      </c>
    </row>
    <row r="1508">
      <c r="A1508" s="1" t="s">
        <v>5050</v>
      </c>
      <c r="B1508" s="1" t="s">
        <v>776</v>
      </c>
      <c r="C1508" s="1" t="s">
        <v>5051</v>
      </c>
      <c r="D1508" s="1" t="s">
        <v>51</v>
      </c>
      <c r="E1508" s="1" t="s">
        <v>29</v>
      </c>
      <c r="F1508" s="5">
        <v>600000.0</v>
      </c>
      <c r="G1508" s="1" t="s">
        <v>3964</v>
      </c>
      <c r="H1508" s="4">
        <v>44840.0</v>
      </c>
      <c r="I1508" s="1" t="s">
        <v>96</v>
      </c>
      <c r="K1508" s="1">
        <v>0.0</v>
      </c>
      <c r="L1508" s="1" t="s">
        <v>2546</v>
      </c>
      <c r="M1508" s="1" t="str">
        <f>VLOOKUP(L1508,'Copy of PMD Workday Constants -'!B1477:Y2163,22,false)</f>
        <v>#N/A</v>
      </c>
      <c r="N1508" s="1" t="s">
        <v>32</v>
      </c>
      <c r="O1508" s="1" t="s">
        <v>33</v>
      </c>
      <c r="P1508" s="1" t="s">
        <v>173</v>
      </c>
      <c r="Q1508" s="1" t="s">
        <v>173</v>
      </c>
      <c r="R1508" s="1" t="s">
        <v>174</v>
      </c>
      <c r="T1508" s="1">
        <v>1.00628059E8</v>
      </c>
      <c r="W1508" s="1" t="s">
        <v>74</v>
      </c>
      <c r="X1508" s="1" t="s">
        <v>5052</v>
      </c>
    </row>
    <row r="1509">
      <c r="A1509" s="1" t="s">
        <v>5053</v>
      </c>
      <c r="B1509" s="1" t="s">
        <v>585</v>
      </c>
      <c r="C1509" s="1" t="s">
        <v>5054</v>
      </c>
      <c r="D1509" s="1" t="s">
        <v>28</v>
      </c>
      <c r="E1509" s="1" t="s">
        <v>29</v>
      </c>
      <c r="F1509" s="5">
        <v>600000.0</v>
      </c>
      <c r="G1509" s="1" t="s">
        <v>3964</v>
      </c>
      <c r="H1509" s="4">
        <v>44775.0</v>
      </c>
      <c r="I1509" s="1" t="s">
        <v>732</v>
      </c>
      <c r="K1509" s="1">
        <v>0.0</v>
      </c>
      <c r="L1509" s="1" t="s">
        <v>1879</v>
      </c>
      <c r="M1509" s="1" t="str">
        <f>VLOOKUP(L1509,'Copy of PMD Workday Constants -'!B1478:Y2164,22,false)</f>
        <v>#N/A</v>
      </c>
      <c r="N1509" s="1" t="s">
        <v>32</v>
      </c>
      <c r="O1509" s="1" t="s">
        <v>33</v>
      </c>
      <c r="P1509" s="1" t="s">
        <v>34</v>
      </c>
      <c r="Q1509" s="1" t="s">
        <v>34</v>
      </c>
      <c r="R1509" s="1" t="s">
        <v>35</v>
      </c>
      <c r="T1509" s="1">
        <v>1.00626539E8</v>
      </c>
      <c r="W1509" s="1" t="s">
        <v>91</v>
      </c>
      <c r="X1509" s="1" t="s">
        <v>1879</v>
      </c>
    </row>
    <row r="1510">
      <c r="A1510" s="1" t="s">
        <v>5055</v>
      </c>
      <c r="B1510" s="1" t="s">
        <v>324</v>
      </c>
      <c r="C1510" s="1" t="s">
        <v>5056</v>
      </c>
      <c r="D1510" s="1" t="s">
        <v>79</v>
      </c>
      <c r="E1510" s="1" t="s">
        <v>29</v>
      </c>
      <c r="F1510" s="5">
        <v>600000.0</v>
      </c>
      <c r="G1510" s="1" t="s">
        <v>3964</v>
      </c>
      <c r="H1510" s="4">
        <v>44900.0</v>
      </c>
      <c r="I1510" s="1" t="s">
        <v>80</v>
      </c>
      <c r="K1510" s="1">
        <v>0.0</v>
      </c>
      <c r="L1510" s="1" t="s">
        <v>5057</v>
      </c>
      <c r="M1510" s="1" t="str">
        <f>VLOOKUP(L1510,'Copy of PMD Workday Constants -'!B1479:Y2165,22,false)</f>
        <v>#N/A</v>
      </c>
      <c r="N1510" s="1" t="s">
        <v>32</v>
      </c>
      <c r="O1510" s="1" t="s">
        <v>33</v>
      </c>
      <c r="P1510" s="1" t="s">
        <v>222</v>
      </c>
      <c r="Q1510" s="1" t="s">
        <v>222</v>
      </c>
      <c r="R1510" s="1" t="s">
        <v>223</v>
      </c>
      <c r="T1510" s="1">
        <v>1.01211068E8</v>
      </c>
      <c r="W1510" s="1" t="s">
        <v>56</v>
      </c>
      <c r="X1510" s="1" t="s">
        <v>5058</v>
      </c>
    </row>
    <row r="1511">
      <c r="A1511" s="1" t="s">
        <v>5059</v>
      </c>
      <c r="B1511" s="1" t="s">
        <v>5060</v>
      </c>
      <c r="C1511" s="1" t="s">
        <v>5061</v>
      </c>
      <c r="D1511" s="1" t="s">
        <v>28</v>
      </c>
      <c r="E1511" s="1" t="s">
        <v>29</v>
      </c>
      <c r="F1511" s="5">
        <v>600000.0</v>
      </c>
      <c r="G1511" s="1" t="s">
        <v>3964</v>
      </c>
      <c r="H1511" s="1" t="s">
        <v>5062</v>
      </c>
      <c r="I1511" s="1" t="s">
        <v>302</v>
      </c>
      <c r="K1511" s="1">
        <v>0.0</v>
      </c>
      <c r="L1511" s="1" t="s">
        <v>3674</v>
      </c>
      <c r="M1511" s="1" t="str">
        <f>VLOOKUP(L1511,'Copy of PMD Workday Constants -'!B1480:Y2166,22,false)</f>
        <v>#N/A</v>
      </c>
      <c r="N1511" s="1" t="s">
        <v>32</v>
      </c>
      <c r="O1511" s="1" t="s">
        <v>33</v>
      </c>
      <c r="P1511" s="1" t="s">
        <v>173</v>
      </c>
      <c r="Q1511" s="1" t="s">
        <v>173</v>
      </c>
      <c r="R1511" s="1" t="s">
        <v>174</v>
      </c>
      <c r="S1511" s="1" t="s">
        <v>153</v>
      </c>
      <c r="T1511" s="1">
        <v>1.0058537E8</v>
      </c>
      <c r="W1511" s="1" t="s">
        <v>456</v>
      </c>
      <c r="X1511" s="1" t="s">
        <v>3674</v>
      </c>
    </row>
    <row r="1512">
      <c r="A1512" s="1" t="s">
        <v>5063</v>
      </c>
      <c r="B1512" s="1" t="s">
        <v>5064</v>
      </c>
      <c r="C1512" s="1" t="s">
        <v>5065</v>
      </c>
      <c r="D1512" s="1" t="s">
        <v>51</v>
      </c>
      <c r="E1512" s="1" t="s">
        <v>29</v>
      </c>
      <c r="F1512" s="5">
        <v>600000.0</v>
      </c>
      <c r="G1512" s="1" t="s">
        <v>3964</v>
      </c>
      <c r="H1512" s="4">
        <v>44626.0</v>
      </c>
      <c r="I1512" s="1" t="s">
        <v>1350</v>
      </c>
      <c r="K1512" s="1">
        <v>0.0</v>
      </c>
      <c r="L1512" s="1" t="s">
        <v>1087</v>
      </c>
      <c r="M1512" s="1" t="str">
        <f>VLOOKUP(L1512,'Copy of PMD Workday Constants -'!B1481:Y2167,22,false)</f>
        <v>#N/A</v>
      </c>
      <c r="N1512" s="1" t="s">
        <v>32</v>
      </c>
      <c r="O1512" s="1" t="s">
        <v>33</v>
      </c>
      <c r="P1512" s="1" t="s">
        <v>112</v>
      </c>
      <c r="Q1512" s="1" t="s">
        <v>112</v>
      </c>
      <c r="R1512" s="1" t="s">
        <v>113</v>
      </c>
      <c r="T1512" s="1">
        <v>1.00634994E8</v>
      </c>
      <c r="X1512" s="1" t="s">
        <v>5066</v>
      </c>
    </row>
    <row r="1513">
      <c r="A1513" s="1" t="s">
        <v>5067</v>
      </c>
      <c r="B1513" s="1" t="s">
        <v>923</v>
      </c>
      <c r="C1513" s="1" t="s">
        <v>5068</v>
      </c>
      <c r="D1513" s="1" t="s">
        <v>103</v>
      </c>
      <c r="E1513" s="1" t="s">
        <v>29</v>
      </c>
      <c r="F1513" s="5">
        <v>600000.0</v>
      </c>
      <c r="G1513" s="1" t="s">
        <v>3964</v>
      </c>
      <c r="H1513" s="1" t="s">
        <v>1455</v>
      </c>
      <c r="I1513" s="1" t="s">
        <v>575</v>
      </c>
      <c r="K1513" s="1">
        <v>0.0</v>
      </c>
      <c r="L1513" s="1" t="s">
        <v>1400</v>
      </c>
      <c r="M1513" s="1" t="str">
        <f>VLOOKUP(L1513,'Copy of PMD Workday Constants -'!B1482:Y2168,22,false)</f>
        <v>#N/A</v>
      </c>
      <c r="N1513" s="1" t="s">
        <v>32</v>
      </c>
      <c r="O1513" s="1" t="s">
        <v>33</v>
      </c>
      <c r="P1513" s="1" t="s">
        <v>64</v>
      </c>
      <c r="Q1513" s="1" t="s">
        <v>64</v>
      </c>
      <c r="R1513" s="1" t="s">
        <v>65</v>
      </c>
      <c r="S1513" s="1" t="s">
        <v>126</v>
      </c>
      <c r="T1513" s="1">
        <v>1.0059033E8</v>
      </c>
      <c r="W1513" s="1" t="s">
        <v>308</v>
      </c>
      <c r="X1513" s="1" t="s">
        <v>925</v>
      </c>
    </row>
    <row r="1514">
      <c r="A1514" s="1" t="s">
        <v>5069</v>
      </c>
      <c r="B1514" s="1" t="s">
        <v>800</v>
      </c>
      <c r="C1514" s="1" t="s">
        <v>5070</v>
      </c>
      <c r="D1514" s="1" t="s">
        <v>103</v>
      </c>
      <c r="E1514" s="1" t="s">
        <v>29</v>
      </c>
      <c r="F1514" s="5">
        <v>600000.0</v>
      </c>
      <c r="G1514" s="1" t="s">
        <v>3964</v>
      </c>
      <c r="H1514" s="4">
        <v>44626.0</v>
      </c>
      <c r="I1514" s="4">
        <v>44568.0</v>
      </c>
      <c r="K1514" s="1">
        <v>0.0</v>
      </c>
      <c r="L1514" s="1" t="s">
        <v>435</v>
      </c>
      <c r="M1514" s="1" t="str">
        <f>VLOOKUP(L1514,'Copy of PMD Workday Constants -'!B1483:Y2169,22,false)</f>
        <v>#N/A</v>
      </c>
      <c r="N1514" s="1" t="s">
        <v>32</v>
      </c>
      <c r="O1514" s="1" t="s">
        <v>33</v>
      </c>
      <c r="P1514" s="1" t="s">
        <v>64</v>
      </c>
      <c r="Q1514" s="1" t="s">
        <v>64</v>
      </c>
      <c r="R1514" s="1" t="s">
        <v>65</v>
      </c>
      <c r="S1514" s="1" t="s">
        <v>98</v>
      </c>
      <c r="T1514" s="1">
        <v>1.00653756E8</v>
      </c>
      <c r="W1514" s="1" t="s">
        <v>56</v>
      </c>
      <c r="X1514" s="1" t="s">
        <v>5071</v>
      </c>
    </row>
    <row r="1515">
      <c r="A1515" s="1" t="s">
        <v>5072</v>
      </c>
      <c r="B1515" s="1" t="s">
        <v>5073</v>
      </c>
      <c r="C1515" s="1" t="s">
        <v>5074</v>
      </c>
      <c r="D1515" s="1" t="s">
        <v>103</v>
      </c>
      <c r="E1515" s="1" t="s">
        <v>29</v>
      </c>
      <c r="F1515" s="5">
        <v>600000.0</v>
      </c>
      <c r="G1515" s="1" t="s">
        <v>3964</v>
      </c>
      <c r="H1515" s="1" t="s">
        <v>2896</v>
      </c>
      <c r="I1515" s="1" t="s">
        <v>264</v>
      </c>
      <c r="K1515" s="1">
        <v>0.0</v>
      </c>
      <c r="L1515" s="1" t="s">
        <v>4644</v>
      </c>
      <c r="M1515" s="1" t="str">
        <f>VLOOKUP(L1515,'Copy of PMD Workday Constants -'!B1484:Y2170,22,false)</f>
        <v>#N/A</v>
      </c>
      <c r="N1515" s="1" t="s">
        <v>32</v>
      </c>
      <c r="O1515" s="1" t="s">
        <v>33</v>
      </c>
      <c r="P1515" s="1" t="s">
        <v>210</v>
      </c>
      <c r="Q1515" s="1" t="s">
        <v>210</v>
      </c>
      <c r="R1515" s="1" t="s">
        <v>211</v>
      </c>
      <c r="S1515" s="1" t="s">
        <v>1313</v>
      </c>
      <c r="T1515" s="1">
        <v>1.00637587E8</v>
      </c>
      <c r="W1515" s="1" t="s">
        <v>577</v>
      </c>
      <c r="X1515" s="1" t="s">
        <v>5075</v>
      </c>
    </row>
    <row r="1516">
      <c r="A1516" s="1" t="s">
        <v>5076</v>
      </c>
      <c r="B1516" s="1" t="s">
        <v>1589</v>
      </c>
      <c r="C1516" s="1" t="s">
        <v>5077</v>
      </c>
      <c r="D1516" s="1" t="s">
        <v>103</v>
      </c>
      <c r="E1516" s="1" t="s">
        <v>29</v>
      </c>
      <c r="F1516" s="5">
        <v>600000.0</v>
      </c>
      <c r="G1516" s="1" t="s">
        <v>3964</v>
      </c>
      <c r="H1516" s="1" t="s">
        <v>2069</v>
      </c>
      <c r="I1516" s="1" t="s">
        <v>941</v>
      </c>
      <c r="K1516" s="1">
        <v>0.0</v>
      </c>
      <c r="L1516" s="1" t="s">
        <v>1591</v>
      </c>
      <c r="M1516" s="1" t="str">
        <f>VLOOKUP(L1516,'Copy of PMD Workday Constants -'!B1485:Y2171,22,false)</f>
        <v>#N/A</v>
      </c>
      <c r="N1516" s="1" t="s">
        <v>32</v>
      </c>
      <c r="O1516" s="1" t="s">
        <v>33</v>
      </c>
      <c r="P1516" s="1" t="s">
        <v>34</v>
      </c>
      <c r="Q1516" s="1" t="s">
        <v>34</v>
      </c>
      <c r="R1516" s="1" t="s">
        <v>35</v>
      </c>
      <c r="T1516" s="1">
        <v>1.00587799E8</v>
      </c>
      <c r="W1516" s="1" t="s">
        <v>140</v>
      </c>
      <c r="X1516" s="1" t="s">
        <v>5078</v>
      </c>
    </row>
    <row r="1517">
      <c r="A1517" s="1" t="s">
        <v>5079</v>
      </c>
      <c r="B1517" s="1" t="s">
        <v>4162</v>
      </c>
      <c r="C1517" s="1" t="s">
        <v>5080</v>
      </c>
      <c r="D1517" s="1" t="s">
        <v>79</v>
      </c>
      <c r="E1517" s="1" t="s">
        <v>29</v>
      </c>
      <c r="F1517" s="5">
        <v>600000.0</v>
      </c>
      <c r="G1517" s="1" t="s">
        <v>3964</v>
      </c>
      <c r="H1517" s="4">
        <v>44685.0</v>
      </c>
      <c r="I1517" s="1" t="s">
        <v>80</v>
      </c>
      <c r="K1517" s="1">
        <v>0.0</v>
      </c>
      <c r="L1517" s="1" t="s">
        <v>5081</v>
      </c>
      <c r="M1517" s="1" t="str">
        <f>VLOOKUP(L1517,'Copy of PMD Workday Constants -'!B1486:Y2172,22,false)</f>
        <v>#N/A</v>
      </c>
      <c r="N1517" s="1" t="s">
        <v>32</v>
      </c>
      <c r="O1517" s="1" t="s">
        <v>33</v>
      </c>
      <c r="P1517" s="1" t="s">
        <v>173</v>
      </c>
      <c r="Q1517" s="1" t="s">
        <v>173</v>
      </c>
      <c r="R1517" s="1" t="s">
        <v>174</v>
      </c>
      <c r="S1517" s="1" t="s">
        <v>612</v>
      </c>
      <c r="T1517" s="1">
        <v>1.01198053E8</v>
      </c>
      <c r="W1517" s="1" t="s">
        <v>308</v>
      </c>
      <c r="X1517" s="1" t="s">
        <v>5082</v>
      </c>
    </row>
    <row r="1518">
      <c r="A1518" s="1" t="s">
        <v>5083</v>
      </c>
      <c r="B1518" s="1" t="s">
        <v>3615</v>
      </c>
      <c r="C1518" s="1" t="s">
        <v>5084</v>
      </c>
      <c r="D1518" s="1" t="s">
        <v>51</v>
      </c>
      <c r="E1518" s="1" t="s">
        <v>29</v>
      </c>
      <c r="F1518" s="5">
        <v>600000.0</v>
      </c>
      <c r="G1518" s="1" t="s">
        <v>3964</v>
      </c>
      <c r="H1518" s="4">
        <v>44598.0</v>
      </c>
      <c r="I1518" s="1" t="s">
        <v>104</v>
      </c>
      <c r="K1518" s="1">
        <v>0.0</v>
      </c>
      <c r="L1518" s="1" t="s">
        <v>1770</v>
      </c>
      <c r="M1518" s="1" t="str">
        <f>VLOOKUP(L1518,'Copy of PMD Workday Constants -'!B1487:Y2173,22,false)</f>
        <v>#N/A</v>
      </c>
      <c r="N1518" s="1" t="s">
        <v>32</v>
      </c>
      <c r="O1518" s="1" t="s">
        <v>33</v>
      </c>
      <c r="P1518" s="1" t="s">
        <v>210</v>
      </c>
      <c r="Q1518" s="1" t="s">
        <v>210</v>
      </c>
      <c r="R1518" s="1" t="s">
        <v>211</v>
      </c>
      <c r="S1518" s="1" t="s">
        <v>1313</v>
      </c>
      <c r="T1518" s="1">
        <v>1.00593918E8</v>
      </c>
      <c r="W1518" s="1" t="s">
        <v>577</v>
      </c>
      <c r="X1518" s="1" t="s">
        <v>1771</v>
      </c>
    </row>
    <row r="1519">
      <c r="A1519" s="1" t="s">
        <v>5085</v>
      </c>
      <c r="B1519" s="1" t="s">
        <v>1624</v>
      </c>
      <c r="C1519" s="1" t="s">
        <v>5086</v>
      </c>
      <c r="D1519" s="1" t="s">
        <v>79</v>
      </c>
      <c r="E1519" s="1" t="s">
        <v>29</v>
      </c>
      <c r="F1519" s="5">
        <v>600000.0</v>
      </c>
      <c r="G1519" s="1" t="s">
        <v>3964</v>
      </c>
      <c r="H1519" s="1" t="s">
        <v>778</v>
      </c>
      <c r="I1519" s="4">
        <v>44568.0</v>
      </c>
      <c r="K1519" s="1">
        <v>0.0</v>
      </c>
      <c r="L1519" s="1" t="s">
        <v>5087</v>
      </c>
      <c r="M1519" s="1" t="str">
        <f>VLOOKUP(L1519,'Copy of PMD Workday Constants -'!B1488:Y2174,22,false)</f>
        <v>#N/A</v>
      </c>
      <c r="N1519" s="1" t="s">
        <v>32</v>
      </c>
      <c r="O1519" s="1" t="s">
        <v>33</v>
      </c>
      <c r="P1519" s="1" t="s">
        <v>64</v>
      </c>
      <c r="Q1519" s="1" t="s">
        <v>64</v>
      </c>
      <c r="R1519" s="1" t="s">
        <v>65</v>
      </c>
      <c r="S1519" s="1" t="s">
        <v>583</v>
      </c>
      <c r="T1519" s="1">
        <v>1.00610826E8</v>
      </c>
      <c r="W1519" s="1" t="s">
        <v>456</v>
      </c>
      <c r="X1519" s="1" t="s">
        <v>5088</v>
      </c>
    </row>
    <row r="1520">
      <c r="A1520" s="1" t="s">
        <v>5089</v>
      </c>
      <c r="B1520" s="1" t="s">
        <v>5090</v>
      </c>
      <c r="C1520" s="1" t="s">
        <v>5091</v>
      </c>
      <c r="D1520" s="1" t="s">
        <v>28</v>
      </c>
      <c r="E1520" s="1" t="s">
        <v>29</v>
      </c>
      <c r="F1520" s="5">
        <v>600000.0</v>
      </c>
      <c r="G1520" s="1" t="s">
        <v>3964</v>
      </c>
      <c r="H1520" s="1" t="s">
        <v>4084</v>
      </c>
      <c r="I1520" s="1" t="s">
        <v>80</v>
      </c>
      <c r="K1520" s="1">
        <v>0.0</v>
      </c>
      <c r="L1520" s="1" t="s">
        <v>1902</v>
      </c>
      <c r="M1520" s="1" t="str">
        <f>VLOOKUP(L1520,'Copy of PMD Workday Constants -'!B1489:Y2175,22,false)</f>
        <v>#N/A</v>
      </c>
      <c r="N1520" s="1" t="s">
        <v>32</v>
      </c>
      <c r="O1520" s="1" t="s">
        <v>33</v>
      </c>
      <c r="P1520" s="1" t="s">
        <v>173</v>
      </c>
      <c r="Q1520" s="1" t="s">
        <v>173</v>
      </c>
      <c r="R1520" s="1" t="s">
        <v>174</v>
      </c>
      <c r="S1520" s="1" t="s">
        <v>612</v>
      </c>
      <c r="T1520" s="1">
        <v>1.00956516E8</v>
      </c>
      <c r="V1520" s="1" t="s">
        <v>67</v>
      </c>
      <c r="W1520" s="1" t="s">
        <v>258</v>
      </c>
      <c r="X1520" s="1" t="s">
        <v>1902</v>
      </c>
    </row>
    <row r="1521">
      <c r="A1521" s="1" t="s">
        <v>5092</v>
      </c>
      <c r="B1521" s="1" t="s">
        <v>521</v>
      </c>
      <c r="C1521" s="1" t="s">
        <v>5093</v>
      </c>
      <c r="D1521" s="1" t="s">
        <v>51</v>
      </c>
      <c r="E1521" s="1" t="s">
        <v>29</v>
      </c>
      <c r="F1521" s="5">
        <v>600000.0</v>
      </c>
      <c r="G1521" s="1" t="s">
        <v>3964</v>
      </c>
      <c r="H1521" s="1" t="s">
        <v>5094</v>
      </c>
      <c r="I1521" s="1" t="s">
        <v>453</v>
      </c>
      <c r="K1521" s="1">
        <v>0.0</v>
      </c>
      <c r="L1521" s="1" t="s">
        <v>319</v>
      </c>
      <c r="M1521" s="1" t="str">
        <f>VLOOKUP(L1521,'Copy of PMD Workday Constants -'!B1490:Y2176,22,false)</f>
        <v>#N/A</v>
      </c>
      <c r="N1521" s="1" t="s">
        <v>32</v>
      </c>
      <c r="O1521" s="1" t="s">
        <v>33</v>
      </c>
      <c r="P1521" s="1" t="s">
        <v>82</v>
      </c>
      <c r="Q1521" s="1" t="s">
        <v>82</v>
      </c>
      <c r="R1521" s="1" t="s">
        <v>83</v>
      </c>
      <c r="S1521" s="1" t="s">
        <v>84</v>
      </c>
      <c r="T1521" s="1">
        <v>1.00654705E8</v>
      </c>
      <c r="W1521" s="1" t="s">
        <v>85</v>
      </c>
      <c r="X1521" s="1" t="s">
        <v>319</v>
      </c>
    </row>
    <row r="1522">
      <c r="A1522" s="1" t="s">
        <v>5095</v>
      </c>
      <c r="B1522" s="1" t="s">
        <v>5096</v>
      </c>
      <c r="C1522" s="1" t="s">
        <v>5097</v>
      </c>
      <c r="D1522" s="1" t="s">
        <v>51</v>
      </c>
      <c r="E1522" s="1" t="s">
        <v>29</v>
      </c>
      <c r="F1522" s="5">
        <v>600000.0</v>
      </c>
      <c r="G1522" s="1" t="s">
        <v>3964</v>
      </c>
      <c r="H1522" s="1" t="s">
        <v>1575</v>
      </c>
      <c r="I1522" s="1" t="s">
        <v>104</v>
      </c>
      <c r="K1522" s="1">
        <v>0.0</v>
      </c>
      <c r="L1522" s="1" t="s">
        <v>475</v>
      </c>
      <c r="M1522" s="1" t="str">
        <f>VLOOKUP(L1522,'Copy of PMD Workday Constants -'!B1491:Y2177,22,false)</f>
        <v>#N/A</v>
      </c>
      <c r="N1522" s="1" t="s">
        <v>32</v>
      </c>
      <c r="O1522" s="1" t="s">
        <v>33</v>
      </c>
      <c r="P1522" s="1" t="s">
        <v>210</v>
      </c>
      <c r="Q1522" s="1" t="s">
        <v>210</v>
      </c>
      <c r="R1522" s="1" t="s">
        <v>211</v>
      </c>
      <c r="S1522" s="1" t="s">
        <v>1313</v>
      </c>
      <c r="T1522" s="1">
        <v>1.00639134E8</v>
      </c>
      <c r="W1522" s="1" t="s">
        <v>436</v>
      </c>
      <c r="X1522" s="1" t="s">
        <v>5098</v>
      </c>
    </row>
    <row r="1523">
      <c r="A1523" s="1" t="s">
        <v>5099</v>
      </c>
      <c r="B1523" s="1" t="s">
        <v>5100</v>
      </c>
      <c r="C1523" s="1" t="s">
        <v>5101</v>
      </c>
      <c r="D1523" s="1" t="s">
        <v>28</v>
      </c>
      <c r="E1523" s="1" t="s">
        <v>29</v>
      </c>
      <c r="F1523" s="5">
        <v>600000.0</v>
      </c>
      <c r="G1523" s="1" t="s">
        <v>3964</v>
      </c>
      <c r="H1523" s="1" t="s">
        <v>2062</v>
      </c>
      <c r="I1523" s="1" t="s">
        <v>191</v>
      </c>
      <c r="K1523" s="1">
        <v>0.0</v>
      </c>
      <c r="L1523" s="1" t="s">
        <v>588</v>
      </c>
      <c r="M1523" s="1" t="str">
        <f>VLOOKUP(L1523,'Copy of PMD Workday Constants -'!B1492:Y2178,22,false)</f>
        <v>#N/A</v>
      </c>
      <c r="N1523" s="1" t="s">
        <v>32</v>
      </c>
      <c r="O1523" s="1" t="s">
        <v>33</v>
      </c>
      <c r="P1523" s="1" t="s">
        <v>34</v>
      </c>
      <c r="Q1523" s="1" t="s">
        <v>34</v>
      </c>
      <c r="R1523" s="1" t="s">
        <v>35</v>
      </c>
      <c r="S1523" s="1" t="s">
        <v>153</v>
      </c>
      <c r="T1523" s="1">
        <v>1.00609607E8</v>
      </c>
      <c r="W1523" s="1" t="s">
        <v>37</v>
      </c>
      <c r="X1523" s="1" t="s">
        <v>1879</v>
      </c>
    </row>
    <row r="1524">
      <c r="A1524" s="1" t="s">
        <v>5102</v>
      </c>
      <c r="B1524" s="1" t="s">
        <v>5103</v>
      </c>
      <c r="C1524" s="1" t="s">
        <v>5104</v>
      </c>
      <c r="D1524" s="1" t="s">
        <v>28</v>
      </c>
      <c r="E1524" s="1" t="s">
        <v>29</v>
      </c>
      <c r="F1524" s="5">
        <v>600000.0</v>
      </c>
      <c r="G1524" s="1" t="s">
        <v>3964</v>
      </c>
      <c r="H1524" s="4">
        <v>44779.0</v>
      </c>
      <c r="I1524" s="1" t="s">
        <v>414</v>
      </c>
      <c r="K1524" s="1">
        <v>0.0</v>
      </c>
      <c r="L1524" s="1" t="s">
        <v>1031</v>
      </c>
      <c r="M1524" s="1" t="str">
        <f>VLOOKUP(L1524,'Copy of PMD Workday Constants -'!B1493:Y2179,22,false)</f>
        <v>#N/A</v>
      </c>
      <c r="N1524" s="1" t="s">
        <v>32</v>
      </c>
      <c r="O1524" s="1" t="s">
        <v>33</v>
      </c>
      <c r="P1524" s="1" t="s">
        <v>64</v>
      </c>
      <c r="Q1524" s="1" t="s">
        <v>64</v>
      </c>
      <c r="R1524" s="1" t="s">
        <v>65</v>
      </c>
      <c r="T1524" s="1">
        <v>1.00879751E8</v>
      </c>
      <c r="W1524" s="1" t="s">
        <v>115</v>
      </c>
      <c r="X1524" s="1" t="s">
        <v>4869</v>
      </c>
    </row>
    <row r="1525">
      <c r="A1525" s="1" t="s">
        <v>5105</v>
      </c>
      <c r="B1525" s="1" t="s">
        <v>776</v>
      </c>
      <c r="C1525" s="1" t="s">
        <v>5106</v>
      </c>
      <c r="D1525" s="1" t="s">
        <v>51</v>
      </c>
      <c r="E1525" s="1" t="s">
        <v>29</v>
      </c>
      <c r="F1525" s="5">
        <v>600000.0</v>
      </c>
      <c r="G1525" s="1" t="s">
        <v>3964</v>
      </c>
      <c r="H1525" s="1" t="s">
        <v>569</v>
      </c>
      <c r="I1525" s="1" t="s">
        <v>80</v>
      </c>
      <c r="K1525" s="1">
        <v>0.0</v>
      </c>
      <c r="L1525" s="1" t="s">
        <v>2546</v>
      </c>
      <c r="M1525" s="1" t="str">
        <f>VLOOKUP(L1525,'Copy of PMD Workday Constants -'!B1494:Y2180,22,false)</f>
        <v>#N/A</v>
      </c>
      <c r="N1525" s="1" t="s">
        <v>32</v>
      </c>
      <c r="O1525" s="1" t="s">
        <v>33</v>
      </c>
      <c r="P1525" s="1" t="s">
        <v>173</v>
      </c>
      <c r="Q1525" s="1" t="s">
        <v>173</v>
      </c>
      <c r="R1525" s="1" t="s">
        <v>174</v>
      </c>
      <c r="T1525" s="1">
        <v>1.00628059E8</v>
      </c>
      <c r="W1525" s="1" t="s">
        <v>74</v>
      </c>
      <c r="X1525" s="1" t="s">
        <v>2974</v>
      </c>
    </row>
    <row r="1526">
      <c r="A1526" s="1" t="s">
        <v>5107</v>
      </c>
      <c r="B1526" s="1" t="s">
        <v>1483</v>
      </c>
      <c r="C1526" s="1" t="s">
        <v>5108</v>
      </c>
      <c r="D1526" s="1" t="s">
        <v>28</v>
      </c>
      <c r="E1526" s="1" t="s">
        <v>29</v>
      </c>
      <c r="F1526" s="5">
        <v>600000.0</v>
      </c>
      <c r="G1526" s="1" t="s">
        <v>3964</v>
      </c>
      <c r="H1526" s="1" t="s">
        <v>3399</v>
      </c>
      <c r="I1526" s="4">
        <v>44568.0</v>
      </c>
      <c r="K1526" s="1">
        <v>0.0</v>
      </c>
      <c r="L1526" s="1" t="s">
        <v>1780</v>
      </c>
      <c r="M1526" s="1" t="str">
        <f>VLOOKUP(L1526,'Copy of PMD Workday Constants -'!B1495:Y2181,22,false)</f>
        <v>#N/A</v>
      </c>
      <c r="N1526" s="1" t="s">
        <v>32</v>
      </c>
      <c r="O1526" s="1" t="s">
        <v>33</v>
      </c>
      <c r="P1526" s="1" t="s">
        <v>82</v>
      </c>
      <c r="Q1526" s="1" t="s">
        <v>82</v>
      </c>
      <c r="R1526" s="1" t="s">
        <v>83</v>
      </c>
      <c r="S1526" s="1" t="s">
        <v>583</v>
      </c>
      <c r="T1526" s="1">
        <v>1.00617113E8</v>
      </c>
      <c r="W1526" s="1" t="s">
        <v>456</v>
      </c>
      <c r="X1526" s="1" t="s">
        <v>768</v>
      </c>
    </row>
    <row r="1527">
      <c r="A1527" s="1" t="s">
        <v>5109</v>
      </c>
      <c r="B1527" s="1" t="s">
        <v>5110</v>
      </c>
      <c r="C1527" s="1" t="s">
        <v>5111</v>
      </c>
      <c r="D1527" s="1" t="s">
        <v>28</v>
      </c>
      <c r="E1527" s="1" t="s">
        <v>29</v>
      </c>
      <c r="F1527" s="5">
        <v>600000.0</v>
      </c>
      <c r="G1527" s="1" t="s">
        <v>3964</v>
      </c>
      <c r="H1527" s="1" t="s">
        <v>2069</v>
      </c>
      <c r="I1527" s="1" t="s">
        <v>104</v>
      </c>
      <c r="K1527" s="1">
        <v>0.0</v>
      </c>
      <c r="L1527" s="1" t="s">
        <v>1075</v>
      </c>
      <c r="M1527" s="1" t="str">
        <f>VLOOKUP(L1527,'Copy of PMD Workday Constants -'!B1496:Y2182,22,false)</f>
        <v>#N/A</v>
      </c>
      <c r="N1527" s="1" t="s">
        <v>32</v>
      </c>
      <c r="O1527" s="1" t="s">
        <v>33</v>
      </c>
      <c r="P1527" s="1" t="s">
        <v>34</v>
      </c>
      <c r="Q1527" s="1" t="s">
        <v>34</v>
      </c>
      <c r="R1527" s="1" t="s">
        <v>35</v>
      </c>
      <c r="S1527" s="1" t="s">
        <v>126</v>
      </c>
      <c r="T1527" s="1">
        <v>1.00601386E8</v>
      </c>
      <c r="W1527" s="1" t="s">
        <v>47</v>
      </c>
      <c r="X1527" s="1" t="s">
        <v>338</v>
      </c>
    </row>
    <row r="1528">
      <c r="A1528" s="1" t="s">
        <v>5112</v>
      </c>
      <c r="B1528" s="1" t="s">
        <v>129</v>
      </c>
      <c r="C1528" s="1" t="s">
        <v>5113</v>
      </c>
      <c r="D1528" s="1" t="s">
        <v>79</v>
      </c>
      <c r="E1528" s="1" t="s">
        <v>29</v>
      </c>
      <c r="F1528" s="5">
        <v>600000.0</v>
      </c>
      <c r="G1528" s="1" t="s">
        <v>3964</v>
      </c>
      <c r="H1528" s="1" t="s">
        <v>52</v>
      </c>
      <c r="I1528" s="1" t="s">
        <v>810</v>
      </c>
      <c r="K1528" s="1">
        <v>0.0</v>
      </c>
      <c r="L1528" s="1" t="s">
        <v>3352</v>
      </c>
      <c r="M1528" s="1" t="str">
        <f>VLOOKUP(L1528,'Copy of PMD Workday Constants -'!B1497:Y2183,22,false)</f>
        <v>#N/A</v>
      </c>
      <c r="N1528" s="1" t="s">
        <v>32</v>
      </c>
      <c r="O1528" s="1" t="s">
        <v>33</v>
      </c>
      <c r="P1528" s="1" t="s">
        <v>54</v>
      </c>
      <c r="Q1528" s="1" t="s">
        <v>54</v>
      </c>
      <c r="R1528" s="1" t="s">
        <v>55</v>
      </c>
      <c r="S1528" s="1" t="s">
        <v>701</v>
      </c>
      <c r="T1528" s="1">
        <v>1.00904603E8</v>
      </c>
      <c r="W1528" s="1" t="s">
        <v>74</v>
      </c>
      <c r="X1528" s="1" t="s">
        <v>3353</v>
      </c>
    </row>
    <row r="1529">
      <c r="A1529" s="1" t="s">
        <v>5114</v>
      </c>
      <c r="B1529" s="1" t="s">
        <v>1648</v>
      </c>
      <c r="C1529" s="1" t="s">
        <v>5115</v>
      </c>
      <c r="D1529" s="1" t="s">
        <v>103</v>
      </c>
      <c r="E1529" s="1" t="s">
        <v>29</v>
      </c>
      <c r="F1529" s="5">
        <v>600000.0</v>
      </c>
      <c r="G1529" s="1" t="s">
        <v>3964</v>
      </c>
      <c r="H1529" s="4">
        <v>44563.0</v>
      </c>
      <c r="I1529" s="4">
        <v>44872.0</v>
      </c>
      <c r="J1529" s="6">
        <v>44622.04652777778</v>
      </c>
      <c r="K1529" s="1">
        <v>0.0</v>
      </c>
      <c r="L1529" s="1" t="s">
        <v>1238</v>
      </c>
      <c r="M1529" s="1" t="str">
        <f>VLOOKUP(L1529,'Copy of PMD Workday Constants -'!B1498:Y2184,22,false)</f>
        <v>#N/A</v>
      </c>
      <c r="N1529" s="1" t="s">
        <v>32</v>
      </c>
      <c r="O1529" s="1" t="s">
        <v>33</v>
      </c>
      <c r="P1529" s="1" t="s">
        <v>210</v>
      </c>
      <c r="Q1529" s="1" t="s">
        <v>210</v>
      </c>
      <c r="R1529" s="1" t="s">
        <v>211</v>
      </c>
      <c r="S1529" s="1" t="s">
        <v>416</v>
      </c>
      <c r="T1529" s="1">
        <v>1.00586959E8</v>
      </c>
      <c r="W1529" s="1" t="s">
        <v>56</v>
      </c>
      <c r="X1529" s="1" t="s">
        <v>968</v>
      </c>
    </row>
    <row r="1530">
      <c r="A1530" s="1" t="s">
        <v>5116</v>
      </c>
      <c r="B1530" s="1" t="s">
        <v>5090</v>
      </c>
      <c r="C1530" s="1" t="s">
        <v>5117</v>
      </c>
      <c r="D1530" s="1" t="s">
        <v>103</v>
      </c>
      <c r="E1530" s="1" t="s">
        <v>29</v>
      </c>
      <c r="F1530" s="5">
        <v>600000.0</v>
      </c>
      <c r="G1530" s="1" t="s">
        <v>3964</v>
      </c>
      <c r="H1530" s="4">
        <v>44450.0</v>
      </c>
      <c r="I1530" s="1" t="s">
        <v>80</v>
      </c>
      <c r="K1530" s="1">
        <v>0.0</v>
      </c>
      <c r="L1530" s="1" t="s">
        <v>1902</v>
      </c>
      <c r="M1530" s="1" t="str">
        <f>VLOOKUP(L1530,'Copy of PMD Workday Constants -'!B1499:Y2185,22,false)</f>
        <v>#N/A</v>
      </c>
      <c r="N1530" s="1" t="s">
        <v>32</v>
      </c>
      <c r="O1530" s="1" t="s">
        <v>33</v>
      </c>
      <c r="P1530" s="1" t="s">
        <v>173</v>
      </c>
      <c r="Q1530" s="1" t="s">
        <v>173</v>
      </c>
      <c r="R1530" s="1" t="s">
        <v>174</v>
      </c>
      <c r="S1530" s="1" t="s">
        <v>612</v>
      </c>
      <c r="T1530" s="1">
        <v>1.00956516E8</v>
      </c>
      <c r="U1530" s="1" t="s">
        <v>5091</v>
      </c>
      <c r="V1530" s="1" t="s">
        <v>187</v>
      </c>
      <c r="W1530" s="1" t="s">
        <v>258</v>
      </c>
      <c r="X1530" s="1" t="s">
        <v>5118</v>
      </c>
    </row>
    <row r="1531">
      <c r="A1531" s="1" t="s">
        <v>5119</v>
      </c>
      <c r="B1531" s="1" t="s">
        <v>5120</v>
      </c>
      <c r="C1531" s="1" t="s">
        <v>5121</v>
      </c>
      <c r="D1531" s="1" t="s">
        <v>51</v>
      </c>
      <c r="E1531" s="1" t="s">
        <v>29</v>
      </c>
      <c r="F1531" s="5">
        <v>600000.0</v>
      </c>
      <c r="G1531" s="1" t="s">
        <v>3964</v>
      </c>
      <c r="H1531" s="1" t="s">
        <v>1245</v>
      </c>
      <c r="I1531" s="4">
        <v>44658.0</v>
      </c>
      <c r="K1531" s="1">
        <v>0.0</v>
      </c>
      <c r="L1531" s="1" t="s">
        <v>2819</v>
      </c>
      <c r="M1531" s="1" t="str">
        <f>VLOOKUP(L1531,'Copy of PMD Workday Constants -'!B1500:Y2186,22,false)</f>
        <v>#N/A</v>
      </c>
      <c r="N1531" s="1" t="s">
        <v>32</v>
      </c>
      <c r="O1531" s="1" t="s">
        <v>33</v>
      </c>
      <c r="P1531" s="1" t="s">
        <v>34</v>
      </c>
      <c r="Q1531" s="1" t="s">
        <v>34</v>
      </c>
      <c r="R1531" s="1" t="s">
        <v>35</v>
      </c>
      <c r="T1531" s="1">
        <v>1.00602451E8</v>
      </c>
      <c r="W1531" s="1" t="s">
        <v>147</v>
      </c>
      <c r="X1531" s="1" t="s">
        <v>5122</v>
      </c>
    </row>
    <row r="1532">
      <c r="A1532" s="1" t="s">
        <v>5123</v>
      </c>
      <c r="B1532" s="1" t="s">
        <v>3283</v>
      </c>
      <c r="C1532" s="1" t="s">
        <v>5124</v>
      </c>
      <c r="D1532" s="1" t="s">
        <v>28</v>
      </c>
      <c r="E1532" s="1" t="s">
        <v>29</v>
      </c>
      <c r="F1532" s="5">
        <v>600000.0</v>
      </c>
      <c r="G1532" s="1" t="s">
        <v>3964</v>
      </c>
      <c r="H1532" s="1" t="s">
        <v>5125</v>
      </c>
      <c r="I1532" s="1" t="s">
        <v>166</v>
      </c>
      <c r="K1532" s="1">
        <v>0.0</v>
      </c>
      <c r="L1532" s="1" t="s">
        <v>350</v>
      </c>
      <c r="M1532" s="1" t="str">
        <f>VLOOKUP(L1532,'Copy of PMD Workday Constants -'!B1501:Y2187,22,false)</f>
        <v>#N/A</v>
      </c>
      <c r="N1532" s="1" t="s">
        <v>32</v>
      </c>
      <c r="O1532" s="1" t="s">
        <v>33</v>
      </c>
      <c r="P1532" s="1" t="s">
        <v>82</v>
      </c>
      <c r="Q1532" s="1" t="s">
        <v>82</v>
      </c>
      <c r="R1532" s="1" t="s">
        <v>83</v>
      </c>
      <c r="S1532" s="1" t="s">
        <v>180</v>
      </c>
      <c r="T1532" s="1">
        <v>1.00582847E8</v>
      </c>
      <c r="W1532" s="1" t="s">
        <v>85</v>
      </c>
      <c r="X1532" s="1" t="s">
        <v>5126</v>
      </c>
    </row>
    <row r="1533">
      <c r="A1533" s="1" t="s">
        <v>5127</v>
      </c>
      <c r="B1533" s="1" t="s">
        <v>70</v>
      </c>
      <c r="C1533" s="1" t="s">
        <v>5128</v>
      </c>
      <c r="D1533" s="1" t="s">
        <v>51</v>
      </c>
      <c r="E1533" s="1" t="s">
        <v>29</v>
      </c>
      <c r="F1533" s="5">
        <v>600000.0</v>
      </c>
      <c r="G1533" s="1" t="s">
        <v>3964</v>
      </c>
      <c r="H1533" s="1" t="s">
        <v>420</v>
      </c>
      <c r="I1533" s="1" t="s">
        <v>617</v>
      </c>
      <c r="K1533" s="1">
        <v>0.0</v>
      </c>
      <c r="L1533" s="1" t="s">
        <v>2042</v>
      </c>
      <c r="M1533" s="1" t="str">
        <f>VLOOKUP(L1533,'Copy of PMD Workday Constants -'!B1502:Y2188,22,false)</f>
        <v>#N/A</v>
      </c>
      <c r="N1533" s="1" t="s">
        <v>32</v>
      </c>
      <c r="O1533" s="1" t="s">
        <v>33</v>
      </c>
      <c r="P1533" s="1" t="s">
        <v>34</v>
      </c>
      <c r="Q1533" s="1" t="s">
        <v>34</v>
      </c>
      <c r="R1533" s="1" t="s">
        <v>35</v>
      </c>
      <c r="S1533" s="1" t="s">
        <v>126</v>
      </c>
      <c r="T1533" s="1">
        <v>1.00611284E8</v>
      </c>
      <c r="W1533" s="1" t="s">
        <v>74</v>
      </c>
      <c r="X1533" s="1" t="s">
        <v>2042</v>
      </c>
    </row>
    <row r="1534">
      <c r="A1534" s="1" t="s">
        <v>5129</v>
      </c>
      <c r="B1534" s="1" t="s">
        <v>2333</v>
      </c>
      <c r="C1534" s="1" t="s">
        <v>5130</v>
      </c>
      <c r="D1534" s="1" t="s">
        <v>28</v>
      </c>
      <c r="E1534" s="1" t="s">
        <v>29</v>
      </c>
      <c r="F1534" s="5">
        <v>600000.0</v>
      </c>
      <c r="G1534" s="1" t="s">
        <v>3964</v>
      </c>
      <c r="H1534" s="1" t="s">
        <v>343</v>
      </c>
      <c r="I1534" s="1" t="s">
        <v>104</v>
      </c>
      <c r="K1534" s="1">
        <v>0.0</v>
      </c>
      <c r="L1534" s="1" t="s">
        <v>319</v>
      </c>
      <c r="M1534" s="1" t="str">
        <f>VLOOKUP(L1534,'Copy of PMD Workday Constants -'!B1503:Y2189,22,false)</f>
        <v>#N/A</v>
      </c>
      <c r="N1534" s="1" t="s">
        <v>32</v>
      </c>
      <c r="O1534" s="1" t="s">
        <v>33</v>
      </c>
      <c r="P1534" s="1" t="s">
        <v>82</v>
      </c>
      <c r="Q1534" s="1" t="s">
        <v>82</v>
      </c>
      <c r="R1534" s="1" t="s">
        <v>83</v>
      </c>
      <c r="S1534" s="1" t="s">
        <v>84</v>
      </c>
      <c r="T1534" s="1">
        <v>1.00654705E8</v>
      </c>
      <c r="W1534" s="1" t="s">
        <v>258</v>
      </c>
      <c r="X1534" s="1" t="s">
        <v>319</v>
      </c>
    </row>
    <row r="1535">
      <c r="A1535" s="1" t="s">
        <v>5131</v>
      </c>
      <c r="B1535" s="1" t="s">
        <v>155</v>
      </c>
      <c r="C1535" s="1" t="s">
        <v>5132</v>
      </c>
      <c r="D1535" s="1" t="s">
        <v>51</v>
      </c>
      <c r="E1535" s="1" t="s">
        <v>29</v>
      </c>
      <c r="F1535" s="5">
        <v>600000.0</v>
      </c>
      <c r="G1535" s="1" t="s">
        <v>3964</v>
      </c>
      <c r="H1535" s="1" t="s">
        <v>3574</v>
      </c>
      <c r="I1535" s="1" t="s">
        <v>80</v>
      </c>
      <c r="K1535" s="1">
        <v>0.0</v>
      </c>
      <c r="L1535" s="1" t="s">
        <v>3348</v>
      </c>
      <c r="M1535" s="1" t="str">
        <f>VLOOKUP(L1535,'Copy of PMD Workday Constants -'!B1504:Y2190,22,false)</f>
        <v>#N/A</v>
      </c>
      <c r="N1535" s="1" t="s">
        <v>32</v>
      </c>
      <c r="O1535" s="1" t="s">
        <v>33</v>
      </c>
      <c r="P1535" s="1" t="s">
        <v>64</v>
      </c>
      <c r="Q1535" s="1" t="s">
        <v>64</v>
      </c>
      <c r="R1535" s="1" t="s">
        <v>65</v>
      </c>
      <c r="S1535" s="1" t="s">
        <v>1336</v>
      </c>
      <c r="T1535" s="1">
        <v>1.01213659E8</v>
      </c>
      <c r="W1535" s="1" t="s">
        <v>91</v>
      </c>
      <c r="X1535" s="1" t="s">
        <v>491</v>
      </c>
    </row>
    <row r="1536">
      <c r="A1536" s="1" t="s">
        <v>5133</v>
      </c>
      <c r="B1536" s="1" t="s">
        <v>1685</v>
      </c>
      <c r="C1536" s="1" t="s">
        <v>5134</v>
      </c>
      <c r="D1536" s="1" t="s">
        <v>28</v>
      </c>
      <c r="E1536" s="1" t="s">
        <v>29</v>
      </c>
      <c r="F1536" s="5">
        <v>600000.0</v>
      </c>
      <c r="G1536" s="1" t="s">
        <v>3964</v>
      </c>
      <c r="H1536" s="1" t="s">
        <v>2532</v>
      </c>
      <c r="I1536" s="4">
        <v>44988.0</v>
      </c>
      <c r="K1536" s="1">
        <v>0.0</v>
      </c>
      <c r="L1536" s="1" t="s">
        <v>499</v>
      </c>
      <c r="M1536" s="1" t="str">
        <f>VLOOKUP(L1536,'Copy of PMD Workday Constants -'!B1535:W2221,22,false)</f>
        <v>#N/A</v>
      </c>
      <c r="N1536" s="1" t="s">
        <v>32</v>
      </c>
      <c r="O1536" s="1" t="s">
        <v>33</v>
      </c>
      <c r="P1536" s="1" t="s">
        <v>34</v>
      </c>
      <c r="Q1536" s="1" t="s">
        <v>34</v>
      </c>
      <c r="R1536" s="1" t="s">
        <v>35</v>
      </c>
      <c r="S1536" s="1" t="s">
        <v>2754</v>
      </c>
      <c r="T1536" s="1">
        <v>1.00627768E8</v>
      </c>
      <c r="W1536" s="1" t="s">
        <v>147</v>
      </c>
      <c r="X1536" s="1" t="s">
        <v>1879</v>
      </c>
    </row>
    <row r="1537">
      <c r="A1537" s="1" t="s">
        <v>5135</v>
      </c>
      <c r="B1537" s="1" t="s">
        <v>77</v>
      </c>
      <c r="C1537" s="1" t="s">
        <v>5136</v>
      </c>
      <c r="D1537" s="1" t="s">
        <v>51</v>
      </c>
      <c r="E1537" s="1" t="s">
        <v>29</v>
      </c>
      <c r="F1537" s="5">
        <v>600000.0</v>
      </c>
      <c r="G1537" s="1" t="s">
        <v>3964</v>
      </c>
      <c r="H1537" s="1" t="s">
        <v>592</v>
      </c>
      <c r="I1537" s="1" t="s">
        <v>453</v>
      </c>
      <c r="K1537" s="1">
        <v>0.0</v>
      </c>
      <c r="L1537" s="1" t="s">
        <v>319</v>
      </c>
      <c r="M1537" s="1" t="str">
        <f>VLOOKUP(L1537,'Copy of PMD Workday Constants -'!B1536:W2222,22,false)</f>
        <v>#N/A</v>
      </c>
      <c r="N1537" s="1" t="s">
        <v>32</v>
      </c>
      <c r="O1537" s="1" t="s">
        <v>33</v>
      </c>
      <c r="P1537" s="1" t="s">
        <v>82</v>
      </c>
      <c r="Q1537" s="1" t="s">
        <v>82</v>
      </c>
      <c r="R1537" s="1" t="s">
        <v>83</v>
      </c>
      <c r="S1537" s="1" t="s">
        <v>84</v>
      </c>
      <c r="T1537" s="1">
        <v>1.00654705E8</v>
      </c>
      <c r="W1537" s="1" t="s">
        <v>85</v>
      </c>
      <c r="X1537" s="1" t="s">
        <v>319</v>
      </c>
    </row>
    <row r="1538">
      <c r="A1538" s="1" t="s">
        <v>5137</v>
      </c>
      <c r="B1538" s="1" t="s">
        <v>3203</v>
      </c>
      <c r="C1538" s="1" t="s">
        <v>5138</v>
      </c>
      <c r="D1538" s="1" t="s">
        <v>28</v>
      </c>
      <c r="E1538" s="1" t="s">
        <v>29</v>
      </c>
      <c r="F1538" s="5">
        <v>600000.0</v>
      </c>
      <c r="G1538" s="1" t="s">
        <v>3964</v>
      </c>
      <c r="H1538" s="4">
        <v>44358.0</v>
      </c>
      <c r="I1538" s="4">
        <v>44816.0</v>
      </c>
      <c r="K1538" s="1">
        <v>0.0</v>
      </c>
      <c r="L1538" s="1" t="s">
        <v>89</v>
      </c>
      <c r="M1538" s="1" t="str">
        <f>VLOOKUP(L1538,'Copy of PMD Workday Constants -'!B1537:W2223,22,false)</f>
        <v>#N/A</v>
      </c>
      <c r="N1538" s="1" t="s">
        <v>32</v>
      </c>
      <c r="O1538" s="1" t="s">
        <v>33</v>
      </c>
      <c r="P1538" s="1" t="s">
        <v>34</v>
      </c>
      <c r="Q1538" s="1" t="s">
        <v>34</v>
      </c>
      <c r="R1538" s="1" t="s">
        <v>35</v>
      </c>
      <c r="S1538" s="1" t="s">
        <v>2450</v>
      </c>
      <c r="T1538" s="1">
        <v>1.00609569E8</v>
      </c>
      <c r="W1538" s="1" t="s">
        <v>37</v>
      </c>
      <c r="X1538" s="1" t="s">
        <v>1879</v>
      </c>
    </row>
    <row r="1539">
      <c r="A1539" s="1" t="s">
        <v>5139</v>
      </c>
      <c r="B1539" s="1" t="s">
        <v>3036</v>
      </c>
      <c r="C1539" s="1" t="s">
        <v>5140</v>
      </c>
      <c r="D1539" s="1" t="s">
        <v>103</v>
      </c>
      <c r="E1539" s="1" t="s">
        <v>29</v>
      </c>
      <c r="F1539" s="5">
        <v>600000.0</v>
      </c>
      <c r="G1539" s="1" t="s">
        <v>3964</v>
      </c>
      <c r="H1539" s="4">
        <v>44867.0</v>
      </c>
      <c r="I1539" s="1" t="s">
        <v>2110</v>
      </c>
      <c r="K1539" s="1">
        <v>0.0</v>
      </c>
      <c r="L1539" s="1" t="s">
        <v>2042</v>
      </c>
      <c r="M1539" s="1" t="str">
        <f>VLOOKUP(L1539,'Copy of PMD Workday Constants -'!B1538:W2224,22,false)</f>
        <v>#N/A</v>
      </c>
      <c r="N1539" s="1" t="s">
        <v>32</v>
      </c>
      <c r="O1539" s="1" t="s">
        <v>33</v>
      </c>
      <c r="P1539" s="1" t="s">
        <v>34</v>
      </c>
      <c r="Q1539" s="1" t="s">
        <v>34</v>
      </c>
      <c r="R1539" s="1" t="s">
        <v>35</v>
      </c>
      <c r="S1539" s="1" t="s">
        <v>126</v>
      </c>
      <c r="T1539" s="1">
        <v>1.00611284E8</v>
      </c>
      <c r="W1539" s="1" t="s">
        <v>74</v>
      </c>
      <c r="X1539" s="1" t="s">
        <v>1613</v>
      </c>
    </row>
    <row r="1540">
      <c r="A1540" s="1" t="s">
        <v>5141</v>
      </c>
      <c r="B1540" s="1" t="s">
        <v>3154</v>
      </c>
      <c r="C1540" s="1" t="s">
        <v>5142</v>
      </c>
      <c r="D1540" s="1" t="s">
        <v>103</v>
      </c>
      <c r="E1540" s="1" t="s">
        <v>29</v>
      </c>
      <c r="F1540" s="5">
        <v>600000.0</v>
      </c>
      <c r="G1540" s="1" t="s">
        <v>3964</v>
      </c>
      <c r="H1540" s="1" t="s">
        <v>1254</v>
      </c>
      <c r="I1540" s="1" t="s">
        <v>865</v>
      </c>
      <c r="K1540" s="1">
        <v>0.0</v>
      </c>
      <c r="L1540" s="1" t="s">
        <v>737</v>
      </c>
      <c r="M1540" s="1" t="str">
        <f>VLOOKUP(L1540,'Copy of PMD Workday Constants -'!B1539:W2225,22,false)</f>
        <v>#N/A</v>
      </c>
      <c r="N1540" s="1" t="s">
        <v>32</v>
      </c>
      <c r="O1540" s="1" t="s">
        <v>33</v>
      </c>
      <c r="P1540" s="1" t="s">
        <v>112</v>
      </c>
      <c r="Q1540" s="1" t="s">
        <v>112</v>
      </c>
      <c r="R1540" s="1" t="s">
        <v>113</v>
      </c>
      <c r="S1540" s="1" t="s">
        <v>455</v>
      </c>
      <c r="T1540" s="1">
        <v>1.00629729E8</v>
      </c>
      <c r="W1540" s="1" t="s">
        <v>456</v>
      </c>
      <c r="X1540" s="1" t="s">
        <v>5143</v>
      </c>
    </row>
    <row r="1541">
      <c r="A1541" s="1" t="s">
        <v>5144</v>
      </c>
      <c r="B1541" s="1" t="s">
        <v>3711</v>
      </c>
      <c r="C1541" s="1" t="s">
        <v>5145</v>
      </c>
      <c r="D1541" s="1" t="s">
        <v>103</v>
      </c>
      <c r="E1541" s="1" t="s">
        <v>29</v>
      </c>
      <c r="F1541" s="5">
        <v>600000.0</v>
      </c>
      <c r="G1541" s="1" t="s">
        <v>3964</v>
      </c>
      <c r="H1541" s="4">
        <v>44258.0</v>
      </c>
      <c r="I1541" s="4">
        <v>44780.0</v>
      </c>
      <c r="K1541" s="1">
        <v>0.0</v>
      </c>
      <c r="L1541" s="1" t="s">
        <v>1075</v>
      </c>
      <c r="M1541" s="1" t="str">
        <f>VLOOKUP(L1541,'Copy of PMD Workday Constants -'!B1540:W2226,22,false)</f>
        <v>#N/A</v>
      </c>
      <c r="N1541" s="1" t="s">
        <v>32</v>
      </c>
      <c r="O1541" s="1" t="s">
        <v>33</v>
      </c>
      <c r="P1541" s="1" t="s">
        <v>34</v>
      </c>
      <c r="Q1541" s="1" t="s">
        <v>34</v>
      </c>
      <c r="R1541" s="1" t="s">
        <v>35</v>
      </c>
      <c r="S1541" s="1" t="s">
        <v>36</v>
      </c>
      <c r="T1541" s="1">
        <v>1.00601386E8</v>
      </c>
      <c r="U1541" s="1" t="s">
        <v>5146</v>
      </c>
      <c r="V1541" s="1" t="s">
        <v>187</v>
      </c>
      <c r="W1541" s="1" t="s">
        <v>91</v>
      </c>
      <c r="X1541" s="1" t="s">
        <v>1075</v>
      </c>
    </row>
    <row r="1542">
      <c r="A1542" s="1" t="s">
        <v>5147</v>
      </c>
      <c r="B1542" s="1" t="s">
        <v>5148</v>
      </c>
      <c r="C1542" s="1" t="s">
        <v>5149</v>
      </c>
      <c r="D1542" s="1" t="s">
        <v>103</v>
      </c>
      <c r="E1542" s="1" t="s">
        <v>29</v>
      </c>
      <c r="F1542" s="5">
        <v>600000.0</v>
      </c>
      <c r="G1542" s="1" t="s">
        <v>3964</v>
      </c>
      <c r="H1542" s="1" t="s">
        <v>2290</v>
      </c>
      <c r="I1542" s="1" t="s">
        <v>1349</v>
      </c>
      <c r="K1542" s="1">
        <v>0.0</v>
      </c>
      <c r="L1542" s="1" t="s">
        <v>2954</v>
      </c>
      <c r="M1542" s="1" t="str">
        <f>VLOOKUP(L1542,'Copy of PMD Workday Constants -'!B1541:W2227,22,false)</f>
        <v>#N/A</v>
      </c>
      <c r="N1542" s="1" t="s">
        <v>32</v>
      </c>
      <c r="O1542" s="1" t="s">
        <v>33</v>
      </c>
      <c r="P1542" s="1" t="s">
        <v>34</v>
      </c>
      <c r="Q1542" s="1" t="s">
        <v>34</v>
      </c>
      <c r="R1542" s="1" t="s">
        <v>35</v>
      </c>
      <c r="S1542" s="1" t="s">
        <v>383</v>
      </c>
      <c r="T1542" s="1">
        <v>1.00589948E8</v>
      </c>
      <c r="W1542" s="1" t="s">
        <v>147</v>
      </c>
      <c r="X1542" s="1" t="s">
        <v>2954</v>
      </c>
    </row>
    <row r="1543">
      <c r="A1543" s="1" t="s">
        <v>5150</v>
      </c>
      <c r="B1543" s="1" t="s">
        <v>5151</v>
      </c>
      <c r="C1543" s="1" t="s">
        <v>5152</v>
      </c>
      <c r="D1543" s="1" t="s">
        <v>28</v>
      </c>
      <c r="E1543" s="1" t="s">
        <v>29</v>
      </c>
      <c r="F1543" s="5">
        <v>600000.0</v>
      </c>
      <c r="G1543" s="1" t="s">
        <v>3964</v>
      </c>
      <c r="H1543" s="4">
        <v>44748.0</v>
      </c>
      <c r="I1543" s="1" t="s">
        <v>125</v>
      </c>
      <c r="K1543" s="1">
        <v>0.0</v>
      </c>
      <c r="L1543" s="1" t="s">
        <v>963</v>
      </c>
      <c r="M1543" s="1" t="str">
        <f>VLOOKUP(L1543,'Copy of PMD Workday Constants -'!B1542:W2228,22,false)</f>
        <v>#N/A</v>
      </c>
      <c r="N1543" s="1" t="s">
        <v>32</v>
      </c>
      <c r="O1543" s="1" t="s">
        <v>33</v>
      </c>
      <c r="P1543" s="1" t="s">
        <v>173</v>
      </c>
      <c r="Q1543" s="1" t="s">
        <v>173</v>
      </c>
      <c r="R1543" s="1" t="s">
        <v>174</v>
      </c>
      <c r="S1543" s="1" t="s">
        <v>612</v>
      </c>
      <c r="T1543" s="1">
        <v>1.00708984E8</v>
      </c>
      <c r="W1543" s="1" t="s">
        <v>947</v>
      </c>
      <c r="X1543" s="1" t="s">
        <v>5153</v>
      </c>
    </row>
    <row r="1544">
      <c r="A1544" s="1" t="s">
        <v>5154</v>
      </c>
      <c r="B1544" s="1" t="s">
        <v>1062</v>
      </c>
      <c r="C1544" s="1" t="s">
        <v>5155</v>
      </c>
      <c r="D1544" s="1" t="s">
        <v>28</v>
      </c>
      <c r="E1544" s="1" t="s">
        <v>29</v>
      </c>
      <c r="F1544" s="5">
        <v>600000.0</v>
      </c>
      <c r="G1544" s="1" t="s">
        <v>3964</v>
      </c>
      <c r="H1544" s="4">
        <v>44656.0</v>
      </c>
      <c r="I1544" s="1" t="s">
        <v>1141</v>
      </c>
      <c r="K1544" s="1">
        <v>0.0</v>
      </c>
      <c r="L1544" s="1" t="s">
        <v>72</v>
      </c>
      <c r="M1544" s="1" t="str">
        <f>VLOOKUP(L1544,'Copy of PMD Workday Constants -'!B1543:W2229,22,false)</f>
        <v>#N/A</v>
      </c>
      <c r="N1544" s="1" t="s">
        <v>32</v>
      </c>
      <c r="O1544" s="1" t="s">
        <v>33</v>
      </c>
      <c r="P1544" s="1" t="s">
        <v>34</v>
      </c>
      <c r="Q1544" s="1" t="s">
        <v>34</v>
      </c>
      <c r="R1544" s="1" t="s">
        <v>35</v>
      </c>
      <c r="T1544" s="1">
        <v>1.0060843E8</v>
      </c>
      <c r="W1544" s="1" t="s">
        <v>140</v>
      </c>
      <c r="X1544" s="1" t="s">
        <v>2700</v>
      </c>
    </row>
    <row r="1545">
      <c r="A1545" s="1" t="s">
        <v>5156</v>
      </c>
      <c r="B1545" s="1" t="s">
        <v>5157</v>
      </c>
      <c r="C1545" s="1" t="s">
        <v>4040</v>
      </c>
      <c r="D1545" s="1" t="s">
        <v>103</v>
      </c>
      <c r="E1545" s="1" t="s">
        <v>29</v>
      </c>
      <c r="F1545" s="5">
        <v>600000.0</v>
      </c>
      <c r="G1545" s="1" t="s">
        <v>3964</v>
      </c>
      <c r="H1545" s="1" t="s">
        <v>4625</v>
      </c>
      <c r="I1545" s="4">
        <v>44568.0</v>
      </c>
      <c r="K1545" s="1">
        <v>0.0</v>
      </c>
      <c r="L1545" s="1" t="s">
        <v>338</v>
      </c>
      <c r="M1545" s="1" t="str">
        <f>VLOOKUP(L1545,'Copy of PMD Workday Constants -'!B1544:W2230,22,false)</f>
        <v>#N/A</v>
      </c>
      <c r="N1545" s="1" t="s">
        <v>32</v>
      </c>
      <c r="O1545" s="1" t="s">
        <v>33</v>
      </c>
      <c r="P1545" s="1" t="s">
        <v>34</v>
      </c>
      <c r="Q1545" s="1" t="s">
        <v>34</v>
      </c>
      <c r="R1545" s="1" t="s">
        <v>35</v>
      </c>
      <c r="S1545" s="1" t="s">
        <v>36</v>
      </c>
      <c r="T1545" s="1">
        <v>1.00619817E8</v>
      </c>
      <c r="W1545" s="1" t="s">
        <v>91</v>
      </c>
      <c r="X1545" s="1" t="s">
        <v>338</v>
      </c>
    </row>
    <row r="1546">
      <c r="A1546" s="1" t="s">
        <v>5158</v>
      </c>
      <c r="B1546" s="1" t="s">
        <v>5159</v>
      </c>
      <c r="C1546" s="1" t="s">
        <v>5160</v>
      </c>
      <c r="D1546" s="1" t="s">
        <v>28</v>
      </c>
      <c r="E1546" s="1" t="s">
        <v>29</v>
      </c>
      <c r="F1546" s="5">
        <v>600000.0</v>
      </c>
      <c r="G1546" s="1" t="s">
        <v>3964</v>
      </c>
      <c r="H1546" s="4">
        <v>44656.0</v>
      </c>
      <c r="I1546" s="1" t="s">
        <v>104</v>
      </c>
      <c r="K1546" s="1">
        <v>0.0</v>
      </c>
      <c r="L1546" s="1" t="s">
        <v>3891</v>
      </c>
      <c r="M1546" s="1" t="str">
        <f>VLOOKUP(L1546,'Copy of PMD Workday Constants -'!B1545:W2231,22,false)</f>
        <v>#N/A</v>
      </c>
      <c r="N1546" s="1" t="s">
        <v>32</v>
      </c>
      <c r="O1546" s="1" t="s">
        <v>33</v>
      </c>
      <c r="P1546" s="1" t="s">
        <v>112</v>
      </c>
      <c r="Q1546" s="1" t="s">
        <v>112</v>
      </c>
      <c r="R1546" s="1" t="s">
        <v>113</v>
      </c>
      <c r="S1546" s="1" t="s">
        <v>114</v>
      </c>
      <c r="T1546" s="1">
        <v>1.00589299E8</v>
      </c>
      <c r="W1546" s="1" t="s">
        <v>147</v>
      </c>
      <c r="X1546" s="1" t="s">
        <v>5161</v>
      </c>
    </row>
    <row r="1547">
      <c r="A1547" s="1" t="s">
        <v>5162</v>
      </c>
      <c r="B1547" s="1" t="s">
        <v>5163</v>
      </c>
      <c r="C1547" s="1" t="s">
        <v>5164</v>
      </c>
      <c r="D1547" s="1" t="s">
        <v>51</v>
      </c>
      <c r="E1547" s="1" t="s">
        <v>29</v>
      </c>
      <c r="F1547" s="5">
        <v>600000.0</v>
      </c>
      <c r="G1547" s="1" t="s">
        <v>3964</v>
      </c>
      <c r="H1547" s="1" t="s">
        <v>1842</v>
      </c>
      <c r="I1547" s="4">
        <v>44568.0</v>
      </c>
      <c r="K1547" s="1">
        <v>0.0</v>
      </c>
      <c r="L1547" s="1" t="s">
        <v>3935</v>
      </c>
      <c r="M1547" s="1" t="str">
        <f>VLOOKUP(L1547,'Copy of PMD Workday Constants -'!B1546:W2232,22,false)</f>
        <v>#N/A</v>
      </c>
      <c r="N1547" s="1" t="s">
        <v>32</v>
      </c>
      <c r="O1547" s="1" t="s">
        <v>33</v>
      </c>
      <c r="P1547" s="1" t="s">
        <v>82</v>
      </c>
      <c r="Q1547" s="1" t="s">
        <v>82</v>
      </c>
      <c r="R1547" s="1" t="s">
        <v>83</v>
      </c>
      <c r="S1547" s="1" t="s">
        <v>84</v>
      </c>
      <c r="T1547" s="1">
        <v>1.01088146E8</v>
      </c>
      <c r="X1547" s="1" t="s">
        <v>3935</v>
      </c>
    </row>
    <row r="1548">
      <c r="A1548" s="1" t="s">
        <v>5165</v>
      </c>
      <c r="B1548" s="1" t="s">
        <v>3684</v>
      </c>
      <c r="C1548" s="1" t="s">
        <v>5166</v>
      </c>
      <c r="D1548" s="1" t="s">
        <v>103</v>
      </c>
      <c r="E1548" s="1" t="s">
        <v>29</v>
      </c>
      <c r="F1548" s="5">
        <v>600000.0</v>
      </c>
      <c r="G1548" s="1" t="s">
        <v>3964</v>
      </c>
      <c r="H1548" s="1" t="s">
        <v>1341</v>
      </c>
      <c r="I1548" s="1" t="s">
        <v>104</v>
      </c>
      <c r="K1548" s="1">
        <v>0.0</v>
      </c>
      <c r="L1548" s="1" t="s">
        <v>5167</v>
      </c>
      <c r="M1548" s="1" t="str">
        <f>VLOOKUP(L1548,'Copy of PMD Workday Constants -'!B1547:W2233,22,false)</f>
        <v>#N/A</v>
      </c>
      <c r="N1548" s="1" t="s">
        <v>32</v>
      </c>
      <c r="O1548" s="1" t="s">
        <v>33</v>
      </c>
      <c r="P1548" s="1" t="s">
        <v>173</v>
      </c>
      <c r="Q1548" s="1" t="s">
        <v>173</v>
      </c>
      <c r="R1548" s="1" t="s">
        <v>174</v>
      </c>
      <c r="T1548" s="1">
        <v>1.00641485E8</v>
      </c>
      <c r="W1548" s="1" t="s">
        <v>250</v>
      </c>
      <c r="X1548" s="1" t="s">
        <v>5167</v>
      </c>
    </row>
    <row r="1549">
      <c r="A1549" s="1" t="s">
        <v>5168</v>
      </c>
      <c r="B1549" s="1" t="s">
        <v>241</v>
      </c>
      <c r="C1549" s="1" t="s">
        <v>5169</v>
      </c>
      <c r="D1549" s="1" t="s">
        <v>103</v>
      </c>
      <c r="E1549" s="1" t="s">
        <v>29</v>
      </c>
      <c r="F1549" s="5">
        <v>600000.0</v>
      </c>
      <c r="G1549" s="1" t="s">
        <v>3964</v>
      </c>
      <c r="H1549" s="4">
        <v>44806.0</v>
      </c>
      <c r="I1549" s="4">
        <v>44626.0</v>
      </c>
      <c r="K1549" s="1">
        <v>0.0</v>
      </c>
      <c r="L1549" s="1" t="s">
        <v>986</v>
      </c>
      <c r="M1549" s="1" t="str">
        <f>VLOOKUP(L1549,'Copy of PMD Workday Constants -'!B1548:W2234,22,false)</f>
        <v>#N/A</v>
      </c>
      <c r="N1549" s="1" t="s">
        <v>32</v>
      </c>
      <c r="O1549" s="1" t="s">
        <v>33</v>
      </c>
      <c r="P1549" s="1" t="s">
        <v>64</v>
      </c>
      <c r="Q1549" s="1" t="s">
        <v>64</v>
      </c>
      <c r="R1549" s="1" t="s">
        <v>65</v>
      </c>
      <c r="T1549" s="1">
        <v>1.00651901E8</v>
      </c>
      <c r="W1549" s="1" t="s">
        <v>37</v>
      </c>
      <c r="X1549" s="1" t="s">
        <v>986</v>
      </c>
    </row>
    <row r="1550">
      <c r="A1550" s="1" t="s">
        <v>5170</v>
      </c>
      <c r="B1550" s="1" t="s">
        <v>1184</v>
      </c>
      <c r="C1550" s="1" t="s">
        <v>5171</v>
      </c>
      <c r="D1550" s="1" t="s">
        <v>28</v>
      </c>
      <c r="E1550" s="1" t="s">
        <v>29</v>
      </c>
      <c r="F1550" s="5">
        <v>600000.0</v>
      </c>
      <c r="G1550" s="1" t="s">
        <v>3964</v>
      </c>
      <c r="H1550" s="1" t="s">
        <v>42</v>
      </c>
      <c r="I1550" s="4">
        <v>44573.0</v>
      </c>
      <c r="K1550" s="1">
        <v>0.0</v>
      </c>
      <c r="L1550" s="1" t="s">
        <v>5172</v>
      </c>
      <c r="M1550" s="1" t="str">
        <f>VLOOKUP(L1550,'Copy of PMD Workday Constants -'!B1549:W2235,22,false)</f>
        <v>#N/A</v>
      </c>
      <c r="N1550" s="1" t="s">
        <v>32</v>
      </c>
      <c r="O1550" s="1" t="s">
        <v>33</v>
      </c>
      <c r="P1550" s="1" t="s">
        <v>210</v>
      </c>
      <c r="Q1550" s="1" t="s">
        <v>210</v>
      </c>
      <c r="R1550" s="1" t="s">
        <v>211</v>
      </c>
      <c r="S1550" s="1" t="s">
        <v>1336</v>
      </c>
      <c r="T1550" s="1">
        <v>1.00620643E8</v>
      </c>
      <c r="W1550" s="1" t="s">
        <v>56</v>
      </c>
      <c r="X1550" s="1" t="s">
        <v>1337</v>
      </c>
    </row>
    <row r="1551">
      <c r="A1551" s="1" t="s">
        <v>5173</v>
      </c>
      <c r="B1551" s="1" t="s">
        <v>1689</v>
      </c>
      <c r="C1551" s="1" t="s">
        <v>5174</v>
      </c>
      <c r="D1551" s="1" t="s">
        <v>51</v>
      </c>
      <c r="E1551" s="1" t="s">
        <v>29</v>
      </c>
      <c r="F1551" s="5">
        <v>600000.0</v>
      </c>
      <c r="G1551" s="1" t="s">
        <v>3964</v>
      </c>
      <c r="H1551" s="1" t="s">
        <v>5175</v>
      </c>
      <c r="I1551" s="1" t="s">
        <v>302</v>
      </c>
      <c r="K1551" s="1">
        <v>0.0</v>
      </c>
      <c r="L1551" s="1" t="s">
        <v>557</v>
      </c>
      <c r="M1551" s="1" t="str">
        <f>VLOOKUP(L1551,'Copy of PMD Workday Constants -'!B1550:W2236,22,false)</f>
        <v>#N/A</v>
      </c>
      <c r="N1551" s="1" t="s">
        <v>32</v>
      </c>
      <c r="O1551" s="1" t="s">
        <v>33</v>
      </c>
      <c r="P1551" s="1" t="s">
        <v>173</v>
      </c>
      <c r="Q1551" s="1" t="s">
        <v>173</v>
      </c>
      <c r="R1551" s="1" t="s">
        <v>174</v>
      </c>
      <c r="S1551" s="1" t="s">
        <v>612</v>
      </c>
      <c r="T1551" s="1">
        <v>1.00700761E8</v>
      </c>
      <c r="W1551" s="1" t="s">
        <v>147</v>
      </c>
      <c r="X1551" s="1" t="s">
        <v>831</v>
      </c>
    </row>
    <row r="1552">
      <c r="A1552" s="1" t="s">
        <v>5176</v>
      </c>
      <c r="B1552" s="1" t="s">
        <v>3240</v>
      </c>
      <c r="C1552" s="1" t="s">
        <v>5177</v>
      </c>
      <c r="D1552" s="1" t="s">
        <v>103</v>
      </c>
      <c r="E1552" s="1" t="s">
        <v>29</v>
      </c>
      <c r="F1552" s="5">
        <v>600000.0</v>
      </c>
      <c r="G1552" s="1" t="s">
        <v>3964</v>
      </c>
      <c r="H1552" s="1" t="s">
        <v>2724</v>
      </c>
      <c r="I1552" s="1" t="s">
        <v>1349</v>
      </c>
      <c r="K1552" s="1">
        <v>0.0</v>
      </c>
      <c r="L1552" s="1" t="s">
        <v>894</v>
      </c>
      <c r="M1552" s="1" t="str">
        <f>VLOOKUP(L1552,'Copy of PMD Workday Constants -'!B1551:W2237,22,false)</f>
        <v>#N/A</v>
      </c>
      <c r="N1552" s="1" t="s">
        <v>32</v>
      </c>
      <c r="O1552" s="1" t="s">
        <v>33</v>
      </c>
      <c r="P1552" s="1" t="s">
        <v>82</v>
      </c>
      <c r="Q1552" s="1" t="s">
        <v>82</v>
      </c>
      <c r="R1552" s="1" t="s">
        <v>83</v>
      </c>
      <c r="S1552" s="1" t="s">
        <v>180</v>
      </c>
      <c r="T1552" s="1">
        <v>1.01033479E8</v>
      </c>
      <c r="W1552" s="1" t="s">
        <v>85</v>
      </c>
      <c r="X1552" s="1" t="s">
        <v>5178</v>
      </c>
    </row>
    <row r="1553">
      <c r="A1553" s="1" t="s">
        <v>5179</v>
      </c>
      <c r="B1553" s="1" t="s">
        <v>3203</v>
      </c>
      <c r="C1553" s="1" t="s">
        <v>5180</v>
      </c>
      <c r="D1553" s="1" t="s">
        <v>28</v>
      </c>
      <c r="E1553" s="1" t="s">
        <v>29</v>
      </c>
      <c r="F1553" s="5">
        <v>600000.0</v>
      </c>
      <c r="G1553" s="1" t="s">
        <v>3964</v>
      </c>
      <c r="H1553" s="1" t="s">
        <v>1842</v>
      </c>
      <c r="I1553" s="1" t="s">
        <v>5181</v>
      </c>
      <c r="K1553" s="1">
        <v>0.0</v>
      </c>
      <c r="L1553" s="1" t="s">
        <v>89</v>
      </c>
      <c r="M1553" s="1" t="str">
        <f>VLOOKUP(L1553,'Copy of PMD Workday Constants -'!B1552:W2238,22,false)</f>
        <v>#N/A</v>
      </c>
      <c r="N1553" s="1" t="s">
        <v>32</v>
      </c>
      <c r="O1553" s="1" t="s">
        <v>33</v>
      </c>
      <c r="P1553" s="1" t="s">
        <v>34</v>
      </c>
      <c r="Q1553" s="1" t="s">
        <v>34</v>
      </c>
      <c r="R1553" s="1" t="s">
        <v>35</v>
      </c>
      <c r="S1553" s="1" t="s">
        <v>2450</v>
      </c>
      <c r="T1553" s="1">
        <v>1.00609569E8</v>
      </c>
      <c r="W1553" s="1" t="s">
        <v>37</v>
      </c>
      <c r="X1553" s="1" t="s">
        <v>89</v>
      </c>
    </row>
    <row r="1554">
      <c r="A1554" s="1" t="s">
        <v>5182</v>
      </c>
      <c r="B1554" s="1" t="s">
        <v>3954</v>
      </c>
      <c r="C1554" s="1" t="s">
        <v>5183</v>
      </c>
      <c r="D1554" s="1" t="s">
        <v>28</v>
      </c>
      <c r="E1554" s="1" t="s">
        <v>29</v>
      </c>
      <c r="F1554" s="5">
        <v>600000.0</v>
      </c>
      <c r="G1554" s="1" t="s">
        <v>3964</v>
      </c>
      <c r="H1554" s="1" t="s">
        <v>170</v>
      </c>
      <c r="I1554" s="4">
        <v>44717.0</v>
      </c>
      <c r="K1554" s="1">
        <v>0.0</v>
      </c>
      <c r="L1554" s="1" t="s">
        <v>5184</v>
      </c>
      <c r="M1554" s="1" t="str">
        <f>VLOOKUP(L1554,'Copy of PMD Workday Constants -'!B1553:W2239,22,false)</f>
        <v>#N/A</v>
      </c>
      <c r="N1554" s="1" t="s">
        <v>32</v>
      </c>
      <c r="O1554" s="1" t="s">
        <v>33</v>
      </c>
      <c r="P1554" s="1" t="s">
        <v>64</v>
      </c>
      <c r="Q1554" s="1" t="s">
        <v>64</v>
      </c>
      <c r="R1554" s="1" t="s">
        <v>65</v>
      </c>
      <c r="T1554" s="1">
        <v>1.00568413E8</v>
      </c>
      <c r="W1554" s="1" t="s">
        <v>577</v>
      </c>
      <c r="X1554" s="1" t="s">
        <v>5184</v>
      </c>
    </row>
    <row r="1555">
      <c r="A1555" s="1" t="s">
        <v>5185</v>
      </c>
      <c r="B1555" s="1" t="s">
        <v>5186</v>
      </c>
      <c r="C1555" s="1" t="s">
        <v>5187</v>
      </c>
      <c r="D1555" s="1" t="s">
        <v>28</v>
      </c>
      <c r="E1555" s="1" t="s">
        <v>29</v>
      </c>
      <c r="F1555" s="5">
        <v>600000.0</v>
      </c>
      <c r="G1555" s="1" t="s">
        <v>3964</v>
      </c>
      <c r="H1555" s="1" t="s">
        <v>263</v>
      </c>
      <c r="I1555" s="1" t="s">
        <v>1327</v>
      </c>
      <c r="K1555" s="1">
        <v>0.0</v>
      </c>
      <c r="L1555" s="1" t="s">
        <v>319</v>
      </c>
      <c r="M1555" s="1" t="str">
        <f>VLOOKUP(L1555,'Copy of PMD Workday Constants -'!B1554:W2240,22,false)</f>
        <v>#N/A</v>
      </c>
      <c r="N1555" s="1" t="s">
        <v>32</v>
      </c>
      <c r="O1555" s="1" t="s">
        <v>33</v>
      </c>
      <c r="P1555" s="1" t="s">
        <v>82</v>
      </c>
      <c r="Q1555" s="1" t="s">
        <v>82</v>
      </c>
      <c r="R1555" s="1" t="s">
        <v>83</v>
      </c>
      <c r="S1555" s="1" t="s">
        <v>84</v>
      </c>
      <c r="T1555" s="1">
        <v>1.00654705E8</v>
      </c>
      <c r="W1555" s="1" t="s">
        <v>74</v>
      </c>
      <c r="X1555" s="1" t="s">
        <v>319</v>
      </c>
    </row>
    <row r="1556">
      <c r="A1556" s="1" t="s">
        <v>5188</v>
      </c>
      <c r="B1556" s="1" t="s">
        <v>3521</v>
      </c>
      <c r="C1556" s="1" t="s">
        <v>5189</v>
      </c>
      <c r="D1556" s="1" t="s">
        <v>103</v>
      </c>
      <c r="E1556" s="1" t="s">
        <v>29</v>
      </c>
      <c r="F1556" s="5">
        <v>600000.0</v>
      </c>
      <c r="G1556" s="1" t="s">
        <v>3964</v>
      </c>
      <c r="H1556" s="1" t="s">
        <v>2860</v>
      </c>
      <c r="I1556" s="4">
        <v>44570.0</v>
      </c>
      <c r="K1556" s="1">
        <v>0.0</v>
      </c>
      <c r="L1556" s="1" t="s">
        <v>4682</v>
      </c>
      <c r="M1556" s="1" t="str">
        <f>VLOOKUP(L1556,'Copy of PMD Workday Constants -'!B1555:W2241,22,false)</f>
        <v>#N/A</v>
      </c>
      <c r="N1556" s="1" t="s">
        <v>32</v>
      </c>
      <c r="O1556" s="1" t="s">
        <v>33</v>
      </c>
      <c r="P1556" s="1" t="s">
        <v>173</v>
      </c>
      <c r="Q1556" s="1" t="s">
        <v>173</v>
      </c>
      <c r="R1556" s="1" t="s">
        <v>174</v>
      </c>
      <c r="S1556" s="1" t="s">
        <v>153</v>
      </c>
      <c r="T1556" s="1">
        <v>1.0064746E8</v>
      </c>
      <c r="W1556" s="1" t="s">
        <v>85</v>
      </c>
      <c r="X1556" s="1" t="s">
        <v>3523</v>
      </c>
    </row>
    <row r="1557">
      <c r="A1557" s="1" t="s">
        <v>5190</v>
      </c>
      <c r="B1557" s="1" t="s">
        <v>4061</v>
      </c>
      <c r="C1557" s="1" t="s">
        <v>5191</v>
      </c>
      <c r="D1557" s="1" t="s">
        <v>103</v>
      </c>
      <c r="E1557" s="1" t="s">
        <v>29</v>
      </c>
      <c r="F1557" s="5">
        <v>600000.0</v>
      </c>
      <c r="G1557" s="1" t="s">
        <v>3964</v>
      </c>
      <c r="H1557" s="4">
        <v>44261.0</v>
      </c>
      <c r="I1557" s="1" t="s">
        <v>302</v>
      </c>
      <c r="K1557" s="1">
        <v>0.0</v>
      </c>
      <c r="L1557" s="1" t="s">
        <v>3480</v>
      </c>
      <c r="M1557" s="1" t="str">
        <f>VLOOKUP(L1557,'Copy of PMD Workday Constants -'!B1556:W2242,22,false)</f>
        <v>#N/A</v>
      </c>
      <c r="N1557" s="1" t="s">
        <v>32</v>
      </c>
      <c r="O1557" s="1" t="s">
        <v>33</v>
      </c>
      <c r="P1557" s="1" t="s">
        <v>112</v>
      </c>
      <c r="Q1557" s="1" t="s">
        <v>112</v>
      </c>
      <c r="R1557" s="1" t="s">
        <v>113</v>
      </c>
      <c r="S1557" s="1" t="s">
        <v>307</v>
      </c>
      <c r="T1557" s="1">
        <v>1.00628223E8</v>
      </c>
      <c r="W1557" s="1" t="s">
        <v>391</v>
      </c>
      <c r="X1557" s="1" t="s">
        <v>1815</v>
      </c>
    </row>
    <row r="1558">
      <c r="A1558" s="1" t="s">
        <v>5192</v>
      </c>
      <c r="B1558" s="1" t="s">
        <v>3283</v>
      </c>
      <c r="C1558" s="1" t="s">
        <v>5193</v>
      </c>
      <c r="D1558" s="1" t="s">
        <v>28</v>
      </c>
      <c r="E1558" s="1" t="s">
        <v>29</v>
      </c>
      <c r="F1558" s="5">
        <v>598000.0</v>
      </c>
      <c r="G1558" s="1" t="s">
        <v>3964</v>
      </c>
      <c r="H1558" s="4">
        <v>44541.0</v>
      </c>
      <c r="I1558" s="4">
        <v>44601.0</v>
      </c>
      <c r="K1558" s="1">
        <v>0.0</v>
      </c>
      <c r="L1558" s="1" t="s">
        <v>5194</v>
      </c>
      <c r="M1558" s="1" t="str">
        <f>VLOOKUP(L1558,'Copy of PMD Workday Constants -'!B1557:W2243,22,false)</f>
        <v>#N/A</v>
      </c>
      <c r="N1558" s="1" t="s">
        <v>32</v>
      </c>
      <c r="O1558" s="1" t="s">
        <v>33</v>
      </c>
      <c r="P1558" s="1" t="s">
        <v>173</v>
      </c>
      <c r="Q1558" s="1" t="s">
        <v>173</v>
      </c>
      <c r="R1558" s="1" t="s">
        <v>174</v>
      </c>
      <c r="T1558" s="1">
        <v>1.00609393E8</v>
      </c>
      <c r="W1558" s="1" t="s">
        <v>85</v>
      </c>
      <c r="X1558" s="1" t="s">
        <v>5195</v>
      </c>
    </row>
    <row r="1559">
      <c r="A1559" s="1" t="s">
        <v>5196</v>
      </c>
      <c r="B1559" s="1" t="s">
        <v>5197</v>
      </c>
      <c r="C1559" s="1" t="s">
        <v>5198</v>
      </c>
      <c r="D1559" s="1" t="s">
        <v>79</v>
      </c>
      <c r="E1559" s="1" t="s">
        <v>29</v>
      </c>
      <c r="F1559" s="5">
        <v>595000.0</v>
      </c>
      <c r="G1559" s="1" t="s">
        <v>3964</v>
      </c>
      <c r="H1559" s="1" t="s">
        <v>1842</v>
      </c>
      <c r="I1559" s="4">
        <v>44568.0</v>
      </c>
      <c r="K1559" s="1">
        <v>0.0</v>
      </c>
      <c r="L1559" s="1" t="s">
        <v>5199</v>
      </c>
      <c r="M1559" s="1" t="str">
        <f>VLOOKUP(L1559,'Copy of PMD Workday Constants -'!B1558:W2244,22,false)</f>
        <v>#N/A</v>
      </c>
      <c r="N1559" s="1" t="s">
        <v>32</v>
      </c>
      <c r="O1559" s="1" t="s">
        <v>33</v>
      </c>
      <c r="P1559" s="1" t="s">
        <v>173</v>
      </c>
      <c r="Q1559" s="1" t="s">
        <v>173</v>
      </c>
      <c r="R1559" s="1" t="s">
        <v>174</v>
      </c>
      <c r="T1559" s="1">
        <v>1.00659846E8</v>
      </c>
      <c r="X1559" s="1" t="s">
        <v>1451</v>
      </c>
    </row>
    <row r="1560">
      <c r="A1560" s="1" t="s">
        <v>5200</v>
      </c>
      <c r="B1560" s="1" t="s">
        <v>4911</v>
      </c>
      <c r="C1560" s="1" t="s">
        <v>5201</v>
      </c>
      <c r="D1560" s="1" t="s">
        <v>28</v>
      </c>
      <c r="E1560" s="1" t="s">
        <v>29</v>
      </c>
      <c r="F1560" s="5">
        <v>595000.0</v>
      </c>
      <c r="G1560" s="1" t="s">
        <v>3964</v>
      </c>
      <c r="H1560" s="4">
        <v>44901.0</v>
      </c>
      <c r="I1560" s="1" t="s">
        <v>96</v>
      </c>
      <c r="K1560" s="1">
        <v>0.0</v>
      </c>
      <c r="L1560" s="1" t="s">
        <v>3345</v>
      </c>
      <c r="M1560" s="1" t="str">
        <f>VLOOKUP(L1560,'Copy of PMD Workday Constants -'!B1559:W2245,22,false)</f>
        <v>#N/A</v>
      </c>
      <c r="N1560" s="1" t="s">
        <v>32</v>
      </c>
      <c r="O1560" s="1" t="s">
        <v>33</v>
      </c>
      <c r="P1560" s="1" t="s">
        <v>64</v>
      </c>
      <c r="Q1560" s="1" t="s">
        <v>64</v>
      </c>
      <c r="R1560" s="1" t="s">
        <v>65</v>
      </c>
      <c r="S1560" s="1" t="s">
        <v>791</v>
      </c>
      <c r="T1560" s="1">
        <v>1.0105484E8</v>
      </c>
      <c r="W1560" s="1" t="s">
        <v>456</v>
      </c>
      <c r="X1560" s="1" t="s">
        <v>3345</v>
      </c>
    </row>
    <row r="1561">
      <c r="A1561" s="1" t="s">
        <v>5202</v>
      </c>
      <c r="B1561" s="1" t="s">
        <v>5203</v>
      </c>
      <c r="C1561" s="1" t="s">
        <v>5204</v>
      </c>
      <c r="D1561" s="1" t="s">
        <v>103</v>
      </c>
      <c r="E1561" s="1" t="s">
        <v>29</v>
      </c>
      <c r="F1561" s="5">
        <v>595000.0</v>
      </c>
      <c r="G1561" s="1" t="s">
        <v>3964</v>
      </c>
      <c r="H1561" s="1" t="s">
        <v>2510</v>
      </c>
      <c r="I1561" s="1" t="s">
        <v>80</v>
      </c>
      <c r="K1561" s="1">
        <v>0.0</v>
      </c>
      <c r="L1561" s="1" t="s">
        <v>5205</v>
      </c>
      <c r="M1561" s="1" t="str">
        <f>VLOOKUP(L1561,'Copy of PMD Workday Constants -'!B1560:W2246,22,false)</f>
        <v>#N/A</v>
      </c>
      <c r="N1561" s="1" t="s">
        <v>32</v>
      </c>
      <c r="O1561" s="1" t="s">
        <v>33</v>
      </c>
      <c r="P1561" s="1" t="s">
        <v>222</v>
      </c>
      <c r="Q1561" s="1" t="s">
        <v>222</v>
      </c>
      <c r="R1561" s="1" t="s">
        <v>223</v>
      </c>
      <c r="S1561" s="1" t="s">
        <v>4414</v>
      </c>
      <c r="T1561" s="1">
        <v>1.00896447E8</v>
      </c>
      <c r="W1561" s="1" t="s">
        <v>436</v>
      </c>
      <c r="X1561" s="1" t="s">
        <v>5206</v>
      </c>
    </row>
    <row r="1562">
      <c r="A1562" s="1" t="s">
        <v>5207</v>
      </c>
      <c r="B1562" s="1" t="s">
        <v>1339</v>
      </c>
      <c r="C1562" s="1" t="s">
        <v>5208</v>
      </c>
      <c r="D1562" s="1" t="s">
        <v>103</v>
      </c>
      <c r="E1562" s="1" t="s">
        <v>29</v>
      </c>
      <c r="F1562" s="5">
        <v>590000.0</v>
      </c>
      <c r="G1562" s="1" t="s">
        <v>3964</v>
      </c>
      <c r="H1562" s="1" t="s">
        <v>1826</v>
      </c>
      <c r="I1562" s="1" t="s">
        <v>414</v>
      </c>
      <c r="J1562" s="6">
        <v>44477.118055555555</v>
      </c>
      <c r="K1562" s="1">
        <v>0.0</v>
      </c>
      <c r="L1562" s="1" t="s">
        <v>1238</v>
      </c>
      <c r="M1562" s="1" t="str">
        <f>VLOOKUP(L1562,'Copy of PMD Workday Constants -'!B1561:W2247,22,false)</f>
        <v>#N/A</v>
      </c>
      <c r="N1562" s="1" t="s">
        <v>32</v>
      </c>
      <c r="O1562" s="1" t="s">
        <v>33</v>
      </c>
      <c r="P1562" s="1" t="s">
        <v>210</v>
      </c>
      <c r="Q1562" s="1" t="s">
        <v>210</v>
      </c>
      <c r="R1562" s="1" t="s">
        <v>211</v>
      </c>
      <c r="S1562" s="1" t="s">
        <v>416</v>
      </c>
      <c r="T1562" s="1">
        <v>1.00586959E8</v>
      </c>
      <c r="W1562" s="1" t="s">
        <v>56</v>
      </c>
      <c r="X1562" s="1" t="s">
        <v>968</v>
      </c>
    </row>
    <row r="1563">
      <c r="A1563" s="1" t="s">
        <v>5209</v>
      </c>
      <c r="B1563" s="1" t="s">
        <v>3549</v>
      </c>
      <c r="C1563" s="1" t="s">
        <v>5210</v>
      </c>
      <c r="D1563" s="1" t="s">
        <v>103</v>
      </c>
      <c r="E1563" s="1" t="s">
        <v>29</v>
      </c>
      <c r="F1563" s="5">
        <v>585000.0</v>
      </c>
      <c r="G1563" s="1" t="s">
        <v>3964</v>
      </c>
      <c r="H1563" s="1" t="s">
        <v>2318</v>
      </c>
      <c r="I1563" s="1" t="s">
        <v>1349</v>
      </c>
      <c r="K1563" s="1">
        <v>0.0</v>
      </c>
      <c r="L1563" s="1" t="s">
        <v>2954</v>
      </c>
      <c r="M1563" s="1" t="str">
        <f>VLOOKUP(L1563,'Copy of PMD Workday Constants -'!B1562:W2248,22,false)</f>
        <v>#N/A</v>
      </c>
      <c r="N1563" s="1" t="s">
        <v>32</v>
      </c>
      <c r="O1563" s="1" t="s">
        <v>33</v>
      </c>
      <c r="P1563" s="1" t="s">
        <v>34</v>
      </c>
      <c r="Q1563" s="1" t="s">
        <v>34</v>
      </c>
      <c r="R1563" s="1" t="s">
        <v>35</v>
      </c>
      <c r="S1563" s="1" t="s">
        <v>126</v>
      </c>
      <c r="T1563" s="1">
        <v>1.00589948E8</v>
      </c>
      <c r="W1563" s="1" t="s">
        <v>308</v>
      </c>
      <c r="X1563" s="1" t="s">
        <v>5211</v>
      </c>
    </row>
    <row r="1564">
      <c r="A1564" s="1" t="s">
        <v>5212</v>
      </c>
      <c r="B1564" s="1" t="s">
        <v>1449</v>
      </c>
      <c r="C1564" s="1" t="s">
        <v>5213</v>
      </c>
      <c r="D1564" s="1" t="s">
        <v>103</v>
      </c>
      <c r="E1564" s="1" t="s">
        <v>29</v>
      </c>
      <c r="F1564" s="5">
        <v>580000.0</v>
      </c>
      <c r="G1564" s="1" t="s">
        <v>3964</v>
      </c>
      <c r="H1564" s="1" t="s">
        <v>2515</v>
      </c>
      <c r="I1564" s="4">
        <v>44689.0</v>
      </c>
      <c r="K1564" s="1">
        <v>0.0</v>
      </c>
      <c r="L1564" s="1" t="s">
        <v>5214</v>
      </c>
      <c r="M1564" s="1" t="str">
        <f>VLOOKUP(L1564,'Copy of PMD Workday Constants -'!B1563:W2249,22,false)</f>
        <v>#N/A</v>
      </c>
      <c r="N1564" s="1" t="s">
        <v>32</v>
      </c>
      <c r="O1564" s="1" t="s">
        <v>33</v>
      </c>
      <c r="P1564" s="1" t="s">
        <v>222</v>
      </c>
      <c r="Q1564" s="1" t="s">
        <v>222</v>
      </c>
      <c r="R1564" s="1" t="s">
        <v>223</v>
      </c>
      <c r="T1564" s="1">
        <v>1.00611354E8</v>
      </c>
      <c r="U1564" s="1" t="s">
        <v>5215</v>
      </c>
      <c r="V1564" s="1" t="s">
        <v>46</v>
      </c>
      <c r="W1564" s="1" t="s">
        <v>493</v>
      </c>
      <c r="X1564" s="1" t="s">
        <v>5214</v>
      </c>
    </row>
    <row r="1565">
      <c r="A1565" s="1" t="s">
        <v>5216</v>
      </c>
      <c r="B1565" s="1" t="s">
        <v>70</v>
      </c>
      <c r="C1565" s="1" t="s">
        <v>5217</v>
      </c>
      <c r="D1565" s="1" t="s">
        <v>28</v>
      </c>
      <c r="E1565" s="1" t="s">
        <v>29</v>
      </c>
      <c r="F1565" s="5">
        <v>575000.0</v>
      </c>
      <c r="G1565" s="1" t="s">
        <v>3964</v>
      </c>
      <c r="H1565" s="4">
        <v>44743.0</v>
      </c>
      <c r="I1565" s="1" t="s">
        <v>302</v>
      </c>
      <c r="K1565" s="1">
        <v>0.0</v>
      </c>
      <c r="L1565" s="1" t="s">
        <v>618</v>
      </c>
      <c r="M1565" s="1" t="str">
        <f>VLOOKUP(L1565,'Copy of PMD Workday Constants -'!B1564:W2250,22,false)</f>
        <v>#N/A</v>
      </c>
      <c r="N1565" s="1" t="s">
        <v>32</v>
      </c>
      <c r="O1565" s="1" t="s">
        <v>33</v>
      </c>
      <c r="P1565" s="1" t="s">
        <v>173</v>
      </c>
      <c r="Q1565" s="1" t="s">
        <v>173</v>
      </c>
      <c r="R1565" s="1" t="s">
        <v>174</v>
      </c>
      <c r="T1565" s="1">
        <v>1.00591141E8</v>
      </c>
      <c r="W1565" s="1" t="s">
        <v>74</v>
      </c>
      <c r="X1565" s="1" t="s">
        <v>75</v>
      </c>
    </row>
    <row r="1566">
      <c r="A1566" s="1" t="s">
        <v>5218</v>
      </c>
      <c r="B1566" s="1" t="s">
        <v>5219</v>
      </c>
      <c r="C1566" s="1" t="s">
        <v>5220</v>
      </c>
      <c r="D1566" s="1" t="s">
        <v>51</v>
      </c>
      <c r="E1566" s="1" t="s">
        <v>29</v>
      </c>
      <c r="F1566" s="5">
        <v>575000.0</v>
      </c>
      <c r="G1566" s="1" t="s">
        <v>3964</v>
      </c>
      <c r="H1566" s="4">
        <v>44297.0</v>
      </c>
      <c r="I1566" s="1" t="s">
        <v>699</v>
      </c>
      <c r="K1566" s="1">
        <v>0.0</v>
      </c>
      <c r="L1566" s="1" t="s">
        <v>1819</v>
      </c>
      <c r="M1566" s="1" t="str">
        <f>VLOOKUP(L1566,'Copy of PMD Workday Constants -'!B1565:W2251,22,false)</f>
        <v>#N/A</v>
      </c>
      <c r="N1566" s="1" t="s">
        <v>32</v>
      </c>
      <c r="O1566" s="1" t="s">
        <v>33</v>
      </c>
      <c r="P1566" s="1" t="s">
        <v>82</v>
      </c>
      <c r="Q1566" s="1" t="s">
        <v>82</v>
      </c>
      <c r="R1566" s="1" t="s">
        <v>83</v>
      </c>
      <c r="S1566" s="1" t="s">
        <v>180</v>
      </c>
      <c r="T1566" s="1">
        <v>1.01025735E8</v>
      </c>
      <c r="W1566" s="1" t="s">
        <v>85</v>
      </c>
      <c r="X1566" s="1" t="s">
        <v>5221</v>
      </c>
    </row>
    <row r="1567">
      <c r="A1567" s="1" t="s">
        <v>5222</v>
      </c>
      <c r="B1567" s="1" t="s">
        <v>2060</v>
      </c>
      <c r="C1567" s="1" t="s">
        <v>5223</v>
      </c>
      <c r="D1567" s="1" t="s">
        <v>103</v>
      </c>
      <c r="E1567" s="1" t="s">
        <v>29</v>
      </c>
      <c r="F1567" s="5">
        <v>575000.0</v>
      </c>
      <c r="G1567" s="1" t="s">
        <v>3964</v>
      </c>
      <c r="H1567" s="1" t="s">
        <v>2360</v>
      </c>
      <c r="I1567" s="1" t="s">
        <v>80</v>
      </c>
      <c r="K1567" s="1">
        <v>0.0</v>
      </c>
      <c r="L1567" s="1" t="s">
        <v>5224</v>
      </c>
      <c r="M1567" s="1" t="str">
        <f>VLOOKUP(L1567,'Copy of PMD Workday Constants -'!B1566:W2252,22,false)</f>
        <v>#N/A</v>
      </c>
      <c r="N1567" s="1" t="s">
        <v>32</v>
      </c>
      <c r="O1567" s="1" t="s">
        <v>33</v>
      </c>
      <c r="P1567" s="1" t="s">
        <v>222</v>
      </c>
      <c r="Q1567" s="1" t="s">
        <v>222</v>
      </c>
      <c r="R1567" s="1" t="s">
        <v>223</v>
      </c>
      <c r="T1567" s="1">
        <v>1.01093737E8</v>
      </c>
      <c r="W1567" s="1" t="s">
        <v>258</v>
      </c>
      <c r="X1567" s="1" t="s">
        <v>5225</v>
      </c>
    </row>
    <row r="1568">
      <c r="A1568" s="1" t="s">
        <v>5226</v>
      </c>
      <c r="B1568" s="1" t="s">
        <v>1568</v>
      </c>
      <c r="C1568" s="1" t="s">
        <v>5227</v>
      </c>
      <c r="D1568" s="1" t="s">
        <v>103</v>
      </c>
      <c r="E1568" s="1" t="s">
        <v>29</v>
      </c>
      <c r="F1568" s="5">
        <v>575000.0</v>
      </c>
      <c r="G1568" s="1" t="s">
        <v>3964</v>
      </c>
      <c r="H1568" s="4">
        <v>44807.0</v>
      </c>
      <c r="I1568" s="1" t="s">
        <v>104</v>
      </c>
      <c r="K1568" s="1">
        <v>0.0</v>
      </c>
      <c r="L1568" s="1" t="s">
        <v>806</v>
      </c>
      <c r="M1568" s="1" t="str">
        <f>VLOOKUP(L1568,'Copy of PMD Workday Constants -'!B1567:W2253,22,false)</f>
        <v>#N/A</v>
      </c>
      <c r="N1568" s="1" t="s">
        <v>32</v>
      </c>
      <c r="O1568" s="1" t="s">
        <v>33</v>
      </c>
      <c r="P1568" s="1" t="s">
        <v>173</v>
      </c>
      <c r="Q1568" s="1" t="s">
        <v>173</v>
      </c>
      <c r="R1568" s="1" t="s">
        <v>174</v>
      </c>
      <c r="S1568" s="1" t="s">
        <v>612</v>
      </c>
      <c r="T1568" s="1">
        <v>1.00581784E8</v>
      </c>
      <c r="W1568" s="1" t="s">
        <v>147</v>
      </c>
      <c r="X1568" s="1" t="s">
        <v>5228</v>
      </c>
    </row>
    <row r="1569">
      <c r="A1569" s="1" t="s">
        <v>5229</v>
      </c>
      <c r="B1569" s="1" t="s">
        <v>623</v>
      </c>
      <c r="C1569" s="1" t="s">
        <v>5230</v>
      </c>
      <c r="D1569" s="1" t="s">
        <v>103</v>
      </c>
      <c r="E1569" s="1" t="s">
        <v>29</v>
      </c>
      <c r="F1569" s="5">
        <v>570000.0</v>
      </c>
      <c r="G1569" s="1" t="s">
        <v>3964</v>
      </c>
      <c r="H1569" s="4">
        <v>44686.0</v>
      </c>
      <c r="I1569" s="1" t="s">
        <v>96</v>
      </c>
      <c r="K1569" s="1">
        <v>0.0</v>
      </c>
      <c r="L1569" s="1" t="s">
        <v>5231</v>
      </c>
      <c r="M1569" s="1" t="str">
        <f>VLOOKUP(L1569,'Copy of PMD Workday Constants -'!B1568:W2254,22,false)</f>
        <v>#N/A</v>
      </c>
      <c r="N1569" s="1" t="s">
        <v>32</v>
      </c>
      <c r="O1569" s="1" t="s">
        <v>33</v>
      </c>
      <c r="P1569" s="1" t="s">
        <v>64</v>
      </c>
      <c r="Q1569" s="1" t="s">
        <v>64</v>
      </c>
      <c r="R1569" s="1" t="s">
        <v>65</v>
      </c>
      <c r="T1569" s="1">
        <v>1.01090224E8</v>
      </c>
      <c r="W1569" s="1" t="s">
        <v>85</v>
      </c>
      <c r="X1569" s="1" t="s">
        <v>1458</v>
      </c>
    </row>
    <row r="1570">
      <c r="A1570" s="1" t="s">
        <v>5232</v>
      </c>
      <c r="B1570" s="1" t="s">
        <v>1531</v>
      </c>
      <c r="C1570" s="1" t="s">
        <v>5233</v>
      </c>
      <c r="D1570" s="1" t="s">
        <v>79</v>
      </c>
      <c r="E1570" s="1" t="s">
        <v>29</v>
      </c>
      <c r="F1570" s="5">
        <v>566517.0</v>
      </c>
      <c r="G1570" s="1" t="s">
        <v>3964</v>
      </c>
      <c r="H1570" s="4">
        <v>44387.0</v>
      </c>
      <c r="I1570" s="1" t="s">
        <v>80</v>
      </c>
      <c r="K1570" s="1">
        <v>0.0</v>
      </c>
      <c r="L1570" s="1" t="s">
        <v>1534</v>
      </c>
      <c r="M1570" s="1" t="str">
        <f>VLOOKUP(L1570,'Copy of PMD Workday Constants -'!B1569:W2255,22,false)</f>
        <v>#N/A</v>
      </c>
      <c r="N1570" s="1" t="s">
        <v>32</v>
      </c>
      <c r="O1570" s="1" t="s">
        <v>33</v>
      </c>
      <c r="P1570" s="1" t="s">
        <v>82</v>
      </c>
      <c r="Q1570" s="1" t="s">
        <v>82</v>
      </c>
      <c r="R1570" s="1" t="s">
        <v>83</v>
      </c>
      <c r="S1570" s="1" t="s">
        <v>5234</v>
      </c>
      <c r="T1570" s="1">
        <v>1.00618842E8</v>
      </c>
      <c r="W1570" s="1" t="s">
        <v>85</v>
      </c>
      <c r="X1570" s="1" t="s">
        <v>5235</v>
      </c>
    </row>
    <row r="1571">
      <c r="A1571" s="1" t="s">
        <v>5236</v>
      </c>
      <c r="B1571" s="1" t="s">
        <v>5237</v>
      </c>
      <c r="C1571" s="1" t="s">
        <v>5238</v>
      </c>
      <c r="D1571" s="1" t="s">
        <v>51</v>
      </c>
      <c r="E1571" s="1" t="s">
        <v>29</v>
      </c>
      <c r="F1571" s="5">
        <v>560000.0</v>
      </c>
      <c r="G1571" s="1" t="s">
        <v>3964</v>
      </c>
      <c r="H1571" s="4">
        <v>43778.0</v>
      </c>
      <c r="I1571" s="1" t="s">
        <v>104</v>
      </c>
      <c r="K1571" s="1">
        <v>0.0</v>
      </c>
      <c r="L1571" s="1" t="s">
        <v>3137</v>
      </c>
      <c r="M1571" s="1" t="str">
        <f>VLOOKUP(L1571,'Copy of PMD Workday Constants -'!B1570:W2256,22,false)</f>
        <v>#N/A</v>
      </c>
      <c r="N1571" s="1" t="s">
        <v>32</v>
      </c>
      <c r="O1571" s="1" t="s">
        <v>33</v>
      </c>
      <c r="P1571" s="1" t="s">
        <v>82</v>
      </c>
      <c r="Q1571" s="1" t="s">
        <v>82</v>
      </c>
      <c r="R1571" s="1" t="s">
        <v>83</v>
      </c>
      <c r="S1571" s="1" t="s">
        <v>180</v>
      </c>
      <c r="T1571" s="1">
        <v>1.00586452E8</v>
      </c>
      <c r="W1571" s="1" t="s">
        <v>85</v>
      </c>
      <c r="X1571" s="1" t="s">
        <v>3138</v>
      </c>
    </row>
    <row r="1572">
      <c r="A1572" s="1" t="s">
        <v>5239</v>
      </c>
      <c r="B1572" s="1" t="s">
        <v>913</v>
      </c>
      <c r="C1572" s="1" t="s">
        <v>5240</v>
      </c>
      <c r="D1572" s="1" t="s">
        <v>103</v>
      </c>
      <c r="E1572" s="1" t="s">
        <v>29</v>
      </c>
      <c r="F1572" s="5">
        <v>560000.0</v>
      </c>
      <c r="G1572" s="1" t="s">
        <v>3964</v>
      </c>
      <c r="H1572" s="1" t="s">
        <v>5241</v>
      </c>
      <c r="I1572" s="4">
        <v>44569.0</v>
      </c>
      <c r="K1572" s="1">
        <v>0.0</v>
      </c>
      <c r="L1572" s="1" t="s">
        <v>428</v>
      </c>
      <c r="M1572" s="1" t="str">
        <f>VLOOKUP(L1572,'Copy of PMD Workday Constants -'!B1571:W2257,22,false)</f>
        <v>#N/A</v>
      </c>
      <c r="N1572" s="1" t="s">
        <v>32</v>
      </c>
      <c r="O1572" s="1" t="s">
        <v>33</v>
      </c>
      <c r="P1572" s="1" t="s">
        <v>173</v>
      </c>
      <c r="Q1572" s="1" t="s">
        <v>173</v>
      </c>
      <c r="R1572" s="1" t="s">
        <v>174</v>
      </c>
      <c r="S1572" s="1" t="s">
        <v>153</v>
      </c>
      <c r="T1572" s="1">
        <v>1.00654085E8</v>
      </c>
      <c r="W1572" s="1" t="s">
        <v>85</v>
      </c>
      <c r="X1572" s="1" t="s">
        <v>5242</v>
      </c>
    </row>
    <row r="1573">
      <c r="A1573" s="1" t="s">
        <v>5243</v>
      </c>
      <c r="B1573" s="1" t="s">
        <v>5244</v>
      </c>
      <c r="C1573" s="1" t="s">
        <v>5245</v>
      </c>
      <c r="D1573" s="1" t="s">
        <v>28</v>
      </c>
      <c r="E1573" s="1" t="s">
        <v>29</v>
      </c>
      <c r="F1573" s="5">
        <v>560000.0</v>
      </c>
      <c r="G1573" s="1" t="s">
        <v>3964</v>
      </c>
      <c r="H1573" s="4">
        <v>44686.0</v>
      </c>
      <c r="I1573" s="1" t="s">
        <v>302</v>
      </c>
      <c r="K1573" s="1">
        <v>0.0</v>
      </c>
      <c r="L1573" s="1" t="s">
        <v>1357</v>
      </c>
      <c r="M1573" s="1" t="str">
        <f>VLOOKUP(L1573,'Copy of PMD Workday Constants -'!B1572:W2258,22,false)</f>
        <v>#N/A</v>
      </c>
      <c r="N1573" s="1" t="s">
        <v>32</v>
      </c>
      <c r="O1573" s="1" t="s">
        <v>33</v>
      </c>
      <c r="P1573" s="1" t="s">
        <v>64</v>
      </c>
      <c r="Q1573" s="1" t="s">
        <v>64</v>
      </c>
      <c r="R1573" s="1" t="s">
        <v>65</v>
      </c>
      <c r="T1573" s="1">
        <v>1.00589587E8</v>
      </c>
      <c r="W1573" s="1" t="s">
        <v>74</v>
      </c>
      <c r="X1573" s="1" t="s">
        <v>759</v>
      </c>
    </row>
    <row r="1574">
      <c r="A1574" s="1" t="s">
        <v>5246</v>
      </c>
      <c r="B1574" s="1" t="s">
        <v>756</v>
      </c>
      <c r="C1574" s="1" t="s">
        <v>5247</v>
      </c>
      <c r="D1574" s="1" t="s">
        <v>51</v>
      </c>
      <c r="E1574" s="1" t="s">
        <v>29</v>
      </c>
      <c r="F1574" s="5">
        <v>558914.0</v>
      </c>
      <c r="G1574" s="1" t="s">
        <v>3964</v>
      </c>
      <c r="H1574" s="4">
        <v>44233.0</v>
      </c>
      <c r="I1574" s="4">
        <v>44567.0</v>
      </c>
      <c r="K1574" s="1">
        <v>0.0</v>
      </c>
      <c r="L1574" s="1" t="s">
        <v>570</v>
      </c>
      <c r="M1574" s="1" t="str">
        <f>VLOOKUP(L1574,'Copy of PMD Workday Constants -'!B1573:W2259,22,false)</f>
        <v>#N/A</v>
      </c>
      <c r="N1574" s="1" t="s">
        <v>32</v>
      </c>
      <c r="O1574" s="1" t="s">
        <v>33</v>
      </c>
      <c r="P1574" s="1" t="s">
        <v>112</v>
      </c>
      <c r="Q1574" s="1" t="s">
        <v>112</v>
      </c>
      <c r="R1574" s="1" t="s">
        <v>113</v>
      </c>
      <c r="S1574" s="1" t="s">
        <v>134</v>
      </c>
      <c r="T1574" s="1">
        <v>1.00625415E8</v>
      </c>
      <c r="U1574" s="1" t="s">
        <v>5247</v>
      </c>
      <c r="V1574" s="1" t="s">
        <v>346</v>
      </c>
      <c r="W1574" s="1" t="s">
        <v>74</v>
      </c>
      <c r="X1574" s="1" t="s">
        <v>5248</v>
      </c>
    </row>
    <row r="1575">
      <c r="A1575" s="1" t="s">
        <v>5249</v>
      </c>
      <c r="B1575" s="1" t="s">
        <v>5250</v>
      </c>
      <c r="C1575" s="1" t="s">
        <v>5251</v>
      </c>
      <c r="D1575" s="1" t="s">
        <v>51</v>
      </c>
      <c r="E1575" s="1" t="s">
        <v>29</v>
      </c>
      <c r="F1575" s="5">
        <v>555000.0</v>
      </c>
      <c r="G1575" s="1" t="s">
        <v>3964</v>
      </c>
      <c r="H1575" s="1" t="s">
        <v>865</v>
      </c>
      <c r="I1575" s="1" t="s">
        <v>152</v>
      </c>
      <c r="K1575" s="1">
        <v>0.0</v>
      </c>
      <c r="L1575" s="1" t="s">
        <v>5252</v>
      </c>
      <c r="M1575" s="1" t="str">
        <f>VLOOKUP(L1575,'Copy of PMD Workday Constants -'!B1574:W2260,22,false)</f>
        <v>#N/A</v>
      </c>
      <c r="N1575" s="1" t="s">
        <v>32</v>
      </c>
      <c r="O1575" s="1" t="s">
        <v>33</v>
      </c>
      <c r="P1575" s="1" t="s">
        <v>5253</v>
      </c>
      <c r="Q1575" s="1" t="s">
        <v>5253</v>
      </c>
      <c r="R1575" s="1" t="s">
        <v>65</v>
      </c>
      <c r="T1575" s="1">
        <v>1.00625588E8</v>
      </c>
      <c r="W1575" s="1" t="s">
        <v>287</v>
      </c>
      <c r="X1575" s="1" t="s">
        <v>5254</v>
      </c>
    </row>
    <row r="1576">
      <c r="A1576" s="1" t="s">
        <v>5255</v>
      </c>
      <c r="B1576" s="1" t="s">
        <v>2263</v>
      </c>
      <c r="C1576" s="1" t="s">
        <v>5256</v>
      </c>
      <c r="D1576" s="1" t="s">
        <v>51</v>
      </c>
      <c r="E1576" s="1" t="s">
        <v>29</v>
      </c>
      <c r="F1576" s="5">
        <v>555000.0</v>
      </c>
      <c r="G1576" s="1" t="s">
        <v>3964</v>
      </c>
      <c r="H1576" s="4">
        <v>44451.0</v>
      </c>
      <c r="I1576" s="1" t="s">
        <v>816</v>
      </c>
      <c r="K1576" s="1">
        <v>0.0</v>
      </c>
      <c r="L1576" s="1" t="s">
        <v>5257</v>
      </c>
      <c r="M1576" s="1" t="str">
        <f>VLOOKUP(L1576,'Copy of PMD Workday Constants -'!B1575:W2261,22,false)</f>
        <v>#N/A</v>
      </c>
      <c r="N1576" s="1" t="s">
        <v>32</v>
      </c>
      <c r="O1576" s="1" t="s">
        <v>33</v>
      </c>
      <c r="P1576" s="1" t="s">
        <v>210</v>
      </c>
      <c r="Q1576" s="1" t="s">
        <v>210</v>
      </c>
      <c r="R1576" s="1" t="s">
        <v>211</v>
      </c>
      <c r="S1576" s="1" t="s">
        <v>1313</v>
      </c>
      <c r="T1576" s="1">
        <v>1.00657831E8</v>
      </c>
      <c r="W1576" s="1" t="s">
        <v>577</v>
      </c>
      <c r="X1576" s="1" t="s">
        <v>5258</v>
      </c>
    </row>
    <row r="1577">
      <c r="A1577" s="1" t="s">
        <v>5259</v>
      </c>
      <c r="B1577" s="1" t="s">
        <v>2263</v>
      </c>
      <c r="C1577" s="1" t="s">
        <v>5260</v>
      </c>
      <c r="D1577" s="1" t="s">
        <v>51</v>
      </c>
      <c r="E1577" s="1" t="s">
        <v>29</v>
      </c>
      <c r="F1577" s="5">
        <v>555000.0</v>
      </c>
      <c r="G1577" s="1" t="s">
        <v>3964</v>
      </c>
      <c r="H1577" s="4">
        <v>44420.0</v>
      </c>
      <c r="I1577" s="1" t="s">
        <v>816</v>
      </c>
      <c r="K1577" s="1">
        <v>0.0</v>
      </c>
      <c r="L1577" s="1" t="s">
        <v>5257</v>
      </c>
      <c r="M1577" s="1" t="str">
        <f>VLOOKUP(L1577,'Copy of PMD Workday Constants -'!B1576:W2262,22,false)</f>
        <v>#N/A</v>
      </c>
      <c r="N1577" s="1" t="s">
        <v>32</v>
      </c>
      <c r="O1577" s="1" t="s">
        <v>33</v>
      </c>
      <c r="P1577" s="1" t="s">
        <v>210</v>
      </c>
      <c r="Q1577" s="1" t="s">
        <v>210</v>
      </c>
      <c r="R1577" s="1" t="s">
        <v>211</v>
      </c>
      <c r="S1577" s="1" t="s">
        <v>1313</v>
      </c>
      <c r="T1577" s="1">
        <v>1.00657831E8</v>
      </c>
      <c r="W1577" s="1" t="s">
        <v>577</v>
      </c>
      <c r="X1577" s="1" t="s">
        <v>5258</v>
      </c>
    </row>
    <row r="1578">
      <c r="A1578" s="1" t="s">
        <v>5261</v>
      </c>
      <c r="B1578" s="1" t="s">
        <v>5151</v>
      </c>
      <c r="C1578" s="1" t="s">
        <v>5262</v>
      </c>
      <c r="D1578" s="1" t="s">
        <v>51</v>
      </c>
      <c r="E1578" s="1" t="s">
        <v>29</v>
      </c>
      <c r="F1578" s="5">
        <v>550000.0</v>
      </c>
      <c r="G1578" s="1" t="s">
        <v>3964</v>
      </c>
      <c r="H1578" s="4">
        <v>44202.0</v>
      </c>
      <c r="I1578" s="1" t="s">
        <v>302</v>
      </c>
      <c r="K1578" s="1">
        <v>0.0</v>
      </c>
      <c r="L1578" s="1" t="s">
        <v>963</v>
      </c>
      <c r="M1578" s="1" t="str">
        <f>VLOOKUP(L1578,'Copy of PMD Workday Constants -'!B1577:W2263,22,false)</f>
        <v>#N/A</v>
      </c>
      <c r="N1578" s="1" t="s">
        <v>32</v>
      </c>
      <c r="O1578" s="1" t="s">
        <v>33</v>
      </c>
      <c r="P1578" s="1" t="s">
        <v>173</v>
      </c>
      <c r="Q1578" s="1" t="s">
        <v>173</v>
      </c>
      <c r="R1578" s="1" t="s">
        <v>174</v>
      </c>
      <c r="S1578" s="1" t="s">
        <v>612</v>
      </c>
      <c r="T1578" s="1">
        <v>1.00708984E8</v>
      </c>
      <c r="W1578" s="1" t="s">
        <v>947</v>
      </c>
      <c r="X1578" s="1" t="s">
        <v>963</v>
      </c>
    </row>
    <row r="1579">
      <c r="A1579" s="1" t="s">
        <v>5263</v>
      </c>
      <c r="B1579" s="1" t="s">
        <v>776</v>
      </c>
      <c r="C1579" s="1" t="s">
        <v>5264</v>
      </c>
      <c r="D1579" s="1" t="s">
        <v>28</v>
      </c>
      <c r="E1579" s="1" t="s">
        <v>29</v>
      </c>
      <c r="F1579" s="5">
        <v>550000.0</v>
      </c>
      <c r="G1579" s="1" t="s">
        <v>3964</v>
      </c>
      <c r="H1579" s="1" t="s">
        <v>1245</v>
      </c>
      <c r="I1579" s="1" t="s">
        <v>80</v>
      </c>
      <c r="K1579" s="1">
        <v>0.0</v>
      </c>
      <c r="L1579" s="1" t="s">
        <v>5265</v>
      </c>
      <c r="M1579" s="1" t="str">
        <f>VLOOKUP(L1579,'Copy of PMD Workday Constants -'!B1578:W2264,22,false)</f>
        <v>#N/A</v>
      </c>
      <c r="N1579" s="1" t="s">
        <v>32</v>
      </c>
      <c r="O1579" s="1" t="s">
        <v>33</v>
      </c>
      <c r="P1579" s="1" t="s">
        <v>173</v>
      </c>
      <c r="Q1579" s="1" t="s">
        <v>173</v>
      </c>
      <c r="R1579" s="1" t="s">
        <v>174</v>
      </c>
      <c r="T1579" s="1">
        <v>1.00644077E8</v>
      </c>
      <c r="W1579" s="1" t="s">
        <v>74</v>
      </c>
      <c r="X1579" s="1" t="s">
        <v>5265</v>
      </c>
    </row>
    <row r="1580">
      <c r="A1580" s="1" t="s">
        <v>5266</v>
      </c>
      <c r="B1580" s="1" t="s">
        <v>4939</v>
      </c>
      <c r="C1580" s="1" t="s">
        <v>5267</v>
      </c>
      <c r="D1580" s="1" t="s">
        <v>51</v>
      </c>
      <c r="E1580" s="1" t="s">
        <v>29</v>
      </c>
      <c r="F1580" s="5">
        <v>550000.0</v>
      </c>
      <c r="G1580" s="1" t="s">
        <v>3964</v>
      </c>
      <c r="H1580" s="1" t="s">
        <v>5268</v>
      </c>
      <c r="I1580" s="1" t="s">
        <v>302</v>
      </c>
      <c r="K1580" s="1">
        <v>0.0</v>
      </c>
      <c r="L1580" s="1" t="s">
        <v>963</v>
      </c>
      <c r="M1580" s="1" t="str">
        <f>VLOOKUP(L1580,'Copy of PMD Workday Constants -'!B1579:W2265,22,false)</f>
        <v>#N/A</v>
      </c>
      <c r="N1580" s="1" t="s">
        <v>32</v>
      </c>
      <c r="O1580" s="1" t="s">
        <v>33</v>
      </c>
      <c r="P1580" s="1" t="s">
        <v>173</v>
      </c>
      <c r="Q1580" s="1" t="s">
        <v>173</v>
      </c>
      <c r="R1580" s="1" t="s">
        <v>174</v>
      </c>
      <c r="S1580" s="1" t="s">
        <v>612</v>
      </c>
      <c r="T1580" s="1">
        <v>1.00708984E8</v>
      </c>
      <c r="W1580" s="1" t="s">
        <v>947</v>
      </c>
      <c r="X1580" s="1" t="s">
        <v>963</v>
      </c>
    </row>
    <row r="1581">
      <c r="A1581" s="1" t="s">
        <v>5269</v>
      </c>
      <c r="B1581" s="1" t="s">
        <v>5270</v>
      </c>
      <c r="C1581" s="1" t="s">
        <v>5271</v>
      </c>
      <c r="D1581" s="1" t="s">
        <v>103</v>
      </c>
      <c r="E1581" s="1" t="s">
        <v>29</v>
      </c>
      <c r="F1581" s="5">
        <v>550000.0</v>
      </c>
      <c r="G1581" s="1" t="s">
        <v>3964</v>
      </c>
      <c r="H1581" s="1" t="s">
        <v>301</v>
      </c>
      <c r="I1581" s="1" t="s">
        <v>248</v>
      </c>
      <c r="K1581" s="1">
        <v>0.0</v>
      </c>
      <c r="L1581" s="1" t="s">
        <v>3617</v>
      </c>
      <c r="M1581" s="1" t="str">
        <f>VLOOKUP(L1581,'Copy of PMD Workday Constants -'!B1580:W2266,22,false)</f>
        <v>#N/A</v>
      </c>
      <c r="N1581" s="1" t="s">
        <v>32</v>
      </c>
      <c r="O1581" s="1" t="s">
        <v>33</v>
      </c>
      <c r="P1581" s="1" t="s">
        <v>173</v>
      </c>
      <c r="Q1581" s="1" t="s">
        <v>173</v>
      </c>
      <c r="R1581" s="1" t="s">
        <v>174</v>
      </c>
      <c r="T1581" s="1">
        <v>1.00574828E8</v>
      </c>
      <c r="W1581" s="1" t="s">
        <v>74</v>
      </c>
      <c r="X1581" s="1" t="s">
        <v>5014</v>
      </c>
    </row>
    <row r="1582">
      <c r="A1582" s="1" t="s">
        <v>5272</v>
      </c>
      <c r="B1582" s="1" t="s">
        <v>418</v>
      </c>
      <c r="C1582" s="1" t="s">
        <v>5273</v>
      </c>
      <c r="D1582" s="1" t="s">
        <v>103</v>
      </c>
      <c r="E1582" s="1" t="s">
        <v>29</v>
      </c>
      <c r="F1582" s="5">
        <v>550000.0</v>
      </c>
      <c r="G1582" s="1" t="s">
        <v>3964</v>
      </c>
      <c r="H1582" s="1" t="s">
        <v>283</v>
      </c>
      <c r="I1582" s="1" t="s">
        <v>4378</v>
      </c>
      <c r="K1582" s="1">
        <v>0.0</v>
      </c>
      <c r="L1582" s="1" t="s">
        <v>475</v>
      </c>
      <c r="M1582" s="1" t="str">
        <f>VLOOKUP(L1582,'Copy of PMD Workday Constants -'!B1581:W2267,22,false)</f>
        <v>#N/A</v>
      </c>
      <c r="N1582" s="1" t="s">
        <v>32</v>
      </c>
      <c r="O1582" s="1" t="s">
        <v>33</v>
      </c>
      <c r="P1582" s="1" t="s">
        <v>210</v>
      </c>
      <c r="Q1582" s="1" t="s">
        <v>210</v>
      </c>
      <c r="R1582" s="1" t="s">
        <v>211</v>
      </c>
      <c r="S1582" s="1" t="s">
        <v>1313</v>
      </c>
      <c r="T1582" s="1">
        <v>1.00639134E8</v>
      </c>
      <c r="W1582" s="1" t="s">
        <v>258</v>
      </c>
      <c r="X1582" s="1" t="s">
        <v>1125</v>
      </c>
    </row>
    <row r="1583">
      <c r="A1583" s="1" t="s">
        <v>5274</v>
      </c>
      <c r="B1583" s="1" t="s">
        <v>5275</v>
      </c>
      <c r="C1583" s="1" t="s">
        <v>5276</v>
      </c>
      <c r="D1583" s="1" t="s">
        <v>103</v>
      </c>
      <c r="E1583" s="1" t="s">
        <v>29</v>
      </c>
      <c r="F1583" s="5">
        <v>550000.0</v>
      </c>
      <c r="G1583" s="1" t="s">
        <v>3964</v>
      </c>
      <c r="H1583" s="1" t="s">
        <v>556</v>
      </c>
      <c r="I1583" s="1" t="s">
        <v>104</v>
      </c>
      <c r="K1583" s="1">
        <v>0.0</v>
      </c>
      <c r="L1583" s="1" t="s">
        <v>645</v>
      </c>
      <c r="M1583" s="1" t="str">
        <f>VLOOKUP(L1583,'Copy of PMD Workday Constants -'!B1582:W2268,22,false)</f>
        <v>#N/A</v>
      </c>
      <c r="N1583" s="1" t="s">
        <v>32</v>
      </c>
      <c r="O1583" s="1" t="s">
        <v>33</v>
      </c>
      <c r="P1583" s="1" t="s">
        <v>64</v>
      </c>
      <c r="Q1583" s="1" t="s">
        <v>64</v>
      </c>
      <c r="R1583" s="1" t="s">
        <v>65</v>
      </c>
      <c r="T1583" s="1">
        <v>1.00653597E8</v>
      </c>
      <c r="W1583" s="1" t="s">
        <v>56</v>
      </c>
      <c r="X1583" s="1" t="s">
        <v>645</v>
      </c>
    </row>
    <row r="1584">
      <c r="A1584" s="1" t="s">
        <v>5277</v>
      </c>
      <c r="B1584" s="1" t="s">
        <v>5278</v>
      </c>
      <c r="C1584" s="1" t="s">
        <v>5279</v>
      </c>
      <c r="D1584" s="1" t="s">
        <v>28</v>
      </c>
      <c r="E1584" s="1" t="s">
        <v>29</v>
      </c>
      <c r="F1584" s="5">
        <v>550000.0</v>
      </c>
      <c r="G1584" s="1" t="s">
        <v>3964</v>
      </c>
      <c r="H1584" s="4">
        <v>44357.0</v>
      </c>
      <c r="I1584" s="1" t="s">
        <v>152</v>
      </c>
      <c r="K1584" s="1">
        <v>0.0</v>
      </c>
      <c r="L1584" s="1" t="s">
        <v>428</v>
      </c>
      <c r="M1584" s="1" t="str">
        <f>VLOOKUP(L1584,'Copy of PMD Workday Constants -'!B1583:W2269,22,false)</f>
        <v>#N/A</v>
      </c>
      <c r="N1584" s="1" t="s">
        <v>32</v>
      </c>
      <c r="O1584" s="1" t="s">
        <v>33</v>
      </c>
      <c r="P1584" s="1" t="s">
        <v>173</v>
      </c>
      <c r="Q1584" s="1" t="s">
        <v>173</v>
      </c>
      <c r="R1584" s="1" t="s">
        <v>174</v>
      </c>
      <c r="S1584" s="1" t="s">
        <v>153</v>
      </c>
      <c r="T1584" s="1">
        <v>1.00654085E8</v>
      </c>
      <c r="W1584" s="1" t="s">
        <v>85</v>
      </c>
      <c r="X1584" s="1" t="s">
        <v>3220</v>
      </c>
    </row>
    <row r="1585">
      <c r="A1585" s="1" t="s">
        <v>5280</v>
      </c>
      <c r="B1585" s="1" t="s">
        <v>4911</v>
      </c>
      <c r="C1585" s="1" t="s">
        <v>5281</v>
      </c>
      <c r="D1585" s="1" t="s">
        <v>103</v>
      </c>
      <c r="E1585" s="1" t="s">
        <v>29</v>
      </c>
      <c r="F1585" s="5">
        <v>550000.0</v>
      </c>
      <c r="G1585" s="1" t="s">
        <v>3964</v>
      </c>
      <c r="H1585" s="1" t="s">
        <v>795</v>
      </c>
      <c r="I1585" s="1" t="s">
        <v>1349</v>
      </c>
      <c r="K1585" s="1">
        <v>0.0</v>
      </c>
      <c r="L1585" s="1" t="s">
        <v>4202</v>
      </c>
      <c r="M1585" s="1" t="str">
        <f>VLOOKUP(L1585,'Copy of PMD Workday Constants -'!B1584:W2270,22,false)</f>
        <v>#N/A</v>
      </c>
      <c r="N1585" s="1" t="s">
        <v>32</v>
      </c>
      <c r="O1585" s="1" t="s">
        <v>33</v>
      </c>
      <c r="P1585" s="1" t="s">
        <v>173</v>
      </c>
      <c r="Q1585" s="1" t="s">
        <v>173</v>
      </c>
      <c r="R1585" s="1" t="s">
        <v>174</v>
      </c>
      <c r="T1585" s="1">
        <v>1.00914325E8</v>
      </c>
      <c r="W1585" s="1" t="s">
        <v>456</v>
      </c>
      <c r="X1585" s="1" t="s">
        <v>4202</v>
      </c>
    </row>
    <row r="1586">
      <c r="A1586" s="1" t="s">
        <v>5282</v>
      </c>
      <c r="B1586" s="1" t="s">
        <v>5283</v>
      </c>
      <c r="C1586" s="1" t="s">
        <v>5284</v>
      </c>
      <c r="D1586" s="1" t="s">
        <v>103</v>
      </c>
      <c r="E1586" s="1" t="s">
        <v>29</v>
      </c>
      <c r="F1586" s="5">
        <v>550000.0</v>
      </c>
      <c r="G1586" s="1" t="s">
        <v>3964</v>
      </c>
      <c r="H1586" s="4">
        <v>44808.0</v>
      </c>
      <c r="I1586" s="4">
        <v>44717.0</v>
      </c>
      <c r="K1586" s="1">
        <v>0.0</v>
      </c>
      <c r="L1586" s="1" t="s">
        <v>3392</v>
      </c>
      <c r="M1586" s="1" t="str">
        <f>VLOOKUP(L1586,'Copy of PMD Workday Constants -'!B1585:W2271,22,false)</f>
        <v>#N/A</v>
      </c>
      <c r="N1586" s="1" t="s">
        <v>32</v>
      </c>
      <c r="O1586" s="1" t="s">
        <v>33</v>
      </c>
      <c r="P1586" s="1" t="s">
        <v>64</v>
      </c>
      <c r="Q1586" s="1" t="s">
        <v>64</v>
      </c>
      <c r="R1586" s="1" t="s">
        <v>65</v>
      </c>
      <c r="T1586" s="1">
        <v>1.00653021E8</v>
      </c>
      <c r="W1586" s="1" t="s">
        <v>47</v>
      </c>
      <c r="X1586" s="1" t="s">
        <v>3392</v>
      </c>
    </row>
    <row r="1587">
      <c r="A1587" s="1" t="s">
        <v>5285</v>
      </c>
      <c r="B1587" s="1" t="s">
        <v>5286</v>
      </c>
      <c r="C1587" s="1" t="s">
        <v>5287</v>
      </c>
      <c r="D1587" s="1" t="s">
        <v>28</v>
      </c>
      <c r="E1587" s="1" t="s">
        <v>29</v>
      </c>
      <c r="F1587" s="5">
        <v>550000.0</v>
      </c>
      <c r="G1587" s="1" t="s">
        <v>3964</v>
      </c>
      <c r="H1587" s="1" t="s">
        <v>537</v>
      </c>
      <c r="I1587" s="1" t="s">
        <v>152</v>
      </c>
      <c r="K1587" s="1">
        <v>0.0</v>
      </c>
      <c r="L1587" s="1" t="s">
        <v>618</v>
      </c>
      <c r="M1587" s="1" t="str">
        <f>VLOOKUP(L1587,'Copy of PMD Workday Constants -'!B1586:W2272,22,false)</f>
        <v>#N/A</v>
      </c>
      <c r="N1587" s="1" t="s">
        <v>32</v>
      </c>
      <c r="O1587" s="1" t="s">
        <v>33</v>
      </c>
      <c r="P1587" s="1" t="s">
        <v>173</v>
      </c>
      <c r="Q1587" s="1" t="s">
        <v>173</v>
      </c>
      <c r="R1587" s="1" t="s">
        <v>174</v>
      </c>
      <c r="T1587" s="1">
        <v>1.00591141E8</v>
      </c>
      <c r="W1587" s="1" t="s">
        <v>74</v>
      </c>
      <c r="X1587" s="1" t="s">
        <v>5288</v>
      </c>
    </row>
    <row r="1588">
      <c r="A1588" s="1" t="s">
        <v>5289</v>
      </c>
      <c r="B1588" s="1" t="s">
        <v>1624</v>
      </c>
      <c r="C1588" s="1" t="s">
        <v>5290</v>
      </c>
      <c r="D1588" s="1" t="s">
        <v>51</v>
      </c>
      <c r="E1588" s="1" t="s">
        <v>29</v>
      </c>
      <c r="F1588" s="5">
        <v>550000.0</v>
      </c>
      <c r="G1588" s="1" t="s">
        <v>3964</v>
      </c>
      <c r="H1588" s="1" t="s">
        <v>698</v>
      </c>
      <c r="I1588" s="1" t="s">
        <v>80</v>
      </c>
      <c r="K1588" s="1">
        <v>0.0</v>
      </c>
      <c r="L1588" s="1" t="s">
        <v>5291</v>
      </c>
      <c r="M1588" s="1" t="str">
        <f>VLOOKUP(L1588,'Copy of PMD Workday Constants -'!B1587:W2273,22,false)</f>
        <v>#N/A</v>
      </c>
      <c r="N1588" s="1" t="s">
        <v>32</v>
      </c>
      <c r="O1588" s="1" t="s">
        <v>33</v>
      </c>
      <c r="P1588" s="1" t="s">
        <v>173</v>
      </c>
      <c r="Q1588" s="1" t="s">
        <v>173</v>
      </c>
      <c r="R1588" s="1" t="s">
        <v>174</v>
      </c>
      <c r="S1588" s="1" t="s">
        <v>153</v>
      </c>
      <c r="T1588" s="1">
        <v>1.00625563E8</v>
      </c>
      <c r="W1588" s="1" t="s">
        <v>456</v>
      </c>
      <c r="X1588" s="1" t="s">
        <v>2880</v>
      </c>
    </row>
    <row r="1589">
      <c r="A1589" s="1" t="s">
        <v>5292</v>
      </c>
      <c r="B1589" s="1" t="s">
        <v>954</v>
      </c>
      <c r="C1589" s="1" t="s">
        <v>5293</v>
      </c>
      <c r="D1589" s="1" t="s">
        <v>51</v>
      </c>
      <c r="E1589" s="1" t="s">
        <v>29</v>
      </c>
      <c r="F1589" s="5">
        <v>550000.0</v>
      </c>
      <c r="G1589" s="1" t="s">
        <v>3964</v>
      </c>
      <c r="H1589" s="1" t="s">
        <v>5294</v>
      </c>
      <c r="I1589" s="1" t="s">
        <v>80</v>
      </c>
      <c r="K1589" s="1">
        <v>0.0</v>
      </c>
      <c r="L1589" s="1" t="s">
        <v>5295</v>
      </c>
      <c r="M1589" s="1" t="str">
        <f>VLOOKUP(L1589,'Copy of PMD Workday Constants -'!B1588:W2274,22,false)</f>
        <v>#N/A</v>
      </c>
      <c r="N1589" s="1" t="s">
        <v>32</v>
      </c>
      <c r="O1589" s="1" t="s">
        <v>33</v>
      </c>
      <c r="P1589" s="1" t="s">
        <v>222</v>
      </c>
      <c r="Q1589" s="1" t="s">
        <v>222</v>
      </c>
      <c r="R1589" s="1" t="s">
        <v>223</v>
      </c>
      <c r="S1589" s="1" t="s">
        <v>482</v>
      </c>
      <c r="T1589" s="1">
        <v>1.00605581E8</v>
      </c>
      <c r="W1589" s="1" t="s">
        <v>147</v>
      </c>
      <c r="X1589" s="1" t="s">
        <v>5295</v>
      </c>
    </row>
    <row r="1590">
      <c r="A1590" s="1" t="s">
        <v>5296</v>
      </c>
      <c r="B1590" s="1" t="s">
        <v>1568</v>
      </c>
      <c r="C1590" s="1" t="s">
        <v>5297</v>
      </c>
      <c r="D1590" s="1" t="s">
        <v>103</v>
      </c>
      <c r="E1590" s="1" t="s">
        <v>29</v>
      </c>
      <c r="F1590" s="5">
        <v>550000.0</v>
      </c>
      <c r="G1590" s="1" t="s">
        <v>3964</v>
      </c>
      <c r="H1590" s="1" t="s">
        <v>2049</v>
      </c>
      <c r="I1590" s="4">
        <v>44601.0</v>
      </c>
      <c r="J1590" s="1" t="s">
        <v>5298</v>
      </c>
      <c r="K1590" s="1">
        <v>0.0</v>
      </c>
      <c r="L1590" s="1" t="s">
        <v>806</v>
      </c>
      <c r="M1590" s="1" t="str">
        <f>VLOOKUP(L1590,'Copy of PMD Workday Constants -'!B1589:W2275,22,false)</f>
        <v>#N/A</v>
      </c>
      <c r="N1590" s="1" t="s">
        <v>32</v>
      </c>
      <c r="O1590" s="1" t="s">
        <v>33</v>
      </c>
      <c r="P1590" s="1" t="s">
        <v>173</v>
      </c>
      <c r="Q1590" s="1" t="s">
        <v>173</v>
      </c>
      <c r="R1590" s="1" t="s">
        <v>174</v>
      </c>
      <c r="S1590" s="1" t="s">
        <v>612</v>
      </c>
      <c r="T1590" s="1">
        <v>1.00581784E8</v>
      </c>
      <c r="W1590" s="1" t="s">
        <v>147</v>
      </c>
      <c r="X1590" s="1" t="s">
        <v>1571</v>
      </c>
    </row>
    <row r="1591">
      <c r="A1591" s="1" t="s">
        <v>5299</v>
      </c>
      <c r="B1591" s="1" t="s">
        <v>5300</v>
      </c>
      <c r="C1591" s="1" t="s">
        <v>5301</v>
      </c>
      <c r="D1591" s="1" t="s">
        <v>79</v>
      </c>
      <c r="E1591" s="1" t="s">
        <v>29</v>
      </c>
      <c r="F1591" s="5">
        <v>549000.0</v>
      </c>
      <c r="G1591" s="1" t="s">
        <v>3964</v>
      </c>
      <c r="H1591" s="1" t="s">
        <v>789</v>
      </c>
      <c r="I1591" s="1" t="s">
        <v>295</v>
      </c>
      <c r="J1591" s="1" t="s">
        <v>5302</v>
      </c>
      <c r="K1591" s="1">
        <v>0.0</v>
      </c>
      <c r="L1591" s="1" t="s">
        <v>5252</v>
      </c>
      <c r="M1591" s="1" t="str">
        <f>VLOOKUP(L1591,'Copy of PMD Workday Constants -'!B1590:W2276,22,false)</f>
        <v>#N/A</v>
      </c>
      <c r="N1591" s="1" t="s">
        <v>32</v>
      </c>
      <c r="O1591" s="1" t="s">
        <v>33</v>
      </c>
      <c r="P1591" s="1" t="s">
        <v>5253</v>
      </c>
      <c r="Q1591" s="1" t="s">
        <v>5253</v>
      </c>
      <c r="R1591" s="1" t="s">
        <v>65</v>
      </c>
      <c r="T1591" s="1">
        <v>1.00625588E8</v>
      </c>
      <c r="W1591" s="1" t="s">
        <v>4719</v>
      </c>
      <c r="X1591" s="1" t="s">
        <v>5303</v>
      </c>
    </row>
    <row r="1592">
      <c r="A1592" s="1" t="s">
        <v>5304</v>
      </c>
      <c r="B1592" s="1" t="s">
        <v>389</v>
      </c>
      <c r="C1592" s="1" t="s">
        <v>5305</v>
      </c>
      <c r="D1592" s="1" t="s">
        <v>103</v>
      </c>
      <c r="E1592" s="1" t="s">
        <v>29</v>
      </c>
      <c r="F1592" s="5">
        <v>549000.0</v>
      </c>
      <c r="G1592" s="1" t="s">
        <v>3964</v>
      </c>
      <c r="H1592" s="4">
        <v>44563.0</v>
      </c>
      <c r="I1592" s="1" t="s">
        <v>1528</v>
      </c>
      <c r="K1592" s="1">
        <v>0.0</v>
      </c>
      <c r="L1592" s="1" t="s">
        <v>1370</v>
      </c>
      <c r="M1592" s="1" t="str">
        <f>VLOOKUP(L1592,'Copy of PMD Workday Constants -'!B1591:W2277,22,false)</f>
        <v>#N/A</v>
      </c>
      <c r="N1592" s="1" t="s">
        <v>32</v>
      </c>
      <c r="O1592" s="1" t="s">
        <v>33</v>
      </c>
      <c r="P1592" s="1" t="s">
        <v>173</v>
      </c>
      <c r="Q1592" s="1" t="s">
        <v>173</v>
      </c>
      <c r="R1592" s="1" t="s">
        <v>174</v>
      </c>
      <c r="S1592" s="1" t="s">
        <v>153</v>
      </c>
      <c r="T1592" s="1">
        <v>1.00869794E8</v>
      </c>
      <c r="W1592" s="1" t="s">
        <v>391</v>
      </c>
      <c r="X1592" s="1" t="s">
        <v>1370</v>
      </c>
    </row>
    <row r="1593">
      <c r="A1593" s="1" t="s">
        <v>5306</v>
      </c>
      <c r="B1593" s="1" t="s">
        <v>5307</v>
      </c>
      <c r="C1593" s="1" t="s">
        <v>5308</v>
      </c>
      <c r="D1593" s="1" t="s">
        <v>28</v>
      </c>
      <c r="E1593" s="1" t="s">
        <v>29</v>
      </c>
      <c r="F1593" s="5">
        <v>545000.0</v>
      </c>
      <c r="G1593" s="1" t="s">
        <v>3964</v>
      </c>
      <c r="H1593" s="1" t="s">
        <v>1005</v>
      </c>
      <c r="I1593" s="1" t="s">
        <v>302</v>
      </c>
      <c r="K1593" s="1">
        <v>0.0</v>
      </c>
      <c r="L1593" s="1" t="s">
        <v>139</v>
      </c>
      <c r="M1593" s="1" t="str">
        <f>VLOOKUP(L1593,'Copy of PMD Workday Constants -'!B1592:W2278,22,false)</f>
        <v>#N/A</v>
      </c>
      <c r="N1593" s="1" t="s">
        <v>32</v>
      </c>
      <c r="O1593" s="1" t="s">
        <v>33</v>
      </c>
      <c r="P1593" s="1" t="s">
        <v>112</v>
      </c>
      <c r="Q1593" s="1" t="s">
        <v>112</v>
      </c>
      <c r="R1593" s="1" t="s">
        <v>113</v>
      </c>
      <c r="S1593" s="1" t="s">
        <v>114</v>
      </c>
      <c r="T1593" s="1">
        <v>1.00592496E8</v>
      </c>
      <c r="W1593" s="1" t="s">
        <v>1303</v>
      </c>
      <c r="X1593" s="1" t="s">
        <v>139</v>
      </c>
    </row>
    <row r="1594">
      <c r="A1594" s="1" t="s">
        <v>5309</v>
      </c>
      <c r="B1594" s="1" t="s">
        <v>4303</v>
      </c>
      <c r="C1594" s="1" t="s">
        <v>5310</v>
      </c>
      <c r="D1594" s="1" t="s">
        <v>51</v>
      </c>
      <c r="E1594" s="1" t="s">
        <v>29</v>
      </c>
      <c r="F1594" s="5">
        <v>540000.0</v>
      </c>
      <c r="G1594" s="1" t="s">
        <v>3964</v>
      </c>
      <c r="H1594" s="1" t="s">
        <v>2142</v>
      </c>
      <c r="I1594" s="1" t="s">
        <v>104</v>
      </c>
      <c r="K1594" s="1">
        <v>0.0</v>
      </c>
      <c r="L1594" s="1" t="s">
        <v>2942</v>
      </c>
      <c r="M1594" s="1" t="str">
        <f>VLOOKUP(L1594,'Copy of PMD Workday Constants -'!B1593:W2279,22,false)</f>
        <v>#N/A</v>
      </c>
      <c r="N1594" s="1" t="s">
        <v>32</v>
      </c>
      <c r="O1594" s="1" t="s">
        <v>33</v>
      </c>
      <c r="P1594" s="1" t="s">
        <v>173</v>
      </c>
      <c r="Q1594" s="1" t="s">
        <v>173</v>
      </c>
      <c r="R1594" s="1" t="s">
        <v>174</v>
      </c>
      <c r="S1594" s="1" t="s">
        <v>612</v>
      </c>
      <c r="T1594" s="1">
        <v>1.00650064E8</v>
      </c>
      <c r="W1594" s="1" t="s">
        <v>147</v>
      </c>
      <c r="X1594" s="1" t="s">
        <v>4305</v>
      </c>
    </row>
    <row r="1595">
      <c r="A1595" s="1" t="s">
        <v>5311</v>
      </c>
      <c r="B1595" s="1" t="s">
        <v>353</v>
      </c>
      <c r="C1595" s="1" t="s">
        <v>5312</v>
      </c>
      <c r="D1595" s="1" t="s">
        <v>51</v>
      </c>
      <c r="E1595" s="1" t="s">
        <v>29</v>
      </c>
      <c r="F1595" s="5">
        <v>540000.0</v>
      </c>
      <c r="G1595" s="1" t="s">
        <v>3964</v>
      </c>
      <c r="H1595" s="1" t="s">
        <v>556</v>
      </c>
      <c r="I1595" s="1" t="s">
        <v>1350</v>
      </c>
      <c r="K1595" s="1">
        <v>0.0</v>
      </c>
      <c r="L1595" s="1" t="s">
        <v>5313</v>
      </c>
      <c r="M1595" s="1" t="str">
        <f>VLOOKUP(L1595,'Copy of PMD Workday Constants -'!B1594:W2280,22,false)</f>
        <v>#N/A</v>
      </c>
      <c r="N1595" s="1" t="s">
        <v>32</v>
      </c>
      <c r="O1595" s="1" t="s">
        <v>33</v>
      </c>
      <c r="P1595" s="1" t="s">
        <v>64</v>
      </c>
      <c r="Q1595" s="1" t="s">
        <v>64</v>
      </c>
      <c r="R1595" s="1" t="s">
        <v>65</v>
      </c>
      <c r="T1595" s="1">
        <v>1.00910509E8</v>
      </c>
      <c r="W1595" s="1" t="s">
        <v>258</v>
      </c>
      <c r="X1595" s="1" t="s">
        <v>5313</v>
      </c>
    </row>
    <row r="1596">
      <c r="A1596" s="1" t="s">
        <v>5314</v>
      </c>
      <c r="B1596" s="1" t="s">
        <v>5315</v>
      </c>
      <c r="C1596" s="1" t="s">
        <v>5316</v>
      </c>
      <c r="D1596" s="1" t="s">
        <v>103</v>
      </c>
      <c r="E1596" s="1" t="s">
        <v>29</v>
      </c>
      <c r="F1596" s="5">
        <v>536000.0</v>
      </c>
      <c r="G1596" s="1" t="s">
        <v>3964</v>
      </c>
      <c r="H1596" s="1" t="s">
        <v>2724</v>
      </c>
      <c r="I1596" s="1" t="s">
        <v>80</v>
      </c>
      <c r="K1596" s="1">
        <v>0.0</v>
      </c>
      <c r="L1596" s="1" t="s">
        <v>5317</v>
      </c>
      <c r="M1596" s="1" t="str">
        <f>VLOOKUP(L1596,'Copy of PMD Workday Constants -'!B1595:W2281,22,false)</f>
        <v>#N/A</v>
      </c>
      <c r="N1596" s="1" t="s">
        <v>32</v>
      </c>
      <c r="O1596" s="1" t="s">
        <v>33</v>
      </c>
      <c r="P1596" s="1" t="s">
        <v>112</v>
      </c>
      <c r="Q1596" s="1" t="s">
        <v>112</v>
      </c>
      <c r="R1596" s="1" t="s">
        <v>113</v>
      </c>
      <c r="T1596" s="1">
        <v>1.00569225E8</v>
      </c>
      <c r="W1596" s="1" t="s">
        <v>533</v>
      </c>
      <c r="X1596" s="1" t="s">
        <v>5318</v>
      </c>
    </row>
    <row r="1597">
      <c r="A1597" s="1" t="s">
        <v>5319</v>
      </c>
      <c r="B1597" s="1" t="s">
        <v>5320</v>
      </c>
      <c r="C1597" s="1" t="s">
        <v>5321</v>
      </c>
      <c r="D1597" s="1" t="s">
        <v>51</v>
      </c>
      <c r="E1597" s="1" t="s">
        <v>29</v>
      </c>
      <c r="F1597" s="5">
        <v>535000.0</v>
      </c>
      <c r="G1597" s="1" t="s">
        <v>3964</v>
      </c>
      <c r="H1597" s="1" t="s">
        <v>1436</v>
      </c>
      <c r="I1597" s="1" t="s">
        <v>732</v>
      </c>
      <c r="J1597" s="6">
        <v>44748.856944444444</v>
      </c>
      <c r="K1597" s="1">
        <v>0.0</v>
      </c>
      <c r="L1597" s="1" t="s">
        <v>5252</v>
      </c>
      <c r="M1597" s="1" t="str">
        <f>VLOOKUP(L1597,'Copy of PMD Workday Constants -'!B1596:W2282,22,false)</f>
        <v>#N/A</v>
      </c>
      <c r="N1597" s="1" t="s">
        <v>32</v>
      </c>
      <c r="O1597" s="1" t="s">
        <v>33</v>
      </c>
      <c r="P1597" s="1" t="s">
        <v>5253</v>
      </c>
      <c r="Q1597" s="1" t="s">
        <v>5253</v>
      </c>
      <c r="R1597" s="1" t="s">
        <v>65</v>
      </c>
      <c r="S1597" s="1" t="s">
        <v>66</v>
      </c>
      <c r="T1597" s="1">
        <v>1.00625588E8</v>
      </c>
      <c r="W1597" s="1" t="s">
        <v>456</v>
      </c>
      <c r="X1597" s="1" t="s">
        <v>5252</v>
      </c>
    </row>
    <row r="1598">
      <c r="A1598" s="1" t="s">
        <v>5322</v>
      </c>
      <c r="B1598" s="1" t="s">
        <v>485</v>
      </c>
      <c r="C1598" s="1" t="s">
        <v>5323</v>
      </c>
      <c r="D1598" s="1" t="s">
        <v>103</v>
      </c>
      <c r="E1598" s="1" t="s">
        <v>29</v>
      </c>
      <c r="F1598" s="5">
        <v>530000.0</v>
      </c>
      <c r="G1598" s="1" t="s">
        <v>3964</v>
      </c>
      <c r="H1598" s="4">
        <v>44840.0</v>
      </c>
      <c r="I1598" s="1" t="s">
        <v>326</v>
      </c>
      <c r="K1598" s="1">
        <v>0.0</v>
      </c>
      <c r="L1598" s="1" t="s">
        <v>759</v>
      </c>
      <c r="M1598" s="1" t="str">
        <f>VLOOKUP(L1598,'Copy of PMD Workday Constants -'!B1597:W2283,22,false)</f>
        <v>#N/A</v>
      </c>
      <c r="N1598" s="1" t="s">
        <v>32</v>
      </c>
      <c r="O1598" s="1" t="s">
        <v>33</v>
      </c>
      <c r="P1598" s="1" t="s">
        <v>64</v>
      </c>
      <c r="Q1598" s="1" t="s">
        <v>64</v>
      </c>
      <c r="R1598" s="1" t="s">
        <v>65</v>
      </c>
      <c r="T1598" s="1">
        <v>1.00610205E8</v>
      </c>
      <c r="W1598" s="1" t="s">
        <v>74</v>
      </c>
      <c r="X1598" s="1" t="s">
        <v>4889</v>
      </c>
    </row>
    <row r="1599">
      <c r="A1599" s="1" t="s">
        <v>5324</v>
      </c>
      <c r="B1599" s="1" t="s">
        <v>993</v>
      </c>
      <c r="C1599" s="1" t="s">
        <v>5325</v>
      </c>
      <c r="D1599" s="1" t="s">
        <v>28</v>
      </c>
      <c r="E1599" s="1" t="s">
        <v>29</v>
      </c>
      <c r="F1599" s="5">
        <v>525000.0</v>
      </c>
      <c r="G1599" s="1" t="s">
        <v>3964</v>
      </c>
      <c r="H1599" s="1" t="s">
        <v>52</v>
      </c>
      <c r="I1599" s="1" t="s">
        <v>80</v>
      </c>
      <c r="K1599" s="1">
        <v>0.0</v>
      </c>
      <c r="L1599" s="1" t="s">
        <v>4634</v>
      </c>
      <c r="M1599" s="1" t="str">
        <f>VLOOKUP(L1599,'Copy of PMD Workday Constants -'!B1598:W2284,22,false)</f>
        <v>#N/A</v>
      </c>
      <c r="N1599" s="1" t="s">
        <v>32</v>
      </c>
      <c r="O1599" s="1" t="s">
        <v>33</v>
      </c>
      <c r="P1599" s="1" t="s">
        <v>112</v>
      </c>
      <c r="Q1599" s="1" t="s">
        <v>112</v>
      </c>
      <c r="R1599" s="1" t="s">
        <v>113</v>
      </c>
      <c r="S1599" s="1" t="s">
        <v>134</v>
      </c>
      <c r="T1599" s="1">
        <v>1.00585718E8</v>
      </c>
      <c r="W1599" s="1" t="s">
        <v>74</v>
      </c>
      <c r="X1599" s="1" t="s">
        <v>4804</v>
      </c>
    </row>
    <row r="1600">
      <c r="A1600" s="1" t="s">
        <v>5326</v>
      </c>
      <c r="B1600" s="1" t="s">
        <v>521</v>
      </c>
      <c r="C1600" s="1" t="s">
        <v>5327</v>
      </c>
      <c r="D1600" s="1" t="s">
        <v>51</v>
      </c>
      <c r="E1600" s="1" t="s">
        <v>29</v>
      </c>
      <c r="F1600" s="5">
        <v>525000.0</v>
      </c>
      <c r="G1600" s="1" t="s">
        <v>3964</v>
      </c>
      <c r="H1600" s="4">
        <v>44684.0</v>
      </c>
      <c r="I1600" s="1" t="s">
        <v>248</v>
      </c>
      <c r="K1600" s="1">
        <v>0.0</v>
      </c>
      <c r="L1600" s="1" t="s">
        <v>4207</v>
      </c>
      <c r="M1600" s="1" t="str">
        <f>VLOOKUP(L1600,'Copy of PMD Workday Constants -'!B1599:W2285,22,false)</f>
        <v>#N/A</v>
      </c>
      <c r="N1600" s="1" t="s">
        <v>32</v>
      </c>
      <c r="O1600" s="1" t="s">
        <v>33</v>
      </c>
      <c r="P1600" s="1" t="s">
        <v>64</v>
      </c>
      <c r="Q1600" s="1" t="s">
        <v>64</v>
      </c>
      <c r="R1600" s="1" t="s">
        <v>65</v>
      </c>
      <c r="T1600" s="1">
        <v>1.00609187E8</v>
      </c>
      <c r="W1600" s="1" t="s">
        <v>85</v>
      </c>
      <c r="X1600" s="1" t="s">
        <v>4207</v>
      </c>
    </row>
    <row r="1601">
      <c r="A1601" s="1" t="s">
        <v>5328</v>
      </c>
      <c r="B1601" s="1" t="s">
        <v>5329</v>
      </c>
      <c r="C1601" s="1" t="s">
        <v>5330</v>
      </c>
      <c r="D1601" s="1" t="s">
        <v>28</v>
      </c>
      <c r="E1601" s="1" t="s">
        <v>29</v>
      </c>
      <c r="F1601" s="5">
        <v>525000.0</v>
      </c>
      <c r="G1601" s="1" t="s">
        <v>3964</v>
      </c>
      <c r="H1601" s="4">
        <v>44839.0</v>
      </c>
      <c r="I1601" s="1" t="s">
        <v>104</v>
      </c>
      <c r="K1601" s="1">
        <v>0.0</v>
      </c>
      <c r="L1601" s="1" t="s">
        <v>1646</v>
      </c>
      <c r="M1601" s="1" t="str">
        <f>VLOOKUP(L1601,'Copy of PMD Workday Constants -'!B1600:W2286,22,false)</f>
        <v>#N/A</v>
      </c>
      <c r="N1601" s="1" t="s">
        <v>32</v>
      </c>
      <c r="O1601" s="1" t="s">
        <v>33</v>
      </c>
      <c r="P1601" s="1" t="s">
        <v>64</v>
      </c>
      <c r="Q1601" s="1" t="s">
        <v>64</v>
      </c>
      <c r="R1601" s="1" t="s">
        <v>65</v>
      </c>
      <c r="T1601" s="1">
        <v>1.00650657E8</v>
      </c>
      <c r="W1601" s="1" t="s">
        <v>308</v>
      </c>
      <c r="X1601" s="1" t="s">
        <v>1646</v>
      </c>
    </row>
    <row r="1602">
      <c r="A1602" s="1" t="s">
        <v>5331</v>
      </c>
      <c r="B1602" s="1" t="s">
        <v>1252</v>
      </c>
      <c r="C1602" s="1" t="s">
        <v>5332</v>
      </c>
      <c r="D1602" s="1" t="s">
        <v>103</v>
      </c>
      <c r="E1602" s="1" t="s">
        <v>29</v>
      </c>
      <c r="F1602" s="5">
        <v>525000.0</v>
      </c>
      <c r="G1602" s="1" t="s">
        <v>3964</v>
      </c>
      <c r="H1602" s="1" t="s">
        <v>165</v>
      </c>
      <c r="I1602" s="1" t="s">
        <v>1470</v>
      </c>
      <c r="K1602" s="1">
        <v>0.0</v>
      </c>
      <c r="L1602" s="1" t="s">
        <v>678</v>
      </c>
      <c r="M1602" s="1" t="str">
        <f>VLOOKUP(L1602,'Copy of PMD Workday Constants -'!B1601:W2287,22,false)</f>
        <v>#N/A</v>
      </c>
      <c r="N1602" s="1" t="s">
        <v>32</v>
      </c>
      <c r="O1602" s="1" t="s">
        <v>33</v>
      </c>
      <c r="P1602" s="1" t="s">
        <v>210</v>
      </c>
      <c r="Q1602" s="1" t="s">
        <v>210</v>
      </c>
      <c r="R1602" s="1" t="s">
        <v>211</v>
      </c>
      <c r="T1602" s="1">
        <v>1.00609073E8</v>
      </c>
      <c r="W1602" s="1" t="s">
        <v>56</v>
      </c>
      <c r="X1602" s="1" t="s">
        <v>1255</v>
      </c>
    </row>
    <row r="1603">
      <c r="A1603" s="1" t="s">
        <v>5333</v>
      </c>
      <c r="B1603" s="1" t="s">
        <v>324</v>
      </c>
      <c r="C1603" s="1" t="s">
        <v>5334</v>
      </c>
      <c r="D1603" s="1" t="s">
        <v>28</v>
      </c>
      <c r="E1603" s="1" t="s">
        <v>29</v>
      </c>
      <c r="F1603" s="5">
        <v>515000.0</v>
      </c>
      <c r="G1603" s="1" t="s">
        <v>3964</v>
      </c>
      <c r="H1603" s="1" t="s">
        <v>1323</v>
      </c>
      <c r="I1603" s="1" t="s">
        <v>191</v>
      </c>
      <c r="K1603" s="1">
        <v>0.0</v>
      </c>
      <c r="L1603" s="1" t="s">
        <v>5335</v>
      </c>
      <c r="M1603" s="1" t="str">
        <f>VLOOKUP(L1603,'Copy of PMD Workday Constants -'!B1602:W2288,22,false)</f>
        <v>#N/A</v>
      </c>
      <c r="N1603" s="1" t="s">
        <v>32</v>
      </c>
      <c r="O1603" s="1" t="s">
        <v>33</v>
      </c>
      <c r="P1603" s="1" t="s">
        <v>64</v>
      </c>
      <c r="Q1603" s="1" t="s">
        <v>64</v>
      </c>
      <c r="R1603" s="1" t="s">
        <v>65</v>
      </c>
      <c r="S1603" s="1" t="s">
        <v>1313</v>
      </c>
      <c r="T1603" s="1">
        <v>1.00649463E8</v>
      </c>
      <c r="W1603" s="1" t="s">
        <v>56</v>
      </c>
      <c r="X1603" s="1" t="s">
        <v>5336</v>
      </c>
    </row>
    <row r="1604">
      <c r="A1604" s="1" t="s">
        <v>5337</v>
      </c>
      <c r="B1604" s="1" t="s">
        <v>3478</v>
      </c>
      <c r="C1604" s="1" t="s">
        <v>5338</v>
      </c>
      <c r="D1604" s="1" t="s">
        <v>79</v>
      </c>
      <c r="E1604" s="1" t="s">
        <v>29</v>
      </c>
      <c r="F1604" s="5">
        <v>514800.0</v>
      </c>
      <c r="G1604" s="1" t="s">
        <v>3964</v>
      </c>
      <c r="H1604" s="1" t="s">
        <v>2290</v>
      </c>
      <c r="I1604" s="1" t="s">
        <v>80</v>
      </c>
      <c r="K1604" s="1">
        <v>0.0</v>
      </c>
      <c r="L1604" s="1" t="s">
        <v>3408</v>
      </c>
      <c r="M1604" s="1" t="str">
        <f>VLOOKUP(L1604,'Copy of PMD Workday Constants -'!B1603:W2289,22,false)</f>
        <v>#N/A</v>
      </c>
      <c r="N1604" s="1" t="s">
        <v>32</v>
      </c>
      <c r="O1604" s="1" t="s">
        <v>33</v>
      </c>
      <c r="P1604" s="1" t="s">
        <v>222</v>
      </c>
      <c r="Q1604" s="1" t="s">
        <v>222</v>
      </c>
      <c r="R1604" s="1" t="s">
        <v>223</v>
      </c>
      <c r="S1604" s="1" t="s">
        <v>482</v>
      </c>
      <c r="T1604" s="1">
        <v>1.0066189E8</v>
      </c>
      <c r="W1604" s="1" t="s">
        <v>947</v>
      </c>
      <c r="X1604" s="1" t="s">
        <v>817</v>
      </c>
    </row>
    <row r="1605">
      <c r="A1605" s="1" t="s">
        <v>5339</v>
      </c>
      <c r="B1605" s="1" t="s">
        <v>2504</v>
      </c>
      <c r="C1605" s="1" t="s">
        <v>5340</v>
      </c>
      <c r="D1605" s="1" t="s">
        <v>103</v>
      </c>
      <c r="E1605" s="1" t="s">
        <v>29</v>
      </c>
      <c r="F1605" s="5">
        <v>510000.0</v>
      </c>
      <c r="G1605" s="1" t="s">
        <v>3964</v>
      </c>
      <c r="H1605" s="1" t="s">
        <v>870</v>
      </c>
      <c r="I1605" s="1" t="s">
        <v>104</v>
      </c>
      <c r="K1605" s="1">
        <v>0.0</v>
      </c>
      <c r="L1605" s="1" t="s">
        <v>5341</v>
      </c>
      <c r="M1605" s="1" t="str">
        <f>VLOOKUP(L1605,'Copy of PMD Workday Constants -'!B1604:W2290,22,false)</f>
        <v>#N/A</v>
      </c>
      <c r="N1605" s="1" t="s">
        <v>32</v>
      </c>
      <c r="O1605" s="1" t="s">
        <v>33</v>
      </c>
      <c r="P1605" s="1" t="s">
        <v>54</v>
      </c>
      <c r="Q1605" s="1" t="s">
        <v>54</v>
      </c>
      <c r="R1605" s="1" t="s">
        <v>55</v>
      </c>
      <c r="S1605" s="1" t="s">
        <v>654</v>
      </c>
      <c r="T1605" s="1">
        <v>1.00642861E8</v>
      </c>
      <c r="W1605" s="1" t="s">
        <v>258</v>
      </c>
      <c r="X1605" s="1" t="s">
        <v>5341</v>
      </c>
    </row>
    <row r="1606">
      <c r="A1606" s="1" t="s">
        <v>5342</v>
      </c>
      <c r="B1606" s="1" t="s">
        <v>1184</v>
      </c>
      <c r="C1606" s="1" t="s">
        <v>5343</v>
      </c>
      <c r="D1606" s="1" t="s">
        <v>103</v>
      </c>
      <c r="E1606" s="1" t="s">
        <v>29</v>
      </c>
      <c r="F1606" s="5">
        <v>510000.0</v>
      </c>
      <c r="G1606" s="1" t="s">
        <v>3964</v>
      </c>
      <c r="H1606" s="4">
        <v>44870.0</v>
      </c>
      <c r="I1606" s="1" t="s">
        <v>80</v>
      </c>
      <c r="K1606" s="1">
        <v>0.0</v>
      </c>
      <c r="L1606" s="1" t="s">
        <v>5344</v>
      </c>
      <c r="M1606" s="1" t="str">
        <f>VLOOKUP(L1606,'Copy of PMD Workday Constants -'!B1605:W2291,22,false)</f>
        <v>#N/A</v>
      </c>
      <c r="N1606" s="1" t="s">
        <v>32</v>
      </c>
      <c r="O1606" s="1" t="s">
        <v>33</v>
      </c>
      <c r="P1606" s="1" t="s">
        <v>210</v>
      </c>
      <c r="Q1606" s="1" t="s">
        <v>210</v>
      </c>
      <c r="R1606" s="1" t="s">
        <v>211</v>
      </c>
      <c r="S1606" s="1" t="s">
        <v>212</v>
      </c>
      <c r="T1606" s="1">
        <v>1.0064547E8</v>
      </c>
      <c r="W1606" s="1" t="s">
        <v>56</v>
      </c>
      <c r="X1606" s="1" t="s">
        <v>1188</v>
      </c>
    </row>
    <row r="1607">
      <c r="A1607" s="1" t="s">
        <v>5345</v>
      </c>
      <c r="B1607" s="1" t="s">
        <v>5346</v>
      </c>
      <c r="C1607" s="1" t="s">
        <v>5347</v>
      </c>
      <c r="D1607" s="1" t="s">
        <v>28</v>
      </c>
      <c r="E1607" s="1" t="s">
        <v>29</v>
      </c>
      <c r="F1607" s="5">
        <v>506743.59</v>
      </c>
      <c r="G1607" s="1" t="s">
        <v>3964</v>
      </c>
      <c r="H1607" s="1" t="s">
        <v>816</v>
      </c>
      <c r="I1607" s="1" t="s">
        <v>132</v>
      </c>
      <c r="K1607" s="1">
        <v>0.0</v>
      </c>
      <c r="L1607" s="1" t="s">
        <v>588</v>
      </c>
      <c r="M1607" s="1" t="str">
        <f>VLOOKUP(L1607,'Copy of PMD Workday Constants -'!B1606:W2292,22,false)</f>
        <v>#N/A</v>
      </c>
      <c r="N1607" s="1" t="s">
        <v>32</v>
      </c>
      <c r="O1607" s="1" t="s">
        <v>33</v>
      </c>
      <c r="P1607" s="1" t="s">
        <v>34</v>
      </c>
      <c r="Q1607" s="1" t="s">
        <v>34</v>
      </c>
      <c r="R1607" s="1" t="s">
        <v>35</v>
      </c>
      <c r="T1607" s="1">
        <v>1.00609607E8</v>
      </c>
      <c r="W1607" s="1" t="s">
        <v>947</v>
      </c>
      <c r="X1607" s="1" t="s">
        <v>5348</v>
      </c>
    </row>
    <row r="1608">
      <c r="A1608" s="1" t="s">
        <v>5349</v>
      </c>
      <c r="B1608" s="1" t="s">
        <v>225</v>
      </c>
      <c r="C1608" s="1" t="s">
        <v>5350</v>
      </c>
      <c r="D1608" s="1" t="s">
        <v>103</v>
      </c>
      <c r="E1608" s="1" t="s">
        <v>29</v>
      </c>
      <c r="F1608" s="5">
        <v>506255.0</v>
      </c>
      <c r="G1608" s="1" t="s">
        <v>3964</v>
      </c>
      <c r="H1608" s="4">
        <v>44746.0</v>
      </c>
      <c r="I1608" s="4">
        <v>44752.0</v>
      </c>
      <c r="K1608" s="1">
        <v>0.0</v>
      </c>
      <c r="L1608" s="1" t="s">
        <v>5351</v>
      </c>
      <c r="M1608" s="1" t="str">
        <f>VLOOKUP(L1608,'Copy of PMD Workday Constants -'!B1607:W2293,22,false)</f>
        <v>#N/A</v>
      </c>
      <c r="N1608" s="1" t="s">
        <v>32</v>
      </c>
      <c r="O1608" s="1" t="s">
        <v>33</v>
      </c>
      <c r="P1608" s="1" t="s">
        <v>222</v>
      </c>
      <c r="Q1608" s="1" t="s">
        <v>222</v>
      </c>
      <c r="R1608" s="1" t="s">
        <v>223</v>
      </c>
      <c r="S1608" s="1" t="s">
        <v>482</v>
      </c>
      <c r="T1608" s="1">
        <v>1.00640945E8</v>
      </c>
      <c r="W1608" s="1" t="s">
        <v>85</v>
      </c>
      <c r="X1608" s="1" t="s">
        <v>4406</v>
      </c>
    </row>
    <row r="1609">
      <c r="A1609" s="1" t="s">
        <v>5352</v>
      </c>
      <c r="B1609" s="1" t="s">
        <v>129</v>
      </c>
      <c r="C1609" s="1" t="s">
        <v>5353</v>
      </c>
      <c r="D1609" s="1" t="s">
        <v>103</v>
      </c>
      <c r="E1609" s="1" t="s">
        <v>29</v>
      </c>
      <c r="F1609" s="5">
        <v>506000.0</v>
      </c>
      <c r="G1609" s="1" t="s">
        <v>3964</v>
      </c>
      <c r="H1609" s="4">
        <v>44746.0</v>
      </c>
      <c r="I1609" s="1" t="s">
        <v>248</v>
      </c>
      <c r="K1609" s="1">
        <v>0.0</v>
      </c>
      <c r="L1609" s="1" t="s">
        <v>4785</v>
      </c>
      <c r="M1609" s="1" t="str">
        <f>VLOOKUP(L1609,'Copy of PMD Workday Constants -'!B1608:W2294,22,false)</f>
        <v>#N/A</v>
      </c>
      <c r="N1609" s="1" t="s">
        <v>32</v>
      </c>
      <c r="O1609" s="1" t="s">
        <v>33</v>
      </c>
      <c r="P1609" s="1" t="s">
        <v>173</v>
      </c>
      <c r="Q1609" s="1" t="s">
        <v>173</v>
      </c>
      <c r="R1609" s="1" t="s">
        <v>174</v>
      </c>
      <c r="T1609" s="1">
        <v>1.00609226E8</v>
      </c>
      <c r="W1609" s="1" t="s">
        <v>74</v>
      </c>
      <c r="X1609" s="1" t="s">
        <v>4785</v>
      </c>
    </row>
    <row r="1610">
      <c r="A1610" s="1" t="s">
        <v>5354</v>
      </c>
      <c r="B1610" s="1" t="s">
        <v>5355</v>
      </c>
      <c r="C1610" s="1" t="s">
        <v>5356</v>
      </c>
      <c r="D1610" s="1" t="s">
        <v>51</v>
      </c>
      <c r="E1610" s="1" t="s">
        <v>29</v>
      </c>
      <c r="F1610" s="5">
        <v>500000.0</v>
      </c>
      <c r="G1610" s="1" t="s">
        <v>3964</v>
      </c>
      <c r="H1610" s="1" t="s">
        <v>556</v>
      </c>
      <c r="I1610" s="1" t="s">
        <v>152</v>
      </c>
      <c r="K1610" s="1">
        <v>0.0</v>
      </c>
      <c r="L1610" s="1" t="s">
        <v>5357</v>
      </c>
      <c r="M1610" s="1" t="str">
        <f>VLOOKUP(L1610,'Copy of PMD Workday Constants -'!B1609:W2295,22,false)</f>
        <v>#N/A</v>
      </c>
      <c r="N1610" s="1" t="s">
        <v>32</v>
      </c>
      <c r="O1610" s="1" t="s">
        <v>33</v>
      </c>
      <c r="P1610" s="1" t="s">
        <v>82</v>
      </c>
      <c r="Q1610" s="1" t="s">
        <v>82</v>
      </c>
      <c r="R1610" s="1" t="s">
        <v>83</v>
      </c>
      <c r="S1610" s="1" t="s">
        <v>180</v>
      </c>
      <c r="T1610" s="1">
        <v>1.00593442E8</v>
      </c>
      <c r="W1610" s="1" t="s">
        <v>85</v>
      </c>
      <c r="X1610" s="1" t="s">
        <v>5357</v>
      </c>
    </row>
    <row r="1611">
      <c r="A1611" s="1" t="s">
        <v>5358</v>
      </c>
      <c r="B1611" s="1" t="s">
        <v>40</v>
      </c>
      <c r="C1611" s="1" t="s">
        <v>5359</v>
      </c>
      <c r="D1611" s="1" t="s">
        <v>103</v>
      </c>
      <c r="E1611" s="1" t="s">
        <v>29</v>
      </c>
      <c r="F1611" s="5">
        <v>500000.0</v>
      </c>
      <c r="G1611" s="1" t="s">
        <v>3964</v>
      </c>
      <c r="H1611" s="1" t="s">
        <v>2691</v>
      </c>
      <c r="I1611" s="1" t="s">
        <v>43</v>
      </c>
      <c r="K1611" s="1">
        <v>0.0</v>
      </c>
      <c r="L1611" s="1" t="s">
        <v>1611</v>
      </c>
      <c r="M1611" s="1" t="str">
        <f>VLOOKUP(L1611,'Copy of PMD Workday Constants -'!B1610:W2296,22,false)</f>
        <v>#N/A</v>
      </c>
      <c r="N1611" s="1" t="s">
        <v>32</v>
      </c>
      <c r="O1611" s="1" t="s">
        <v>33</v>
      </c>
      <c r="P1611" s="1" t="s">
        <v>34</v>
      </c>
      <c r="Q1611" s="1" t="s">
        <v>34</v>
      </c>
      <c r="R1611" s="1" t="s">
        <v>35</v>
      </c>
      <c r="S1611" s="1" t="s">
        <v>126</v>
      </c>
      <c r="T1611" s="1">
        <v>1.00645852E8</v>
      </c>
      <c r="W1611" s="1" t="s">
        <v>47</v>
      </c>
      <c r="X1611" s="1" t="s">
        <v>718</v>
      </c>
    </row>
    <row r="1612">
      <c r="A1612" s="1" t="s">
        <v>5360</v>
      </c>
      <c r="B1612" s="1" t="s">
        <v>5361</v>
      </c>
      <c r="C1612" s="1" t="s">
        <v>5362</v>
      </c>
      <c r="D1612" s="1" t="s">
        <v>28</v>
      </c>
      <c r="E1612" s="1" t="s">
        <v>29</v>
      </c>
      <c r="F1612" s="5">
        <v>500000.0</v>
      </c>
      <c r="G1612" s="1" t="s">
        <v>3964</v>
      </c>
      <c r="H1612" s="1" t="s">
        <v>816</v>
      </c>
      <c r="I1612" s="4">
        <v>44569.0</v>
      </c>
      <c r="K1612" s="1">
        <v>0.0</v>
      </c>
      <c r="L1612" s="1" t="s">
        <v>5363</v>
      </c>
      <c r="M1612" s="1" t="str">
        <f>VLOOKUP(L1612,'Copy of PMD Workday Constants -'!B1611:W2297,22,false)</f>
        <v>#N/A</v>
      </c>
      <c r="N1612" s="1" t="s">
        <v>32</v>
      </c>
      <c r="O1612" s="1" t="s">
        <v>33</v>
      </c>
      <c r="P1612" s="1" t="s">
        <v>82</v>
      </c>
      <c r="Q1612" s="1" t="s">
        <v>82</v>
      </c>
      <c r="R1612" s="1" t="s">
        <v>83</v>
      </c>
      <c r="S1612" s="1" t="s">
        <v>180</v>
      </c>
      <c r="T1612" s="1">
        <v>1.01235932E8</v>
      </c>
      <c r="W1612" s="1" t="s">
        <v>85</v>
      </c>
      <c r="X1612" s="1" t="s">
        <v>4124</v>
      </c>
    </row>
    <row r="1613">
      <c r="A1613" s="1" t="s">
        <v>5364</v>
      </c>
      <c r="B1613" s="1" t="s">
        <v>913</v>
      </c>
      <c r="C1613" s="1" t="s">
        <v>5365</v>
      </c>
      <c r="D1613" s="1" t="s">
        <v>28</v>
      </c>
      <c r="E1613" s="1" t="s">
        <v>29</v>
      </c>
      <c r="F1613" s="5">
        <v>500000.0</v>
      </c>
      <c r="G1613" s="1" t="s">
        <v>3964</v>
      </c>
      <c r="H1613" s="4">
        <v>44808.0</v>
      </c>
      <c r="I1613" s="1" t="s">
        <v>302</v>
      </c>
      <c r="K1613" s="1">
        <v>0.0</v>
      </c>
      <c r="L1613" s="1" t="s">
        <v>192</v>
      </c>
      <c r="M1613" s="1" t="str">
        <f>VLOOKUP(L1613,'Copy of PMD Workday Constants -'!B1612:W2298,22,false)</f>
        <v>#N/A</v>
      </c>
      <c r="N1613" s="1" t="s">
        <v>32</v>
      </c>
      <c r="O1613" s="1" t="s">
        <v>33</v>
      </c>
      <c r="P1613" s="1" t="s">
        <v>82</v>
      </c>
      <c r="Q1613" s="1" t="s">
        <v>82</v>
      </c>
      <c r="R1613" s="1" t="s">
        <v>83</v>
      </c>
      <c r="S1613" s="1" t="s">
        <v>84</v>
      </c>
      <c r="T1613" s="1">
        <v>1.00650575E8</v>
      </c>
      <c r="W1613" s="1" t="s">
        <v>85</v>
      </c>
      <c r="X1613" s="1" t="s">
        <v>916</v>
      </c>
    </row>
    <row r="1614">
      <c r="A1614" s="1" t="s">
        <v>5366</v>
      </c>
      <c r="B1614" s="1" t="s">
        <v>1062</v>
      </c>
      <c r="C1614" s="1" t="s">
        <v>5367</v>
      </c>
      <c r="D1614" s="1" t="s">
        <v>28</v>
      </c>
      <c r="E1614" s="1" t="s">
        <v>29</v>
      </c>
      <c r="F1614" s="5">
        <v>500000.0</v>
      </c>
      <c r="G1614" s="1" t="s">
        <v>3964</v>
      </c>
      <c r="H1614" s="1" t="s">
        <v>110</v>
      </c>
      <c r="I1614" s="4">
        <v>44780.0</v>
      </c>
      <c r="K1614" s="1">
        <v>0.0</v>
      </c>
      <c r="L1614" s="1" t="s">
        <v>963</v>
      </c>
      <c r="M1614" s="1" t="str">
        <f>VLOOKUP(L1614,'Copy of PMD Workday Constants -'!B1613:W2299,22,false)</f>
        <v>#N/A</v>
      </c>
      <c r="N1614" s="1" t="s">
        <v>32</v>
      </c>
      <c r="O1614" s="1" t="s">
        <v>33</v>
      </c>
      <c r="P1614" s="1" t="s">
        <v>173</v>
      </c>
      <c r="Q1614" s="1" t="s">
        <v>173</v>
      </c>
      <c r="R1614" s="1" t="s">
        <v>174</v>
      </c>
      <c r="T1614" s="1">
        <v>1.00708984E8</v>
      </c>
      <c r="W1614" s="1" t="s">
        <v>493</v>
      </c>
      <c r="X1614" s="1" t="s">
        <v>963</v>
      </c>
    </row>
    <row r="1615">
      <c r="A1615" s="1" t="s">
        <v>5368</v>
      </c>
      <c r="B1615" s="1" t="s">
        <v>5369</v>
      </c>
      <c r="C1615" s="1" t="s">
        <v>5370</v>
      </c>
      <c r="D1615" s="1" t="s">
        <v>51</v>
      </c>
      <c r="E1615" s="1" t="s">
        <v>29</v>
      </c>
      <c r="F1615" s="5">
        <v>500000.0</v>
      </c>
      <c r="G1615" s="1" t="s">
        <v>3964</v>
      </c>
      <c r="H1615" s="4">
        <v>44206.0</v>
      </c>
      <c r="I1615" s="1" t="s">
        <v>152</v>
      </c>
      <c r="K1615" s="1">
        <v>0.0</v>
      </c>
      <c r="L1615" s="1" t="s">
        <v>3848</v>
      </c>
      <c r="M1615" s="1" t="str">
        <f>VLOOKUP(L1615,'Copy of PMD Workday Constants -'!B1614:W2300,22,false)</f>
        <v>#N/A</v>
      </c>
      <c r="N1615" s="1" t="s">
        <v>32</v>
      </c>
      <c r="O1615" s="1" t="s">
        <v>33</v>
      </c>
      <c r="P1615" s="1" t="s">
        <v>173</v>
      </c>
      <c r="Q1615" s="1" t="s">
        <v>173</v>
      </c>
      <c r="R1615" s="1" t="s">
        <v>174</v>
      </c>
      <c r="S1615" s="1" t="s">
        <v>612</v>
      </c>
      <c r="T1615" s="1">
        <v>1.00654914E8</v>
      </c>
      <c r="W1615" s="1" t="s">
        <v>74</v>
      </c>
      <c r="X1615" s="1" t="s">
        <v>3849</v>
      </c>
    </row>
    <row r="1616">
      <c r="A1616" s="1" t="s">
        <v>5371</v>
      </c>
      <c r="B1616" s="1" t="s">
        <v>3343</v>
      </c>
      <c r="C1616" s="1" t="s">
        <v>5372</v>
      </c>
      <c r="D1616" s="1" t="s">
        <v>51</v>
      </c>
      <c r="E1616" s="1" t="s">
        <v>29</v>
      </c>
      <c r="F1616" s="5">
        <v>500000.0</v>
      </c>
      <c r="G1616" s="1" t="s">
        <v>3964</v>
      </c>
      <c r="H1616" s="1" t="s">
        <v>3496</v>
      </c>
      <c r="I1616" s="1" t="s">
        <v>104</v>
      </c>
      <c r="K1616" s="1">
        <v>0.0</v>
      </c>
      <c r="L1616" s="1" t="s">
        <v>2275</v>
      </c>
      <c r="M1616" s="1" t="str">
        <f>VLOOKUP(L1616,'Copy of PMD Workday Constants -'!B1615:W2301,22,false)</f>
        <v>#N/A</v>
      </c>
      <c r="N1616" s="1" t="s">
        <v>32</v>
      </c>
      <c r="O1616" s="1" t="s">
        <v>33</v>
      </c>
      <c r="P1616" s="1" t="s">
        <v>173</v>
      </c>
      <c r="Q1616" s="1" t="s">
        <v>173</v>
      </c>
      <c r="R1616" s="1" t="s">
        <v>174</v>
      </c>
      <c r="S1616" s="1" t="s">
        <v>791</v>
      </c>
      <c r="T1616" s="1">
        <v>1.00650783E8</v>
      </c>
      <c r="W1616" s="1" t="s">
        <v>140</v>
      </c>
      <c r="X1616" s="1" t="s">
        <v>2275</v>
      </c>
    </row>
    <row r="1617">
      <c r="A1617" s="1" t="s">
        <v>5373</v>
      </c>
      <c r="B1617" s="1" t="s">
        <v>5374</v>
      </c>
      <c r="C1617" s="1" t="s">
        <v>5375</v>
      </c>
      <c r="D1617" s="1" t="s">
        <v>28</v>
      </c>
      <c r="E1617" s="1" t="s">
        <v>29</v>
      </c>
      <c r="F1617" s="5">
        <v>500000.0</v>
      </c>
      <c r="G1617" s="1" t="s">
        <v>3964</v>
      </c>
      <c r="H1617" s="4">
        <v>44870.0</v>
      </c>
      <c r="I1617" s="1" t="s">
        <v>80</v>
      </c>
      <c r="K1617" s="1">
        <v>0.0</v>
      </c>
      <c r="L1617" s="1" t="s">
        <v>1036</v>
      </c>
      <c r="M1617" s="1" t="str">
        <f>VLOOKUP(L1617,'Copy of PMD Workday Constants -'!B1616:W2302,22,false)</f>
        <v>#N/A</v>
      </c>
      <c r="N1617" s="1" t="s">
        <v>32</v>
      </c>
      <c r="O1617" s="1" t="s">
        <v>33</v>
      </c>
      <c r="P1617" s="1" t="s">
        <v>82</v>
      </c>
      <c r="Q1617" s="1" t="s">
        <v>82</v>
      </c>
      <c r="R1617" s="1" t="s">
        <v>83</v>
      </c>
      <c r="S1617" s="1" t="s">
        <v>180</v>
      </c>
      <c r="T1617" s="1">
        <v>1.0090037E8</v>
      </c>
      <c r="W1617" s="1" t="s">
        <v>85</v>
      </c>
      <c r="X1617" s="1" t="s">
        <v>1036</v>
      </c>
    </row>
    <row r="1618">
      <c r="A1618" s="1" t="s">
        <v>5376</v>
      </c>
      <c r="B1618" s="1" t="s">
        <v>5073</v>
      </c>
      <c r="C1618" s="1" t="s">
        <v>5377</v>
      </c>
      <c r="D1618" s="1" t="s">
        <v>51</v>
      </c>
      <c r="E1618" s="1" t="s">
        <v>29</v>
      </c>
      <c r="F1618" s="5">
        <v>500000.0</v>
      </c>
      <c r="G1618" s="1" t="s">
        <v>3964</v>
      </c>
      <c r="H1618" s="4">
        <v>44113.0</v>
      </c>
      <c r="I1618" s="4">
        <v>44567.0</v>
      </c>
      <c r="K1618" s="1">
        <v>0.0</v>
      </c>
      <c r="L1618" s="1" t="s">
        <v>1312</v>
      </c>
      <c r="M1618" s="1" t="str">
        <f>VLOOKUP(L1618,'Copy of PMD Workday Constants -'!B1617:W2303,22,false)</f>
        <v>#N/A</v>
      </c>
      <c r="N1618" s="1" t="s">
        <v>32</v>
      </c>
      <c r="O1618" s="1" t="s">
        <v>33</v>
      </c>
      <c r="P1618" s="1" t="s">
        <v>210</v>
      </c>
      <c r="Q1618" s="1" t="s">
        <v>210</v>
      </c>
      <c r="R1618" s="1" t="s">
        <v>211</v>
      </c>
      <c r="S1618" s="1" t="s">
        <v>540</v>
      </c>
      <c r="T1618" s="1">
        <v>1.00660608E8</v>
      </c>
      <c r="W1618" s="1" t="s">
        <v>577</v>
      </c>
      <c r="X1618" s="1" t="s">
        <v>1312</v>
      </c>
    </row>
    <row r="1619">
      <c r="A1619" s="1" t="s">
        <v>5378</v>
      </c>
      <c r="B1619" s="1" t="s">
        <v>234</v>
      </c>
      <c r="C1619" s="1" t="s">
        <v>5379</v>
      </c>
      <c r="D1619" s="1" t="s">
        <v>51</v>
      </c>
      <c r="E1619" s="1" t="s">
        <v>29</v>
      </c>
      <c r="F1619" s="5">
        <v>500000.0</v>
      </c>
      <c r="G1619" s="1" t="s">
        <v>3964</v>
      </c>
      <c r="H1619" s="4">
        <v>44682.0</v>
      </c>
      <c r="I1619" s="1" t="s">
        <v>104</v>
      </c>
      <c r="K1619" s="1">
        <v>0.0</v>
      </c>
      <c r="L1619" s="1" t="s">
        <v>1396</v>
      </c>
      <c r="M1619" s="1" t="str">
        <f>VLOOKUP(L1619,'Copy of PMD Workday Constants -'!B1618:W2304,22,false)</f>
        <v>#N/A</v>
      </c>
      <c r="N1619" s="1" t="s">
        <v>32</v>
      </c>
      <c r="O1619" s="1" t="s">
        <v>33</v>
      </c>
      <c r="P1619" s="1" t="s">
        <v>222</v>
      </c>
      <c r="Q1619" s="1" t="s">
        <v>222</v>
      </c>
      <c r="R1619" s="1" t="s">
        <v>223</v>
      </c>
      <c r="S1619" s="1" t="s">
        <v>646</v>
      </c>
      <c r="T1619" s="1">
        <v>1.00609118E8</v>
      </c>
      <c r="W1619" s="1" t="s">
        <v>140</v>
      </c>
      <c r="X1619" s="1" t="s">
        <v>1396</v>
      </c>
    </row>
    <row r="1620">
      <c r="A1620" s="1" t="s">
        <v>5380</v>
      </c>
      <c r="B1620" s="1" t="s">
        <v>642</v>
      </c>
      <c r="C1620" s="1" t="s">
        <v>5381</v>
      </c>
      <c r="D1620" s="1" t="s">
        <v>103</v>
      </c>
      <c r="E1620" s="1" t="s">
        <v>29</v>
      </c>
      <c r="F1620" s="5">
        <v>500000.0</v>
      </c>
      <c r="G1620" s="1" t="s">
        <v>3964</v>
      </c>
      <c r="H1620" s="4">
        <v>44837.0</v>
      </c>
      <c r="I1620" s="4">
        <v>44841.0</v>
      </c>
      <c r="K1620" s="1">
        <v>0.0</v>
      </c>
      <c r="L1620" s="1" t="s">
        <v>645</v>
      </c>
      <c r="M1620" s="1" t="str">
        <f>VLOOKUP(L1620,'Copy of PMD Workday Constants -'!B1619:W2305,22,false)</f>
        <v>#N/A</v>
      </c>
      <c r="N1620" s="1" t="s">
        <v>32</v>
      </c>
      <c r="O1620" s="1" t="s">
        <v>33</v>
      </c>
      <c r="P1620" s="1" t="s">
        <v>64</v>
      </c>
      <c r="Q1620" s="1" t="s">
        <v>64</v>
      </c>
      <c r="R1620" s="1" t="s">
        <v>65</v>
      </c>
      <c r="S1620" s="1" t="s">
        <v>98</v>
      </c>
      <c r="T1620" s="1">
        <v>1.00653597E8</v>
      </c>
      <c r="W1620" s="1" t="s">
        <v>56</v>
      </c>
      <c r="X1620" s="1" t="s">
        <v>645</v>
      </c>
    </row>
    <row r="1621">
      <c r="A1621" s="1" t="s">
        <v>5382</v>
      </c>
      <c r="B1621" s="1" t="s">
        <v>2263</v>
      </c>
      <c r="C1621" s="1" t="s">
        <v>5383</v>
      </c>
      <c r="D1621" s="1" t="s">
        <v>103</v>
      </c>
      <c r="E1621" s="1" t="s">
        <v>29</v>
      </c>
      <c r="F1621" s="5">
        <v>500000.0</v>
      </c>
      <c r="G1621" s="1" t="s">
        <v>3964</v>
      </c>
      <c r="H1621" s="1" t="s">
        <v>3781</v>
      </c>
      <c r="I1621" s="4">
        <v>44604.0</v>
      </c>
      <c r="K1621" s="1">
        <v>0.0</v>
      </c>
      <c r="L1621" s="1" t="s">
        <v>5384</v>
      </c>
      <c r="M1621" s="1" t="str">
        <f>VLOOKUP(L1621,'Copy of PMD Workday Constants -'!B1620:W2306,22,false)</f>
        <v>#N/A</v>
      </c>
      <c r="N1621" s="1" t="s">
        <v>32</v>
      </c>
      <c r="O1621" s="1" t="s">
        <v>33</v>
      </c>
      <c r="P1621" s="1" t="s">
        <v>112</v>
      </c>
      <c r="Q1621" s="1" t="s">
        <v>112</v>
      </c>
      <c r="R1621" s="1" t="s">
        <v>113</v>
      </c>
      <c r="T1621" s="1">
        <v>1.00615309E8</v>
      </c>
      <c r="W1621" s="1" t="s">
        <v>577</v>
      </c>
      <c r="X1621" s="1" t="s">
        <v>5385</v>
      </c>
    </row>
    <row r="1622">
      <c r="A1622" s="1" t="s">
        <v>5386</v>
      </c>
      <c r="B1622" s="1" t="s">
        <v>353</v>
      </c>
      <c r="C1622" s="1" t="s">
        <v>5387</v>
      </c>
      <c r="D1622" s="1" t="s">
        <v>28</v>
      </c>
      <c r="E1622" s="1" t="s">
        <v>29</v>
      </c>
      <c r="F1622" s="5">
        <v>500000.0</v>
      </c>
      <c r="G1622" s="1" t="s">
        <v>3964</v>
      </c>
      <c r="H1622" s="1" t="s">
        <v>1176</v>
      </c>
      <c r="I1622" s="1" t="s">
        <v>510</v>
      </c>
      <c r="K1622" s="1">
        <v>0.0</v>
      </c>
      <c r="L1622" s="1" t="s">
        <v>4490</v>
      </c>
      <c r="M1622" s="1" t="str">
        <f>VLOOKUP(L1622,'Copy of PMD Workday Constants -'!B1621:W2307,22,false)</f>
        <v>#N/A</v>
      </c>
      <c r="N1622" s="1" t="s">
        <v>32</v>
      </c>
      <c r="O1622" s="1" t="s">
        <v>33</v>
      </c>
      <c r="P1622" s="1" t="s">
        <v>54</v>
      </c>
      <c r="Q1622" s="1" t="s">
        <v>54</v>
      </c>
      <c r="R1622" s="1" t="s">
        <v>55</v>
      </c>
      <c r="T1622" s="1">
        <v>1.00646804E8</v>
      </c>
      <c r="W1622" s="1" t="s">
        <v>258</v>
      </c>
      <c r="X1622" s="1" t="s">
        <v>2202</v>
      </c>
    </row>
    <row r="1623">
      <c r="A1623" s="1" t="s">
        <v>5388</v>
      </c>
      <c r="B1623" s="1" t="s">
        <v>1109</v>
      </c>
      <c r="C1623" s="1" t="s">
        <v>5389</v>
      </c>
      <c r="D1623" s="1" t="s">
        <v>103</v>
      </c>
      <c r="E1623" s="1" t="s">
        <v>29</v>
      </c>
      <c r="F1623" s="5">
        <v>500000.0</v>
      </c>
      <c r="G1623" s="1" t="s">
        <v>3964</v>
      </c>
      <c r="H1623" s="4">
        <v>44625.0</v>
      </c>
      <c r="I1623" s="1" t="s">
        <v>302</v>
      </c>
      <c r="K1623" s="1">
        <v>0.0</v>
      </c>
      <c r="L1623" s="1" t="s">
        <v>717</v>
      </c>
      <c r="M1623" s="1" t="str">
        <f>VLOOKUP(L1623,'Copy of PMD Workday Constants -'!B1622:W2308,22,false)</f>
        <v>#N/A</v>
      </c>
      <c r="N1623" s="1" t="s">
        <v>32</v>
      </c>
      <c r="O1623" s="1" t="s">
        <v>33</v>
      </c>
      <c r="P1623" s="1" t="s">
        <v>34</v>
      </c>
      <c r="Q1623" s="1" t="s">
        <v>34</v>
      </c>
      <c r="R1623" s="1" t="s">
        <v>35</v>
      </c>
      <c r="T1623" s="1">
        <v>1.00642379E8</v>
      </c>
      <c r="W1623" s="1" t="s">
        <v>85</v>
      </c>
      <c r="X1623" s="1" t="s">
        <v>2046</v>
      </c>
    </row>
    <row r="1624">
      <c r="A1624" s="1" t="s">
        <v>5390</v>
      </c>
      <c r="B1624" s="1" t="s">
        <v>507</v>
      </c>
      <c r="C1624" s="1" t="s">
        <v>5391</v>
      </c>
      <c r="D1624" s="1" t="s">
        <v>28</v>
      </c>
      <c r="E1624" s="1" t="s">
        <v>29</v>
      </c>
      <c r="F1624" s="5">
        <v>500000.0</v>
      </c>
      <c r="G1624" s="1" t="s">
        <v>3964</v>
      </c>
      <c r="H1624" s="1" t="s">
        <v>460</v>
      </c>
      <c r="I1624" s="1" t="s">
        <v>152</v>
      </c>
      <c r="K1624" s="1">
        <v>0.0</v>
      </c>
      <c r="L1624" s="1" t="s">
        <v>5392</v>
      </c>
      <c r="M1624" s="1" t="str">
        <f>VLOOKUP(L1624,'Copy of PMD Workday Constants -'!B1623:W2309,22,false)</f>
        <v>#N/A</v>
      </c>
      <c r="N1624" s="1" t="s">
        <v>32</v>
      </c>
      <c r="O1624" s="1" t="s">
        <v>33</v>
      </c>
      <c r="P1624" s="1" t="s">
        <v>173</v>
      </c>
      <c r="Q1624" s="1" t="s">
        <v>173</v>
      </c>
      <c r="R1624" s="1" t="s">
        <v>174</v>
      </c>
      <c r="T1624" s="1">
        <v>1.01138319E8</v>
      </c>
      <c r="W1624" s="1" t="s">
        <v>456</v>
      </c>
      <c r="X1624" s="1" t="s">
        <v>5392</v>
      </c>
    </row>
    <row r="1625">
      <c r="A1625" s="1" t="s">
        <v>5393</v>
      </c>
      <c r="B1625" s="1" t="s">
        <v>5394</v>
      </c>
      <c r="C1625" s="1" t="s">
        <v>5395</v>
      </c>
      <c r="D1625" s="1" t="s">
        <v>28</v>
      </c>
      <c r="E1625" s="1" t="s">
        <v>29</v>
      </c>
      <c r="F1625" s="5">
        <v>500000.0</v>
      </c>
      <c r="G1625" s="1" t="s">
        <v>3964</v>
      </c>
      <c r="H1625" s="1" t="s">
        <v>5396</v>
      </c>
      <c r="I1625" s="1" t="s">
        <v>43</v>
      </c>
      <c r="K1625" s="1">
        <v>0.0</v>
      </c>
      <c r="L1625" s="1" t="s">
        <v>499</v>
      </c>
      <c r="M1625" s="1" t="str">
        <f>VLOOKUP(L1625,'Copy of PMD Workday Constants -'!B1624:W2310,22,false)</f>
        <v>#N/A</v>
      </c>
      <c r="N1625" s="1" t="s">
        <v>32</v>
      </c>
      <c r="O1625" s="1" t="s">
        <v>33</v>
      </c>
      <c r="P1625" s="1" t="s">
        <v>34</v>
      </c>
      <c r="Q1625" s="1" t="s">
        <v>34</v>
      </c>
      <c r="R1625" s="1" t="s">
        <v>35</v>
      </c>
      <c r="S1625" s="1" t="s">
        <v>153</v>
      </c>
      <c r="T1625" s="1">
        <v>1.00627768E8</v>
      </c>
      <c r="W1625" s="1" t="s">
        <v>91</v>
      </c>
      <c r="X1625" s="1" t="s">
        <v>499</v>
      </c>
    </row>
    <row r="1626">
      <c r="A1626" s="1" t="s">
        <v>5397</v>
      </c>
      <c r="B1626" s="1" t="s">
        <v>1305</v>
      </c>
      <c r="C1626" s="1" t="s">
        <v>2031</v>
      </c>
      <c r="D1626" s="1" t="s">
        <v>103</v>
      </c>
      <c r="E1626" s="1" t="s">
        <v>29</v>
      </c>
      <c r="F1626" s="5">
        <v>500000.0</v>
      </c>
      <c r="G1626" s="1" t="s">
        <v>3964</v>
      </c>
      <c r="H1626" s="4">
        <v>44085.0</v>
      </c>
      <c r="I1626" s="1" t="s">
        <v>152</v>
      </c>
      <c r="K1626" s="1">
        <v>0.0</v>
      </c>
      <c r="L1626" s="1" t="s">
        <v>767</v>
      </c>
      <c r="M1626" s="1" t="str">
        <f>VLOOKUP(L1626,'Copy of PMD Workday Constants -'!B1625:W2311,22,false)</f>
        <v>#N/A</v>
      </c>
      <c r="N1626" s="1" t="s">
        <v>32</v>
      </c>
      <c r="O1626" s="1" t="s">
        <v>33</v>
      </c>
      <c r="P1626" s="1" t="s">
        <v>82</v>
      </c>
      <c r="Q1626" s="1" t="s">
        <v>82</v>
      </c>
      <c r="R1626" s="1" t="s">
        <v>83</v>
      </c>
      <c r="S1626" s="1" t="s">
        <v>583</v>
      </c>
      <c r="T1626" s="1">
        <v>1.00589481E8</v>
      </c>
      <c r="V1626" s="1" t="s">
        <v>67</v>
      </c>
      <c r="W1626" s="1" t="s">
        <v>456</v>
      </c>
      <c r="X1626" s="1" t="s">
        <v>5398</v>
      </c>
    </row>
    <row r="1627">
      <c r="A1627" s="1" t="s">
        <v>5399</v>
      </c>
      <c r="B1627" s="1" t="s">
        <v>219</v>
      </c>
      <c r="C1627" s="1" t="s">
        <v>5400</v>
      </c>
      <c r="D1627" s="1" t="s">
        <v>103</v>
      </c>
      <c r="E1627" s="1" t="s">
        <v>29</v>
      </c>
      <c r="F1627" s="5">
        <v>500000.0</v>
      </c>
      <c r="G1627" s="1" t="s">
        <v>3964</v>
      </c>
      <c r="H1627" s="1" t="s">
        <v>2855</v>
      </c>
      <c r="I1627" s="4">
        <v>44872.0</v>
      </c>
      <c r="K1627" s="1">
        <v>0.0</v>
      </c>
      <c r="L1627" s="1" t="s">
        <v>338</v>
      </c>
      <c r="M1627" s="1" t="str">
        <f>VLOOKUP(L1627,'Copy of PMD Workday Constants -'!B1626:W2312,22,false)</f>
        <v>#N/A</v>
      </c>
      <c r="N1627" s="1" t="s">
        <v>32</v>
      </c>
      <c r="O1627" s="1" t="s">
        <v>33</v>
      </c>
      <c r="P1627" s="1" t="s">
        <v>34</v>
      </c>
      <c r="Q1627" s="1" t="s">
        <v>34</v>
      </c>
      <c r="R1627" s="1" t="s">
        <v>35</v>
      </c>
      <c r="S1627" s="1" t="s">
        <v>36</v>
      </c>
      <c r="T1627" s="1">
        <v>1.00619817E8</v>
      </c>
      <c r="W1627" s="1" t="s">
        <v>91</v>
      </c>
      <c r="X1627" s="1" t="s">
        <v>338</v>
      </c>
    </row>
    <row r="1628">
      <c r="A1628" s="1" t="s">
        <v>5401</v>
      </c>
      <c r="B1628" s="1" t="s">
        <v>5402</v>
      </c>
      <c r="C1628" s="1" t="s">
        <v>5403</v>
      </c>
      <c r="D1628" s="1" t="s">
        <v>103</v>
      </c>
      <c r="E1628" s="1" t="s">
        <v>29</v>
      </c>
      <c r="F1628" s="5">
        <v>500000.0</v>
      </c>
      <c r="G1628" s="1" t="s">
        <v>3964</v>
      </c>
      <c r="H1628" s="1" t="s">
        <v>442</v>
      </c>
      <c r="I1628" s="1" t="s">
        <v>80</v>
      </c>
      <c r="K1628" s="1">
        <v>0.0</v>
      </c>
      <c r="L1628" s="1" t="s">
        <v>5404</v>
      </c>
      <c r="M1628" s="1" t="str">
        <f>VLOOKUP(L1628,'Copy of PMD Workday Constants -'!B1627:W2313,22,false)</f>
        <v>#N/A</v>
      </c>
      <c r="N1628" s="1" t="s">
        <v>32</v>
      </c>
      <c r="O1628" s="1" t="s">
        <v>33</v>
      </c>
      <c r="P1628" s="1" t="s">
        <v>64</v>
      </c>
      <c r="Q1628" s="1" t="s">
        <v>64</v>
      </c>
      <c r="R1628" s="1" t="s">
        <v>65</v>
      </c>
      <c r="T1628" s="1">
        <v>1.00650453E8</v>
      </c>
      <c r="W1628" s="1" t="s">
        <v>436</v>
      </c>
      <c r="X1628" s="1" t="s">
        <v>5404</v>
      </c>
    </row>
    <row r="1629">
      <c r="A1629" s="1" t="s">
        <v>5405</v>
      </c>
      <c r="B1629" s="1" t="s">
        <v>5406</v>
      </c>
      <c r="C1629" s="1" t="s">
        <v>5407</v>
      </c>
      <c r="D1629" s="1" t="s">
        <v>103</v>
      </c>
      <c r="E1629" s="1" t="s">
        <v>29</v>
      </c>
      <c r="F1629" s="5">
        <v>500000.0</v>
      </c>
      <c r="G1629" s="1" t="s">
        <v>3964</v>
      </c>
      <c r="H1629" s="1" t="s">
        <v>2855</v>
      </c>
      <c r="I1629" s="1" t="s">
        <v>80</v>
      </c>
      <c r="K1629" s="1">
        <v>0.0</v>
      </c>
      <c r="L1629" s="1" t="s">
        <v>3917</v>
      </c>
      <c r="M1629" s="1" t="str">
        <f>VLOOKUP(L1629,'Copy of PMD Workday Constants -'!B1628:W2314,22,false)</f>
        <v>#N/A</v>
      </c>
      <c r="N1629" s="1" t="s">
        <v>32</v>
      </c>
      <c r="O1629" s="1" t="s">
        <v>33</v>
      </c>
      <c r="P1629" s="1" t="s">
        <v>82</v>
      </c>
      <c r="Q1629" s="1" t="s">
        <v>82</v>
      </c>
      <c r="R1629" s="1" t="s">
        <v>83</v>
      </c>
      <c r="S1629" s="1" t="s">
        <v>180</v>
      </c>
      <c r="T1629" s="1">
        <v>1.00611547E8</v>
      </c>
      <c r="W1629" s="1" t="s">
        <v>2098</v>
      </c>
      <c r="X1629" s="1" t="s">
        <v>3917</v>
      </c>
    </row>
    <row r="1630">
      <c r="A1630" s="1" t="s">
        <v>5408</v>
      </c>
      <c r="B1630" s="1" t="s">
        <v>5409</v>
      </c>
      <c r="C1630" s="1" t="s">
        <v>5410</v>
      </c>
      <c r="D1630" s="1" t="s">
        <v>51</v>
      </c>
      <c r="E1630" s="1" t="s">
        <v>29</v>
      </c>
      <c r="F1630" s="5">
        <v>500000.0</v>
      </c>
      <c r="G1630" s="1" t="s">
        <v>3964</v>
      </c>
      <c r="H1630" s="1" t="s">
        <v>466</v>
      </c>
      <c r="I1630" s="1" t="s">
        <v>80</v>
      </c>
      <c r="K1630" s="1">
        <v>0.0</v>
      </c>
      <c r="L1630" s="1" t="s">
        <v>491</v>
      </c>
      <c r="M1630" s="1" t="str">
        <f>VLOOKUP(L1630,'Copy of PMD Workday Constants -'!B1629:W2315,22,false)</f>
        <v>#N/A</v>
      </c>
      <c r="N1630" s="1" t="s">
        <v>32</v>
      </c>
      <c r="O1630" s="1" t="s">
        <v>33</v>
      </c>
      <c r="P1630" s="1" t="s">
        <v>112</v>
      </c>
      <c r="Q1630" s="1" t="s">
        <v>112</v>
      </c>
      <c r="R1630" s="1" t="s">
        <v>113</v>
      </c>
      <c r="S1630" s="1" t="s">
        <v>492</v>
      </c>
      <c r="T1630" s="1">
        <v>1.00623914E8</v>
      </c>
      <c r="W1630" s="1" t="s">
        <v>74</v>
      </c>
      <c r="X1630" s="1" t="s">
        <v>5411</v>
      </c>
    </row>
    <row r="1631">
      <c r="A1631" s="1" t="s">
        <v>5412</v>
      </c>
      <c r="B1631" s="1" t="s">
        <v>5413</v>
      </c>
      <c r="C1631" s="1" t="s">
        <v>5414</v>
      </c>
      <c r="D1631" s="1" t="s">
        <v>103</v>
      </c>
      <c r="E1631" s="1" t="s">
        <v>29</v>
      </c>
      <c r="F1631" s="5">
        <v>500000.0</v>
      </c>
      <c r="G1631" s="1" t="s">
        <v>3964</v>
      </c>
      <c r="H1631" s="4">
        <v>44839.0</v>
      </c>
      <c r="I1631" s="1" t="s">
        <v>80</v>
      </c>
      <c r="K1631" s="1">
        <v>0.0</v>
      </c>
      <c r="L1631" s="1" t="s">
        <v>5415</v>
      </c>
      <c r="M1631" s="1" t="str">
        <f>VLOOKUP(L1631,'Copy of PMD Workday Constants -'!B1630:W2316,22,false)</f>
        <v>#N/A</v>
      </c>
      <c r="N1631" s="1" t="s">
        <v>32</v>
      </c>
      <c r="O1631" s="1" t="s">
        <v>33</v>
      </c>
      <c r="P1631" s="1" t="s">
        <v>222</v>
      </c>
      <c r="Q1631" s="1" t="s">
        <v>222</v>
      </c>
      <c r="R1631" s="1" t="s">
        <v>223</v>
      </c>
      <c r="S1631" s="1" t="s">
        <v>1166</v>
      </c>
      <c r="T1631" s="1">
        <v>1.00933537E8</v>
      </c>
      <c r="W1631" s="1" t="s">
        <v>456</v>
      </c>
      <c r="X1631" s="1" t="s">
        <v>5416</v>
      </c>
    </row>
    <row r="1632">
      <c r="A1632" s="1" t="s">
        <v>5417</v>
      </c>
      <c r="B1632" s="1" t="s">
        <v>1488</v>
      </c>
      <c r="C1632" s="1" t="s">
        <v>5418</v>
      </c>
      <c r="D1632" s="1" t="s">
        <v>51</v>
      </c>
      <c r="E1632" s="1" t="s">
        <v>29</v>
      </c>
      <c r="F1632" s="5">
        <v>500000.0</v>
      </c>
      <c r="G1632" s="1" t="s">
        <v>3964</v>
      </c>
      <c r="H1632" s="1" t="s">
        <v>3513</v>
      </c>
      <c r="I1632" s="1" t="s">
        <v>526</v>
      </c>
      <c r="K1632" s="1">
        <v>0.0</v>
      </c>
      <c r="L1632" s="1" t="s">
        <v>1165</v>
      </c>
      <c r="M1632" s="1" t="str">
        <f>VLOOKUP(L1632,'Copy of PMD Workday Constants -'!B1631:W2317,22,false)</f>
        <v>#N/A</v>
      </c>
      <c r="N1632" s="1" t="s">
        <v>32</v>
      </c>
      <c r="O1632" s="1" t="s">
        <v>33</v>
      </c>
      <c r="P1632" s="1" t="s">
        <v>34</v>
      </c>
      <c r="Q1632" s="1" t="s">
        <v>34</v>
      </c>
      <c r="R1632" s="1" t="s">
        <v>35</v>
      </c>
      <c r="S1632" s="1" t="s">
        <v>1166</v>
      </c>
      <c r="T1632" s="1">
        <v>1.00586863E8</v>
      </c>
      <c r="W1632" s="1" t="s">
        <v>456</v>
      </c>
      <c r="X1632" s="1" t="s">
        <v>1490</v>
      </c>
    </row>
    <row r="1633">
      <c r="A1633" s="1" t="s">
        <v>5419</v>
      </c>
      <c r="B1633" s="1" t="s">
        <v>507</v>
      </c>
      <c r="C1633" s="1" t="s">
        <v>5420</v>
      </c>
      <c r="D1633" s="1" t="s">
        <v>28</v>
      </c>
      <c r="E1633" s="1" t="s">
        <v>29</v>
      </c>
      <c r="F1633" s="5">
        <v>500000.0</v>
      </c>
      <c r="G1633" s="1" t="s">
        <v>3964</v>
      </c>
      <c r="H1633" s="4">
        <v>44563.0</v>
      </c>
      <c r="I1633" s="1" t="s">
        <v>2485</v>
      </c>
      <c r="K1633" s="1">
        <v>0.0</v>
      </c>
      <c r="L1633" s="1" t="s">
        <v>1616</v>
      </c>
      <c r="M1633" s="1" t="str">
        <f>VLOOKUP(L1633,'Copy of PMD Workday Constants -'!B1632:W2318,22,false)</f>
        <v>#N/A</v>
      </c>
      <c r="N1633" s="1" t="s">
        <v>32</v>
      </c>
      <c r="O1633" s="1" t="s">
        <v>33</v>
      </c>
      <c r="P1633" s="1" t="s">
        <v>64</v>
      </c>
      <c r="Q1633" s="1" t="s">
        <v>64</v>
      </c>
      <c r="R1633" s="1" t="s">
        <v>65</v>
      </c>
      <c r="S1633" s="1" t="s">
        <v>791</v>
      </c>
      <c r="T1633" s="1">
        <v>1.0065462E8</v>
      </c>
      <c r="W1633" s="1" t="s">
        <v>456</v>
      </c>
      <c r="X1633" s="1" t="s">
        <v>1616</v>
      </c>
    </row>
    <row r="1634">
      <c r="A1634" s="1" t="s">
        <v>5421</v>
      </c>
      <c r="B1634" s="1" t="s">
        <v>5422</v>
      </c>
      <c r="C1634" s="1" t="s">
        <v>5423</v>
      </c>
      <c r="D1634" s="1" t="s">
        <v>51</v>
      </c>
      <c r="E1634" s="1" t="s">
        <v>29</v>
      </c>
      <c r="F1634" s="5">
        <v>500000.0</v>
      </c>
      <c r="G1634" s="1" t="s">
        <v>3964</v>
      </c>
      <c r="H1634" s="1" t="s">
        <v>4736</v>
      </c>
      <c r="I1634" s="1" t="s">
        <v>453</v>
      </c>
      <c r="K1634" s="1">
        <v>0.0</v>
      </c>
      <c r="L1634" s="1" t="s">
        <v>806</v>
      </c>
      <c r="M1634" s="1" t="str">
        <f>VLOOKUP(L1634,'Copy of PMD Workday Constants -'!B1633:W2319,22,false)</f>
        <v>#N/A</v>
      </c>
      <c r="N1634" s="1" t="s">
        <v>32</v>
      </c>
      <c r="O1634" s="1" t="s">
        <v>33</v>
      </c>
      <c r="P1634" s="1" t="s">
        <v>173</v>
      </c>
      <c r="Q1634" s="1" t="s">
        <v>173</v>
      </c>
      <c r="R1634" s="1" t="s">
        <v>174</v>
      </c>
      <c r="S1634" s="1" t="s">
        <v>612</v>
      </c>
      <c r="T1634" s="1">
        <v>1.00581784E8</v>
      </c>
      <c r="W1634" s="1" t="s">
        <v>147</v>
      </c>
      <c r="X1634" s="1" t="s">
        <v>806</v>
      </c>
    </row>
    <row r="1635">
      <c r="A1635" s="1" t="s">
        <v>5424</v>
      </c>
      <c r="B1635" s="1" t="s">
        <v>615</v>
      </c>
      <c r="C1635" s="1" t="s">
        <v>5425</v>
      </c>
      <c r="D1635" s="1" t="s">
        <v>28</v>
      </c>
      <c r="E1635" s="1" t="s">
        <v>29</v>
      </c>
      <c r="F1635" s="5">
        <v>500000.0</v>
      </c>
      <c r="G1635" s="1" t="s">
        <v>3964</v>
      </c>
      <c r="H1635" s="1" t="s">
        <v>1570</v>
      </c>
      <c r="I1635" s="1" t="s">
        <v>80</v>
      </c>
      <c r="K1635" s="1">
        <v>0.0</v>
      </c>
      <c r="L1635" s="1" t="s">
        <v>4432</v>
      </c>
      <c r="M1635" s="1" t="str">
        <f>VLOOKUP(L1635,'Copy of PMD Workday Constants -'!B1634:W2320,22,false)</f>
        <v>#N/A</v>
      </c>
      <c r="N1635" s="1" t="s">
        <v>32</v>
      </c>
      <c r="O1635" s="1" t="s">
        <v>33</v>
      </c>
      <c r="P1635" s="1" t="s">
        <v>34</v>
      </c>
      <c r="Q1635" s="1" t="s">
        <v>34</v>
      </c>
      <c r="R1635" s="1" t="s">
        <v>35</v>
      </c>
      <c r="S1635" s="1" t="s">
        <v>126</v>
      </c>
      <c r="T1635" s="1">
        <v>1.00586334E8</v>
      </c>
      <c r="W1635" s="1" t="s">
        <v>74</v>
      </c>
      <c r="X1635" s="1" t="s">
        <v>4432</v>
      </c>
    </row>
    <row r="1636">
      <c r="A1636" s="1" t="s">
        <v>5426</v>
      </c>
      <c r="B1636" s="1" t="s">
        <v>5427</v>
      </c>
      <c r="C1636" s="1" t="s">
        <v>5428</v>
      </c>
      <c r="D1636" s="1" t="s">
        <v>28</v>
      </c>
      <c r="E1636" s="1" t="s">
        <v>29</v>
      </c>
      <c r="F1636" s="5">
        <v>500000.0</v>
      </c>
      <c r="G1636" s="1" t="s">
        <v>3964</v>
      </c>
      <c r="H1636" s="4">
        <v>44567.0</v>
      </c>
      <c r="I1636" s="1" t="s">
        <v>302</v>
      </c>
      <c r="K1636" s="1">
        <v>0.0</v>
      </c>
      <c r="L1636" s="1" t="s">
        <v>2081</v>
      </c>
      <c r="M1636" s="1" t="str">
        <f>VLOOKUP(L1636,'Copy of PMD Workday Constants -'!B1635:W2321,22,false)</f>
        <v>#N/A</v>
      </c>
      <c r="N1636" s="1" t="s">
        <v>32</v>
      </c>
      <c r="O1636" s="1" t="s">
        <v>33</v>
      </c>
      <c r="P1636" s="1" t="s">
        <v>34</v>
      </c>
      <c r="Q1636" s="1" t="s">
        <v>34</v>
      </c>
      <c r="R1636" s="1" t="s">
        <v>35</v>
      </c>
      <c r="T1636" s="1">
        <v>1.01215106E8</v>
      </c>
      <c r="W1636" s="1" t="s">
        <v>47</v>
      </c>
      <c r="X1636" s="1" t="s">
        <v>2081</v>
      </c>
    </row>
    <row r="1637">
      <c r="A1637" s="1" t="s">
        <v>5429</v>
      </c>
      <c r="B1637" s="1" t="s">
        <v>1096</v>
      </c>
      <c r="C1637" s="1" t="s">
        <v>5430</v>
      </c>
      <c r="D1637" s="1" t="s">
        <v>51</v>
      </c>
      <c r="E1637" s="1" t="s">
        <v>29</v>
      </c>
      <c r="F1637" s="5">
        <v>500000.0</v>
      </c>
      <c r="G1637" s="1" t="s">
        <v>3964</v>
      </c>
      <c r="H1637" s="1" t="s">
        <v>363</v>
      </c>
      <c r="I1637" s="1" t="s">
        <v>80</v>
      </c>
      <c r="K1637" s="1">
        <v>0.0</v>
      </c>
      <c r="L1637" s="1" t="s">
        <v>5431</v>
      </c>
      <c r="M1637" s="1" t="str">
        <f>VLOOKUP(L1637,'Copy of PMD Workday Constants -'!B1636:W2322,22,false)</f>
        <v>#N/A</v>
      </c>
      <c r="N1637" s="1" t="s">
        <v>32</v>
      </c>
      <c r="O1637" s="1" t="s">
        <v>33</v>
      </c>
      <c r="P1637" s="1" t="s">
        <v>34</v>
      </c>
      <c r="Q1637" s="1" t="s">
        <v>34</v>
      </c>
      <c r="R1637" s="1" t="s">
        <v>35</v>
      </c>
      <c r="S1637" s="1" t="s">
        <v>1166</v>
      </c>
      <c r="T1637" s="1">
        <v>1.00580806E8</v>
      </c>
      <c r="W1637" s="1" t="s">
        <v>456</v>
      </c>
      <c r="X1637" s="1" t="s">
        <v>5431</v>
      </c>
    </row>
    <row r="1638">
      <c r="A1638" s="1" t="s">
        <v>5432</v>
      </c>
      <c r="B1638" s="1" t="s">
        <v>87</v>
      </c>
      <c r="C1638" s="1" t="s">
        <v>5433</v>
      </c>
      <c r="D1638" s="1" t="s">
        <v>28</v>
      </c>
      <c r="E1638" s="1" t="s">
        <v>29</v>
      </c>
      <c r="F1638" s="5">
        <v>500000.0</v>
      </c>
      <c r="G1638" s="1" t="s">
        <v>3964</v>
      </c>
      <c r="H1638" s="4">
        <v>44777.0</v>
      </c>
      <c r="I1638" s="1" t="s">
        <v>264</v>
      </c>
      <c r="K1638" s="1">
        <v>0.0</v>
      </c>
      <c r="L1638" s="1" t="s">
        <v>1075</v>
      </c>
      <c r="M1638" s="1" t="str">
        <f>VLOOKUP(L1638,'Copy of PMD Workday Constants -'!B1637:W2323,22,false)</f>
        <v>#N/A</v>
      </c>
      <c r="N1638" s="1" t="s">
        <v>32</v>
      </c>
      <c r="O1638" s="1" t="s">
        <v>33</v>
      </c>
      <c r="P1638" s="1" t="s">
        <v>34</v>
      </c>
      <c r="Q1638" s="1" t="s">
        <v>34</v>
      </c>
      <c r="R1638" s="1" t="s">
        <v>35</v>
      </c>
      <c r="S1638" s="1" t="s">
        <v>1336</v>
      </c>
      <c r="T1638" s="1">
        <v>1.00601386E8</v>
      </c>
      <c r="W1638" s="1" t="s">
        <v>91</v>
      </c>
      <c r="X1638" s="1" t="s">
        <v>1075</v>
      </c>
    </row>
    <row r="1639">
      <c r="A1639" s="1" t="s">
        <v>5434</v>
      </c>
      <c r="B1639" s="1" t="s">
        <v>5435</v>
      </c>
      <c r="C1639" s="1" t="s">
        <v>3759</v>
      </c>
      <c r="D1639" s="1" t="s">
        <v>28</v>
      </c>
      <c r="E1639" s="1" t="s">
        <v>29</v>
      </c>
      <c r="F1639" s="5">
        <v>500000.0</v>
      </c>
      <c r="G1639" s="1" t="s">
        <v>3964</v>
      </c>
      <c r="H1639" s="1" t="s">
        <v>4736</v>
      </c>
      <c r="I1639" s="1" t="s">
        <v>5436</v>
      </c>
      <c r="K1639" s="1">
        <v>0.0</v>
      </c>
      <c r="L1639" s="1" t="s">
        <v>3762</v>
      </c>
      <c r="M1639" s="1" t="str">
        <f>VLOOKUP(L1639,'Copy of PMD Workday Constants -'!B1638:W2324,22,false)</f>
        <v>#N/A</v>
      </c>
      <c r="N1639" s="1" t="s">
        <v>32</v>
      </c>
      <c r="O1639" s="1" t="s">
        <v>33</v>
      </c>
      <c r="P1639" s="1" t="s">
        <v>112</v>
      </c>
      <c r="Q1639" s="1" t="s">
        <v>112</v>
      </c>
      <c r="R1639" s="1" t="s">
        <v>113</v>
      </c>
      <c r="S1639" s="1" t="s">
        <v>3763</v>
      </c>
      <c r="T1639" s="1">
        <v>1.00953783E8</v>
      </c>
      <c r="W1639" s="1" t="s">
        <v>308</v>
      </c>
      <c r="X1639" s="1" t="s">
        <v>2596</v>
      </c>
    </row>
    <row r="1640">
      <c r="A1640" s="1" t="s">
        <v>5437</v>
      </c>
      <c r="B1640" s="1" t="s">
        <v>931</v>
      </c>
      <c r="C1640" s="1" t="s">
        <v>5438</v>
      </c>
      <c r="D1640" s="1" t="s">
        <v>103</v>
      </c>
      <c r="E1640" s="1" t="s">
        <v>29</v>
      </c>
      <c r="F1640" s="5">
        <v>500000.0</v>
      </c>
      <c r="G1640" s="1" t="s">
        <v>3964</v>
      </c>
      <c r="H1640" s="1" t="s">
        <v>5439</v>
      </c>
      <c r="I1640" s="1" t="s">
        <v>1746</v>
      </c>
      <c r="K1640" s="1">
        <v>0.0</v>
      </c>
      <c r="L1640" s="1" t="s">
        <v>5440</v>
      </c>
      <c r="M1640" s="1" t="str">
        <f>VLOOKUP(L1640,'Copy of PMD Workday Constants -'!B1639:W2325,22,false)</f>
        <v>#N/A</v>
      </c>
      <c r="N1640" s="1" t="s">
        <v>32</v>
      </c>
      <c r="O1640" s="1" t="s">
        <v>33</v>
      </c>
      <c r="P1640" s="1" t="s">
        <v>82</v>
      </c>
      <c r="Q1640" s="1" t="s">
        <v>82</v>
      </c>
      <c r="R1640" s="1" t="s">
        <v>83</v>
      </c>
      <c r="S1640" s="1" t="s">
        <v>229</v>
      </c>
      <c r="T1640" s="1">
        <v>1.00652988E8</v>
      </c>
      <c r="W1640" s="1" t="s">
        <v>85</v>
      </c>
      <c r="X1640" s="1" t="s">
        <v>5440</v>
      </c>
    </row>
    <row r="1641">
      <c r="A1641" s="1" t="s">
        <v>5441</v>
      </c>
      <c r="B1641" s="1" t="s">
        <v>1516</v>
      </c>
      <c r="C1641" s="1" t="s">
        <v>5442</v>
      </c>
      <c r="D1641" s="1" t="s">
        <v>51</v>
      </c>
      <c r="E1641" s="1" t="s">
        <v>29</v>
      </c>
      <c r="F1641" s="5">
        <v>500000.0</v>
      </c>
      <c r="G1641" s="1" t="s">
        <v>3964</v>
      </c>
      <c r="H1641" s="1" t="s">
        <v>5396</v>
      </c>
      <c r="I1641" s="1" t="s">
        <v>43</v>
      </c>
      <c r="K1641" s="1">
        <v>0.0</v>
      </c>
      <c r="L1641" s="1" t="s">
        <v>1659</v>
      </c>
      <c r="M1641" s="1" t="str">
        <f>VLOOKUP(L1641,'Copy of PMD Workday Constants -'!B1640:W2326,22,false)</f>
        <v>#N/A</v>
      </c>
      <c r="N1641" s="1" t="s">
        <v>32</v>
      </c>
      <c r="O1641" s="1" t="s">
        <v>33</v>
      </c>
      <c r="P1641" s="1" t="s">
        <v>173</v>
      </c>
      <c r="Q1641" s="1" t="s">
        <v>173</v>
      </c>
      <c r="R1641" s="1" t="s">
        <v>174</v>
      </c>
      <c r="S1641" s="1" t="s">
        <v>612</v>
      </c>
      <c r="T1641" s="1">
        <v>1.00650786E8</v>
      </c>
      <c r="W1641" s="1" t="s">
        <v>456</v>
      </c>
      <c r="X1641" s="1" t="s">
        <v>1659</v>
      </c>
    </row>
    <row r="1642">
      <c r="A1642" s="1" t="s">
        <v>5443</v>
      </c>
      <c r="B1642" s="1" t="s">
        <v>432</v>
      </c>
      <c r="C1642" s="1" t="s">
        <v>5444</v>
      </c>
      <c r="D1642" s="1" t="s">
        <v>28</v>
      </c>
      <c r="E1642" s="1" t="s">
        <v>29</v>
      </c>
      <c r="F1642" s="5">
        <v>500000.0</v>
      </c>
      <c r="G1642" s="1" t="s">
        <v>3964</v>
      </c>
      <c r="H1642" s="4">
        <v>44743.0</v>
      </c>
      <c r="I1642" s="1" t="s">
        <v>414</v>
      </c>
      <c r="K1642" s="1">
        <v>0.0</v>
      </c>
      <c r="L1642" s="1" t="s">
        <v>435</v>
      </c>
      <c r="M1642" s="1" t="str">
        <f>VLOOKUP(L1642,'Copy of PMD Workday Constants -'!B1641:W2327,22,false)</f>
        <v>#N/A</v>
      </c>
      <c r="N1642" s="1" t="s">
        <v>32</v>
      </c>
      <c r="O1642" s="1" t="s">
        <v>33</v>
      </c>
      <c r="P1642" s="1" t="s">
        <v>64</v>
      </c>
      <c r="Q1642" s="1" t="s">
        <v>64</v>
      </c>
      <c r="R1642" s="1" t="s">
        <v>65</v>
      </c>
      <c r="S1642" s="1" t="s">
        <v>98</v>
      </c>
      <c r="T1642" s="1">
        <v>1.00653756E8</v>
      </c>
      <c r="W1642" s="1" t="s">
        <v>436</v>
      </c>
      <c r="X1642" s="1" t="s">
        <v>435</v>
      </c>
    </row>
    <row r="1643">
      <c r="A1643" s="1" t="s">
        <v>5445</v>
      </c>
      <c r="B1643" s="1" t="s">
        <v>3521</v>
      </c>
      <c r="C1643" s="1" t="s">
        <v>5446</v>
      </c>
      <c r="D1643" s="1" t="s">
        <v>51</v>
      </c>
      <c r="E1643" s="1" t="s">
        <v>29</v>
      </c>
      <c r="F1643" s="5">
        <v>500000.0</v>
      </c>
      <c r="G1643" s="1" t="s">
        <v>3964</v>
      </c>
      <c r="H1643" s="1" t="s">
        <v>3983</v>
      </c>
      <c r="I1643" s="4">
        <v>45078.0</v>
      </c>
      <c r="K1643" s="1">
        <v>0.0</v>
      </c>
      <c r="L1643" s="1" t="s">
        <v>4682</v>
      </c>
      <c r="M1643" s="1" t="str">
        <f>VLOOKUP(L1643,'Copy of PMD Workday Constants -'!B1642:W2328,22,false)</f>
        <v>#N/A</v>
      </c>
      <c r="N1643" s="1" t="s">
        <v>32</v>
      </c>
      <c r="O1643" s="1" t="s">
        <v>33</v>
      </c>
      <c r="P1643" s="1" t="s">
        <v>173</v>
      </c>
      <c r="Q1643" s="1" t="s">
        <v>173</v>
      </c>
      <c r="R1643" s="1" t="s">
        <v>174</v>
      </c>
      <c r="S1643" s="1" t="s">
        <v>153</v>
      </c>
      <c r="T1643" s="1">
        <v>1.0064746E8</v>
      </c>
      <c r="W1643" s="1" t="s">
        <v>85</v>
      </c>
      <c r="X1643" s="1" t="s">
        <v>5447</v>
      </c>
    </row>
    <row r="1644">
      <c r="A1644" s="1" t="s">
        <v>5448</v>
      </c>
      <c r="B1644" s="1" t="s">
        <v>1154</v>
      </c>
      <c r="C1644" s="1" t="s">
        <v>5449</v>
      </c>
      <c r="D1644" s="1" t="s">
        <v>28</v>
      </c>
      <c r="E1644" s="1" t="s">
        <v>29</v>
      </c>
      <c r="F1644" s="5">
        <v>500000.0</v>
      </c>
      <c r="G1644" s="1" t="s">
        <v>3964</v>
      </c>
      <c r="H1644" s="1" t="s">
        <v>466</v>
      </c>
      <c r="I1644" s="4">
        <v>44780.0</v>
      </c>
      <c r="K1644" s="1">
        <v>0.0</v>
      </c>
      <c r="L1644" s="1" t="s">
        <v>314</v>
      </c>
      <c r="M1644" s="1" t="str">
        <f>VLOOKUP(L1644,'Copy of PMD Workday Constants -'!B1643:W2329,22,false)</f>
        <v>#N/A</v>
      </c>
      <c r="N1644" s="1" t="s">
        <v>32</v>
      </c>
      <c r="O1644" s="1" t="s">
        <v>33</v>
      </c>
      <c r="P1644" s="1" t="s">
        <v>64</v>
      </c>
      <c r="Q1644" s="1" t="s">
        <v>64</v>
      </c>
      <c r="R1644" s="1" t="s">
        <v>65</v>
      </c>
      <c r="T1644" s="1">
        <v>1.00651094E8</v>
      </c>
      <c r="W1644" s="1" t="s">
        <v>947</v>
      </c>
      <c r="X1644" s="1" t="s">
        <v>2603</v>
      </c>
    </row>
    <row r="1645">
      <c r="A1645" s="1" t="s">
        <v>5450</v>
      </c>
      <c r="B1645" s="1" t="s">
        <v>149</v>
      </c>
      <c r="C1645" s="1" t="s">
        <v>5451</v>
      </c>
      <c r="D1645" s="1" t="s">
        <v>28</v>
      </c>
      <c r="E1645" s="1" t="s">
        <v>29</v>
      </c>
      <c r="F1645" s="5">
        <v>500000.0</v>
      </c>
      <c r="G1645" s="1" t="s">
        <v>3964</v>
      </c>
      <c r="H1645" s="4">
        <v>44747.0</v>
      </c>
      <c r="I1645" s="1" t="s">
        <v>302</v>
      </c>
      <c r="K1645" s="1">
        <v>0.0</v>
      </c>
      <c r="L1645" s="1" t="s">
        <v>2294</v>
      </c>
      <c r="M1645" s="1" t="str">
        <f>VLOOKUP(L1645,'Copy of PMD Workday Constants -'!B1644:W2330,22,false)</f>
        <v>#N/A</v>
      </c>
      <c r="N1645" s="1" t="s">
        <v>32</v>
      </c>
      <c r="O1645" s="1" t="s">
        <v>33</v>
      </c>
      <c r="P1645" s="1" t="s">
        <v>173</v>
      </c>
      <c r="Q1645" s="1" t="s">
        <v>173</v>
      </c>
      <c r="R1645" s="1" t="s">
        <v>174</v>
      </c>
      <c r="T1645" s="1">
        <v>1.00656722E8</v>
      </c>
      <c r="W1645" s="1" t="s">
        <v>91</v>
      </c>
      <c r="X1645" s="1" t="s">
        <v>589</v>
      </c>
    </row>
    <row r="1646">
      <c r="A1646" s="1" t="s">
        <v>5452</v>
      </c>
      <c r="B1646" s="1" t="s">
        <v>149</v>
      </c>
      <c r="C1646" s="1" t="s">
        <v>5453</v>
      </c>
      <c r="D1646" s="1" t="s">
        <v>28</v>
      </c>
      <c r="E1646" s="1" t="s">
        <v>29</v>
      </c>
      <c r="F1646" s="5">
        <v>500000.0</v>
      </c>
      <c r="G1646" s="1" t="s">
        <v>3964</v>
      </c>
      <c r="H1646" s="4">
        <v>44747.0</v>
      </c>
      <c r="I1646" s="1" t="s">
        <v>96</v>
      </c>
      <c r="K1646" s="1">
        <v>0.0</v>
      </c>
      <c r="L1646" s="1" t="s">
        <v>2294</v>
      </c>
      <c r="M1646" s="1" t="str">
        <f>VLOOKUP(L1646,'Copy of PMD Workday Constants -'!B1645:W2331,22,false)</f>
        <v>#N/A</v>
      </c>
      <c r="N1646" s="1" t="s">
        <v>32</v>
      </c>
      <c r="O1646" s="1" t="s">
        <v>33</v>
      </c>
      <c r="P1646" s="1" t="s">
        <v>173</v>
      </c>
      <c r="Q1646" s="1" t="s">
        <v>173</v>
      </c>
      <c r="R1646" s="1" t="s">
        <v>174</v>
      </c>
      <c r="T1646" s="1">
        <v>1.00656722E8</v>
      </c>
      <c r="W1646" s="1" t="s">
        <v>91</v>
      </c>
      <c r="X1646" s="1" t="s">
        <v>589</v>
      </c>
    </row>
    <row r="1647">
      <c r="A1647" s="1" t="s">
        <v>5454</v>
      </c>
      <c r="B1647" s="1" t="s">
        <v>149</v>
      </c>
      <c r="C1647" s="1" t="s">
        <v>5455</v>
      </c>
      <c r="D1647" s="1" t="s">
        <v>28</v>
      </c>
      <c r="E1647" s="1" t="s">
        <v>29</v>
      </c>
      <c r="F1647" s="5">
        <v>500000.0</v>
      </c>
      <c r="G1647" s="1" t="s">
        <v>3964</v>
      </c>
      <c r="H1647" s="4">
        <v>44747.0</v>
      </c>
      <c r="I1647" s="1" t="s">
        <v>302</v>
      </c>
      <c r="K1647" s="1">
        <v>0.0</v>
      </c>
      <c r="L1647" s="1" t="s">
        <v>2294</v>
      </c>
      <c r="M1647" s="1" t="str">
        <f>VLOOKUP(L1647,'Copy of PMD Workday Constants -'!B1646:W2332,22,false)</f>
        <v>#N/A</v>
      </c>
      <c r="N1647" s="1" t="s">
        <v>32</v>
      </c>
      <c r="O1647" s="1" t="s">
        <v>33</v>
      </c>
      <c r="P1647" s="1" t="s">
        <v>173</v>
      </c>
      <c r="Q1647" s="1" t="s">
        <v>173</v>
      </c>
      <c r="R1647" s="1" t="s">
        <v>174</v>
      </c>
      <c r="T1647" s="1">
        <v>1.00656722E8</v>
      </c>
      <c r="W1647" s="1" t="s">
        <v>91</v>
      </c>
      <c r="X1647" s="1" t="s">
        <v>589</v>
      </c>
    </row>
    <row r="1648">
      <c r="A1648" s="1" t="s">
        <v>5456</v>
      </c>
      <c r="B1648" s="1" t="s">
        <v>149</v>
      </c>
      <c r="C1648" s="1" t="s">
        <v>5457</v>
      </c>
      <c r="D1648" s="1" t="s">
        <v>28</v>
      </c>
      <c r="E1648" s="1" t="s">
        <v>29</v>
      </c>
      <c r="F1648" s="5">
        <v>500000.0</v>
      </c>
      <c r="G1648" s="1" t="s">
        <v>3964</v>
      </c>
      <c r="H1648" s="4">
        <v>44747.0</v>
      </c>
      <c r="I1648" s="1" t="s">
        <v>302</v>
      </c>
      <c r="K1648" s="1">
        <v>0.0</v>
      </c>
      <c r="L1648" s="1" t="s">
        <v>2294</v>
      </c>
      <c r="M1648" s="1" t="str">
        <f>VLOOKUP(L1648,'Copy of PMD Workday Constants -'!B1647:W2333,22,false)</f>
        <v>#N/A</v>
      </c>
      <c r="N1648" s="1" t="s">
        <v>32</v>
      </c>
      <c r="O1648" s="1" t="s">
        <v>33</v>
      </c>
      <c r="P1648" s="1" t="s">
        <v>173</v>
      </c>
      <c r="Q1648" s="1" t="s">
        <v>173</v>
      </c>
      <c r="R1648" s="1" t="s">
        <v>174</v>
      </c>
      <c r="T1648" s="1">
        <v>1.00656722E8</v>
      </c>
      <c r="W1648" s="1" t="s">
        <v>91</v>
      </c>
      <c r="X1648" s="1" t="s">
        <v>589</v>
      </c>
    </row>
    <row r="1649">
      <c r="A1649" s="1" t="s">
        <v>5458</v>
      </c>
      <c r="B1649" s="1" t="s">
        <v>149</v>
      </c>
      <c r="C1649" s="1" t="s">
        <v>5459</v>
      </c>
      <c r="D1649" s="1" t="s">
        <v>28</v>
      </c>
      <c r="E1649" s="1" t="s">
        <v>29</v>
      </c>
      <c r="F1649" s="5">
        <v>500000.0</v>
      </c>
      <c r="G1649" s="1" t="s">
        <v>3964</v>
      </c>
      <c r="H1649" s="4">
        <v>44747.0</v>
      </c>
      <c r="I1649" s="1" t="s">
        <v>302</v>
      </c>
      <c r="K1649" s="1">
        <v>0.0</v>
      </c>
      <c r="L1649" s="1" t="s">
        <v>2294</v>
      </c>
      <c r="M1649" s="1" t="str">
        <f>VLOOKUP(L1649,'Copy of PMD Workday Constants -'!B1648:W2334,22,false)</f>
        <v>#N/A</v>
      </c>
      <c r="N1649" s="1" t="s">
        <v>32</v>
      </c>
      <c r="O1649" s="1" t="s">
        <v>33</v>
      </c>
      <c r="P1649" s="1" t="s">
        <v>173</v>
      </c>
      <c r="Q1649" s="1" t="s">
        <v>173</v>
      </c>
      <c r="R1649" s="1" t="s">
        <v>174</v>
      </c>
      <c r="T1649" s="1">
        <v>1.00656722E8</v>
      </c>
      <c r="W1649" s="1" t="s">
        <v>91</v>
      </c>
      <c r="X1649" s="1" t="s">
        <v>589</v>
      </c>
    </row>
    <row r="1650">
      <c r="A1650" s="1" t="s">
        <v>5460</v>
      </c>
      <c r="B1650" s="1" t="s">
        <v>1003</v>
      </c>
      <c r="C1650" s="1" t="s">
        <v>5461</v>
      </c>
      <c r="D1650" s="1" t="s">
        <v>28</v>
      </c>
      <c r="E1650" s="1" t="s">
        <v>29</v>
      </c>
      <c r="F1650" s="5">
        <v>500000.0</v>
      </c>
      <c r="G1650" s="1" t="s">
        <v>3964</v>
      </c>
      <c r="H1650" s="1" t="s">
        <v>2510</v>
      </c>
      <c r="I1650" s="1" t="s">
        <v>302</v>
      </c>
      <c r="K1650" s="1">
        <v>0.0</v>
      </c>
      <c r="L1650" s="1" t="s">
        <v>894</v>
      </c>
      <c r="M1650" s="1" t="str">
        <f>VLOOKUP(L1650,'Copy of PMD Workday Constants -'!B1649:W2335,22,false)</f>
        <v>#N/A</v>
      </c>
      <c r="N1650" s="1" t="s">
        <v>32</v>
      </c>
      <c r="O1650" s="1" t="s">
        <v>33</v>
      </c>
      <c r="P1650" s="1" t="s">
        <v>82</v>
      </c>
      <c r="Q1650" s="1" t="s">
        <v>82</v>
      </c>
      <c r="R1650" s="1" t="s">
        <v>83</v>
      </c>
      <c r="S1650" s="1" t="s">
        <v>180</v>
      </c>
      <c r="T1650" s="1">
        <v>1.01033479E8</v>
      </c>
      <c r="W1650" s="1" t="s">
        <v>85</v>
      </c>
      <c r="X1650" s="1" t="s">
        <v>1735</v>
      </c>
    </row>
    <row r="1651">
      <c r="A1651" s="1" t="s">
        <v>5462</v>
      </c>
      <c r="B1651" s="1" t="s">
        <v>776</v>
      </c>
      <c r="C1651" s="1" t="s">
        <v>5463</v>
      </c>
      <c r="D1651" s="1" t="s">
        <v>28</v>
      </c>
      <c r="E1651" s="1" t="s">
        <v>29</v>
      </c>
      <c r="F1651" s="5">
        <v>500000.0</v>
      </c>
      <c r="G1651" s="1" t="s">
        <v>3964</v>
      </c>
      <c r="H1651" s="1" t="s">
        <v>2510</v>
      </c>
      <c r="I1651" s="4">
        <v>44872.0</v>
      </c>
      <c r="K1651" s="1">
        <v>0.0</v>
      </c>
      <c r="L1651" s="1" t="s">
        <v>2546</v>
      </c>
      <c r="M1651" s="1" t="str">
        <f>VLOOKUP(L1651,'Copy of PMD Workday Constants -'!B1650:W2336,22,false)</f>
        <v>#N/A</v>
      </c>
      <c r="N1651" s="1" t="s">
        <v>32</v>
      </c>
      <c r="O1651" s="1" t="s">
        <v>33</v>
      </c>
      <c r="P1651" s="1" t="s">
        <v>173</v>
      </c>
      <c r="Q1651" s="1" t="s">
        <v>173</v>
      </c>
      <c r="R1651" s="1" t="s">
        <v>174</v>
      </c>
      <c r="T1651" s="1">
        <v>1.00628059E8</v>
      </c>
      <c r="W1651" s="1" t="s">
        <v>74</v>
      </c>
      <c r="X1651" s="1" t="s">
        <v>2546</v>
      </c>
    </row>
    <row r="1652">
      <c r="A1652" s="1" t="s">
        <v>5464</v>
      </c>
      <c r="B1652" s="1" t="s">
        <v>3343</v>
      </c>
      <c r="C1652" s="1" t="s">
        <v>5465</v>
      </c>
      <c r="D1652" s="1" t="s">
        <v>103</v>
      </c>
      <c r="E1652" s="1" t="s">
        <v>29</v>
      </c>
      <c r="F1652" s="5">
        <v>500000.0</v>
      </c>
      <c r="G1652" s="1" t="s">
        <v>3964</v>
      </c>
      <c r="H1652" s="4">
        <v>44625.0</v>
      </c>
      <c r="I1652" s="1" t="s">
        <v>302</v>
      </c>
      <c r="K1652" s="1">
        <v>0.0</v>
      </c>
      <c r="L1652" s="1" t="s">
        <v>3345</v>
      </c>
      <c r="M1652" s="1" t="str">
        <f>VLOOKUP(L1652,'Copy of PMD Workday Constants -'!B1651:W2337,22,false)</f>
        <v>#N/A</v>
      </c>
      <c r="N1652" s="1" t="s">
        <v>32</v>
      </c>
      <c r="O1652" s="1" t="s">
        <v>33</v>
      </c>
      <c r="P1652" s="1" t="s">
        <v>64</v>
      </c>
      <c r="Q1652" s="1" t="s">
        <v>64</v>
      </c>
      <c r="R1652" s="1" t="s">
        <v>65</v>
      </c>
      <c r="S1652" s="1" t="s">
        <v>791</v>
      </c>
      <c r="T1652" s="1">
        <v>1.0105484E8</v>
      </c>
      <c r="W1652" s="1" t="s">
        <v>140</v>
      </c>
      <c r="X1652" s="1" t="s">
        <v>547</v>
      </c>
    </row>
    <row r="1653">
      <c r="A1653" s="1" t="s">
        <v>5466</v>
      </c>
      <c r="B1653" s="1" t="s">
        <v>3549</v>
      </c>
      <c r="C1653" s="1" t="s">
        <v>5467</v>
      </c>
      <c r="D1653" s="1" t="s">
        <v>28</v>
      </c>
      <c r="E1653" s="1" t="s">
        <v>29</v>
      </c>
      <c r="F1653" s="5">
        <v>500000.0</v>
      </c>
      <c r="G1653" s="1" t="s">
        <v>3964</v>
      </c>
      <c r="H1653" s="1" t="s">
        <v>3513</v>
      </c>
      <c r="I1653" s="4">
        <v>44780.0</v>
      </c>
      <c r="K1653" s="1">
        <v>0.0</v>
      </c>
      <c r="L1653" s="1" t="s">
        <v>331</v>
      </c>
      <c r="M1653" s="1" t="str">
        <f>VLOOKUP(L1653,'Copy of PMD Workday Constants -'!B1652:W2338,22,false)</f>
        <v>#N/A</v>
      </c>
      <c r="N1653" s="1" t="s">
        <v>32</v>
      </c>
      <c r="O1653" s="1" t="s">
        <v>33</v>
      </c>
      <c r="P1653" s="1" t="s">
        <v>54</v>
      </c>
      <c r="Q1653" s="1" t="s">
        <v>54</v>
      </c>
      <c r="R1653" s="1" t="s">
        <v>55</v>
      </c>
      <c r="T1653" s="1">
        <v>1.00599669E8</v>
      </c>
      <c r="W1653" s="1" t="s">
        <v>308</v>
      </c>
      <c r="X1653" s="1" t="s">
        <v>5468</v>
      </c>
    </row>
    <row r="1654">
      <c r="A1654" s="1" t="s">
        <v>5469</v>
      </c>
      <c r="B1654" s="1" t="s">
        <v>5470</v>
      </c>
      <c r="C1654" s="1" t="s">
        <v>5471</v>
      </c>
      <c r="D1654" s="1" t="s">
        <v>28</v>
      </c>
      <c r="E1654" s="1" t="s">
        <v>29</v>
      </c>
      <c r="F1654" s="5">
        <v>500000.0</v>
      </c>
      <c r="G1654" s="1" t="s">
        <v>3964</v>
      </c>
      <c r="H1654" s="4">
        <v>44387.0</v>
      </c>
      <c r="I1654" s="1" t="s">
        <v>264</v>
      </c>
      <c r="K1654" s="1">
        <v>0.0</v>
      </c>
      <c r="L1654" s="1" t="s">
        <v>1039</v>
      </c>
      <c r="M1654" s="1" t="str">
        <f>VLOOKUP(L1654,'Copy of PMD Workday Constants -'!B1653:W2339,22,false)</f>
        <v>#N/A</v>
      </c>
      <c r="N1654" s="1" t="s">
        <v>32</v>
      </c>
      <c r="O1654" s="1" t="s">
        <v>33</v>
      </c>
      <c r="P1654" s="1" t="s">
        <v>112</v>
      </c>
      <c r="Q1654" s="1" t="s">
        <v>112</v>
      </c>
      <c r="R1654" s="1" t="s">
        <v>113</v>
      </c>
      <c r="S1654" s="1" t="s">
        <v>134</v>
      </c>
      <c r="T1654" s="1">
        <v>1.00633489E8</v>
      </c>
      <c r="W1654" s="1" t="s">
        <v>74</v>
      </c>
      <c r="X1654" s="1" t="s">
        <v>1039</v>
      </c>
    </row>
    <row r="1655">
      <c r="A1655" s="1" t="s">
        <v>5472</v>
      </c>
      <c r="B1655" s="1" t="s">
        <v>5473</v>
      </c>
      <c r="C1655" s="1" t="s">
        <v>5474</v>
      </c>
      <c r="D1655" s="1" t="s">
        <v>28</v>
      </c>
      <c r="E1655" s="1" t="s">
        <v>29</v>
      </c>
      <c r="F1655" s="5">
        <v>500000.0</v>
      </c>
      <c r="G1655" s="1" t="s">
        <v>3964</v>
      </c>
      <c r="H1655" s="4">
        <v>44198.0</v>
      </c>
      <c r="I1655" s="1" t="s">
        <v>43</v>
      </c>
      <c r="K1655" s="1">
        <v>0.0</v>
      </c>
      <c r="L1655" s="1" t="s">
        <v>4608</v>
      </c>
      <c r="M1655" s="1" t="str">
        <f>VLOOKUP(L1655,'Copy of PMD Workday Constants -'!B1654:W2340,22,false)</f>
        <v>#N/A</v>
      </c>
      <c r="N1655" s="1" t="s">
        <v>32</v>
      </c>
      <c r="O1655" s="1" t="s">
        <v>33</v>
      </c>
      <c r="P1655" s="1" t="s">
        <v>222</v>
      </c>
      <c r="Q1655" s="1" t="s">
        <v>222</v>
      </c>
      <c r="R1655" s="1" t="s">
        <v>223</v>
      </c>
      <c r="S1655" s="1" t="s">
        <v>482</v>
      </c>
      <c r="T1655" s="1">
        <v>1.00592715E8</v>
      </c>
      <c r="W1655" s="1" t="s">
        <v>115</v>
      </c>
      <c r="X1655" s="1" t="s">
        <v>4608</v>
      </c>
    </row>
    <row r="1656">
      <c r="A1656" s="1" t="s">
        <v>5475</v>
      </c>
      <c r="B1656" s="1" t="s">
        <v>324</v>
      </c>
      <c r="C1656" s="1" t="s">
        <v>5476</v>
      </c>
      <c r="D1656" s="1" t="s">
        <v>28</v>
      </c>
      <c r="E1656" s="1" t="s">
        <v>29</v>
      </c>
      <c r="F1656" s="5">
        <v>500000.0</v>
      </c>
      <c r="G1656" s="1" t="s">
        <v>3964</v>
      </c>
      <c r="H1656" s="4">
        <v>44625.0</v>
      </c>
      <c r="I1656" s="1" t="s">
        <v>191</v>
      </c>
      <c r="K1656" s="1">
        <v>0.0</v>
      </c>
      <c r="L1656" s="1" t="s">
        <v>327</v>
      </c>
      <c r="M1656" s="1" t="str">
        <f>VLOOKUP(L1656,'Copy of PMD Workday Constants -'!B1655:W2341,22,false)</f>
        <v>#N/A</v>
      </c>
      <c r="N1656" s="1" t="s">
        <v>32</v>
      </c>
      <c r="O1656" s="1" t="s">
        <v>33</v>
      </c>
      <c r="P1656" s="1" t="s">
        <v>112</v>
      </c>
      <c r="Q1656" s="1" t="s">
        <v>112</v>
      </c>
      <c r="R1656" s="1" t="s">
        <v>113</v>
      </c>
      <c r="S1656" s="1" t="s">
        <v>1336</v>
      </c>
      <c r="T1656" s="1">
        <v>1.00646485E8</v>
      </c>
      <c r="W1656" s="1" t="s">
        <v>56</v>
      </c>
      <c r="X1656" s="1" t="s">
        <v>2453</v>
      </c>
    </row>
    <row r="1657">
      <c r="A1657" s="1" t="s">
        <v>5477</v>
      </c>
      <c r="B1657" s="1" t="s">
        <v>324</v>
      </c>
      <c r="C1657" s="1" t="s">
        <v>5478</v>
      </c>
      <c r="D1657" s="1" t="s">
        <v>28</v>
      </c>
      <c r="E1657" s="1" t="s">
        <v>29</v>
      </c>
      <c r="F1657" s="5">
        <v>500000.0</v>
      </c>
      <c r="G1657" s="1" t="s">
        <v>3964</v>
      </c>
      <c r="H1657" s="4">
        <v>44541.0</v>
      </c>
      <c r="I1657" s="1" t="s">
        <v>2485</v>
      </c>
      <c r="K1657" s="1">
        <v>0.0</v>
      </c>
      <c r="L1657" s="1" t="s">
        <v>415</v>
      </c>
      <c r="M1657" s="1" t="str">
        <f>VLOOKUP(L1657,'Copy of PMD Workday Constants -'!B1656:W2342,22,false)</f>
        <v>#N/A</v>
      </c>
      <c r="N1657" s="1" t="s">
        <v>32</v>
      </c>
      <c r="O1657" s="1" t="s">
        <v>33</v>
      </c>
      <c r="P1657" s="1" t="s">
        <v>210</v>
      </c>
      <c r="Q1657" s="1" t="s">
        <v>210</v>
      </c>
      <c r="R1657" s="1" t="s">
        <v>211</v>
      </c>
      <c r="S1657" s="1" t="s">
        <v>1313</v>
      </c>
      <c r="T1657" s="1">
        <v>1.00650375E8</v>
      </c>
      <c r="W1657" s="1" t="s">
        <v>56</v>
      </c>
      <c r="X1657" s="1" t="s">
        <v>415</v>
      </c>
    </row>
    <row r="1658">
      <c r="A1658" s="1" t="s">
        <v>5479</v>
      </c>
      <c r="B1658" s="1" t="s">
        <v>1367</v>
      </c>
      <c r="C1658" s="1" t="s">
        <v>5480</v>
      </c>
      <c r="D1658" s="1" t="s">
        <v>51</v>
      </c>
      <c r="E1658" s="1" t="s">
        <v>29</v>
      </c>
      <c r="F1658" s="5">
        <v>500000.0</v>
      </c>
      <c r="G1658" s="1" t="s">
        <v>3964</v>
      </c>
      <c r="H1658" s="4">
        <v>44623.0</v>
      </c>
      <c r="I1658" s="1" t="s">
        <v>302</v>
      </c>
      <c r="K1658" s="1">
        <v>0.0</v>
      </c>
      <c r="L1658" s="1" t="s">
        <v>3345</v>
      </c>
      <c r="M1658" s="1" t="str">
        <f>VLOOKUP(L1658,'Copy of PMD Workday Constants -'!B1657:W2343,22,false)</f>
        <v>#N/A</v>
      </c>
      <c r="N1658" s="1" t="s">
        <v>32</v>
      </c>
      <c r="O1658" s="1" t="s">
        <v>33</v>
      </c>
      <c r="P1658" s="1" t="s">
        <v>64</v>
      </c>
      <c r="Q1658" s="1" t="s">
        <v>64</v>
      </c>
      <c r="R1658" s="1" t="s">
        <v>65</v>
      </c>
      <c r="S1658" s="1" t="s">
        <v>791</v>
      </c>
      <c r="T1658" s="1">
        <v>1.0105484E8</v>
      </c>
      <c r="W1658" s="1" t="s">
        <v>47</v>
      </c>
      <c r="X1658" s="1" t="s">
        <v>3345</v>
      </c>
    </row>
    <row r="1659">
      <c r="A1659" s="1" t="s">
        <v>5481</v>
      </c>
      <c r="B1659" s="1" t="s">
        <v>776</v>
      </c>
      <c r="C1659" s="1" t="s">
        <v>5482</v>
      </c>
      <c r="D1659" s="1" t="s">
        <v>28</v>
      </c>
      <c r="E1659" s="1" t="s">
        <v>29</v>
      </c>
      <c r="F1659" s="5">
        <v>500000.0</v>
      </c>
      <c r="G1659" s="1" t="s">
        <v>3964</v>
      </c>
      <c r="H1659" s="4">
        <v>44623.0</v>
      </c>
      <c r="I1659" s="1" t="s">
        <v>80</v>
      </c>
      <c r="K1659" s="1">
        <v>0.0</v>
      </c>
      <c r="L1659" s="1" t="s">
        <v>779</v>
      </c>
      <c r="M1659" s="1" t="str">
        <f>VLOOKUP(L1659,'Copy of PMD Workday Constants -'!B1658:W2344,22,false)</f>
        <v>#N/A</v>
      </c>
      <c r="N1659" s="1" t="s">
        <v>32</v>
      </c>
      <c r="O1659" s="1" t="s">
        <v>33</v>
      </c>
      <c r="P1659" s="1" t="s">
        <v>222</v>
      </c>
      <c r="Q1659" s="1" t="s">
        <v>222</v>
      </c>
      <c r="R1659" s="1" t="s">
        <v>223</v>
      </c>
      <c r="S1659" s="1" t="s">
        <v>601</v>
      </c>
      <c r="T1659" s="1">
        <v>1.0061139E8</v>
      </c>
      <c r="W1659" s="1" t="s">
        <v>74</v>
      </c>
      <c r="X1659" s="1" t="s">
        <v>5483</v>
      </c>
    </row>
    <row r="1660">
      <c r="A1660" s="1" t="s">
        <v>5484</v>
      </c>
      <c r="B1660" s="1" t="s">
        <v>5485</v>
      </c>
      <c r="C1660" s="1" t="s">
        <v>5486</v>
      </c>
      <c r="D1660" s="1" t="s">
        <v>103</v>
      </c>
      <c r="E1660" s="1" t="s">
        <v>29</v>
      </c>
      <c r="F1660" s="5">
        <v>500000.0</v>
      </c>
      <c r="G1660" s="1" t="s">
        <v>3964</v>
      </c>
      <c r="H1660" s="4">
        <v>44115.0</v>
      </c>
      <c r="I1660" s="1" t="s">
        <v>104</v>
      </c>
      <c r="K1660" s="1">
        <v>0.0</v>
      </c>
      <c r="L1660" s="1" t="s">
        <v>198</v>
      </c>
      <c r="M1660" s="1" t="str">
        <f>VLOOKUP(L1660,'Copy of PMD Workday Constants -'!B1659:W2345,22,false)</f>
        <v>#N/A</v>
      </c>
      <c r="N1660" s="1" t="s">
        <v>32</v>
      </c>
      <c r="O1660" s="1" t="s">
        <v>33</v>
      </c>
      <c r="P1660" s="1" t="s">
        <v>82</v>
      </c>
      <c r="Q1660" s="1" t="s">
        <v>82</v>
      </c>
      <c r="R1660" s="1" t="s">
        <v>83</v>
      </c>
      <c r="S1660" s="1" t="s">
        <v>180</v>
      </c>
      <c r="T1660" s="1">
        <v>1.00590896E8</v>
      </c>
      <c r="W1660" s="1" t="s">
        <v>85</v>
      </c>
      <c r="X1660" s="1" t="s">
        <v>5487</v>
      </c>
    </row>
    <row r="1661">
      <c r="A1661" s="1" t="s">
        <v>5488</v>
      </c>
      <c r="B1661" s="1" t="s">
        <v>615</v>
      </c>
      <c r="C1661" s="1" t="s">
        <v>5489</v>
      </c>
      <c r="D1661" s="1" t="s">
        <v>28</v>
      </c>
      <c r="E1661" s="1" t="s">
        <v>29</v>
      </c>
      <c r="F1661" s="5">
        <v>500000.0</v>
      </c>
      <c r="G1661" s="1" t="s">
        <v>3964</v>
      </c>
      <c r="H1661" s="1" t="s">
        <v>2142</v>
      </c>
      <c r="I1661" s="1" t="s">
        <v>80</v>
      </c>
      <c r="K1661" s="1">
        <v>0.0</v>
      </c>
      <c r="L1661" s="1" t="s">
        <v>2174</v>
      </c>
      <c r="M1661" s="1" t="str">
        <f>VLOOKUP(L1661,'Copy of PMD Workday Constants -'!B1660:W2346,22,false)</f>
        <v>#N/A</v>
      </c>
      <c r="N1661" s="1" t="s">
        <v>32</v>
      </c>
      <c r="O1661" s="1" t="s">
        <v>33</v>
      </c>
      <c r="P1661" s="1" t="s">
        <v>112</v>
      </c>
      <c r="Q1661" s="1" t="s">
        <v>112</v>
      </c>
      <c r="R1661" s="1" t="s">
        <v>113</v>
      </c>
      <c r="S1661" s="1" t="s">
        <v>134</v>
      </c>
      <c r="T1661" s="1">
        <v>1.00631322E8</v>
      </c>
      <c r="W1661" s="1" t="s">
        <v>74</v>
      </c>
      <c r="X1661" s="1" t="s">
        <v>5087</v>
      </c>
    </row>
    <row r="1662">
      <c r="A1662" s="1" t="s">
        <v>5490</v>
      </c>
      <c r="B1662" s="1" t="s">
        <v>1373</v>
      </c>
      <c r="C1662" s="1" t="s">
        <v>5491</v>
      </c>
      <c r="D1662" s="1" t="s">
        <v>51</v>
      </c>
      <c r="E1662" s="1" t="s">
        <v>29</v>
      </c>
      <c r="F1662" s="5">
        <v>500000.0</v>
      </c>
      <c r="G1662" s="1" t="s">
        <v>3964</v>
      </c>
      <c r="H1662" s="1" t="s">
        <v>375</v>
      </c>
      <c r="I1662" s="1" t="s">
        <v>302</v>
      </c>
      <c r="K1662" s="1">
        <v>0.0</v>
      </c>
      <c r="L1662" s="1" t="s">
        <v>5404</v>
      </c>
      <c r="M1662" s="1" t="str">
        <f>VLOOKUP(L1662,'Copy of PMD Workday Constants -'!B1661:W2347,22,false)</f>
        <v>#N/A</v>
      </c>
      <c r="N1662" s="1" t="s">
        <v>32</v>
      </c>
      <c r="O1662" s="1" t="s">
        <v>33</v>
      </c>
      <c r="P1662" s="1" t="s">
        <v>64</v>
      </c>
      <c r="Q1662" s="1" t="s">
        <v>64</v>
      </c>
      <c r="R1662" s="1" t="s">
        <v>65</v>
      </c>
      <c r="T1662" s="1">
        <v>1.00650453E8</v>
      </c>
      <c r="W1662" s="1" t="s">
        <v>74</v>
      </c>
      <c r="X1662" s="1" t="s">
        <v>5404</v>
      </c>
    </row>
    <row r="1663">
      <c r="A1663" s="1" t="s">
        <v>5492</v>
      </c>
      <c r="B1663" s="1" t="s">
        <v>5493</v>
      </c>
      <c r="C1663" s="1" t="s">
        <v>5494</v>
      </c>
      <c r="D1663" s="1" t="s">
        <v>28</v>
      </c>
      <c r="E1663" s="1" t="s">
        <v>29</v>
      </c>
      <c r="F1663" s="5">
        <v>500000.0</v>
      </c>
      <c r="G1663" s="1" t="s">
        <v>3964</v>
      </c>
      <c r="H1663" s="1" t="s">
        <v>405</v>
      </c>
      <c r="I1663" s="1" t="s">
        <v>104</v>
      </c>
      <c r="K1663" s="1">
        <v>0.0</v>
      </c>
      <c r="L1663" s="1" t="s">
        <v>4682</v>
      </c>
      <c r="M1663" s="1" t="str">
        <f>VLOOKUP(L1663,'Copy of PMD Workday Constants -'!B1662:W2348,22,false)</f>
        <v>#N/A</v>
      </c>
      <c r="N1663" s="1" t="s">
        <v>32</v>
      </c>
      <c r="O1663" s="1" t="s">
        <v>33</v>
      </c>
      <c r="P1663" s="1" t="s">
        <v>173</v>
      </c>
      <c r="Q1663" s="1" t="s">
        <v>173</v>
      </c>
      <c r="R1663" s="1" t="s">
        <v>174</v>
      </c>
      <c r="S1663" s="1" t="s">
        <v>84</v>
      </c>
      <c r="T1663" s="1">
        <v>1.0064746E8</v>
      </c>
      <c r="W1663" s="1" t="s">
        <v>85</v>
      </c>
      <c r="X1663" s="1" t="s">
        <v>1032</v>
      </c>
    </row>
    <row r="1664">
      <c r="A1664" s="1" t="s">
        <v>5495</v>
      </c>
      <c r="B1664" s="1" t="s">
        <v>1624</v>
      </c>
      <c r="C1664" s="1" t="s">
        <v>5496</v>
      </c>
      <c r="D1664" s="1" t="s">
        <v>51</v>
      </c>
      <c r="E1664" s="1" t="s">
        <v>29</v>
      </c>
      <c r="F1664" s="5">
        <v>500000.0</v>
      </c>
      <c r="G1664" s="1" t="s">
        <v>3964</v>
      </c>
      <c r="H1664" s="1" t="s">
        <v>1765</v>
      </c>
      <c r="I1664" s="1" t="s">
        <v>80</v>
      </c>
      <c r="K1664" s="1">
        <v>0.0</v>
      </c>
      <c r="L1664" s="1" t="s">
        <v>3674</v>
      </c>
      <c r="M1664" s="1" t="str">
        <f>VLOOKUP(L1664,'Copy of PMD Workday Constants -'!B1663:W2349,22,false)</f>
        <v>#N/A</v>
      </c>
      <c r="N1664" s="1" t="s">
        <v>32</v>
      </c>
      <c r="O1664" s="1" t="s">
        <v>33</v>
      </c>
      <c r="P1664" s="1" t="s">
        <v>173</v>
      </c>
      <c r="Q1664" s="1" t="s">
        <v>173</v>
      </c>
      <c r="R1664" s="1" t="s">
        <v>174</v>
      </c>
      <c r="T1664" s="1">
        <v>1.0058537E8</v>
      </c>
      <c r="W1664" s="1" t="s">
        <v>456</v>
      </c>
      <c r="X1664" s="1" t="s">
        <v>5497</v>
      </c>
    </row>
    <row r="1665">
      <c r="A1665" s="1" t="s">
        <v>5498</v>
      </c>
      <c r="B1665" s="1" t="s">
        <v>49</v>
      </c>
      <c r="C1665" s="1" t="s">
        <v>5499</v>
      </c>
      <c r="D1665" s="1" t="s">
        <v>103</v>
      </c>
      <c r="E1665" s="1" t="s">
        <v>29</v>
      </c>
      <c r="F1665" s="5">
        <v>500000.0</v>
      </c>
      <c r="G1665" s="1" t="s">
        <v>3964</v>
      </c>
      <c r="H1665" s="4">
        <v>44625.0</v>
      </c>
      <c r="I1665" s="4">
        <v>44627.0</v>
      </c>
      <c r="K1665" s="1">
        <v>0.0</v>
      </c>
      <c r="L1665" s="1" t="s">
        <v>3333</v>
      </c>
      <c r="M1665" s="1" t="str">
        <f>VLOOKUP(L1665,'Copy of PMD Workday Constants -'!B1664:W2350,22,false)</f>
        <v>#N/A</v>
      </c>
      <c r="N1665" s="1" t="s">
        <v>32</v>
      </c>
      <c r="O1665" s="1" t="s">
        <v>33</v>
      </c>
      <c r="P1665" s="1" t="s">
        <v>210</v>
      </c>
      <c r="Q1665" s="1" t="s">
        <v>210</v>
      </c>
      <c r="R1665" s="1" t="s">
        <v>211</v>
      </c>
      <c r="S1665" s="1" t="s">
        <v>212</v>
      </c>
      <c r="T1665" s="1">
        <v>1.00636461E8</v>
      </c>
      <c r="W1665" s="1" t="s">
        <v>56</v>
      </c>
      <c r="X1665" s="1" t="s">
        <v>3333</v>
      </c>
    </row>
    <row r="1666">
      <c r="A1666" s="1" t="s">
        <v>5500</v>
      </c>
      <c r="B1666" s="1" t="s">
        <v>289</v>
      </c>
      <c r="C1666" s="1" t="s">
        <v>5501</v>
      </c>
      <c r="D1666" s="1" t="s">
        <v>28</v>
      </c>
      <c r="E1666" s="1" t="s">
        <v>29</v>
      </c>
      <c r="F1666" s="5">
        <v>500000.0</v>
      </c>
      <c r="G1666" s="1" t="s">
        <v>3964</v>
      </c>
      <c r="H1666" s="4">
        <v>44595.0</v>
      </c>
      <c r="I1666" s="1" t="s">
        <v>810</v>
      </c>
      <c r="K1666" s="1">
        <v>0.0</v>
      </c>
      <c r="L1666" s="1" t="s">
        <v>3784</v>
      </c>
      <c r="M1666" s="1" t="str">
        <f>VLOOKUP(L1666,'Copy of PMD Workday Constants -'!B1665:W2351,22,false)</f>
        <v>#N/A</v>
      </c>
      <c r="N1666" s="1" t="s">
        <v>32</v>
      </c>
      <c r="O1666" s="1" t="s">
        <v>33</v>
      </c>
      <c r="P1666" s="1" t="s">
        <v>210</v>
      </c>
      <c r="Q1666" s="1" t="s">
        <v>210</v>
      </c>
      <c r="R1666" s="1" t="s">
        <v>211</v>
      </c>
      <c r="T1666" s="1">
        <v>1.00637651E8</v>
      </c>
      <c r="W1666" s="1" t="s">
        <v>74</v>
      </c>
      <c r="X1666" s="1" t="s">
        <v>3784</v>
      </c>
    </row>
    <row r="1667">
      <c r="A1667" s="1" t="s">
        <v>5502</v>
      </c>
      <c r="B1667" s="1" t="s">
        <v>5503</v>
      </c>
      <c r="C1667" s="1" t="s">
        <v>5504</v>
      </c>
      <c r="D1667" s="1" t="s">
        <v>28</v>
      </c>
      <c r="E1667" s="1" t="s">
        <v>29</v>
      </c>
      <c r="F1667" s="5">
        <v>500000.0</v>
      </c>
      <c r="G1667" s="1" t="s">
        <v>3964</v>
      </c>
      <c r="H1667" s="1" t="s">
        <v>330</v>
      </c>
      <c r="I1667" s="1" t="s">
        <v>1226</v>
      </c>
      <c r="K1667" s="1">
        <v>0.0</v>
      </c>
      <c r="L1667" s="1" t="s">
        <v>1587</v>
      </c>
      <c r="M1667" s="1" t="str">
        <f>VLOOKUP(L1667,'Copy of PMD Workday Constants -'!B1666:W2352,22,false)</f>
        <v>#N/A</v>
      </c>
      <c r="N1667" s="1" t="s">
        <v>32</v>
      </c>
      <c r="O1667" s="1" t="s">
        <v>33</v>
      </c>
      <c r="P1667" s="1" t="s">
        <v>64</v>
      </c>
      <c r="Q1667" s="1" t="s">
        <v>64</v>
      </c>
      <c r="R1667" s="1" t="s">
        <v>65</v>
      </c>
      <c r="S1667" s="1" t="s">
        <v>1336</v>
      </c>
      <c r="T1667" s="1">
        <v>1.01141441E8</v>
      </c>
      <c r="W1667" s="1" t="s">
        <v>947</v>
      </c>
      <c r="X1667" s="1" t="s">
        <v>5505</v>
      </c>
    </row>
    <row r="1668">
      <c r="A1668" s="1" t="s">
        <v>5506</v>
      </c>
      <c r="B1668" s="1" t="s">
        <v>177</v>
      </c>
      <c r="C1668" s="1" t="s">
        <v>5507</v>
      </c>
      <c r="D1668" s="1" t="s">
        <v>28</v>
      </c>
      <c r="E1668" s="1" t="s">
        <v>29</v>
      </c>
      <c r="F1668" s="5">
        <v>500000.0</v>
      </c>
      <c r="G1668" s="1" t="s">
        <v>3964</v>
      </c>
      <c r="H1668" s="4">
        <v>44748.0</v>
      </c>
      <c r="I1668" s="1" t="s">
        <v>217</v>
      </c>
      <c r="K1668" s="1">
        <v>0.0</v>
      </c>
      <c r="L1668" s="1" t="s">
        <v>1036</v>
      </c>
      <c r="M1668" s="1" t="str">
        <f>VLOOKUP(L1668,'Copy of PMD Workday Constants -'!B1667:W2353,22,false)</f>
        <v>#N/A</v>
      </c>
      <c r="N1668" s="1" t="s">
        <v>32</v>
      </c>
      <c r="O1668" s="1" t="s">
        <v>33</v>
      </c>
      <c r="P1668" s="1" t="s">
        <v>82</v>
      </c>
      <c r="Q1668" s="1" t="s">
        <v>82</v>
      </c>
      <c r="R1668" s="1" t="s">
        <v>83</v>
      </c>
      <c r="S1668" s="1" t="s">
        <v>180</v>
      </c>
      <c r="T1668" s="1">
        <v>1.0090037E8</v>
      </c>
      <c r="W1668" s="1" t="s">
        <v>85</v>
      </c>
      <c r="X1668" s="1" t="s">
        <v>1036</v>
      </c>
    </row>
    <row r="1669">
      <c r="A1669" s="1" t="s">
        <v>5508</v>
      </c>
      <c r="B1669" s="1" t="s">
        <v>5509</v>
      </c>
      <c r="C1669" s="1" t="s">
        <v>5510</v>
      </c>
      <c r="D1669" s="1" t="s">
        <v>103</v>
      </c>
      <c r="E1669" s="1" t="s">
        <v>29</v>
      </c>
      <c r="F1669" s="5">
        <v>500000.0</v>
      </c>
      <c r="G1669" s="1" t="s">
        <v>3964</v>
      </c>
      <c r="H1669" s="4">
        <v>44718.0</v>
      </c>
      <c r="I1669" s="1" t="s">
        <v>941</v>
      </c>
      <c r="K1669" s="1">
        <v>0.0</v>
      </c>
      <c r="L1669" s="1" t="s">
        <v>4723</v>
      </c>
      <c r="M1669" s="1" t="str">
        <f>VLOOKUP(L1669,'Copy of PMD Workday Constants -'!B1668:W2354,22,false)</f>
        <v>#N/A</v>
      </c>
      <c r="N1669" s="1" t="s">
        <v>32</v>
      </c>
      <c r="O1669" s="1" t="s">
        <v>33</v>
      </c>
      <c r="P1669" s="1" t="s">
        <v>210</v>
      </c>
      <c r="Q1669" s="1" t="s">
        <v>210</v>
      </c>
      <c r="R1669" s="1" t="s">
        <v>211</v>
      </c>
      <c r="S1669" s="1" t="s">
        <v>1313</v>
      </c>
      <c r="T1669" s="1">
        <v>1.00585834E8</v>
      </c>
      <c r="W1669" s="1" t="s">
        <v>436</v>
      </c>
      <c r="X1669" s="1" t="s">
        <v>5511</v>
      </c>
    </row>
    <row r="1670">
      <c r="A1670" s="1" t="s">
        <v>5512</v>
      </c>
      <c r="B1670" s="1" t="s">
        <v>756</v>
      </c>
      <c r="C1670" s="1" t="s">
        <v>5513</v>
      </c>
      <c r="D1670" s="1" t="s">
        <v>51</v>
      </c>
      <c r="E1670" s="1" t="s">
        <v>29</v>
      </c>
      <c r="F1670" s="5">
        <v>500000.0</v>
      </c>
      <c r="G1670" s="1" t="s">
        <v>3964</v>
      </c>
      <c r="H1670" s="1" t="s">
        <v>2077</v>
      </c>
      <c r="I1670" s="1" t="s">
        <v>152</v>
      </c>
      <c r="K1670" s="1">
        <v>0.0</v>
      </c>
      <c r="L1670" s="1" t="s">
        <v>1344</v>
      </c>
      <c r="M1670" s="1" t="str">
        <f>VLOOKUP(L1670,'Copy of PMD Workday Constants -'!B1669:W2355,22,false)</f>
        <v>#N/A</v>
      </c>
      <c r="N1670" s="1" t="s">
        <v>32</v>
      </c>
      <c r="O1670" s="1" t="s">
        <v>33</v>
      </c>
      <c r="P1670" s="1" t="s">
        <v>112</v>
      </c>
      <c r="Q1670" s="1" t="s">
        <v>112</v>
      </c>
      <c r="R1670" s="1" t="s">
        <v>113</v>
      </c>
      <c r="S1670" s="1" t="s">
        <v>134</v>
      </c>
      <c r="T1670" s="1">
        <v>1.0061941E8</v>
      </c>
      <c r="W1670" s="1" t="s">
        <v>74</v>
      </c>
      <c r="X1670" s="1" t="s">
        <v>1711</v>
      </c>
    </row>
    <row r="1671">
      <c r="A1671" s="1" t="s">
        <v>5514</v>
      </c>
      <c r="B1671" s="1" t="s">
        <v>5515</v>
      </c>
      <c r="C1671" s="1" t="s">
        <v>5516</v>
      </c>
      <c r="D1671" s="1" t="s">
        <v>51</v>
      </c>
      <c r="E1671" s="1" t="s">
        <v>29</v>
      </c>
      <c r="F1671" s="5">
        <v>500000.0</v>
      </c>
      <c r="G1671" s="1" t="s">
        <v>3964</v>
      </c>
      <c r="H1671" s="1" t="s">
        <v>4625</v>
      </c>
      <c r="I1671" s="1" t="s">
        <v>414</v>
      </c>
      <c r="K1671" s="1">
        <v>0.0</v>
      </c>
      <c r="L1671" s="1" t="s">
        <v>1486</v>
      </c>
      <c r="M1671" s="1" t="str">
        <f>VLOOKUP(L1671,'Copy of PMD Workday Constants -'!B1670:W2356,22,false)</f>
        <v>#N/A</v>
      </c>
      <c r="N1671" s="1" t="s">
        <v>32</v>
      </c>
      <c r="O1671" s="1" t="s">
        <v>33</v>
      </c>
      <c r="P1671" s="1" t="s">
        <v>82</v>
      </c>
      <c r="Q1671" s="1" t="s">
        <v>82</v>
      </c>
      <c r="R1671" s="1" t="s">
        <v>83</v>
      </c>
      <c r="S1671" s="1" t="s">
        <v>583</v>
      </c>
      <c r="T1671" s="1">
        <v>1.006324E8</v>
      </c>
      <c r="W1671" s="1" t="s">
        <v>456</v>
      </c>
      <c r="X1671" s="1" t="s">
        <v>5517</v>
      </c>
    </row>
    <row r="1672">
      <c r="A1672" s="1" t="s">
        <v>5518</v>
      </c>
      <c r="B1672" s="1" t="s">
        <v>3521</v>
      </c>
      <c r="C1672" s="1" t="s">
        <v>5519</v>
      </c>
      <c r="D1672" s="1" t="s">
        <v>51</v>
      </c>
      <c r="E1672" s="1" t="s">
        <v>29</v>
      </c>
      <c r="F1672" s="5">
        <v>500000.0</v>
      </c>
      <c r="G1672" s="1" t="s">
        <v>3964</v>
      </c>
      <c r="H1672" s="4">
        <v>44350.0</v>
      </c>
      <c r="I1672" s="1" t="s">
        <v>104</v>
      </c>
      <c r="K1672" s="1">
        <v>0.0</v>
      </c>
      <c r="L1672" s="1" t="s">
        <v>1023</v>
      </c>
      <c r="M1672" s="1" t="str">
        <f>VLOOKUP(L1672,'Copy of PMD Workday Constants -'!B1671:W2357,22,false)</f>
        <v>#N/A</v>
      </c>
      <c r="N1672" s="1" t="s">
        <v>32</v>
      </c>
      <c r="O1672" s="1" t="s">
        <v>33</v>
      </c>
      <c r="P1672" s="1" t="s">
        <v>82</v>
      </c>
      <c r="Q1672" s="1" t="s">
        <v>82</v>
      </c>
      <c r="R1672" s="1" t="s">
        <v>83</v>
      </c>
      <c r="S1672" s="1" t="s">
        <v>84</v>
      </c>
      <c r="T1672" s="1">
        <v>1.00619899E8</v>
      </c>
      <c r="W1672" s="1" t="s">
        <v>85</v>
      </c>
      <c r="X1672" s="1" t="s">
        <v>1534</v>
      </c>
    </row>
    <row r="1673">
      <c r="A1673" s="1" t="s">
        <v>5520</v>
      </c>
      <c r="B1673" s="1" t="s">
        <v>610</v>
      </c>
      <c r="C1673" s="1" t="s">
        <v>613</v>
      </c>
      <c r="D1673" s="1" t="s">
        <v>51</v>
      </c>
      <c r="E1673" s="1" t="s">
        <v>29</v>
      </c>
      <c r="F1673" s="5">
        <v>500000.0</v>
      </c>
      <c r="G1673" s="1" t="s">
        <v>3964</v>
      </c>
      <c r="H1673" s="1" t="s">
        <v>4625</v>
      </c>
      <c r="I1673" s="1" t="s">
        <v>152</v>
      </c>
      <c r="K1673" s="1">
        <v>0.0</v>
      </c>
      <c r="L1673" s="1" t="s">
        <v>1659</v>
      </c>
      <c r="M1673" s="1" t="str">
        <f>VLOOKUP(L1673,'Copy of PMD Workday Constants -'!B1672:W2358,22,false)</f>
        <v>#N/A</v>
      </c>
      <c r="N1673" s="1" t="s">
        <v>32</v>
      </c>
      <c r="O1673" s="1" t="s">
        <v>33</v>
      </c>
      <c r="P1673" s="1" t="s">
        <v>173</v>
      </c>
      <c r="Q1673" s="1" t="s">
        <v>173</v>
      </c>
      <c r="R1673" s="1" t="s">
        <v>174</v>
      </c>
      <c r="T1673" s="1">
        <v>1.00650786E8</v>
      </c>
      <c r="V1673" s="1" t="s">
        <v>422</v>
      </c>
      <c r="W1673" s="1" t="s">
        <v>47</v>
      </c>
      <c r="X1673" s="1" t="s">
        <v>831</v>
      </c>
    </row>
    <row r="1674">
      <c r="A1674" s="1" t="s">
        <v>5521</v>
      </c>
      <c r="B1674" s="1" t="s">
        <v>3973</v>
      </c>
      <c r="C1674" s="1" t="s">
        <v>5522</v>
      </c>
      <c r="D1674" s="1" t="s">
        <v>28</v>
      </c>
      <c r="E1674" s="1" t="s">
        <v>29</v>
      </c>
      <c r="F1674" s="5">
        <v>500000.0</v>
      </c>
      <c r="G1674" s="1" t="s">
        <v>3964</v>
      </c>
      <c r="H1674" s="4">
        <v>44656.0</v>
      </c>
      <c r="I1674" s="1" t="s">
        <v>302</v>
      </c>
      <c r="K1674" s="1">
        <v>0.0</v>
      </c>
      <c r="L1674" s="1" t="s">
        <v>3975</v>
      </c>
      <c r="M1674" s="1" t="str">
        <f>VLOOKUP(L1674,'Copy of PMD Workday Constants -'!B1673:W2359,22,false)</f>
        <v>#N/A</v>
      </c>
      <c r="N1674" s="1" t="s">
        <v>32</v>
      </c>
      <c r="O1674" s="1" t="s">
        <v>33</v>
      </c>
      <c r="P1674" s="1" t="s">
        <v>210</v>
      </c>
      <c r="Q1674" s="1" t="s">
        <v>210</v>
      </c>
      <c r="R1674" s="1" t="s">
        <v>211</v>
      </c>
      <c r="S1674" s="1" t="s">
        <v>212</v>
      </c>
      <c r="T1674" s="1">
        <v>1.00623535E8</v>
      </c>
      <c r="W1674" s="1" t="s">
        <v>56</v>
      </c>
      <c r="X1674" s="1" t="s">
        <v>3975</v>
      </c>
    </row>
    <row r="1675">
      <c r="A1675" s="1" t="s">
        <v>5523</v>
      </c>
      <c r="B1675" s="1" t="s">
        <v>225</v>
      </c>
      <c r="C1675" s="1" t="s">
        <v>5524</v>
      </c>
      <c r="D1675" s="1" t="s">
        <v>51</v>
      </c>
      <c r="E1675" s="1" t="s">
        <v>29</v>
      </c>
      <c r="F1675" s="5">
        <v>500000.0</v>
      </c>
      <c r="G1675" s="1" t="s">
        <v>3964</v>
      </c>
      <c r="H1675" s="4">
        <v>44511.0</v>
      </c>
      <c r="I1675" s="1" t="s">
        <v>248</v>
      </c>
      <c r="K1675" s="1">
        <v>0.0</v>
      </c>
      <c r="L1675" s="1" t="s">
        <v>146</v>
      </c>
      <c r="M1675" s="1" t="str">
        <f>VLOOKUP(L1675,'Copy of PMD Workday Constants -'!B1674:W2360,22,false)</f>
        <v>#N/A</v>
      </c>
      <c r="N1675" s="1" t="s">
        <v>32</v>
      </c>
      <c r="O1675" s="1" t="s">
        <v>33</v>
      </c>
      <c r="P1675" s="1" t="s">
        <v>64</v>
      </c>
      <c r="Q1675" s="1" t="s">
        <v>64</v>
      </c>
      <c r="R1675" s="1" t="s">
        <v>65</v>
      </c>
      <c r="S1675" s="1" t="s">
        <v>229</v>
      </c>
      <c r="T1675" s="1">
        <v>1.00651441E8</v>
      </c>
      <c r="W1675" s="1" t="s">
        <v>85</v>
      </c>
      <c r="X1675" s="1" t="s">
        <v>4406</v>
      </c>
    </row>
    <row r="1676">
      <c r="A1676" s="1" t="s">
        <v>5525</v>
      </c>
      <c r="B1676" s="1" t="s">
        <v>489</v>
      </c>
      <c r="C1676" s="1" t="s">
        <v>5526</v>
      </c>
      <c r="D1676" s="1" t="s">
        <v>51</v>
      </c>
      <c r="E1676" s="1" t="s">
        <v>29</v>
      </c>
      <c r="F1676" s="5">
        <v>500000.0</v>
      </c>
      <c r="G1676" s="1" t="s">
        <v>3964</v>
      </c>
      <c r="H1676" s="4">
        <v>44717.0</v>
      </c>
      <c r="I1676" s="4">
        <v>44600.0</v>
      </c>
      <c r="K1676" s="1">
        <v>0.0</v>
      </c>
      <c r="L1676" s="1" t="s">
        <v>847</v>
      </c>
      <c r="M1676" s="1" t="str">
        <f>VLOOKUP(L1676,'Copy of PMD Workday Constants -'!B1675:W2361,22,false)</f>
        <v>#N/A</v>
      </c>
      <c r="N1676" s="1" t="s">
        <v>32</v>
      </c>
      <c r="O1676" s="1" t="s">
        <v>33</v>
      </c>
      <c r="P1676" s="1" t="s">
        <v>173</v>
      </c>
      <c r="Q1676" s="1" t="s">
        <v>173</v>
      </c>
      <c r="R1676" s="1" t="s">
        <v>174</v>
      </c>
      <c r="T1676" s="1">
        <v>1.00586701E8</v>
      </c>
      <c r="W1676" s="1" t="s">
        <v>493</v>
      </c>
      <c r="X1676" s="1" t="s">
        <v>1529</v>
      </c>
    </row>
    <row r="1677">
      <c r="A1677" s="1" t="s">
        <v>5527</v>
      </c>
      <c r="B1677" s="1" t="s">
        <v>859</v>
      </c>
      <c r="C1677" s="1" t="s">
        <v>5528</v>
      </c>
      <c r="D1677" s="1" t="s">
        <v>28</v>
      </c>
      <c r="E1677" s="1" t="s">
        <v>29</v>
      </c>
      <c r="F1677" s="5">
        <v>500000.0</v>
      </c>
      <c r="G1677" s="1" t="s">
        <v>3964</v>
      </c>
      <c r="H1677" s="1" t="s">
        <v>778</v>
      </c>
      <c r="I1677" s="1" t="s">
        <v>191</v>
      </c>
      <c r="K1677" s="1">
        <v>0.0</v>
      </c>
      <c r="L1677" s="1" t="s">
        <v>843</v>
      </c>
      <c r="M1677" s="1" t="str">
        <f>VLOOKUP(L1677,'Copy of PMD Workday Constants -'!B1676:W2362,22,false)</f>
        <v>#N/A</v>
      </c>
      <c r="N1677" s="1" t="s">
        <v>32</v>
      </c>
      <c r="O1677" s="1" t="s">
        <v>33</v>
      </c>
      <c r="P1677" s="1" t="s">
        <v>173</v>
      </c>
      <c r="Q1677" s="1" t="s">
        <v>173</v>
      </c>
      <c r="R1677" s="1" t="s">
        <v>174</v>
      </c>
      <c r="S1677" s="1" t="s">
        <v>612</v>
      </c>
      <c r="T1677" s="1">
        <v>1.00655091E8</v>
      </c>
      <c r="W1677" s="1" t="s">
        <v>147</v>
      </c>
      <c r="X1677" s="1" t="s">
        <v>836</v>
      </c>
    </row>
    <row r="1678">
      <c r="A1678" s="1" t="s">
        <v>5529</v>
      </c>
      <c r="B1678" s="1" t="s">
        <v>554</v>
      </c>
      <c r="C1678" s="1" t="s">
        <v>5530</v>
      </c>
      <c r="D1678" s="1" t="s">
        <v>28</v>
      </c>
      <c r="E1678" s="1" t="s">
        <v>29</v>
      </c>
      <c r="F1678" s="5">
        <v>500000.0</v>
      </c>
      <c r="G1678" s="1" t="s">
        <v>3964</v>
      </c>
      <c r="H1678" s="1" t="s">
        <v>263</v>
      </c>
      <c r="I1678" s="1" t="s">
        <v>575</v>
      </c>
      <c r="K1678" s="1">
        <v>0.0</v>
      </c>
      <c r="L1678" s="1" t="s">
        <v>3476</v>
      </c>
      <c r="M1678" s="1" t="str">
        <f>VLOOKUP(L1678,'Copy of PMD Workday Constants -'!B1677:W2363,22,false)</f>
        <v>#N/A</v>
      </c>
      <c r="N1678" s="1" t="s">
        <v>32</v>
      </c>
      <c r="O1678" s="1" t="s">
        <v>33</v>
      </c>
      <c r="P1678" s="1" t="s">
        <v>112</v>
      </c>
      <c r="Q1678" s="1" t="s">
        <v>112</v>
      </c>
      <c r="R1678" s="1" t="s">
        <v>113</v>
      </c>
      <c r="S1678" s="1" t="s">
        <v>114</v>
      </c>
      <c r="T1678" s="1">
        <v>1.00702554E8</v>
      </c>
      <c r="W1678" s="1" t="s">
        <v>436</v>
      </c>
      <c r="X1678" s="1" t="s">
        <v>3476</v>
      </c>
    </row>
    <row r="1679">
      <c r="A1679" s="1" t="s">
        <v>5531</v>
      </c>
      <c r="B1679" s="1" t="s">
        <v>234</v>
      </c>
      <c r="C1679" s="1" t="s">
        <v>5532</v>
      </c>
      <c r="D1679" s="1" t="s">
        <v>28</v>
      </c>
      <c r="E1679" s="1" t="s">
        <v>29</v>
      </c>
      <c r="F1679" s="5">
        <v>500000.0</v>
      </c>
      <c r="G1679" s="1" t="s">
        <v>3964</v>
      </c>
      <c r="H1679" s="4">
        <v>44682.0</v>
      </c>
      <c r="I1679" s="1" t="s">
        <v>96</v>
      </c>
      <c r="K1679" s="1">
        <v>0.0</v>
      </c>
      <c r="L1679" s="1" t="s">
        <v>238</v>
      </c>
      <c r="M1679" s="1" t="str">
        <f>VLOOKUP(L1679,'Copy of PMD Workday Constants -'!B1678:W2364,22,false)</f>
        <v>#N/A</v>
      </c>
      <c r="N1679" s="1" t="s">
        <v>32</v>
      </c>
      <c r="O1679" s="1" t="s">
        <v>33</v>
      </c>
      <c r="P1679" s="1" t="s">
        <v>112</v>
      </c>
      <c r="Q1679" s="1" t="s">
        <v>112</v>
      </c>
      <c r="R1679" s="1" t="s">
        <v>113</v>
      </c>
      <c r="S1679" s="1" t="s">
        <v>114</v>
      </c>
      <c r="T1679" s="1">
        <v>1.00658519E8</v>
      </c>
      <c r="W1679" s="1" t="s">
        <v>140</v>
      </c>
      <c r="X1679" s="1" t="s">
        <v>239</v>
      </c>
    </row>
    <row r="1680">
      <c r="A1680" s="1" t="s">
        <v>5533</v>
      </c>
      <c r="B1680" s="1" t="s">
        <v>859</v>
      </c>
      <c r="C1680" s="1" t="s">
        <v>5534</v>
      </c>
      <c r="D1680" s="1" t="s">
        <v>28</v>
      </c>
      <c r="E1680" s="1" t="s">
        <v>29</v>
      </c>
      <c r="F1680" s="5">
        <v>500000.0</v>
      </c>
      <c r="G1680" s="1" t="s">
        <v>3964</v>
      </c>
      <c r="H1680" s="1" t="s">
        <v>778</v>
      </c>
      <c r="I1680" s="1" t="s">
        <v>191</v>
      </c>
      <c r="K1680" s="1">
        <v>0.0</v>
      </c>
      <c r="L1680" s="1" t="s">
        <v>843</v>
      </c>
      <c r="M1680" s="1" t="str">
        <f>VLOOKUP(L1680,'Copy of PMD Workday Constants -'!B1679:W2365,22,false)</f>
        <v>#N/A</v>
      </c>
      <c r="N1680" s="1" t="s">
        <v>32</v>
      </c>
      <c r="O1680" s="1" t="s">
        <v>33</v>
      </c>
      <c r="P1680" s="1" t="s">
        <v>173</v>
      </c>
      <c r="Q1680" s="1" t="s">
        <v>173</v>
      </c>
      <c r="R1680" s="1" t="s">
        <v>174</v>
      </c>
      <c r="S1680" s="1" t="s">
        <v>612</v>
      </c>
      <c r="T1680" s="1">
        <v>1.00655091E8</v>
      </c>
      <c r="W1680" s="1" t="s">
        <v>147</v>
      </c>
      <c r="X1680" s="1" t="s">
        <v>836</v>
      </c>
    </row>
    <row r="1681">
      <c r="A1681" s="1" t="s">
        <v>5535</v>
      </c>
      <c r="B1681" s="1" t="s">
        <v>859</v>
      </c>
      <c r="C1681" s="1" t="s">
        <v>5536</v>
      </c>
      <c r="D1681" s="1" t="s">
        <v>28</v>
      </c>
      <c r="E1681" s="1" t="s">
        <v>29</v>
      </c>
      <c r="F1681" s="5">
        <v>500000.0</v>
      </c>
      <c r="G1681" s="1" t="s">
        <v>3964</v>
      </c>
      <c r="H1681" s="1" t="s">
        <v>778</v>
      </c>
      <c r="I1681" s="1" t="s">
        <v>191</v>
      </c>
      <c r="K1681" s="1">
        <v>0.0</v>
      </c>
      <c r="L1681" s="1" t="s">
        <v>836</v>
      </c>
      <c r="M1681" s="1" t="str">
        <f>VLOOKUP(L1681,'Copy of PMD Workday Constants -'!B1680:W2366,22,false)</f>
        <v>#N/A</v>
      </c>
      <c r="N1681" s="1" t="s">
        <v>32</v>
      </c>
      <c r="O1681" s="1" t="s">
        <v>33</v>
      </c>
      <c r="P1681" s="1" t="s">
        <v>173</v>
      </c>
      <c r="Q1681" s="1" t="s">
        <v>173</v>
      </c>
      <c r="R1681" s="1" t="s">
        <v>174</v>
      </c>
      <c r="S1681" s="1" t="s">
        <v>612</v>
      </c>
      <c r="T1681" s="1">
        <v>1.00648457E8</v>
      </c>
      <c r="W1681" s="1" t="s">
        <v>147</v>
      </c>
      <c r="X1681" s="1" t="s">
        <v>836</v>
      </c>
    </row>
    <row r="1682">
      <c r="A1682" s="1" t="s">
        <v>5537</v>
      </c>
      <c r="B1682" s="1" t="s">
        <v>954</v>
      </c>
      <c r="C1682" s="1" t="s">
        <v>5538</v>
      </c>
      <c r="D1682" s="1" t="s">
        <v>51</v>
      </c>
      <c r="E1682" s="1" t="s">
        <v>29</v>
      </c>
      <c r="F1682" s="5">
        <v>500000.0</v>
      </c>
      <c r="G1682" s="1" t="s">
        <v>3964</v>
      </c>
      <c r="H1682" s="1" t="s">
        <v>5539</v>
      </c>
      <c r="I1682" s="1" t="s">
        <v>125</v>
      </c>
      <c r="K1682" s="1">
        <v>0.0</v>
      </c>
      <c r="L1682" s="1" t="s">
        <v>491</v>
      </c>
      <c r="M1682" s="1" t="str">
        <f>VLOOKUP(L1682,'Copy of PMD Workday Constants -'!B1681:W2367,22,false)</f>
        <v>#N/A</v>
      </c>
      <c r="N1682" s="1" t="s">
        <v>32</v>
      </c>
      <c r="O1682" s="1" t="s">
        <v>33</v>
      </c>
      <c r="P1682" s="1" t="s">
        <v>112</v>
      </c>
      <c r="Q1682" s="1" t="s">
        <v>112</v>
      </c>
      <c r="R1682" s="1" t="s">
        <v>113</v>
      </c>
      <c r="S1682" s="1" t="s">
        <v>2715</v>
      </c>
      <c r="T1682" s="1">
        <v>1.00623914E8</v>
      </c>
      <c r="W1682" s="1" t="s">
        <v>147</v>
      </c>
      <c r="X1682" s="1" t="s">
        <v>491</v>
      </c>
    </row>
    <row r="1683">
      <c r="A1683" s="1" t="s">
        <v>5540</v>
      </c>
      <c r="B1683" s="1" t="s">
        <v>507</v>
      </c>
      <c r="C1683" s="1" t="s">
        <v>5541</v>
      </c>
      <c r="D1683" s="1" t="s">
        <v>28</v>
      </c>
      <c r="E1683" s="1" t="s">
        <v>29</v>
      </c>
      <c r="F1683" s="5">
        <v>500000.0</v>
      </c>
      <c r="G1683" s="1" t="s">
        <v>3964</v>
      </c>
      <c r="H1683" s="4">
        <v>44595.0</v>
      </c>
      <c r="I1683" s="1" t="s">
        <v>661</v>
      </c>
      <c r="K1683" s="1">
        <v>0.0</v>
      </c>
      <c r="L1683" s="1" t="s">
        <v>3290</v>
      </c>
      <c r="M1683" s="1" t="str">
        <f>VLOOKUP(L1683,'Copy of PMD Workday Constants -'!B1682:W2368,22,false)</f>
        <v>#N/A</v>
      </c>
      <c r="N1683" s="1" t="s">
        <v>32</v>
      </c>
      <c r="O1683" s="1" t="s">
        <v>33</v>
      </c>
      <c r="P1683" s="1" t="s">
        <v>112</v>
      </c>
      <c r="Q1683" s="1" t="s">
        <v>112</v>
      </c>
      <c r="R1683" s="1" t="s">
        <v>113</v>
      </c>
      <c r="S1683" s="1" t="s">
        <v>455</v>
      </c>
      <c r="T1683" s="1">
        <v>1.00625578E8</v>
      </c>
      <c r="W1683" s="1" t="s">
        <v>456</v>
      </c>
      <c r="X1683" s="1" t="s">
        <v>3290</v>
      </c>
    </row>
    <row r="1684">
      <c r="A1684" s="1" t="s">
        <v>5542</v>
      </c>
      <c r="B1684" s="1" t="s">
        <v>418</v>
      </c>
      <c r="C1684" s="1" t="s">
        <v>5543</v>
      </c>
      <c r="D1684" s="1" t="s">
        <v>51</v>
      </c>
      <c r="E1684" s="1" t="s">
        <v>29</v>
      </c>
      <c r="F1684" s="5">
        <v>500000.0</v>
      </c>
      <c r="G1684" s="1" t="s">
        <v>3964</v>
      </c>
      <c r="H1684" s="1" t="s">
        <v>1436</v>
      </c>
      <c r="I1684" s="1" t="s">
        <v>217</v>
      </c>
      <c r="K1684" s="1">
        <v>0.0</v>
      </c>
      <c r="L1684" s="1" t="s">
        <v>2201</v>
      </c>
      <c r="M1684" s="1" t="str">
        <f>VLOOKUP(L1684,'Copy of PMD Workday Constants -'!B1683:W2369,22,false)</f>
        <v>#N/A</v>
      </c>
      <c r="N1684" s="1" t="s">
        <v>32</v>
      </c>
      <c r="O1684" s="1" t="s">
        <v>33</v>
      </c>
      <c r="P1684" s="1" t="s">
        <v>64</v>
      </c>
      <c r="Q1684" s="1" t="s">
        <v>64</v>
      </c>
      <c r="R1684" s="1" t="s">
        <v>65</v>
      </c>
      <c r="S1684" s="1" t="s">
        <v>1496</v>
      </c>
      <c r="T1684" s="1">
        <v>1.00649936E8</v>
      </c>
      <c r="W1684" s="1" t="s">
        <v>258</v>
      </c>
      <c r="X1684" s="1" t="s">
        <v>2201</v>
      </c>
    </row>
    <row r="1685">
      <c r="A1685" s="1" t="s">
        <v>5544</v>
      </c>
      <c r="B1685" s="1" t="s">
        <v>507</v>
      </c>
      <c r="C1685" s="1" t="s">
        <v>5545</v>
      </c>
      <c r="D1685" s="1" t="s">
        <v>28</v>
      </c>
      <c r="E1685" s="1" t="s">
        <v>29</v>
      </c>
      <c r="F1685" s="5">
        <v>500000.0</v>
      </c>
      <c r="G1685" s="1" t="s">
        <v>3964</v>
      </c>
      <c r="H1685" s="4">
        <v>44595.0</v>
      </c>
      <c r="I1685" s="1" t="s">
        <v>302</v>
      </c>
      <c r="K1685" s="1">
        <v>0.0</v>
      </c>
      <c r="L1685" s="1" t="s">
        <v>3290</v>
      </c>
      <c r="M1685" s="1" t="str">
        <f>VLOOKUP(L1685,'Copy of PMD Workday Constants -'!B1684:W2370,22,false)</f>
        <v>#N/A</v>
      </c>
      <c r="N1685" s="1" t="s">
        <v>32</v>
      </c>
      <c r="O1685" s="1" t="s">
        <v>33</v>
      </c>
      <c r="P1685" s="1" t="s">
        <v>112</v>
      </c>
      <c r="Q1685" s="1" t="s">
        <v>112</v>
      </c>
      <c r="R1685" s="1" t="s">
        <v>113</v>
      </c>
      <c r="S1685" s="1" t="s">
        <v>455</v>
      </c>
      <c r="T1685" s="1">
        <v>1.00625578E8</v>
      </c>
      <c r="W1685" s="1" t="s">
        <v>456</v>
      </c>
      <c r="X1685" s="1" t="s">
        <v>3290</v>
      </c>
    </row>
    <row r="1686">
      <c r="A1686" s="1" t="s">
        <v>5546</v>
      </c>
      <c r="B1686" s="1" t="s">
        <v>1184</v>
      </c>
      <c r="C1686" s="1" t="s">
        <v>5547</v>
      </c>
      <c r="D1686" s="1" t="s">
        <v>28</v>
      </c>
      <c r="E1686" s="1" t="s">
        <v>29</v>
      </c>
      <c r="F1686" s="5">
        <v>500000.0</v>
      </c>
      <c r="G1686" s="1" t="s">
        <v>3964</v>
      </c>
      <c r="H1686" s="1" t="s">
        <v>810</v>
      </c>
      <c r="I1686" s="1" t="s">
        <v>80</v>
      </c>
      <c r="K1686" s="1">
        <v>0.0</v>
      </c>
      <c r="L1686" s="1" t="s">
        <v>5344</v>
      </c>
      <c r="M1686" s="1" t="str">
        <f>VLOOKUP(L1686,'Copy of PMD Workday Constants -'!B1685:W2371,22,false)</f>
        <v>#N/A</v>
      </c>
      <c r="N1686" s="1" t="s">
        <v>32</v>
      </c>
      <c r="O1686" s="1" t="s">
        <v>33</v>
      </c>
      <c r="P1686" s="1" t="s">
        <v>210</v>
      </c>
      <c r="Q1686" s="1" t="s">
        <v>210</v>
      </c>
      <c r="R1686" s="1" t="s">
        <v>211</v>
      </c>
      <c r="S1686" s="1" t="s">
        <v>212</v>
      </c>
      <c r="T1686" s="1">
        <v>1.0064547E8</v>
      </c>
      <c r="W1686" s="1" t="s">
        <v>56</v>
      </c>
      <c r="X1686" s="1" t="s">
        <v>1874</v>
      </c>
    </row>
    <row r="1687">
      <c r="A1687" s="1" t="s">
        <v>5548</v>
      </c>
      <c r="B1687" s="1" t="s">
        <v>5549</v>
      </c>
      <c r="C1687" s="1" t="s">
        <v>5474</v>
      </c>
      <c r="D1687" s="1" t="s">
        <v>51</v>
      </c>
      <c r="E1687" s="1" t="s">
        <v>29</v>
      </c>
      <c r="F1687" s="5">
        <v>500000.0</v>
      </c>
      <c r="G1687" s="1" t="s">
        <v>3964</v>
      </c>
      <c r="H1687" s="4">
        <v>44198.0</v>
      </c>
      <c r="I1687" s="1" t="s">
        <v>43</v>
      </c>
      <c r="K1687" s="1">
        <v>0.0</v>
      </c>
      <c r="L1687" s="1" t="s">
        <v>4608</v>
      </c>
      <c r="M1687" s="1" t="str">
        <f>VLOOKUP(L1687,'Copy of PMD Workday Constants -'!B1686:W2372,22,false)</f>
        <v>#N/A</v>
      </c>
      <c r="N1687" s="1" t="s">
        <v>32</v>
      </c>
      <c r="O1687" s="1" t="s">
        <v>33</v>
      </c>
      <c r="P1687" s="1" t="s">
        <v>222</v>
      </c>
      <c r="Q1687" s="1" t="s">
        <v>222</v>
      </c>
      <c r="R1687" s="1" t="s">
        <v>223</v>
      </c>
      <c r="S1687" s="1" t="s">
        <v>482</v>
      </c>
      <c r="T1687" s="1">
        <v>1.00592715E8</v>
      </c>
      <c r="W1687" s="1" t="s">
        <v>115</v>
      </c>
      <c r="X1687" s="1" t="s">
        <v>4608</v>
      </c>
    </row>
    <row r="1688">
      <c r="A1688" s="1" t="s">
        <v>5550</v>
      </c>
      <c r="B1688" s="1" t="s">
        <v>1817</v>
      </c>
      <c r="C1688" s="1" t="s">
        <v>5551</v>
      </c>
      <c r="D1688" s="1" t="s">
        <v>51</v>
      </c>
      <c r="E1688" s="1" t="s">
        <v>29</v>
      </c>
      <c r="F1688" s="5">
        <v>500000.0</v>
      </c>
      <c r="G1688" s="1" t="s">
        <v>3964</v>
      </c>
      <c r="H1688" s="1" t="s">
        <v>5552</v>
      </c>
      <c r="I1688" s="1" t="s">
        <v>152</v>
      </c>
      <c r="K1688" s="1">
        <v>0.0</v>
      </c>
      <c r="L1688" s="1" t="s">
        <v>3917</v>
      </c>
      <c r="M1688" s="1" t="str">
        <f>VLOOKUP(L1688,'Copy of PMD Workday Constants -'!B1687:W2373,22,false)</f>
        <v>#N/A</v>
      </c>
      <c r="N1688" s="1" t="s">
        <v>32</v>
      </c>
      <c r="O1688" s="1" t="s">
        <v>33</v>
      </c>
      <c r="P1688" s="1" t="s">
        <v>82</v>
      </c>
      <c r="Q1688" s="1" t="s">
        <v>82</v>
      </c>
      <c r="R1688" s="1" t="s">
        <v>83</v>
      </c>
      <c r="S1688" s="1" t="s">
        <v>180</v>
      </c>
      <c r="T1688" s="1">
        <v>1.00611547E8</v>
      </c>
      <c r="W1688" s="1" t="s">
        <v>2098</v>
      </c>
      <c r="X1688" s="1" t="s">
        <v>3917</v>
      </c>
    </row>
    <row r="1689">
      <c r="A1689" s="1" t="s">
        <v>5553</v>
      </c>
      <c r="B1689" s="1" t="s">
        <v>5554</v>
      </c>
      <c r="C1689" s="1" t="s">
        <v>5555</v>
      </c>
      <c r="D1689" s="1" t="s">
        <v>28</v>
      </c>
      <c r="E1689" s="1" t="s">
        <v>29</v>
      </c>
      <c r="F1689" s="5">
        <v>500000.0</v>
      </c>
      <c r="G1689" s="1" t="s">
        <v>3964</v>
      </c>
      <c r="H1689" s="1" t="s">
        <v>5552</v>
      </c>
      <c r="I1689" s="1" t="s">
        <v>302</v>
      </c>
      <c r="K1689" s="1">
        <v>0.0</v>
      </c>
      <c r="L1689" s="1" t="s">
        <v>3917</v>
      </c>
      <c r="M1689" s="1" t="str">
        <f>VLOOKUP(L1689,'Copy of PMD Workday Constants -'!B1688:W2374,22,false)</f>
        <v>#N/A</v>
      </c>
      <c r="N1689" s="1" t="s">
        <v>32</v>
      </c>
      <c r="O1689" s="1" t="s">
        <v>33</v>
      </c>
      <c r="P1689" s="1" t="s">
        <v>82</v>
      </c>
      <c r="Q1689" s="1" t="s">
        <v>82</v>
      </c>
      <c r="R1689" s="1" t="s">
        <v>83</v>
      </c>
      <c r="S1689" s="1" t="s">
        <v>180</v>
      </c>
      <c r="T1689" s="1">
        <v>1.00611547E8</v>
      </c>
      <c r="W1689" s="1" t="s">
        <v>2098</v>
      </c>
      <c r="X1689" s="1" t="s">
        <v>3917</v>
      </c>
    </row>
    <row r="1690">
      <c r="A1690" s="1" t="s">
        <v>5556</v>
      </c>
      <c r="B1690" s="1" t="s">
        <v>3542</v>
      </c>
      <c r="C1690" s="1" t="s">
        <v>5557</v>
      </c>
      <c r="D1690" s="1" t="s">
        <v>28</v>
      </c>
      <c r="E1690" s="1" t="s">
        <v>29</v>
      </c>
      <c r="F1690" s="5">
        <v>500000.0</v>
      </c>
      <c r="G1690" s="1" t="s">
        <v>3964</v>
      </c>
      <c r="H1690" s="1" t="s">
        <v>61</v>
      </c>
      <c r="I1690" s="1" t="s">
        <v>80</v>
      </c>
      <c r="K1690" s="1">
        <v>0.0</v>
      </c>
      <c r="L1690" s="1" t="s">
        <v>5558</v>
      </c>
      <c r="M1690" s="1" t="str">
        <f>VLOOKUP(L1690,'Copy of PMD Workday Constants -'!B1689:W2375,22,false)</f>
        <v>#N/A</v>
      </c>
      <c r="N1690" s="1" t="s">
        <v>32</v>
      </c>
      <c r="O1690" s="1" t="s">
        <v>33</v>
      </c>
      <c r="P1690" s="1" t="s">
        <v>222</v>
      </c>
      <c r="Q1690" s="1" t="s">
        <v>222</v>
      </c>
      <c r="R1690" s="1" t="s">
        <v>223</v>
      </c>
      <c r="S1690" s="1" t="s">
        <v>482</v>
      </c>
      <c r="T1690" s="1">
        <v>1.00652479E8</v>
      </c>
      <c r="W1690" s="1" t="s">
        <v>947</v>
      </c>
      <c r="X1690" s="1" t="s">
        <v>5559</v>
      </c>
    </row>
    <row r="1691">
      <c r="A1691" s="1" t="s">
        <v>5560</v>
      </c>
      <c r="B1691" s="1" t="s">
        <v>5561</v>
      </c>
      <c r="C1691" s="1" t="s">
        <v>5562</v>
      </c>
      <c r="D1691" s="1" t="s">
        <v>28</v>
      </c>
      <c r="E1691" s="1" t="s">
        <v>29</v>
      </c>
      <c r="F1691" s="5">
        <v>500000.0</v>
      </c>
      <c r="G1691" s="1" t="s">
        <v>3964</v>
      </c>
      <c r="H1691" s="4">
        <v>44625.0</v>
      </c>
      <c r="I1691" s="1" t="s">
        <v>661</v>
      </c>
      <c r="K1691" s="1">
        <v>0.0</v>
      </c>
      <c r="L1691" s="1" t="s">
        <v>5558</v>
      </c>
      <c r="M1691" s="1" t="str">
        <f>VLOOKUP(L1691,'Copy of PMD Workday Constants -'!B1690:W2376,22,false)</f>
        <v>#N/A</v>
      </c>
      <c r="N1691" s="1" t="s">
        <v>32</v>
      </c>
      <c r="O1691" s="1" t="s">
        <v>33</v>
      </c>
      <c r="P1691" s="1" t="s">
        <v>222</v>
      </c>
      <c r="Q1691" s="1" t="s">
        <v>222</v>
      </c>
      <c r="R1691" s="1" t="s">
        <v>223</v>
      </c>
      <c r="S1691" s="1" t="s">
        <v>482</v>
      </c>
      <c r="T1691" s="1">
        <v>1.00652479E8</v>
      </c>
      <c r="W1691" s="1" t="s">
        <v>947</v>
      </c>
      <c r="X1691" s="1" t="s">
        <v>774</v>
      </c>
    </row>
    <row r="1692">
      <c r="A1692" s="1" t="s">
        <v>5563</v>
      </c>
      <c r="B1692" s="1" t="s">
        <v>1631</v>
      </c>
      <c r="C1692" s="1" t="s">
        <v>5564</v>
      </c>
      <c r="D1692" s="1" t="s">
        <v>28</v>
      </c>
      <c r="E1692" s="1" t="s">
        <v>29</v>
      </c>
      <c r="F1692" s="5">
        <v>500000.0</v>
      </c>
      <c r="G1692" s="1" t="s">
        <v>3964</v>
      </c>
      <c r="H1692" s="4">
        <v>44625.0</v>
      </c>
      <c r="I1692" s="1" t="s">
        <v>104</v>
      </c>
      <c r="K1692" s="1">
        <v>0.0</v>
      </c>
      <c r="L1692" s="1" t="s">
        <v>3345</v>
      </c>
      <c r="M1692" s="1" t="str">
        <f>VLOOKUP(L1692,'Copy of PMD Workday Constants -'!B1691:W2377,22,false)</f>
        <v>#N/A</v>
      </c>
      <c r="N1692" s="1" t="s">
        <v>32</v>
      </c>
      <c r="O1692" s="1" t="s">
        <v>33</v>
      </c>
      <c r="P1692" s="1" t="s">
        <v>64</v>
      </c>
      <c r="Q1692" s="1" t="s">
        <v>64</v>
      </c>
      <c r="R1692" s="1" t="s">
        <v>65</v>
      </c>
      <c r="S1692" s="1" t="s">
        <v>791</v>
      </c>
      <c r="T1692" s="1">
        <v>1.0105484E8</v>
      </c>
      <c r="W1692" s="1" t="s">
        <v>456</v>
      </c>
      <c r="X1692" s="1" t="s">
        <v>3345</v>
      </c>
    </row>
    <row r="1693">
      <c r="A1693" s="1" t="s">
        <v>5565</v>
      </c>
      <c r="B1693" s="1" t="s">
        <v>5566</v>
      </c>
      <c r="C1693" s="1" t="s">
        <v>5567</v>
      </c>
      <c r="D1693" s="1" t="s">
        <v>51</v>
      </c>
      <c r="E1693" s="1" t="s">
        <v>29</v>
      </c>
      <c r="F1693" s="5">
        <v>500000.0</v>
      </c>
      <c r="G1693" s="1" t="s">
        <v>3964</v>
      </c>
      <c r="H1693" s="4">
        <v>43962.0</v>
      </c>
      <c r="I1693" s="1" t="s">
        <v>80</v>
      </c>
      <c r="K1693" s="1">
        <v>0.0</v>
      </c>
      <c r="L1693" s="1" t="s">
        <v>5568</v>
      </c>
      <c r="M1693" s="1" t="str">
        <f>VLOOKUP(L1693,'Copy of PMD Workday Constants -'!B1692:W2378,22,false)</f>
        <v>#N/A</v>
      </c>
      <c r="N1693" s="1" t="s">
        <v>32</v>
      </c>
      <c r="O1693" s="1" t="s">
        <v>33</v>
      </c>
      <c r="P1693" s="1" t="s">
        <v>5253</v>
      </c>
      <c r="Q1693" s="1" t="s">
        <v>5253</v>
      </c>
      <c r="R1693" s="1" t="s">
        <v>65</v>
      </c>
      <c r="T1693" s="1">
        <v>1.00591095E8</v>
      </c>
      <c r="W1693" s="1" t="s">
        <v>147</v>
      </c>
      <c r="X1693" s="1" t="s">
        <v>5569</v>
      </c>
    </row>
    <row r="1694">
      <c r="A1694" s="1" t="s">
        <v>5570</v>
      </c>
      <c r="B1694" s="1" t="s">
        <v>5470</v>
      </c>
      <c r="C1694" s="1" t="s">
        <v>5571</v>
      </c>
      <c r="D1694" s="1" t="s">
        <v>51</v>
      </c>
      <c r="E1694" s="1" t="s">
        <v>29</v>
      </c>
      <c r="F1694" s="5">
        <v>500000.0</v>
      </c>
      <c r="G1694" s="1" t="s">
        <v>3964</v>
      </c>
      <c r="H1694" s="1" t="s">
        <v>1287</v>
      </c>
      <c r="I1694" s="1" t="s">
        <v>414</v>
      </c>
      <c r="K1694" s="1">
        <v>0.0</v>
      </c>
      <c r="L1694" s="1" t="s">
        <v>1151</v>
      </c>
      <c r="M1694" s="1" t="str">
        <f>VLOOKUP(L1694,'Copy of PMD Workday Constants -'!B1693:W2379,22,false)</f>
        <v>#N/A</v>
      </c>
      <c r="N1694" s="1" t="s">
        <v>32</v>
      </c>
      <c r="O1694" s="1" t="s">
        <v>33</v>
      </c>
      <c r="P1694" s="1" t="s">
        <v>173</v>
      </c>
      <c r="Q1694" s="1" t="s">
        <v>173</v>
      </c>
      <c r="R1694" s="1" t="s">
        <v>174</v>
      </c>
      <c r="S1694" s="1" t="s">
        <v>612</v>
      </c>
      <c r="T1694" s="1">
        <v>1.00654991E8</v>
      </c>
      <c r="W1694" s="1" t="s">
        <v>74</v>
      </c>
      <c r="X1694" s="1" t="s">
        <v>5167</v>
      </c>
    </row>
    <row r="1695">
      <c r="A1695" s="1" t="s">
        <v>5572</v>
      </c>
      <c r="B1695" s="1" t="s">
        <v>5573</v>
      </c>
      <c r="C1695" s="1" t="s">
        <v>5574</v>
      </c>
      <c r="D1695" s="1" t="s">
        <v>28</v>
      </c>
      <c r="E1695" s="1" t="s">
        <v>29</v>
      </c>
      <c r="F1695" s="5">
        <v>500000.0</v>
      </c>
      <c r="G1695" s="1" t="s">
        <v>3964</v>
      </c>
      <c r="H1695" s="1" t="s">
        <v>131</v>
      </c>
      <c r="I1695" s="1" t="s">
        <v>166</v>
      </c>
      <c r="K1695" s="1">
        <v>0.0</v>
      </c>
      <c r="L1695" s="1" t="s">
        <v>4217</v>
      </c>
      <c r="M1695" s="1" t="str">
        <f>VLOOKUP(L1695,'Copy of PMD Workday Constants -'!B1694:W2380,22,false)</f>
        <v>#N/A</v>
      </c>
      <c r="N1695" s="1" t="s">
        <v>32</v>
      </c>
      <c r="O1695" s="1" t="s">
        <v>33</v>
      </c>
      <c r="P1695" s="1" t="s">
        <v>222</v>
      </c>
      <c r="Q1695" s="1" t="s">
        <v>222</v>
      </c>
      <c r="R1695" s="1" t="s">
        <v>223</v>
      </c>
      <c r="S1695" s="1" t="s">
        <v>482</v>
      </c>
      <c r="T1695" s="1">
        <v>1.0065605E8</v>
      </c>
      <c r="W1695" s="1" t="s">
        <v>436</v>
      </c>
      <c r="X1695" s="1" t="s">
        <v>5575</v>
      </c>
    </row>
    <row r="1696">
      <c r="A1696" s="1" t="s">
        <v>5576</v>
      </c>
      <c r="B1696" s="1" t="s">
        <v>5577</v>
      </c>
      <c r="C1696" s="1" t="s">
        <v>5578</v>
      </c>
      <c r="D1696" s="1" t="s">
        <v>28</v>
      </c>
      <c r="E1696" s="1" t="s">
        <v>29</v>
      </c>
      <c r="F1696" s="5">
        <v>500000.0</v>
      </c>
      <c r="G1696" s="1" t="s">
        <v>3964</v>
      </c>
      <c r="H1696" s="1" t="s">
        <v>1444</v>
      </c>
      <c r="I1696" s="1" t="s">
        <v>43</v>
      </c>
      <c r="K1696" s="1">
        <v>0.0</v>
      </c>
      <c r="L1696" s="1" t="s">
        <v>2086</v>
      </c>
      <c r="M1696" s="1" t="str">
        <f>VLOOKUP(L1696,'Copy of PMD Workday Constants -'!B1695:W2381,22,false)</f>
        <v>#N/A</v>
      </c>
      <c r="N1696" s="1" t="s">
        <v>32</v>
      </c>
      <c r="O1696" s="1" t="s">
        <v>33</v>
      </c>
      <c r="P1696" s="1" t="s">
        <v>82</v>
      </c>
      <c r="Q1696" s="1" t="s">
        <v>82</v>
      </c>
      <c r="R1696" s="1" t="s">
        <v>83</v>
      </c>
      <c r="S1696" s="1" t="s">
        <v>84</v>
      </c>
      <c r="T1696" s="1">
        <v>1.0061233E8</v>
      </c>
      <c r="W1696" s="1" t="s">
        <v>85</v>
      </c>
      <c r="X1696" s="1" t="s">
        <v>2086</v>
      </c>
    </row>
    <row r="1697">
      <c r="A1697" s="1" t="s">
        <v>5579</v>
      </c>
      <c r="B1697" s="1" t="s">
        <v>1387</v>
      </c>
      <c r="C1697" s="1" t="s">
        <v>5580</v>
      </c>
      <c r="D1697" s="1" t="s">
        <v>103</v>
      </c>
      <c r="E1697" s="1" t="s">
        <v>29</v>
      </c>
      <c r="F1697" s="5">
        <v>500000.0</v>
      </c>
      <c r="G1697" s="1" t="s">
        <v>3964</v>
      </c>
      <c r="H1697" s="1" t="s">
        <v>5581</v>
      </c>
      <c r="I1697" s="1" t="s">
        <v>5582</v>
      </c>
      <c r="K1697" s="1">
        <v>0.0</v>
      </c>
      <c r="L1697" s="1" t="s">
        <v>491</v>
      </c>
      <c r="M1697" s="1" t="str">
        <f>VLOOKUP(L1697,'Copy of PMD Workday Constants -'!B1696:W2382,22,false)</f>
        <v>#N/A</v>
      </c>
      <c r="N1697" s="1" t="s">
        <v>32</v>
      </c>
      <c r="O1697" s="1" t="s">
        <v>33</v>
      </c>
      <c r="P1697" s="1" t="s">
        <v>112</v>
      </c>
      <c r="Q1697" s="1" t="s">
        <v>112</v>
      </c>
      <c r="R1697" s="1" t="s">
        <v>113</v>
      </c>
      <c r="S1697" s="1" t="s">
        <v>204</v>
      </c>
      <c r="T1697" s="1">
        <v>1.00623914E8</v>
      </c>
      <c r="W1697" s="1" t="s">
        <v>91</v>
      </c>
      <c r="X1697" s="1" t="s">
        <v>491</v>
      </c>
    </row>
    <row r="1698">
      <c r="A1698" s="1" t="s">
        <v>5583</v>
      </c>
      <c r="B1698" s="1" t="s">
        <v>1257</v>
      </c>
      <c r="C1698" s="1" t="s">
        <v>5584</v>
      </c>
      <c r="D1698" s="1" t="s">
        <v>28</v>
      </c>
      <c r="E1698" s="1" t="s">
        <v>29</v>
      </c>
      <c r="F1698" s="5">
        <v>500000.0</v>
      </c>
      <c r="G1698" s="1" t="s">
        <v>3964</v>
      </c>
      <c r="H1698" s="4">
        <v>44596.0</v>
      </c>
      <c r="I1698" s="1" t="s">
        <v>302</v>
      </c>
      <c r="K1698" s="1">
        <v>0.0</v>
      </c>
      <c r="L1698" s="1" t="s">
        <v>1757</v>
      </c>
      <c r="M1698" s="1" t="str">
        <f>VLOOKUP(L1698,'Copy of PMD Workday Constants -'!B1697:W2383,22,false)</f>
        <v>#N/A</v>
      </c>
      <c r="N1698" s="1" t="s">
        <v>32</v>
      </c>
      <c r="O1698" s="1" t="s">
        <v>33</v>
      </c>
      <c r="P1698" s="1" t="s">
        <v>112</v>
      </c>
      <c r="Q1698" s="1" t="s">
        <v>112</v>
      </c>
      <c r="R1698" s="1" t="s">
        <v>113</v>
      </c>
      <c r="S1698" s="1" t="s">
        <v>120</v>
      </c>
      <c r="T1698" s="1">
        <v>1.00597983E8</v>
      </c>
      <c r="W1698" s="1" t="s">
        <v>56</v>
      </c>
      <c r="X1698" s="1" t="s">
        <v>2377</v>
      </c>
    </row>
    <row r="1699">
      <c r="A1699" s="1" t="s">
        <v>5585</v>
      </c>
      <c r="B1699" s="1" t="s">
        <v>5586</v>
      </c>
      <c r="C1699" s="1" t="s">
        <v>5584</v>
      </c>
      <c r="D1699" s="1" t="s">
        <v>28</v>
      </c>
      <c r="E1699" s="1" t="s">
        <v>29</v>
      </c>
      <c r="F1699" s="5">
        <v>500000.0</v>
      </c>
      <c r="G1699" s="1" t="s">
        <v>3964</v>
      </c>
      <c r="H1699" s="4">
        <v>44596.0</v>
      </c>
      <c r="I1699" s="1" t="s">
        <v>302</v>
      </c>
      <c r="K1699" s="1">
        <v>0.0</v>
      </c>
      <c r="L1699" s="1" t="s">
        <v>1757</v>
      </c>
      <c r="M1699" s="1" t="str">
        <f>VLOOKUP(L1699,'Copy of PMD Workday Constants -'!B1698:W2384,22,false)</f>
        <v>#N/A</v>
      </c>
      <c r="N1699" s="1" t="s">
        <v>32</v>
      </c>
      <c r="O1699" s="1" t="s">
        <v>33</v>
      </c>
      <c r="P1699" s="1" t="s">
        <v>112</v>
      </c>
      <c r="Q1699" s="1" t="s">
        <v>112</v>
      </c>
      <c r="R1699" s="1" t="s">
        <v>113</v>
      </c>
      <c r="S1699" s="1" t="s">
        <v>120</v>
      </c>
      <c r="T1699" s="1">
        <v>1.00597983E8</v>
      </c>
      <c r="W1699" s="1" t="s">
        <v>56</v>
      </c>
      <c r="X1699" s="1" t="s">
        <v>2377</v>
      </c>
    </row>
    <row r="1700">
      <c r="A1700" s="1" t="s">
        <v>5587</v>
      </c>
      <c r="B1700" s="1" t="s">
        <v>373</v>
      </c>
      <c r="C1700" s="1" t="s">
        <v>5588</v>
      </c>
      <c r="D1700" s="1" t="s">
        <v>103</v>
      </c>
      <c r="E1700" s="1" t="s">
        <v>29</v>
      </c>
      <c r="F1700" s="5">
        <v>500000.0</v>
      </c>
      <c r="G1700" s="1" t="s">
        <v>3964</v>
      </c>
      <c r="H1700" s="1" t="s">
        <v>375</v>
      </c>
      <c r="I1700" s="1" t="s">
        <v>96</v>
      </c>
      <c r="K1700" s="1">
        <v>0.0</v>
      </c>
      <c r="L1700" s="1" t="s">
        <v>370</v>
      </c>
      <c r="M1700" s="1" t="str">
        <f>VLOOKUP(L1700,'Copy of PMD Workday Constants -'!B1699:W2385,22,false)</f>
        <v>#N/A</v>
      </c>
      <c r="N1700" s="1" t="s">
        <v>32</v>
      </c>
      <c r="O1700" s="1" t="s">
        <v>33</v>
      </c>
      <c r="P1700" s="1" t="s">
        <v>210</v>
      </c>
      <c r="Q1700" s="1" t="s">
        <v>210</v>
      </c>
      <c r="R1700" s="1" t="s">
        <v>211</v>
      </c>
      <c r="S1700" s="1" t="s">
        <v>297</v>
      </c>
      <c r="T1700" s="1">
        <v>1.00658132E8</v>
      </c>
      <c r="W1700" s="1" t="s">
        <v>258</v>
      </c>
      <c r="X1700" s="1" t="s">
        <v>370</v>
      </c>
    </row>
    <row r="1701">
      <c r="A1701" s="1" t="s">
        <v>5589</v>
      </c>
      <c r="B1701" s="1" t="s">
        <v>1109</v>
      </c>
      <c r="C1701" s="1" t="s">
        <v>5590</v>
      </c>
      <c r="D1701" s="1" t="s">
        <v>28</v>
      </c>
      <c r="E1701" s="1" t="s">
        <v>29</v>
      </c>
      <c r="F1701" s="5">
        <v>500000.0</v>
      </c>
      <c r="G1701" s="1" t="s">
        <v>3964</v>
      </c>
      <c r="H1701" s="1" t="s">
        <v>5591</v>
      </c>
      <c r="I1701" s="1" t="s">
        <v>264</v>
      </c>
      <c r="K1701" s="1">
        <v>0.0</v>
      </c>
      <c r="L1701" s="1" t="s">
        <v>81</v>
      </c>
      <c r="M1701" s="1" t="str">
        <f>VLOOKUP(L1701,'Copy of PMD Workday Constants -'!B1700:W2386,22,false)</f>
        <v>#N/A</v>
      </c>
      <c r="N1701" s="1" t="s">
        <v>32</v>
      </c>
      <c r="O1701" s="1" t="s">
        <v>33</v>
      </c>
      <c r="P1701" s="1" t="s">
        <v>82</v>
      </c>
      <c r="Q1701" s="1" t="s">
        <v>82</v>
      </c>
      <c r="R1701" s="1" t="s">
        <v>83</v>
      </c>
      <c r="S1701" s="1" t="s">
        <v>84</v>
      </c>
      <c r="T1701" s="1">
        <v>1.00640331E8</v>
      </c>
      <c r="W1701" s="1" t="s">
        <v>85</v>
      </c>
      <c r="X1701" s="1" t="s">
        <v>2046</v>
      </c>
    </row>
    <row r="1702">
      <c r="A1702" s="1" t="s">
        <v>5592</v>
      </c>
      <c r="B1702" s="1" t="s">
        <v>5151</v>
      </c>
      <c r="C1702" s="1" t="s">
        <v>5593</v>
      </c>
      <c r="D1702" s="1" t="s">
        <v>51</v>
      </c>
      <c r="E1702" s="1" t="s">
        <v>29</v>
      </c>
      <c r="F1702" s="5">
        <v>500000.0</v>
      </c>
      <c r="G1702" s="1" t="s">
        <v>3964</v>
      </c>
      <c r="H1702" s="4">
        <v>44836.0</v>
      </c>
      <c r="I1702" s="1" t="s">
        <v>191</v>
      </c>
      <c r="K1702" s="1">
        <v>0.0</v>
      </c>
      <c r="L1702" s="1" t="s">
        <v>1549</v>
      </c>
      <c r="M1702" s="1" t="str">
        <f>VLOOKUP(L1702,'Copy of PMD Workday Constants -'!B1701:W2387,22,false)</f>
        <v>#N/A</v>
      </c>
      <c r="N1702" s="1" t="s">
        <v>32</v>
      </c>
      <c r="O1702" s="1" t="s">
        <v>33</v>
      </c>
      <c r="P1702" s="1" t="s">
        <v>173</v>
      </c>
      <c r="Q1702" s="1" t="s">
        <v>173</v>
      </c>
      <c r="R1702" s="1" t="s">
        <v>174</v>
      </c>
      <c r="S1702" s="1" t="s">
        <v>612</v>
      </c>
      <c r="T1702" s="1">
        <v>1.00646908E8</v>
      </c>
      <c r="W1702" s="1" t="s">
        <v>947</v>
      </c>
      <c r="X1702" s="1" t="s">
        <v>836</v>
      </c>
    </row>
    <row r="1703">
      <c r="A1703" s="1" t="s">
        <v>5594</v>
      </c>
      <c r="B1703" s="1" t="s">
        <v>3507</v>
      </c>
      <c r="C1703" s="1" t="s">
        <v>5595</v>
      </c>
      <c r="D1703" s="1" t="s">
        <v>28</v>
      </c>
      <c r="E1703" s="1" t="s">
        <v>29</v>
      </c>
      <c r="F1703" s="5">
        <v>500000.0</v>
      </c>
      <c r="G1703" s="1" t="s">
        <v>3964</v>
      </c>
      <c r="H1703" s="1" t="s">
        <v>2062</v>
      </c>
      <c r="I1703" s="1" t="s">
        <v>104</v>
      </c>
      <c r="K1703" s="1">
        <v>0.0</v>
      </c>
      <c r="L1703" s="1" t="s">
        <v>5596</v>
      </c>
      <c r="M1703" s="1" t="str">
        <f>VLOOKUP(L1703,'Copy of PMD Workday Constants -'!B1702:W2388,22,false)</f>
        <v>#N/A</v>
      </c>
      <c r="N1703" s="1" t="s">
        <v>32</v>
      </c>
      <c r="O1703" s="1" t="s">
        <v>33</v>
      </c>
      <c r="P1703" s="1" t="s">
        <v>34</v>
      </c>
      <c r="Q1703" s="1" t="s">
        <v>34</v>
      </c>
      <c r="R1703" s="1" t="s">
        <v>35</v>
      </c>
      <c r="S1703" s="1" t="s">
        <v>36</v>
      </c>
      <c r="T1703" s="1">
        <v>1.00586097E8</v>
      </c>
      <c r="W1703" s="1" t="s">
        <v>37</v>
      </c>
      <c r="X1703" s="1" t="s">
        <v>175</v>
      </c>
    </row>
    <row r="1704">
      <c r="A1704" s="1" t="s">
        <v>5597</v>
      </c>
      <c r="B1704" s="1" t="s">
        <v>3542</v>
      </c>
      <c r="C1704" s="1" t="s">
        <v>5536</v>
      </c>
      <c r="D1704" s="1" t="s">
        <v>28</v>
      </c>
      <c r="E1704" s="1" t="s">
        <v>29</v>
      </c>
      <c r="F1704" s="5">
        <v>500000.0</v>
      </c>
      <c r="G1704" s="1" t="s">
        <v>3964</v>
      </c>
      <c r="H1704" s="4">
        <v>44836.0</v>
      </c>
      <c r="I1704" s="1" t="s">
        <v>191</v>
      </c>
      <c r="K1704" s="1">
        <v>0.0</v>
      </c>
      <c r="L1704" s="1" t="s">
        <v>836</v>
      </c>
      <c r="M1704" s="1" t="str">
        <f>VLOOKUP(L1704,'Copy of PMD Workday Constants -'!B1703:W2389,22,false)</f>
        <v>#N/A</v>
      </c>
      <c r="N1704" s="1" t="s">
        <v>32</v>
      </c>
      <c r="O1704" s="1" t="s">
        <v>33</v>
      </c>
      <c r="P1704" s="1" t="s">
        <v>173</v>
      </c>
      <c r="Q1704" s="1" t="s">
        <v>173</v>
      </c>
      <c r="R1704" s="1" t="s">
        <v>174</v>
      </c>
      <c r="S1704" s="1" t="s">
        <v>612</v>
      </c>
      <c r="T1704" s="1">
        <v>1.00648457E8</v>
      </c>
      <c r="W1704" s="1" t="s">
        <v>947</v>
      </c>
      <c r="X1704" s="1" t="s">
        <v>836</v>
      </c>
    </row>
    <row r="1705">
      <c r="A1705" s="1" t="s">
        <v>5598</v>
      </c>
      <c r="B1705" s="1" t="s">
        <v>610</v>
      </c>
      <c r="C1705" s="1" t="s">
        <v>5599</v>
      </c>
      <c r="D1705" s="1" t="s">
        <v>51</v>
      </c>
      <c r="E1705" s="1" t="s">
        <v>29</v>
      </c>
      <c r="F1705" s="5">
        <v>500000.0</v>
      </c>
      <c r="G1705" s="1" t="s">
        <v>3964</v>
      </c>
      <c r="H1705" s="4">
        <v>44713.0</v>
      </c>
      <c r="I1705" s="1" t="s">
        <v>302</v>
      </c>
      <c r="K1705" s="1">
        <v>0.0</v>
      </c>
      <c r="L1705" s="1" t="s">
        <v>338</v>
      </c>
      <c r="M1705" s="1" t="str">
        <f>VLOOKUP(L1705,'Copy of PMD Workday Constants -'!B1704:W2390,22,false)</f>
        <v>#N/A</v>
      </c>
      <c r="N1705" s="1" t="s">
        <v>32</v>
      </c>
      <c r="O1705" s="1" t="s">
        <v>33</v>
      </c>
      <c r="P1705" s="1" t="s">
        <v>34</v>
      </c>
      <c r="Q1705" s="1" t="s">
        <v>34</v>
      </c>
      <c r="R1705" s="1" t="s">
        <v>35</v>
      </c>
      <c r="S1705" s="1" t="s">
        <v>126</v>
      </c>
      <c r="T1705" s="1">
        <v>1.00619817E8</v>
      </c>
      <c r="W1705" s="1" t="s">
        <v>533</v>
      </c>
      <c r="X1705" s="1" t="s">
        <v>338</v>
      </c>
    </row>
    <row r="1706">
      <c r="A1706" s="1" t="s">
        <v>5600</v>
      </c>
      <c r="B1706" s="1" t="s">
        <v>324</v>
      </c>
      <c r="C1706" s="1" t="s">
        <v>5601</v>
      </c>
      <c r="D1706" s="1" t="s">
        <v>28</v>
      </c>
      <c r="E1706" s="1" t="s">
        <v>29</v>
      </c>
      <c r="F1706" s="5">
        <v>500000.0</v>
      </c>
      <c r="G1706" s="1" t="s">
        <v>3964</v>
      </c>
      <c r="H1706" s="4">
        <v>44471.0</v>
      </c>
      <c r="I1706" s="1" t="s">
        <v>2485</v>
      </c>
      <c r="K1706" s="1">
        <v>0.0</v>
      </c>
      <c r="L1706" s="1" t="s">
        <v>5335</v>
      </c>
      <c r="M1706" s="1" t="str">
        <f>VLOOKUP(L1706,'Copy of PMD Workday Constants -'!B1705:W2391,22,false)</f>
        <v>#N/A</v>
      </c>
      <c r="N1706" s="1" t="s">
        <v>32</v>
      </c>
      <c r="O1706" s="1" t="s">
        <v>33</v>
      </c>
      <c r="P1706" s="1" t="s">
        <v>64</v>
      </c>
      <c r="Q1706" s="1" t="s">
        <v>64</v>
      </c>
      <c r="R1706" s="1" t="s">
        <v>65</v>
      </c>
      <c r="S1706" s="1" t="s">
        <v>1313</v>
      </c>
      <c r="T1706" s="1">
        <v>1.00649463E8</v>
      </c>
      <c r="W1706" s="1" t="s">
        <v>56</v>
      </c>
      <c r="X1706" s="1" t="s">
        <v>4746</v>
      </c>
    </row>
    <row r="1707">
      <c r="A1707" s="1" t="s">
        <v>5602</v>
      </c>
      <c r="B1707" s="1" t="s">
        <v>1003</v>
      </c>
      <c r="C1707" s="1" t="s">
        <v>5603</v>
      </c>
      <c r="D1707" s="1" t="s">
        <v>51</v>
      </c>
      <c r="E1707" s="1" t="s">
        <v>29</v>
      </c>
      <c r="F1707" s="5">
        <v>500000.0</v>
      </c>
      <c r="G1707" s="1" t="s">
        <v>3964</v>
      </c>
      <c r="H1707" s="4">
        <v>44748.0</v>
      </c>
      <c r="I1707" s="1" t="s">
        <v>96</v>
      </c>
      <c r="K1707" s="1">
        <v>0.0</v>
      </c>
      <c r="L1707" s="1" t="s">
        <v>894</v>
      </c>
      <c r="M1707" s="1" t="str">
        <f>VLOOKUP(L1707,'Copy of PMD Workday Constants -'!B1706:W2392,22,false)</f>
        <v>#N/A</v>
      </c>
      <c r="N1707" s="1" t="s">
        <v>32</v>
      </c>
      <c r="O1707" s="1" t="s">
        <v>33</v>
      </c>
      <c r="P1707" s="1" t="s">
        <v>82</v>
      </c>
      <c r="Q1707" s="1" t="s">
        <v>82</v>
      </c>
      <c r="R1707" s="1" t="s">
        <v>83</v>
      </c>
      <c r="S1707" s="1" t="s">
        <v>180</v>
      </c>
      <c r="T1707" s="1">
        <v>1.01033479E8</v>
      </c>
      <c r="W1707" s="1" t="s">
        <v>85</v>
      </c>
      <c r="X1707" s="1" t="s">
        <v>1735</v>
      </c>
    </row>
    <row r="1708">
      <c r="A1708" s="1" t="s">
        <v>5604</v>
      </c>
      <c r="B1708" s="1" t="s">
        <v>5605</v>
      </c>
      <c r="C1708" s="1" t="s">
        <v>5606</v>
      </c>
      <c r="D1708" s="1" t="s">
        <v>28</v>
      </c>
      <c r="E1708" s="1" t="s">
        <v>29</v>
      </c>
      <c r="F1708" s="5">
        <v>500000.0</v>
      </c>
      <c r="G1708" s="1" t="s">
        <v>3964</v>
      </c>
      <c r="H1708" s="1" t="s">
        <v>52</v>
      </c>
      <c r="I1708" s="1" t="s">
        <v>152</v>
      </c>
      <c r="K1708" s="1">
        <v>0.0</v>
      </c>
      <c r="L1708" s="1" t="s">
        <v>5607</v>
      </c>
      <c r="M1708" s="1" t="str">
        <f>VLOOKUP(L1708,'Copy of PMD Workday Constants -'!B1707:W2393,22,false)</f>
        <v>#N/A</v>
      </c>
      <c r="N1708" s="1" t="s">
        <v>32</v>
      </c>
      <c r="O1708" s="1" t="s">
        <v>33</v>
      </c>
      <c r="P1708" s="1" t="s">
        <v>173</v>
      </c>
      <c r="Q1708" s="1" t="s">
        <v>173</v>
      </c>
      <c r="R1708" s="1" t="s">
        <v>174</v>
      </c>
      <c r="S1708" s="1" t="s">
        <v>612</v>
      </c>
      <c r="T1708" s="1">
        <v>1.00612746E8</v>
      </c>
      <c r="W1708" s="1" t="s">
        <v>493</v>
      </c>
      <c r="X1708" s="1" t="s">
        <v>3849</v>
      </c>
    </row>
    <row r="1709">
      <c r="A1709" s="1" t="s">
        <v>5608</v>
      </c>
      <c r="B1709" s="1" t="s">
        <v>5609</v>
      </c>
      <c r="C1709" s="1" t="s">
        <v>5474</v>
      </c>
      <c r="D1709" s="1" t="s">
        <v>28</v>
      </c>
      <c r="E1709" s="1" t="s">
        <v>29</v>
      </c>
      <c r="F1709" s="5">
        <v>500000.0</v>
      </c>
      <c r="G1709" s="1" t="s">
        <v>3964</v>
      </c>
      <c r="H1709" s="1" t="s">
        <v>5610</v>
      </c>
      <c r="I1709" s="1" t="s">
        <v>166</v>
      </c>
      <c r="K1709" s="1">
        <v>0.0</v>
      </c>
      <c r="L1709" s="1" t="s">
        <v>4608</v>
      </c>
      <c r="M1709" s="1" t="str">
        <f>VLOOKUP(L1709,'Copy of PMD Workday Constants -'!B1708:W2394,22,false)</f>
        <v>#N/A</v>
      </c>
      <c r="N1709" s="1" t="s">
        <v>32</v>
      </c>
      <c r="O1709" s="1" t="s">
        <v>33</v>
      </c>
      <c r="P1709" s="1" t="s">
        <v>222</v>
      </c>
      <c r="Q1709" s="1" t="s">
        <v>222</v>
      </c>
      <c r="R1709" s="1" t="s">
        <v>223</v>
      </c>
      <c r="S1709" s="1" t="s">
        <v>482</v>
      </c>
      <c r="T1709" s="1">
        <v>1.00592715E8</v>
      </c>
      <c r="W1709" s="1" t="s">
        <v>115</v>
      </c>
      <c r="X1709" s="1" t="s">
        <v>4608</v>
      </c>
    </row>
    <row r="1710">
      <c r="A1710" s="1" t="s">
        <v>5611</v>
      </c>
      <c r="B1710" s="1" t="s">
        <v>2867</v>
      </c>
      <c r="C1710" s="1" t="s">
        <v>2869</v>
      </c>
      <c r="D1710" s="1" t="s">
        <v>51</v>
      </c>
      <c r="E1710" s="1" t="s">
        <v>29</v>
      </c>
      <c r="F1710" s="5">
        <v>500000.0</v>
      </c>
      <c r="G1710" s="1" t="s">
        <v>3964</v>
      </c>
      <c r="H1710" s="1" t="s">
        <v>2348</v>
      </c>
      <c r="I1710" s="1" t="s">
        <v>302</v>
      </c>
      <c r="K1710" s="1">
        <v>0.0</v>
      </c>
      <c r="L1710" s="1" t="s">
        <v>2325</v>
      </c>
      <c r="M1710" s="1" t="str">
        <f>VLOOKUP(L1710,'Copy of PMD Workday Constants -'!B1709:W2395,22,false)</f>
        <v>#N/A</v>
      </c>
      <c r="N1710" s="1" t="s">
        <v>32</v>
      </c>
      <c r="O1710" s="1" t="s">
        <v>33</v>
      </c>
      <c r="P1710" s="1" t="s">
        <v>82</v>
      </c>
      <c r="Q1710" s="1" t="s">
        <v>82</v>
      </c>
      <c r="R1710" s="1" t="s">
        <v>83</v>
      </c>
      <c r="S1710" s="1" t="s">
        <v>180</v>
      </c>
      <c r="T1710" s="1">
        <v>1.00628181E8</v>
      </c>
      <c r="V1710" s="1" t="s">
        <v>422</v>
      </c>
      <c r="W1710" s="1" t="s">
        <v>85</v>
      </c>
      <c r="X1710" s="1" t="s">
        <v>1206</v>
      </c>
    </row>
    <row r="1711">
      <c r="A1711" s="1" t="s">
        <v>5612</v>
      </c>
      <c r="B1711" s="1" t="s">
        <v>637</v>
      </c>
      <c r="C1711" s="1" t="s">
        <v>5613</v>
      </c>
      <c r="D1711" s="1" t="s">
        <v>103</v>
      </c>
      <c r="E1711" s="1" t="s">
        <v>29</v>
      </c>
      <c r="F1711" s="5">
        <v>500000.0</v>
      </c>
      <c r="G1711" s="1" t="s">
        <v>3964</v>
      </c>
      <c r="H1711" s="1" t="s">
        <v>1842</v>
      </c>
      <c r="I1711" s="1" t="s">
        <v>80</v>
      </c>
      <c r="K1711" s="1">
        <v>0.0</v>
      </c>
      <c r="L1711" s="1" t="s">
        <v>4794</v>
      </c>
      <c r="M1711" s="1" t="str">
        <f>VLOOKUP(L1711,'Copy of PMD Workday Constants -'!B1710:W2396,22,false)</f>
        <v>#N/A</v>
      </c>
      <c r="N1711" s="1" t="s">
        <v>32</v>
      </c>
      <c r="O1711" s="1" t="s">
        <v>33</v>
      </c>
      <c r="P1711" s="1" t="s">
        <v>173</v>
      </c>
      <c r="Q1711" s="1" t="s">
        <v>173</v>
      </c>
      <c r="R1711" s="1" t="s">
        <v>174</v>
      </c>
      <c r="S1711" s="1" t="s">
        <v>612</v>
      </c>
      <c r="T1711" s="1">
        <v>1.00875111E8</v>
      </c>
      <c r="U1711" s="1" t="s">
        <v>5614</v>
      </c>
      <c r="V1711" s="1" t="s">
        <v>46</v>
      </c>
      <c r="W1711" s="1" t="s">
        <v>56</v>
      </c>
      <c r="X1711" s="1" t="s">
        <v>4795</v>
      </c>
    </row>
    <row r="1712">
      <c r="A1712" s="1" t="s">
        <v>5615</v>
      </c>
      <c r="B1712" s="1" t="s">
        <v>1713</v>
      </c>
      <c r="C1712" s="1" t="s">
        <v>5616</v>
      </c>
      <c r="D1712" s="1" t="s">
        <v>28</v>
      </c>
      <c r="E1712" s="1" t="s">
        <v>29</v>
      </c>
      <c r="F1712" s="5">
        <v>500000.0</v>
      </c>
      <c r="G1712" s="1" t="s">
        <v>3964</v>
      </c>
      <c r="H1712" s="1" t="s">
        <v>952</v>
      </c>
      <c r="I1712" s="1" t="s">
        <v>152</v>
      </c>
      <c r="K1712" s="1">
        <v>0.0</v>
      </c>
      <c r="L1712" s="1" t="s">
        <v>532</v>
      </c>
      <c r="M1712" s="1" t="str">
        <f>VLOOKUP(L1712,'Copy of PMD Workday Constants -'!B1711:W2397,22,false)</f>
        <v>#N/A</v>
      </c>
      <c r="N1712" s="1" t="s">
        <v>32</v>
      </c>
      <c r="O1712" s="1" t="s">
        <v>33</v>
      </c>
      <c r="P1712" s="1" t="s">
        <v>112</v>
      </c>
      <c r="Q1712" s="1" t="s">
        <v>112</v>
      </c>
      <c r="R1712" s="1" t="s">
        <v>113</v>
      </c>
      <c r="S1712" s="1" t="s">
        <v>204</v>
      </c>
      <c r="T1712" s="1">
        <v>1.00646702E8</v>
      </c>
      <c r="W1712" s="1" t="s">
        <v>91</v>
      </c>
      <c r="X1712" s="1" t="s">
        <v>1716</v>
      </c>
    </row>
    <row r="1713">
      <c r="A1713" s="1" t="s">
        <v>5617</v>
      </c>
      <c r="B1713" s="1" t="s">
        <v>1252</v>
      </c>
      <c r="C1713" s="1" t="s">
        <v>5618</v>
      </c>
      <c r="D1713" s="1" t="s">
        <v>103</v>
      </c>
      <c r="E1713" s="1" t="s">
        <v>29</v>
      </c>
      <c r="F1713" s="5">
        <v>500000.0</v>
      </c>
      <c r="G1713" s="1" t="s">
        <v>3964</v>
      </c>
      <c r="H1713" s="1" t="s">
        <v>537</v>
      </c>
      <c r="I1713" s="1" t="s">
        <v>1470</v>
      </c>
      <c r="K1713" s="1">
        <v>0.0</v>
      </c>
      <c r="L1713" s="1" t="s">
        <v>1674</v>
      </c>
      <c r="M1713" s="1" t="str">
        <f>VLOOKUP(L1713,'Copy of PMD Workday Constants -'!B1712:W2398,22,false)</f>
        <v>#N/A</v>
      </c>
      <c r="N1713" s="1" t="s">
        <v>32</v>
      </c>
      <c r="O1713" s="1" t="s">
        <v>33</v>
      </c>
      <c r="P1713" s="1" t="s">
        <v>210</v>
      </c>
      <c r="Q1713" s="1" t="s">
        <v>210</v>
      </c>
      <c r="R1713" s="1" t="s">
        <v>211</v>
      </c>
      <c r="S1713" s="1" t="s">
        <v>212</v>
      </c>
      <c r="T1713" s="1">
        <v>1.00648421E8</v>
      </c>
      <c r="W1713" s="1" t="s">
        <v>56</v>
      </c>
      <c r="X1713" s="1" t="s">
        <v>1255</v>
      </c>
    </row>
    <row r="1714">
      <c r="A1714" s="1" t="s">
        <v>5619</v>
      </c>
      <c r="B1714" s="1" t="s">
        <v>1449</v>
      </c>
      <c r="C1714" s="1" t="s">
        <v>5620</v>
      </c>
      <c r="D1714" s="1" t="s">
        <v>51</v>
      </c>
      <c r="E1714" s="1" t="s">
        <v>29</v>
      </c>
      <c r="F1714" s="5">
        <v>500000.0</v>
      </c>
      <c r="G1714" s="1" t="s">
        <v>3964</v>
      </c>
      <c r="H1714" s="1" t="s">
        <v>1672</v>
      </c>
      <c r="I1714" s="1" t="s">
        <v>414</v>
      </c>
      <c r="K1714" s="1">
        <v>0.0</v>
      </c>
      <c r="L1714" s="1" t="s">
        <v>3290</v>
      </c>
      <c r="M1714" s="1" t="str">
        <f>VLOOKUP(L1714,'Copy of PMD Workday Constants -'!B1713:W2399,22,false)</f>
        <v>#N/A</v>
      </c>
      <c r="N1714" s="1" t="s">
        <v>32</v>
      </c>
      <c r="O1714" s="1" t="s">
        <v>33</v>
      </c>
      <c r="P1714" s="1" t="s">
        <v>112</v>
      </c>
      <c r="Q1714" s="1" t="s">
        <v>112</v>
      </c>
      <c r="R1714" s="1" t="s">
        <v>113</v>
      </c>
      <c r="S1714" s="1" t="s">
        <v>134</v>
      </c>
      <c r="T1714" s="1">
        <v>1.00625578E8</v>
      </c>
      <c r="W1714" s="1" t="s">
        <v>493</v>
      </c>
      <c r="X1714" s="1" t="s">
        <v>1711</v>
      </c>
    </row>
    <row r="1715">
      <c r="A1715" s="1" t="s">
        <v>5621</v>
      </c>
      <c r="B1715" s="1" t="s">
        <v>149</v>
      </c>
      <c r="C1715" s="1" t="s">
        <v>5622</v>
      </c>
      <c r="D1715" s="1" t="s">
        <v>28</v>
      </c>
      <c r="E1715" s="1" t="s">
        <v>29</v>
      </c>
      <c r="F1715" s="5">
        <v>500000.0</v>
      </c>
      <c r="G1715" s="1" t="s">
        <v>3964</v>
      </c>
      <c r="H1715" s="4">
        <v>44357.0</v>
      </c>
      <c r="I1715" s="1" t="s">
        <v>810</v>
      </c>
      <c r="K1715" s="1">
        <v>0.0</v>
      </c>
      <c r="L1715" s="1" t="s">
        <v>1075</v>
      </c>
      <c r="M1715" s="1" t="str">
        <f>VLOOKUP(L1715,'Copy of PMD Workday Constants -'!B1714:W2400,22,false)</f>
        <v>#N/A</v>
      </c>
      <c r="N1715" s="1" t="s">
        <v>32</v>
      </c>
      <c r="O1715" s="1" t="s">
        <v>33</v>
      </c>
      <c r="P1715" s="1" t="s">
        <v>34</v>
      </c>
      <c r="Q1715" s="1" t="s">
        <v>34</v>
      </c>
      <c r="R1715" s="1" t="s">
        <v>35</v>
      </c>
      <c r="T1715" s="1">
        <v>1.00601386E8</v>
      </c>
      <c r="W1715" s="1" t="s">
        <v>91</v>
      </c>
      <c r="X1715" s="1" t="s">
        <v>589</v>
      </c>
    </row>
    <row r="1716">
      <c r="A1716" s="1" t="s">
        <v>5623</v>
      </c>
      <c r="B1716" s="1" t="s">
        <v>1062</v>
      </c>
      <c r="C1716" s="1" t="s">
        <v>5624</v>
      </c>
      <c r="D1716" s="1" t="s">
        <v>28</v>
      </c>
      <c r="E1716" s="1" t="s">
        <v>29</v>
      </c>
      <c r="F1716" s="5">
        <v>500000.0</v>
      </c>
      <c r="G1716" s="1" t="s">
        <v>3964</v>
      </c>
      <c r="H1716" s="4">
        <v>44748.0</v>
      </c>
      <c r="I1716" s="1" t="s">
        <v>152</v>
      </c>
      <c r="K1716" s="1">
        <v>0.0</v>
      </c>
      <c r="L1716" s="1" t="s">
        <v>1065</v>
      </c>
      <c r="M1716" s="1" t="str">
        <f>VLOOKUP(L1716,'Copy of PMD Workday Constants -'!B1715:W2401,22,false)</f>
        <v>#N/A</v>
      </c>
      <c r="N1716" s="1" t="s">
        <v>32</v>
      </c>
      <c r="O1716" s="1" t="s">
        <v>33</v>
      </c>
      <c r="P1716" s="1" t="s">
        <v>173</v>
      </c>
      <c r="Q1716" s="1" t="s">
        <v>173</v>
      </c>
      <c r="R1716" s="1" t="s">
        <v>174</v>
      </c>
      <c r="S1716" s="1" t="s">
        <v>540</v>
      </c>
      <c r="T1716" s="1">
        <v>1.00594872E8</v>
      </c>
      <c r="W1716" s="1" t="s">
        <v>493</v>
      </c>
      <c r="X1716" s="1" t="s">
        <v>1065</v>
      </c>
    </row>
    <row r="1717">
      <c r="A1717" s="1" t="s">
        <v>5625</v>
      </c>
      <c r="B1717" s="1" t="s">
        <v>1184</v>
      </c>
      <c r="C1717" s="1" t="s">
        <v>5626</v>
      </c>
      <c r="D1717" s="1" t="s">
        <v>51</v>
      </c>
      <c r="E1717" s="1" t="s">
        <v>29</v>
      </c>
      <c r="F1717" s="5">
        <v>500000.0</v>
      </c>
      <c r="G1717" s="1" t="s">
        <v>3964</v>
      </c>
      <c r="H1717" s="4">
        <v>44538.0</v>
      </c>
      <c r="I1717" s="4">
        <v>44840.0</v>
      </c>
      <c r="K1717" s="1">
        <v>0.0</v>
      </c>
      <c r="L1717" s="1" t="s">
        <v>5344</v>
      </c>
      <c r="M1717" s="1" t="str">
        <f>VLOOKUP(L1717,'Copy of PMD Workday Constants -'!B1716:W2402,22,false)</f>
        <v>#N/A</v>
      </c>
      <c r="N1717" s="1" t="s">
        <v>32</v>
      </c>
      <c r="O1717" s="1" t="s">
        <v>33</v>
      </c>
      <c r="P1717" s="1" t="s">
        <v>210</v>
      </c>
      <c r="Q1717" s="1" t="s">
        <v>210</v>
      </c>
      <c r="R1717" s="1" t="s">
        <v>211</v>
      </c>
      <c r="S1717" s="1" t="s">
        <v>212</v>
      </c>
      <c r="T1717" s="1">
        <v>1.0064547E8</v>
      </c>
      <c r="W1717" s="1" t="s">
        <v>56</v>
      </c>
      <c r="X1717" s="1" t="s">
        <v>5627</v>
      </c>
    </row>
    <row r="1718">
      <c r="A1718" s="1" t="s">
        <v>5628</v>
      </c>
      <c r="B1718" s="1" t="s">
        <v>3355</v>
      </c>
      <c r="C1718" s="1" t="s">
        <v>5629</v>
      </c>
      <c r="D1718" s="1" t="s">
        <v>51</v>
      </c>
      <c r="E1718" s="1" t="s">
        <v>29</v>
      </c>
      <c r="F1718" s="5">
        <v>500000.0</v>
      </c>
      <c r="G1718" s="1" t="s">
        <v>3964</v>
      </c>
      <c r="H1718" s="4">
        <v>44475.0</v>
      </c>
      <c r="I1718" s="1" t="s">
        <v>414</v>
      </c>
      <c r="K1718" s="1">
        <v>0.0</v>
      </c>
      <c r="L1718" s="1" t="s">
        <v>72</v>
      </c>
      <c r="M1718" s="1" t="str">
        <f>VLOOKUP(L1718,'Copy of PMD Workday Constants -'!B1717:W2403,22,false)</f>
        <v>#N/A</v>
      </c>
      <c r="N1718" s="1" t="s">
        <v>32</v>
      </c>
      <c r="O1718" s="1" t="s">
        <v>33</v>
      </c>
      <c r="P1718" s="1" t="s">
        <v>34</v>
      </c>
      <c r="Q1718" s="1" t="s">
        <v>34</v>
      </c>
      <c r="R1718" s="1" t="s">
        <v>35</v>
      </c>
      <c r="S1718" s="1" t="s">
        <v>185</v>
      </c>
      <c r="T1718" s="1">
        <v>1.0060843E8</v>
      </c>
      <c r="W1718" s="1" t="s">
        <v>74</v>
      </c>
      <c r="X1718" s="1" t="s">
        <v>72</v>
      </c>
    </row>
    <row r="1719">
      <c r="A1719" s="1" t="s">
        <v>5630</v>
      </c>
      <c r="B1719" s="1" t="s">
        <v>160</v>
      </c>
      <c r="C1719" s="1" t="s">
        <v>5631</v>
      </c>
      <c r="D1719" s="1" t="s">
        <v>28</v>
      </c>
      <c r="E1719" s="1" t="s">
        <v>29</v>
      </c>
      <c r="F1719" s="5">
        <v>500000.0</v>
      </c>
      <c r="G1719" s="1" t="s">
        <v>3964</v>
      </c>
      <c r="H1719" s="1" t="s">
        <v>1341</v>
      </c>
      <c r="I1719" s="1" t="s">
        <v>80</v>
      </c>
      <c r="K1719" s="1">
        <v>0.0</v>
      </c>
      <c r="L1719" s="1" t="s">
        <v>435</v>
      </c>
      <c r="M1719" s="1" t="str">
        <f>VLOOKUP(L1719,'Copy of PMD Workday Constants -'!B1718:W2404,22,false)</f>
        <v>#N/A</v>
      </c>
      <c r="N1719" s="1" t="s">
        <v>32</v>
      </c>
      <c r="O1719" s="1" t="s">
        <v>33</v>
      </c>
      <c r="P1719" s="1" t="s">
        <v>64</v>
      </c>
      <c r="Q1719" s="1" t="s">
        <v>64</v>
      </c>
      <c r="R1719" s="1" t="s">
        <v>65</v>
      </c>
      <c r="S1719" s="1" t="s">
        <v>98</v>
      </c>
      <c r="T1719" s="1">
        <v>1.00653756E8</v>
      </c>
      <c r="U1719" s="1" t="s">
        <v>5632</v>
      </c>
      <c r="V1719" s="1" t="s">
        <v>46</v>
      </c>
      <c r="W1719" s="1" t="s">
        <v>56</v>
      </c>
      <c r="X1719" s="1" t="s">
        <v>435</v>
      </c>
    </row>
    <row r="1720">
      <c r="A1720" s="1" t="s">
        <v>5633</v>
      </c>
      <c r="B1720" s="1" t="s">
        <v>5634</v>
      </c>
      <c r="C1720" s="1" t="s">
        <v>5635</v>
      </c>
      <c r="D1720" s="1" t="s">
        <v>51</v>
      </c>
      <c r="E1720" s="1" t="s">
        <v>29</v>
      </c>
      <c r="F1720" s="5">
        <v>500000.0</v>
      </c>
      <c r="G1720" s="1" t="s">
        <v>3964</v>
      </c>
      <c r="H1720" s="1" t="s">
        <v>3673</v>
      </c>
      <c r="I1720" s="1" t="s">
        <v>2485</v>
      </c>
      <c r="K1720" s="1">
        <v>0.0</v>
      </c>
      <c r="L1720" s="1" t="s">
        <v>2042</v>
      </c>
      <c r="M1720" s="1" t="str">
        <f>VLOOKUP(L1720,'Copy of PMD Workday Constants -'!B1719:W2405,22,false)</f>
        <v>#N/A</v>
      </c>
      <c r="N1720" s="1" t="s">
        <v>32</v>
      </c>
      <c r="O1720" s="1" t="s">
        <v>33</v>
      </c>
      <c r="P1720" s="1" t="s">
        <v>34</v>
      </c>
      <c r="Q1720" s="1" t="s">
        <v>34</v>
      </c>
      <c r="R1720" s="1" t="s">
        <v>35</v>
      </c>
      <c r="S1720" s="1" t="s">
        <v>5636</v>
      </c>
      <c r="T1720" s="1">
        <v>1.00611284E8</v>
      </c>
      <c r="U1720" s="1" t="s">
        <v>5637</v>
      </c>
      <c r="V1720" s="1" t="s">
        <v>46</v>
      </c>
      <c r="W1720" s="1" t="s">
        <v>436</v>
      </c>
      <c r="X1720" s="1" t="s">
        <v>5638</v>
      </c>
    </row>
    <row r="1721">
      <c r="A1721" s="1" t="s">
        <v>5639</v>
      </c>
      <c r="B1721" s="1" t="s">
        <v>657</v>
      </c>
      <c r="C1721" s="1" t="s">
        <v>5640</v>
      </c>
      <c r="D1721" s="1" t="s">
        <v>51</v>
      </c>
      <c r="E1721" s="1" t="s">
        <v>29</v>
      </c>
      <c r="F1721" s="5">
        <v>500000.0</v>
      </c>
      <c r="G1721" s="1" t="s">
        <v>3964</v>
      </c>
      <c r="H1721" s="1" t="s">
        <v>5641</v>
      </c>
      <c r="I1721" s="1" t="s">
        <v>302</v>
      </c>
      <c r="K1721" s="1">
        <v>0.0</v>
      </c>
      <c r="L1721" s="1" t="s">
        <v>198</v>
      </c>
      <c r="M1721" s="1" t="str">
        <f>VLOOKUP(L1721,'Copy of PMD Workday Constants -'!B1720:W2406,22,false)</f>
        <v>#N/A</v>
      </c>
      <c r="N1721" s="1" t="s">
        <v>32</v>
      </c>
      <c r="O1721" s="1" t="s">
        <v>33</v>
      </c>
      <c r="P1721" s="1" t="s">
        <v>82</v>
      </c>
      <c r="Q1721" s="1" t="s">
        <v>82</v>
      </c>
      <c r="R1721" s="1" t="s">
        <v>83</v>
      </c>
      <c r="S1721" s="1" t="s">
        <v>180</v>
      </c>
      <c r="T1721" s="1">
        <v>1.00590896E8</v>
      </c>
      <c r="W1721" s="1" t="s">
        <v>85</v>
      </c>
      <c r="X1721" s="1" t="s">
        <v>519</v>
      </c>
    </row>
    <row r="1722">
      <c r="A1722" s="1" t="s">
        <v>5642</v>
      </c>
      <c r="B1722" s="1" t="s">
        <v>954</v>
      </c>
      <c r="C1722" s="1" t="s">
        <v>5643</v>
      </c>
      <c r="D1722" s="1" t="s">
        <v>51</v>
      </c>
      <c r="E1722" s="1" t="s">
        <v>29</v>
      </c>
      <c r="F1722" s="5">
        <v>500000.0</v>
      </c>
      <c r="G1722" s="1" t="s">
        <v>3964</v>
      </c>
      <c r="H1722" s="1" t="s">
        <v>3755</v>
      </c>
      <c r="I1722" s="1" t="s">
        <v>661</v>
      </c>
      <c r="K1722" s="1">
        <v>0.0</v>
      </c>
      <c r="L1722" s="1" t="s">
        <v>2942</v>
      </c>
      <c r="M1722" s="1" t="str">
        <f>VLOOKUP(L1722,'Copy of PMD Workday Constants -'!B1721:W2407,22,false)</f>
        <v>#N/A</v>
      </c>
      <c r="N1722" s="1" t="s">
        <v>32</v>
      </c>
      <c r="O1722" s="1" t="s">
        <v>33</v>
      </c>
      <c r="P1722" s="1" t="s">
        <v>173</v>
      </c>
      <c r="Q1722" s="1" t="s">
        <v>173</v>
      </c>
      <c r="R1722" s="1" t="s">
        <v>174</v>
      </c>
      <c r="S1722" s="1" t="s">
        <v>612</v>
      </c>
      <c r="T1722" s="1">
        <v>1.00650064E8</v>
      </c>
      <c r="W1722" s="1" t="s">
        <v>147</v>
      </c>
      <c r="X1722" s="1" t="s">
        <v>3809</v>
      </c>
    </row>
    <row r="1723">
      <c r="A1723" s="1" t="s">
        <v>5644</v>
      </c>
      <c r="B1723" s="1" t="s">
        <v>5493</v>
      </c>
      <c r="C1723" s="1" t="s">
        <v>5645</v>
      </c>
      <c r="D1723" s="1" t="s">
        <v>103</v>
      </c>
      <c r="E1723" s="1" t="s">
        <v>29</v>
      </c>
      <c r="F1723" s="5">
        <v>500000.0</v>
      </c>
      <c r="G1723" s="1" t="s">
        <v>3964</v>
      </c>
      <c r="H1723" s="1" t="s">
        <v>526</v>
      </c>
      <c r="I1723" s="1" t="s">
        <v>80</v>
      </c>
      <c r="K1723" s="1">
        <v>0.0</v>
      </c>
      <c r="L1723" s="1" t="s">
        <v>4159</v>
      </c>
      <c r="M1723" s="1" t="str">
        <f>VLOOKUP(L1723,'Copy of PMD Workday Constants -'!B1722:W2408,22,false)</f>
        <v>#N/A</v>
      </c>
      <c r="N1723" s="1" t="s">
        <v>32</v>
      </c>
      <c r="O1723" s="1" t="s">
        <v>33</v>
      </c>
      <c r="P1723" s="1" t="s">
        <v>222</v>
      </c>
      <c r="Q1723" s="1" t="s">
        <v>222</v>
      </c>
      <c r="R1723" s="1" t="s">
        <v>223</v>
      </c>
      <c r="S1723" s="1" t="s">
        <v>482</v>
      </c>
      <c r="T1723" s="1">
        <v>1.00888587E8</v>
      </c>
      <c r="W1723" s="1" t="s">
        <v>85</v>
      </c>
      <c r="X1723" s="1" t="s">
        <v>4159</v>
      </c>
    </row>
    <row r="1724">
      <c r="A1724" s="1" t="s">
        <v>5646</v>
      </c>
      <c r="B1724" s="1" t="s">
        <v>3911</v>
      </c>
      <c r="C1724" s="1" t="s">
        <v>5647</v>
      </c>
      <c r="D1724" s="1" t="s">
        <v>51</v>
      </c>
      <c r="E1724" s="1" t="s">
        <v>29</v>
      </c>
      <c r="F1724" s="5">
        <v>500000.0</v>
      </c>
      <c r="G1724" s="1" t="s">
        <v>3964</v>
      </c>
      <c r="H1724" s="4">
        <v>43989.0</v>
      </c>
      <c r="I1724" s="1" t="s">
        <v>692</v>
      </c>
      <c r="K1724" s="1">
        <v>0.0</v>
      </c>
      <c r="L1724" s="1" t="s">
        <v>319</v>
      </c>
      <c r="M1724" s="1" t="str">
        <f>VLOOKUP(L1724,'Copy of PMD Workday Constants -'!B1723:W2409,22,false)</f>
        <v>#N/A</v>
      </c>
      <c r="N1724" s="1" t="s">
        <v>32</v>
      </c>
      <c r="O1724" s="1" t="s">
        <v>33</v>
      </c>
      <c r="P1724" s="1" t="s">
        <v>82</v>
      </c>
      <c r="Q1724" s="1" t="s">
        <v>82</v>
      </c>
      <c r="R1724" s="1" t="s">
        <v>83</v>
      </c>
      <c r="S1724" s="1" t="s">
        <v>84</v>
      </c>
      <c r="T1724" s="1">
        <v>1.00654705E8</v>
      </c>
      <c r="W1724" s="1" t="s">
        <v>258</v>
      </c>
      <c r="X1724" s="1" t="s">
        <v>319</v>
      </c>
    </row>
    <row r="1725">
      <c r="A1725" s="1" t="s">
        <v>5648</v>
      </c>
      <c r="B1725" s="1" t="s">
        <v>40</v>
      </c>
      <c r="C1725" s="1" t="s">
        <v>5649</v>
      </c>
      <c r="D1725" s="1" t="s">
        <v>51</v>
      </c>
      <c r="E1725" s="1" t="s">
        <v>29</v>
      </c>
      <c r="F1725" s="5">
        <v>500000.0</v>
      </c>
      <c r="G1725" s="1" t="s">
        <v>3964</v>
      </c>
      <c r="H1725" s="1" t="s">
        <v>1064</v>
      </c>
      <c r="I1725" s="1" t="s">
        <v>302</v>
      </c>
      <c r="K1725" s="1">
        <v>0.0</v>
      </c>
      <c r="L1725" s="1" t="s">
        <v>5650</v>
      </c>
      <c r="M1725" s="1" t="str">
        <f>VLOOKUP(L1725,'Copy of PMD Workday Constants -'!B1724:W2410,22,false)</f>
        <v>#N/A</v>
      </c>
      <c r="N1725" s="1" t="s">
        <v>32</v>
      </c>
      <c r="O1725" s="1" t="s">
        <v>33</v>
      </c>
      <c r="P1725" s="1" t="s">
        <v>34</v>
      </c>
      <c r="Q1725" s="1" t="s">
        <v>34</v>
      </c>
      <c r="R1725" s="1" t="s">
        <v>35</v>
      </c>
      <c r="S1725" s="1" t="s">
        <v>126</v>
      </c>
      <c r="T1725" s="1">
        <v>1.00597272E8</v>
      </c>
      <c r="W1725" s="1" t="s">
        <v>47</v>
      </c>
      <c r="X1725" s="1" t="s">
        <v>1933</v>
      </c>
    </row>
    <row r="1726">
      <c r="A1726" s="1" t="s">
        <v>5651</v>
      </c>
      <c r="B1726" s="1" t="s">
        <v>1234</v>
      </c>
      <c r="C1726" s="1" t="s">
        <v>5652</v>
      </c>
      <c r="D1726" s="1" t="s">
        <v>79</v>
      </c>
      <c r="E1726" s="1" t="s">
        <v>29</v>
      </c>
      <c r="F1726" s="5">
        <v>500000.0</v>
      </c>
      <c r="G1726" s="1" t="s">
        <v>3964</v>
      </c>
      <c r="H1726" s="1" t="s">
        <v>2352</v>
      </c>
      <c r="I1726" s="1" t="s">
        <v>152</v>
      </c>
      <c r="K1726" s="1">
        <v>0.0</v>
      </c>
      <c r="L1726" s="1" t="s">
        <v>198</v>
      </c>
      <c r="M1726" s="1" t="str">
        <f>VLOOKUP(L1726,'Copy of PMD Workday Constants -'!B1725:W2411,22,false)</f>
        <v>#N/A</v>
      </c>
      <c r="N1726" s="1" t="s">
        <v>32</v>
      </c>
      <c r="O1726" s="1" t="s">
        <v>33</v>
      </c>
      <c r="P1726" s="1" t="s">
        <v>82</v>
      </c>
      <c r="Q1726" s="1" t="s">
        <v>82</v>
      </c>
      <c r="R1726" s="1" t="s">
        <v>83</v>
      </c>
      <c r="S1726" s="1" t="s">
        <v>180</v>
      </c>
      <c r="T1726" s="1">
        <v>1.00590896E8</v>
      </c>
      <c r="W1726" s="1" t="s">
        <v>85</v>
      </c>
      <c r="X1726" s="1" t="s">
        <v>3087</v>
      </c>
    </row>
    <row r="1727">
      <c r="A1727" s="1" t="s">
        <v>5653</v>
      </c>
      <c r="B1727" s="1" t="s">
        <v>5654</v>
      </c>
      <c r="C1727" s="1" t="s">
        <v>5655</v>
      </c>
      <c r="D1727" s="1" t="s">
        <v>51</v>
      </c>
      <c r="E1727" s="1" t="s">
        <v>29</v>
      </c>
      <c r="F1727" s="5">
        <v>500000.0</v>
      </c>
      <c r="G1727" s="1" t="s">
        <v>3964</v>
      </c>
      <c r="H1727" s="1" t="s">
        <v>170</v>
      </c>
      <c r="I1727" s="4">
        <v>44902.0</v>
      </c>
      <c r="K1727" s="1">
        <v>0.0</v>
      </c>
      <c r="L1727" s="1" t="s">
        <v>2942</v>
      </c>
      <c r="M1727" s="1" t="str">
        <f>VLOOKUP(L1727,'Copy of PMD Workday Constants -'!B1726:W2412,22,false)</f>
        <v>#N/A</v>
      </c>
      <c r="N1727" s="1" t="s">
        <v>32</v>
      </c>
      <c r="O1727" s="1" t="s">
        <v>33</v>
      </c>
      <c r="P1727" s="1" t="s">
        <v>173</v>
      </c>
      <c r="Q1727" s="1" t="s">
        <v>173</v>
      </c>
      <c r="R1727" s="1" t="s">
        <v>174</v>
      </c>
      <c r="T1727" s="1">
        <v>1.00650064E8</v>
      </c>
      <c r="W1727" s="1" t="s">
        <v>1801</v>
      </c>
      <c r="X1727" s="1" t="s">
        <v>5411</v>
      </c>
    </row>
    <row r="1728">
      <c r="A1728" s="1" t="s">
        <v>5656</v>
      </c>
      <c r="B1728" s="1" t="s">
        <v>5657</v>
      </c>
      <c r="C1728" s="1" t="s">
        <v>5658</v>
      </c>
      <c r="D1728" s="1" t="s">
        <v>28</v>
      </c>
      <c r="E1728" s="1" t="s">
        <v>29</v>
      </c>
      <c r="F1728" s="5">
        <v>500000.0</v>
      </c>
      <c r="G1728" s="1" t="s">
        <v>3964</v>
      </c>
      <c r="H1728" s="1" t="s">
        <v>42</v>
      </c>
      <c r="I1728" s="4">
        <v>44573.0</v>
      </c>
      <c r="K1728" s="1">
        <v>0.0</v>
      </c>
      <c r="L1728" s="1" t="s">
        <v>1335</v>
      </c>
      <c r="M1728" s="1" t="str">
        <f>VLOOKUP(L1728,'Copy of PMD Workday Constants -'!B1727:W2413,22,false)</f>
        <v>#N/A</v>
      </c>
      <c r="N1728" s="1" t="s">
        <v>32</v>
      </c>
      <c r="O1728" s="1" t="s">
        <v>33</v>
      </c>
      <c r="P1728" s="1" t="s">
        <v>210</v>
      </c>
      <c r="Q1728" s="1" t="s">
        <v>210</v>
      </c>
      <c r="R1728" s="1" t="s">
        <v>211</v>
      </c>
      <c r="S1728" s="1" t="s">
        <v>1336</v>
      </c>
      <c r="T1728" s="1">
        <v>1.00594397E8</v>
      </c>
      <c r="W1728" s="1" t="s">
        <v>258</v>
      </c>
      <c r="X1728" s="1" t="s">
        <v>1337</v>
      </c>
    </row>
    <row r="1729">
      <c r="A1729" s="1" t="s">
        <v>5659</v>
      </c>
      <c r="B1729" s="1" t="s">
        <v>1184</v>
      </c>
      <c r="C1729" s="1" t="s">
        <v>5660</v>
      </c>
      <c r="D1729" s="1" t="s">
        <v>51</v>
      </c>
      <c r="E1729" s="1" t="s">
        <v>29</v>
      </c>
      <c r="F1729" s="5">
        <v>500000.0</v>
      </c>
      <c r="G1729" s="1" t="s">
        <v>3964</v>
      </c>
      <c r="H1729" s="1" t="s">
        <v>2590</v>
      </c>
      <c r="I1729" s="1" t="s">
        <v>302</v>
      </c>
      <c r="K1729" s="1">
        <v>0.0</v>
      </c>
      <c r="L1729" s="1" t="s">
        <v>678</v>
      </c>
      <c r="M1729" s="1" t="str">
        <f>VLOOKUP(L1729,'Copy of PMD Workday Constants -'!B1728:W2414,22,false)</f>
        <v>#N/A</v>
      </c>
      <c r="N1729" s="1" t="s">
        <v>32</v>
      </c>
      <c r="O1729" s="1" t="s">
        <v>33</v>
      </c>
      <c r="P1729" s="1" t="s">
        <v>210</v>
      </c>
      <c r="Q1729" s="1" t="s">
        <v>210</v>
      </c>
      <c r="R1729" s="1" t="s">
        <v>211</v>
      </c>
      <c r="S1729" s="1" t="s">
        <v>416</v>
      </c>
      <c r="T1729" s="1">
        <v>1.00609073E8</v>
      </c>
      <c r="W1729" s="1" t="s">
        <v>56</v>
      </c>
      <c r="X1729" s="1" t="s">
        <v>462</v>
      </c>
    </row>
    <row r="1730">
      <c r="A1730" s="1" t="s">
        <v>5661</v>
      </c>
      <c r="B1730" s="1" t="s">
        <v>4200</v>
      </c>
      <c r="C1730" s="1" t="s">
        <v>5662</v>
      </c>
      <c r="D1730" s="1" t="s">
        <v>103</v>
      </c>
      <c r="E1730" s="1" t="s">
        <v>29</v>
      </c>
      <c r="F1730" s="5">
        <v>500000.0</v>
      </c>
      <c r="G1730" s="1" t="s">
        <v>3964</v>
      </c>
      <c r="H1730" s="1" t="s">
        <v>2590</v>
      </c>
      <c r="I1730" s="1" t="s">
        <v>104</v>
      </c>
      <c r="K1730" s="1">
        <v>0.0</v>
      </c>
      <c r="L1730" s="1" t="s">
        <v>4202</v>
      </c>
      <c r="M1730" s="1" t="str">
        <f>VLOOKUP(L1730,'Copy of PMD Workday Constants -'!B1729:W2415,22,false)</f>
        <v>#N/A</v>
      </c>
      <c r="N1730" s="1" t="s">
        <v>32</v>
      </c>
      <c r="O1730" s="1" t="s">
        <v>33</v>
      </c>
      <c r="P1730" s="1" t="s">
        <v>173</v>
      </c>
      <c r="Q1730" s="1" t="s">
        <v>173</v>
      </c>
      <c r="R1730" s="1" t="s">
        <v>174</v>
      </c>
      <c r="S1730" s="1" t="s">
        <v>153</v>
      </c>
      <c r="T1730" s="1">
        <v>1.00914325E8</v>
      </c>
      <c r="W1730" s="1" t="s">
        <v>456</v>
      </c>
      <c r="X1730" s="1" t="s">
        <v>4202</v>
      </c>
    </row>
    <row r="1731">
      <c r="A1731" s="1" t="s">
        <v>5663</v>
      </c>
      <c r="B1731" s="1" t="s">
        <v>5664</v>
      </c>
      <c r="C1731" s="1" t="s">
        <v>5665</v>
      </c>
      <c r="D1731" s="1" t="s">
        <v>28</v>
      </c>
      <c r="E1731" s="1" t="s">
        <v>29</v>
      </c>
      <c r="F1731" s="5">
        <v>500000.0</v>
      </c>
      <c r="G1731" s="1" t="s">
        <v>3964</v>
      </c>
      <c r="H1731" s="1" t="s">
        <v>42</v>
      </c>
      <c r="I1731" s="1" t="s">
        <v>104</v>
      </c>
      <c r="K1731" s="1">
        <v>0.0</v>
      </c>
      <c r="L1731" s="1" t="s">
        <v>1011</v>
      </c>
      <c r="M1731" s="1" t="str">
        <f>VLOOKUP(L1731,'Copy of PMD Workday Constants -'!B1730:W2416,22,false)</f>
        <v>#N/A</v>
      </c>
      <c r="N1731" s="1" t="s">
        <v>32</v>
      </c>
      <c r="O1731" s="1" t="s">
        <v>33</v>
      </c>
      <c r="P1731" s="1" t="s">
        <v>82</v>
      </c>
      <c r="Q1731" s="1" t="s">
        <v>82</v>
      </c>
      <c r="R1731" s="1" t="s">
        <v>83</v>
      </c>
      <c r="S1731" s="1" t="s">
        <v>583</v>
      </c>
      <c r="T1731" s="1">
        <v>1.00609514E8</v>
      </c>
      <c r="W1731" s="1" t="s">
        <v>456</v>
      </c>
      <c r="X1731" s="1" t="s">
        <v>1012</v>
      </c>
    </row>
    <row r="1732">
      <c r="A1732" s="1" t="s">
        <v>5666</v>
      </c>
      <c r="B1732" s="1" t="s">
        <v>70</v>
      </c>
      <c r="C1732" s="1" t="s">
        <v>5667</v>
      </c>
      <c r="D1732" s="1" t="s">
        <v>28</v>
      </c>
      <c r="E1732" s="1" t="s">
        <v>29</v>
      </c>
      <c r="F1732" s="5">
        <v>500000.0</v>
      </c>
      <c r="G1732" s="1" t="s">
        <v>3964</v>
      </c>
      <c r="H1732" s="1" t="s">
        <v>789</v>
      </c>
      <c r="I1732" s="1" t="s">
        <v>80</v>
      </c>
      <c r="K1732" s="1">
        <v>0.0</v>
      </c>
      <c r="L1732" s="1" t="s">
        <v>1380</v>
      </c>
      <c r="M1732" s="1" t="str">
        <f>VLOOKUP(L1732,'Copy of PMD Workday Constants -'!B1731:W2417,22,false)</f>
        <v>#N/A</v>
      </c>
      <c r="N1732" s="1" t="s">
        <v>32</v>
      </c>
      <c r="O1732" s="1" t="s">
        <v>33</v>
      </c>
      <c r="P1732" s="1" t="s">
        <v>34</v>
      </c>
      <c r="Q1732" s="1" t="s">
        <v>34</v>
      </c>
      <c r="R1732" s="1" t="s">
        <v>35</v>
      </c>
      <c r="S1732" s="1" t="s">
        <v>126</v>
      </c>
      <c r="T1732" s="1">
        <v>1.00587434E8</v>
      </c>
      <c r="W1732" s="1" t="s">
        <v>74</v>
      </c>
      <c r="X1732" s="1" t="s">
        <v>75</v>
      </c>
    </row>
    <row r="1733">
      <c r="A1733" s="1" t="s">
        <v>5668</v>
      </c>
      <c r="B1733" s="1" t="s">
        <v>5669</v>
      </c>
      <c r="C1733" s="1" t="s">
        <v>5670</v>
      </c>
      <c r="D1733" s="1" t="s">
        <v>51</v>
      </c>
      <c r="E1733" s="1" t="s">
        <v>29</v>
      </c>
      <c r="F1733" s="5">
        <v>500000.0</v>
      </c>
      <c r="G1733" s="1" t="s">
        <v>3964</v>
      </c>
      <c r="H1733" s="1" t="s">
        <v>816</v>
      </c>
      <c r="I1733" s="4">
        <v>44658.0</v>
      </c>
      <c r="K1733" s="1">
        <v>0.0</v>
      </c>
      <c r="L1733" s="1" t="s">
        <v>63</v>
      </c>
      <c r="M1733" s="1" t="str">
        <f>VLOOKUP(L1733,'Copy of PMD Workday Constants -'!B1732:W2418,22,false)</f>
        <v>#N/A</v>
      </c>
      <c r="N1733" s="1" t="s">
        <v>32</v>
      </c>
      <c r="O1733" s="1" t="s">
        <v>33</v>
      </c>
      <c r="P1733" s="1" t="s">
        <v>64</v>
      </c>
      <c r="Q1733" s="1" t="s">
        <v>64</v>
      </c>
      <c r="R1733" s="1" t="s">
        <v>65</v>
      </c>
      <c r="T1733" s="1">
        <v>1.01059432E8</v>
      </c>
      <c r="W1733" s="1" t="s">
        <v>47</v>
      </c>
      <c r="X1733" s="1" t="s">
        <v>5026</v>
      </c>
    </row>
    <row r="1734">
      <c r="A1734" s="1" t="s">
        <v>5671</v>
      </c>
      <c r="B1734" s="1" t="s">
        <v>5672</v>
      </c>
      <c r="C1734" s="1" t="s">
        <v>5673</v>
      </c>
      <c r="D1734" s="1" t="s">
        <v>103</v>
      </c>
      <c r="E1734" s="1" t="s">
        <v>29</v>
      </c>
      <c r="F1734" s="5">
        <v>500000.0</v>
      </c>
      <c r="G1734" s="1" t="s">
        <v>3964</v>
      </c>
      <c r="H1734" s="1" t="s">
        <v>5674</v>
      </c>
      <c r="I1734" s="1" t="s">
        <v>80</v>
      </c>
      <c r="K1734" s="1">
        <v>0.0</v>
      </c>
      <c r="L1734" s="1" t="s">
        <v>53</v>
      </c>
      <c r="M1734" s="1" t="str">
        <f>VLOOKUP(L1734,'Copy of PMD Workday Constants -'!B1733:W2419,22,false)</f>
        <v>#N/A</v>
      </c>
      <c r="N1734" s="1" t="s">
        <v>32</v>
      </c>
      <c r="O1734" s="1" t="s">
        <v>33</v>
      </c>
      <c r="P1734" s="1" t="s">
        <v>54</v>
      </c>
      <c r="Q1734" s="1" t="s">
        <v>54</v>
      </c>
      <c r="R1734" s="1" t="s">
        <v>55</v>
      </c>
      <c r="S1734" s="1" t="s">
        <v>701</v>
      </c>
      <c r="T1734" s="1">
        <v>1.00690767E8</v>
      </c>
      <c r="W1734" s="1" t="s">
        <v>250</v>
      </c>
      <c r="X1734" s="1" t="s">
        <v>5675</v>
      </c>
    </row>
    <row r="1735">
      <c r="A1735" s="1" t="s">
        <v>5676</v>
      </c>
      <c r="B1735" s="1" t="s">
        <v>1367</v>
      </c>
      <c r="C1735" s="1" t="s">
        <v>5677</v>
      </c>
      <c r="D1735" s="1" t="s">
        <v>103</v>
      </c>
      <c r="E1735" s="1" t="s">
        <v>29</v>
      </c>
      <c r="F1735" s="5">
        <v>500000.0</v>
      </c>
      <c r="G1735" s="1" t="s">
        <v>3964</v>
      </c>
      <c r="H1735" s="1" t="s">
        <v>442</v>
      </c>
      <c r="I1735" s="1" t="s">
        <v>1350</v>
      </c>
      <c r="K1735" s="1">
        <v>0.0</v>
      </c>
      <c r="L1735" s="1" t="s">
        <v>1370</v>
      </c>
      <c r="M1735" s="1" t="str">
        <f>VLOOKUP(L1735,'Copy of PMD Workday Constants -'!B1734:W2420,22,false)</f>
        <v>#N/A</v>
      </c>
      <c r="N1735" s="1" t="s">
        <v>32</v>
      </c>
      <c r="O1735" s="1" t="s">
        <v>33</v>
      </c>
      <c r="P1735" s="1" t="s">
        <v>173</v>
      </c>
      <c r="Q1735" s="1" t="s">
        <v>173</v>
      </c>
      <c r="R1735" s="1" t="s">
        <v>174</v>
      </c>
      <c r="S1735" s="1" t="s">
        <v>153</v>
      </c>
      <c r="T1735" s="1">
        <v>1.00869794E8</v>
      </c>
      <c r="W1735" s="1" t="s">
        <v>47</v>
      </c>
      <c r="X1735" s="1" t="s">
        <v>1370</v>
      </c>
    </row>
    <row r="1736">
      <c r="A1736" s="1" t="s">
        <v>5678</v>
      </c>
      <c r="B1736" s="1" t="s">
        <v>5679</v>
      </c>
      <c r="C1736" s="1" t="s">
        <v>5680</v>
      </c>
      <c r="D1736" s="1" t="s">
        <v>51</v>
      </c>
      <c r="E1736" s="1" t="s">
        <v>29</v>
      </c>
      <c r="F1736" s="5">
        <v>500000.0</v>
      </c>
      <c r="G1736" s="1" t="s">
        <v>3964</v>
      </c>
      <c r="H1736" s="4">
        <v>44746.0</v>
      </c>
      <c r="I1736" s="1" t="s">
        <v>80</v>
      </c>
      <c r="K1736" s="1">
        <v>0.0</v>
      </c>
      <c r="L1736" s="1" t="s">
        <v>618</v>
      </c>
      <c r="M1736" s="1" t="str">
        <f>VLOOKUP(L1736,'Copy of PMD Workday Constants -'!B1735:W2421,22,false)</f>
        <v>#N/A</v>
      </c>
      <c r="N1736" s="1" t="s">
        <v>32</v>
      </c>
      <c r="O1736" s="1" t="s">
        <v>33</v>
      </c>
      <c r="P1736" s="1" t="s">
        <v>173</v>
      </c>
      <c r="Q1736" s="1" t="s">
        <v>173</v>
      </c>
      <c r="R1736" s="1" t="s">
        <v>174</v>
      </c>
      <c r="S1736" s="1" t="s">
        <v>612</v>
      </c>
      <c r="T1736" s="1">
        <v>1.00591141E8</v>
      </c>
      <c r="W1736" s="1" t="s">
        <v>74</v>
      </c>
      <c r="X1736" s="1" t="s">
        <v>3357</v>
      </c>
    </row>
    <row r="1737">
      <c r="A1737" s="1" t="s">
        <v>5681</v>
      </c>
      <c r="B1737" s="1" t="s">
        <v>4238</v>
      </c>
      <c r="C1737" s="1" t="s">
        <v>5682</v>
      </c>
      <c r="D1737" s="1" t="s">
        <v>28</v>
      </c>
      <c r="E1737" s="1" t="s">
        <v>29</v>
      </c>
      <c r="F1737" s="5">
        <v>500000.0</v>
      </c>
      <c r="G1737" s="1" t="s">
        <v>3964</v>
      </c>
      <c r="H1737" s="1" t="s">
        <v>870</v>
      </c>
      <c r="I1737" s="1" t="s">
        <v>96</v>
      </c>
      <c r="K1737" s="1">
        <v>0.0</v>
      </c>
      <c r="L1737" s="1" t="s">
        <v>5683</v>
      </c>
      <c r="M1737" s="1" t="str">
        <f>VLOOKUP(L1737,'Copy of PMD Workday Constants -'!B1736:W2422,22,false)</f>
        <v>#N/A</v>
      </c>
      <c r="N1737" s="1" t="s">
        <v>32</v>
      </c>
      <c r="O1737" s="1" t="s">
        <v>33</v>
      </c>
      <c r="P1737" s="1" t="s">
        <v>210</v>
      </c>
      <c r="Q1737" s="1" t="s">
        <v>210</v>
      </c>
      <c r="R1737" s="1" t="s">
        <v>211</v>
      </c>
      <c r="T1737" s="1">
        <v>1.00624257E8</v>
      </c>
      <c r="W1737" s="1" t="s">
        <v>436</v>
      </c>
      <c r="X1737" s="1" t="s">
        <v>5683</v>
      </c>
    </row>
    <row r="1738">
      <c r="A1738" s="1" t="s">
        <v>5684</v>
      </c>
      <c r="B1738" s="1" t="s">
        <v>225</v>
      </c>
      <c r="C1738" s="1" t="s">
        <v>5685</v>
      </c>
      <c r="D1738" s="1" t="s">
        <v>51</v>
      </c>
      <c r="E1738" s="1" t="s">
        <v>29</v>
      </c>
      <c r="F1738" s="5">
        <v>500000.0</v>
      </c>
      <c r="G1738" s="1" t="s">
        <v>3964</v>
      </c>
      <c r="H1738" s="4">
        <v>44564.0</v>
      </c>
      <c r="I1738" s="1" t="s">
        <v>152</v>
      </c>
      <c r="K1738" s="1">
        <v>0.0</v>
      </c>
      <c r="L1738" s="1" t="s">
        <v>1747</v>
      </c>
      <c r="M1738" s="1" t="str">
        <f>VLOOKUP(L1738,'Copy of PMD Workday Constants -'!B1737:W2423,22,false)</f>
        <v>#N/A</v>
      </c>
      <c r="N1738" s="1" t="s">
        <v>32</v>
      </c>
      <c r="O1738" s="1" t="s">
        <v>33</v>
      </c>
      <c r="P1738" s="1" t="s">
        <v>173</v>
      </c>
      <c r="Q1738" s="1" t="s">
        <v>173</v>
      </c>
      <c r="R1738" s="1" t="s">
        <v>174</v>
      </c>
      <c r="T1738" s="1">
        <v>1.00639495E8</v>
      </c>
      <c r="W1738" s="1" t="s">
        <v>85</v>
      </c>
      <c r="X1738" s="1" t="s">
        <v>3115</v>
      </c>
    </row>
    <row r="1739">
      <c r="A1739" s="1" t="s">
        <v>5686</v>
      </c>
      <c r="B1739" s="1" t="s">
        <v>1817</v>
      </c>
      <c r="C1739" s="1" t="s">
        <v>5687</v>
      </c>
      <c r="D1739" s="1" t="s">
        <v>79</v>
      </c>
      <c r="E1739" s="1" t="s">
        <v>29</v>
      </c>
      <c r="F1739" s="5">
        <v>500000.0</v>
      </c>
      <c r="G1739" s="1" t="s">
        <v>3964</v>
      </c>
      <c r="H1739" s="1" t="s">
        <v>1064</v>
      </c>
      <c r="I1739" s="1" t="s">
        <v>104</v>
      </c>
      <c r="K1739" s="1">
        <v>0.0</v>
      </c>
      <c r="L1739" s="1" t="s">
        <v>3917</v>
      </c>
      <c r="M1739" s="1" t="str">
        <f>VLOOKUP(L1739,'Copy of PMD Workday Constants -'!B1738:W2424,22,false)</f>
        <v>#N/A</v>
      </c>
      <c r="N1739" s="1" t="s">
        <v>32</v>
      </c>
      <c r="O1739" s="1" t="s">
        <v>33</v>
      </c>
      <c r="P1739" s="1" t="s">
        <v>82</v>
      </c>
      <c r="Q1739" s="1" t="s">
        <v>82</v>
      </c>
      <c r="R1739" s="1" t="s">
        <v>83</v>
      </c>
      <c r="S1739" s="1" t="s">
        <v>5688</v>
      </c>
      <c r="T1739" s="1">
        <v>1.00611547E8</v>
      </c>
      <c r="W1739" s="1" t="s">
        <v>85</v>
      </c>
      <c r="X1739" s="1" t="s">
        <v>3917</v>
      </c>
    </row>
    <row r="1740">
      <c r="A1740" s="1" t="s">
        <v>5689</v>
      </c>
      <c r="B1740" s="1" t="s">
        <v>4238</v>
      </c>
      <c r="C1740" s="1" t="s">
        <v>5690</v>
      </c>
      <c r="D1740" s="1" t="s">
        <v>51</v>
      </c>
      <c r="E1740" s="1" t="s">
        <v>29</v>
      </c>
      <c r="F1740" s="5">
        <v>500000.0</v>
      </c>
      <c r="G1740" s="1" t="s">
        <v>3964</v>
      </c>
      <c r="H1740" s="4">
        <v>44657.0</v>
      </c>
      <c r="I1740" s="1" t="s">
        <v>217</v>
      </c>
      <c r="K1740" s="1">
        <v>0.0</v>
      </c>
      <c r="L1740" s="1" t="s">
        <v>4240</v>
      </c>
      <c r="M1740" s="1" t="str">
        <f>VLOOKUP(L1740,'Copy of PMD Workday Constants -'!B1739:W2425,22,false)</f>
        <v>#N/A</v>
      </c>
      <c r="N1740" s="1" t="s">
        <v>32</v>
      </c>
      <c r="O1740" s="1" t="s">
        <v>33</v>
      </c>
      <c r="P1740" s="1" t="s">
        <v>210</v>
      </c>
      <c r="Q1740" s="1" t="s">
        <v>210</v>
      </c>
      <c r="R1740" s="1" t="s">
        <v>211</v>
      </c>
      <c r="T1740" s="1">
        <v>1.00625459E8</v>
      </c>
      <c r="W1740" s="1" t="s">
        <v>56</v>
      </c>
      <c r="X1740" s="1" t="s">
        <v>5691</v>
      </c>
    </row>
    <row r="1741">
      <c r="A1741" s="1" t="s">
        <v>5692</v>
      </c>
      <c r="B1741" s="1" t="s">
        <v>335</v>
      </c>
      <c r="C1741" s="1" t="s">
        <v>5693</v>
      </c>
      <c r="D1741" s="1" t="s">
        <v>51</v>
      </c>
      <c r="E1741" s="1" t="s">
        <v>29</v>
      </c>
      <c r="F1741" s="5">
        <v>500000.0</v>
      </c>
      <c r="G1741" s="1" t="s">
        <v>3964</v>
      </c>
      <c r="H1741" s="1" t="s">
        <v>442</v>
      </c>
      <c r="I1741" s="1" t="s">
        <v>96</v>
      </c>
      <c r="K1741" s="1">
        <v>0.0</v>
      </c>
      <c r="L1741" s="1" t="s">
        <v>2136</v>
      </c>
      <c r="M1741" s="1" t="str">
        <f>VLOOKUP(L1741,'Copy of PMD Workday Constants -'!B1740:W2426,22,false)</f>
        <v>#N/A</v>
      </c>
      <c r="N1741" s="1" t="s">
        <v>32</v>
      </c>
      <c r="O1741" s="1" t="s">
        <v>33</v>
      </c>
      <c r="P1741" s="1" t="s">
        <v>34</v>
      </c>
      <c r="Q1741" s="1" t="s">
        <v>34</v>
      </c>
      <c r="R1741" s="1" t="s">
        <v>35</v>
      </c>
      <c r="T1741" s="1">
        <v>1.00610903E8</v>
      </c>
      <c r="W1741" s="1" t="s">
        <v>339</v>
      </c>
      <c r="X1741" s="1" t="s">
        <v>5694</v>
      </c>
    </row>
    <row r="1742">
      <c r="A1742" s="1" t="s">
        <v>5695</v>
      </c>
      <c r="B1742" s="1" t="s">
        <v>4174</v>
      </c>
      <c r="C1742" s="1" t="s">
        <v>5696</v>
      </c>
      <c r="D1742" s="1" t="s">
        <v>28</v>
      </c>
      <c r="E1742" s="1" t="s">
        <v>29</v>
      </c>
      <c r="F1742" s="5">
        <v>500000.0</v>
      </c>
      <c r="G1742" s="1" t="s">
        <v>3964</v>
      </c>
      <c r="H1742" s="4">
        <v>44565.0</v>
      </c>
      <c r="I1742" s="1" t="s">
        <v>80</v>
      </c>
      <c r="K1742" s="1">
        <v>0.0</v>
      </c>
      <c r="L1742" s="1" t="s">
        <v>934</v>
      </c>
      <c r="M1742" s="1" t="str">
        <f>VLOOKUP(L1742,'Copy of PMD Workday Constants -'!B1741:W2427,22,false)</f>
        <v>#N/A</v>
      </c>
      <c r="N1742" s="1" t="s">
        <v>32</v>
      </c>
      <c r="O1742" s="1" t="s">
        <v>33</v>
      </c>
      <c r="P1742" s="1" t="s">
        <v>173</v>
      </c>
      <c r="Q1742" s="1" t="s">
        <v>173</v>
      </c>
      <c r="R1742" s="1" t="s">
        <v>174</v>
      </c>
      <c r="S1742" s="1" t="s">
        <v>153</v>
      </c>
      <c r="T1742" s="1">
        <v>1.00653269E8</v>
      </c>
      <c r="W1742" s="1" t="s">
        <v>56</v>
      </c>
      <c r="X1742" s="1" t="s">
        <v>5697</v>
      </c>
    </row>
    <row r="1743">
      <c r="A1743" s="1" t="s">
        <v>5698</v>
      </c>
      <c r="B1743" s="1" t="s">
        <v>3140</v>
      </c>
      <c r="C1743" s="1" t="s">
        <v>5699</v>
      </c>
      <c r="D1743" s="1" t="s">
        <v>28</v>
      </c>
      <c r="E1743" s="1" t="s">
        <v>29</v>
      </c>
      <c r="F1743" s="5">
        <v>500000.0</v>
      </c>
      <c r="G1743" s="1" t="s">
        <v>3964</v>
      </c>
      <c r="H1743" s="4">
        <v>44836.0</v>
      </c>
      <c r="I1743" s="1" t="s">
        <v>865</v>
      </c>
      <c r="K1743" s="1">
        <v>0.0</v>
      </c>
      <c r="L1743" s="1" t="s">
        <v>678</v>
      </c>
      <c r="M1743" s="1" t="str">
        <f>VLOOKUP(L1743,'Copy of PMD Workday Constants -'!B1742:W2428,22,false)</f>
        <v>#N/A</v>
      </c>
      <c r="N1743" s="1" t="s">
        <v>32</v>
      </c>
      <c r="O1743" s="1" t="s">
        <v>33</v>
      </c>
      <c r="P1743" s="1" t="s">
        <v>210</v>
      </c>
      <c r="Q1743" s="1" t="s">
        <v>210</v>
      </c>
      <c r="R1743" s="1" t="s">
        <v>211</v>
      </c>
      <c r="T1743" s="1">
        <v>1.00609073E8</v>
      </c>
      <c r="W1743" s="1" t="s">
        <v>56</v>
      </c>
      <c r="X1743" s="1" t="s">
        <v>5700</v>
      </c>
    </row>
    <row r="1744">
      <c r="A1744" s="1" t="s">
        <v>5701</v>
      </c>
      <c r="B1744" s="1" t="s">
        <v>5702</v>
      </c>
      <c r="C1744" s="1" t="s">
        <v>5703</v>
      </c>
      <c r="D1744" s="1" t="s">
        <v>28</v>
      </c>
      <c r="E1744" s="1" t="s">
        <v>29</v>
      </c>
      <c r="F1744" s="5">
        <v>500000.0</v>
      </c>
      <c r="G1744" s="1" t="s">
        <v>3964</v>
      </c>
      <c r="H1744" s="1" t="s">
        <v>52</v>
      </c>
      <c r="I1744" s="1" t="s">
        <v>2485</v>
      </c>
      <c r="K1744" s="1">
        <v>0.0</v>
      </c>
      <c r="L1744" s="1" t="s">
        <v>1370</v>
      </c>
      <c r="M1744" s="1" t="str">
        <f>VLOOKUP(L1744,'Copy of PMD Workday Constants -'!B1743:W2429,22,false)</f>
        <v>#N/A</v>
      </c>
      <c r="N1744" s="1" t="s">
        <v>32</v>
      </c>
      <c r="O1744" s="1" t="s">
        <v>33</v>
      </c>
      <c r="P1744" s="1" t="s">
        <v>173</v>
      </c>
      <c r="Q1744" s="1" t="s">
        <v>173</v>
      </c>
      <c r="R1744" s="1" t="s">
        <v>174</v>
      </c>
      <c r="T1744" s="1">
        <v>1.00869794E8</v>
      </c>
      <c r="W1744" s="1" t="s">
        <v>287</v>
      </c>
      <c r="X1744" s="1" t="s">
        <v>1370</v>
      </c>
    </row>
    <row r="1745">
      <c r="A1745" s="1" t="s">
        <v>5704</v>
      </c>
      <c r="B1745" s="1" t="s">
        <v>485</v>
      </c>
      <c r="C1745" s="1" t="s">
        <v>5705</v>
      </c>
      <c r="D1745" s="1" t="s">
        <v>103</v>
      </c>
      <c r="E1745" s="1" t="s">
        <v>29</v>
      </c>
      <c r="F1745" s="5">
        <v>500000.0</v>
      </c>
      <c r="G1745" s="1" t="s">
        <v>3964</v>
      </c>
      <c r="H1745" s="4">
        <v>44200.0</v>
      </c>
      <c r="I1745" s="1" t="s">
        <v>80</v>
      </c>
      <c r="K1745" s="1">
        <v>0.0</v>
      </c>
      <c r="L1745" s="1" t="s">
        <v>255</v>
      </c>
      <c r="M1745" s="1" t="str">
        <f>VLOOKUP(L1745,'Copy of PMD Workday Constants -'!B1744:W2430,22,false)</f>
        <v>#N/A</v>
      </c>
      <c r="N1745" s="1" t="s">
        <v>32</v>
      </c>
      <c r="O1745" s="1" t="s">
        <v>33</v>
      </c>
      <c r="P1745" s="1" t="s">
        <v>112</v>
      </c>
      <c r="Q1745" s="1" t="s">
        <v>112</v>
      </c>
      <c r="R1745" s="1" t="s">
        <v>113</v>
      </c>
      <c r="S1745" s="1" t="s">
        <v>256</v>
      </c>
      <c r="T1745" s="1">
        <v>1.00659114E8</v>
      </c>
      <c r="W1745" s="1" t="s">
        <v>258</v>
      </c>
      <c r="X1745" s="1" t="s">
        <v>5706</v>
      </c>
    </row>
    <row r="1746">
      <c r="A1746" s="1" t="s">
        <v>5707</v>
      </c>
      <c r="B1746" s="1" t="s">
        <v>317</v>
      </c>
      <c r="C1746" s="1" t="s">
        <v>5708</v>
      </c>
      <c r="D1746" s="1" t="s">
        <v>28</v>
      </c>
      <c r="E1746" s="1" t="s">
        <v>29</v>
      </c>
      <c r="F1746" s="5">
        <v>500000.0</v>
      </c>
      <c r="G1746" s="1" t="s">
        <v>3964</v>
      </c>
      <c r="H1746" s="1" t="s">
        <v>5709</v>
      </c>
      <c r="I1746" s="1" t="s">
        <v>96</v>
      </c>
      <c r="K1746" s="1">
        <v>0.0</v>
      </c>
      <c r="L1746" s="1" t="s">
        <v>2143</v>
      </c>
      <c r="M1746" s="1" t="str">
        <f>VLOOKUP(L1746,'Copy of PMD Workday Constants -'!B1745:W2431,22,false)</f>
        <v>#N/A</v>
      </c>
      <c r="N1746" s="1" t="s">
        <v>32</v>
      </c>
      <c r="O1746" s="1" t="s">
        <v>33</v>
      </c>
      <c r="P1746" s="1" t="s">
        <v>82</v>
      </c>
      <c r="Q1746" s="1" t="s">
        <v>82</v>
      </c>
      <c r="R1746" s="1" t="s">
        <v>83</v>
      </c>
      <c r="S1746" s="1" t="s">
        <v>153</v>
      </c>
      <c r="T1746" s="1">
        <v>1.00612395E8</v>
      </c>
      <c r="W1746" s="1" t="s">
        <v>85</v>
      </c>
      <c r="X1746" s="1" t="s">
        <v>3287</v>
      </c>
    </row>
    <row r="1747">
      <c r="A1747" s="1" t="s">
        <v>5710</v>
      </c>
      <c r="B1747" s="1" t="s">
        <v>464</v>
      </c>
      <c r="C1747" s="1" t="s">
        <v>5711</v>
      </c>
      <c r="D1747" s="1" t="s">
        <v>51</v>
      </c>
      <c r="E1747" s="1" t="s">
        <v>29</v>
      </c>
      <c r="F1747" s="5">
        <v>500000.0</v>
      </c>
      <c r="G1747" s="1" t="s">
        <v>3964</v>
      </c>
      <c r="H1747" s="4">
        <v>44597.0</v>
      </c>
      <c r="I1747" s="4">
        <v>44689.0</v>
      </c>
      <c r="K1747" s="1">
        <v>0.0</v>
      </c>
      <c r="L1747" s="1" t="s">
        <v>968</v>
      </c>
      <c r="M1747" s="1" t="str">
        <f>VLOOKUP(L1747,'Copy of PMD Workday Constants -'!B1746:W2432,22,false)</f>
        <v>#N/A</v>
      </c>
      <c r="N1747" s="1" t="s">
        <v>32</v>
      </c>
      <c r="O1747" s="1" t="s">
        <v>33</v>
      </c>
      <c r="P1747" s="1" t="s">
        <v>210</v>
      </c>
      <c r="Q1747" s="1" t="s">
        <v>210</v>
      </c>
      <c r="R1747" s="1" t="s">
        <v>211</v>
      </c>
      <c r="S1747" s="1" t="s">
        <v>416</v>
      </c>
      <c r="T1747" s="1">
        <v>1.00647262E8</v>
      </c>
      <c r="W1747" s="1" t="s">
        <v>56</v>
      </c>
      <c r="X1747" s="1" t="s">
        <v>968</v>
      </c>
    </row>
    <row r="1748">
      <c r="A1748" s="1" t="s">
        <v>5712</v>
      </c>
      <c r="B1748" s="1" t="s">
        <v>373</v>
      </c>
      <c r="C1748" s="1" t="s">
        <v>5713</v>
      </c>
      <c r="D1748" s="1" t="s">
        <v>51</v>
      </c>
      <c r="E1748" s="1" t="s">
        <v>29</v>
      </c>
      <c r="F1748" s="5">
        <v>500000.0</v>
      </c>
      <c r="G1748" s="1" t="s">
        <v>3964</v>
      </c>
      <c r="H1748" s="4">
        <v>44597.0</v>
      </c>
      <c r="I1748" s="1" t="s">
        <v>152</v>
      </c>
      <c r="K1748" s="1">
        <v>0.0</v>
      </c>
      <c r="L1748" s="1" t="s">
        <v>370</v>
      </c>
      <c r="M1748" s="1" t="str">
        <f>VLOOKUP(L1748,'Copy of PMD Workday Constants -'!B1747:W2433,22,false)</f>
        <v>#N/A</v>
      </c>
      <c r="N1748" s="1" t="s">
        <v>32</v>
      </c>
      <c r="O1748" s="1" t="s">
        <v>33</v>
      </c>
      <c r="P1748" s="1" t="s">
        <v>210</v>
      </c>
      <c r="Q1748" s="1" t="s">
        <v>210</v>
      </c>
      <c r="R1748" s="1" t="s">
        <v>211</v>
      </c>
      <c r="S1748" s="1" t="s">
        <v>297</v>
      </c>
      <c r="T1748" s="1">
        <v>1.00658132E8</v>
      </c>
      <c r="W1748" s="1" t="s">
        <v>258</v>
      </c>
      <c r="X1748" s="1" t="s">
        <v>4761</v>
      </c>
    </row>
    <row r="1749">
      <c r="A1749" s="1" t="s">
        <v>5714</v>
      </c>
      <c r="B1749" s="1" t="s">
        <v>155</v>
      </c>
      <c r="C1749" s="1" t="s">
        <v>5715</v>
      </c>
      <c r="D1749" s="1" t="s">
        <v>28</v>
      </c>
      <c r="E1749" s="1" t="s">
        <v>29</v>
      </c>
      <c r="F1749" s="5">
        <v>500000.0</v>
      </c>
      <c r="G1749" s="1" t="s">
        <v>3964</v>
      </c>
      <c r="H1749" s="4">
        <v>44746.0</v>
      </c>
      <c r="I1749" s="1" t="s">
        <v>104</v>
      </c>
      <c r="K1749" s="1">
        <v>0.0</v>
      </c>
      <c r="L1749" s="1" t="s">
        <v>338</v>
      </c>
      <c r="M1749" s="1" t="str">
        <f>VLOOKUP(L1749,'Copy of PMD Workday Constants -'!B1748:W2434,22,false)</f>
        <v>#N/A</v>
      </c>
      <c r="N1749" s="1" t="s">
        <v>32</v>
      </c>
      <c r="O1749" s="1" t="s">
        <v>33</v>
      </c>
      <c r="P1749" s="1" t="s">
        <v>34</v>
      </c>
      <c r="Q1749" s="1" t="s">
        <v>34</v>
      </c>
      <c r="R1749" s="1" t="s">
        <v>35</v>
      </c>
      <c r="T1749" s="1">
        <v>1.00619817E8</v>
      </c>
      <c r="W1749" s="1" t="s">
        <v>91</v>
      </c>
      <c r="X1749" s="1" t="s">
        <v>4647</v>
      </c>
    </row>
    <row r="1750">
      <c r="A1750" s="1" t="s">
        <v>5716</v>
      </c>
      <c r="B1750" s="1" t="s">
        <v>489</v>
      </c>
      <c r="C1750" s="1" t="s">
        <v>5717</v>
      </c>
      <c r="D1750" s="1" t="s">
        <v>51</v>
      </c>
      <c r="E1750" s="1" t="s">
        <v>29</v>
      </c>
      <c r="F1750" s="5">
        <v>500000.0</v>
      </c>
      <c r="G1750" s="1" t="s">
        <v>3964</v>
      </c>
      <c r="H1750" s="1" t="s">
        <v>442</v>
      </c>
      <c r="I1750" s="4">
        <v>44569.0</v>
      </c>
      <c r="K1750" s="1">
        <v>0.0</v>
      </c>
      <c r="L1750" s="1" t="s">
        <v>5718</v>
      </c>
      <c r="M1750" s="1" t="str">
        <f>VLOOKUP(L1750,'Copy of PMD Workday Constants -'!B1749:W2435,22,false)</f>
        <v>#N/A</v>
      </c>
      <c r="N1750" s="1" t="s">
        <v>32</v>
      </c>
      <c r="O1750" s="1" t="s">
        <v>33</v>
      </c>
      <c r="P1750" s="1" t="s">
        <v>173</v>
      </c>
      <c r="Q1750" s="1" t="s">
        <v>173</v>
      </c>
      <c r="R1750" s="1" t="s">
        <v>174</v>
      </c>
      <c r="T1750" s="1">
        <v>1.00641346E8</v>
      </c>
      <c r="W1750" s="1" t="s">
        <v>493</v>
      </c>
      <c r="X1750" s="1" t="s">
        <v>5719</v>
      </c>
    </row>
    <row r="1751">
      <c r="A1751" s="1" t="s">
        <v>5720</v>
      </c>
      <c r="B1751" s="1" t="s">
        <v>2429</v>
      </c>
      <c r="C1751" s="1" t="s">
        <v>5721</v>
      </c>
      <c r="D1751" s="1" t="s">
        <v>28</v>
      </c>
      <c r="E1751" s="1" t="s">
        <v>29</v>
      </c>
      <c r="F1751" s="5">
        <v>500000.0</v>
      </c>
      <c r="G1751" s="1" t="s">
        <v>3964</v>
      </c>
      <c r="H1751" s="4">
        <v>44298.0</v>
      </c>
      <c r="I1751" s="1" t="s">
        <v>80</v>
      </c>
      <c r="K1751" s="1">
        <v>0.0</v>
      </c>
      <c r="L1751" s="1" t="s">
        <v>790</v>
      </c>
      <c r="M1751" s="1" t="str">
        <f>VLOOKUP(L1751,'Copy of PMD Workday Constants -'!B1750:W2436,22,false)</f>
        <v>#N/A</v>
      </c>
      <c r="N1751" s="1" t="s">
        <v>32</v>
      </c>
      <c r="O1751" s="1" t="s">
        <v>33</v>
      </c>
      <c r="P1751" s="1" t="s">
        <v>64</v>
      </c>
      <c r="Q1751" s="1" t="s">
        <v>64</v>
      </c>
      <c r="R1751" s="1" t="s">
        <v>65</v>
      </c>
      <c r="S1751" s="1" t="s">
        <v>791</v>
      </c>
      <c r="T1751" s="1">
        <v>1.00661738E8</v>
      </c>
      <c r="W1751" s="1" t="s">
        <v>456</v>
      </c>
      <c r="X1751" s="1" t="s">
        <v>2432</v>
      </c>
    </row>
    <row r="1752">
      <c r="A1752" s="1" t="s">
        <v>5722</v>
      </c>
      <c r="B1752" s="1" t="s">
        <v>2429</v>
      </c>
      <c r="C1752" s="1" t="s">
        <v>5723</v>
      </c>
      <c r="D1752" s="1" t="s">
        <v>28</v>
      </c>
      <c r="E1752" s="1" t="s">
        <v>29</v>
      </c>
      <c r="F1752" s="5">
        <v>500000.0</v>
      </c>
      <c r="G1752" s="1" t="s">
        <v>3964</v>
      </c>
      <c r="H1752" s="4">
        <v>44298.0</v>
      </c>
      <c r="I1752" s="1" t="s">
        <v>80</v>
      </c>
      <c r="K1752" s="1">
        <v>0.0</v>
      </c>
      <c r="L1752" s="1" t="s">
        <v>790</v>
      </c>
      <c r="M1752" s="1" t="str">
        <f>VLOOKUP(L1752,'Copy of PMD Workday Constants -'!B1751:W2437,22,false)</f>
        <v>#N/A</v>
      </c>
      <c r="N1752" s="1" t="s">
        <v>32</v>
      </c>
      <c r="O1752" s="1" t="s">
        <v>33</v>
      </c>
      <c r="P1752" s="1" t="s">
        <v>64</v>
      </c>
      <c r="Q1752" s="1" t="s">
        <v>64</v>
      </c>
      <c r="R1752" s="1" t="s">
        <v>65</v>
      </c>
      <c r="S1752" s="1" t="s">
        <v>791</v>
      </c>
      <c r="T1752" s="1">
        <v>1.00661738E8</v>
      </c>
      <c r="W1752" s="1" t="s">
        <v>456</v>
      </c>
      <c r="X1752" s="1" t="s">
        <v>2432</v>
      </c>
    </row>
    <row r="1753">
      <c r="A1753" s="1" t="s">
        <v>5724</v>
      </c>
      <c r="B1753" s="1" t="s">
        <v>1721</v>
      </c>
      <c r="C1753" s="1" t="s">
        <v>5725</v>
      </c>
      <c r="D1753" s="1" t="s">
        <v>28</v>
      </c>
      <c r="E1753" s="1" t="s">
        <v>29</v>
      </c>
      <c r="F1753" s="5">
        <v>500000.0</v>
      </c>
      <c r="G1753" s="1" t="s">
        <v>3964</v>
      </c>
      <c r="H1753" s="4">
        <v>43596.0</v>
      </c>
      <c r="I1753" s="1" t="s">
        <v>80</v>
      </c>
      <c r="K1753" s="1">
        <v>0.0</v>
      </c>
      <c r="L1753" s="1" t="s">
        <v>3201</v>
      </c>
      <c r="M1753" s="1" t="str">
        <f>VLOOKUP(L1753,'Copy of PMD Workday Constants -'!B1752:W2438,22,false)</f>
        <v>#N/A</v>
      </c>
      <c r="N1753" s="1" t="s">
        <v>32</v>
      </c>
      <c r="O1753" s="1" t="s">
        <v>33</v>
      </c>
      <c r="P1753" s="1" t="s">
        <v>34</v>
      </c>
      <c r="Q1753" s="1" t="s">
        <v>34</v>
      </c>
      <c r="R1753" s="1" t="s">
        <v>35</v>
      </c>
      <c r="S1753" s="1" t="s">
        <v>126</v>
      </c>
      <c r="T1753" s="1">
        <v>1.00651946E8</v>
      </c>
      <c r="W1753" s="1" t="s">
        <v>391</v>
      </c>
      <c r="X1753" s="1" t="s">
        <v>3201</v>
      </c>
    </row>
    <row r="1754">
      <c r="A1754" s="1" t="s">
        <v>5726</v>
      </c>
      <c r="B1754" s="1" t="s">
        <v>1149</v>
      </c>
      <c r="C1754" s="1" t="s">
        <v>5727</v>
      </c>
      <c r="D1754" s="1" t="s">
        <v>103</v>
      </c>
      <c r="E1754" s="1" t="s">
        <v>29</v>
      </c>
      <c r="F1754" s="5">
        <v>500000.0</v>
      </c>
      <c r="G1754" s="1" t="s">
        <v>3964</v>
      </c>
      <c r="H1754" s="1" t="s">
        <v>1842</v>
      </c>
      <c r="I1754" s="1" t="s">
        <v>406</v>
      </c>
      <c r="K1754" s="1">
        <v>0.0</v>
      </c>
      <c r="L1754" s="1" t="s">
        <v>2970</v>
      </c>
      <c r="M1754" s="1" t="str">
        <f>VLOOKUP(L1754,'Copy of PMD Workday Constants -'!B1753:W2439,22,false)</f>
        <v>#N/A</v>
      </c>
      <c r="N1754" s="1" t="s">
        <v>32</v>
      </c>
      <c r="O1754" s="1" t="s">
        <v>33</v>
      </c>
      <c r="P1754" s="1" t="s">
        <v>173</v>
      </c>
      <c r="Q1754" s="1" t="s">
        <v>173</v>
      </c>
      <c r="R1754" s="1" t="s">
        <v>174</v>
      </c>
      <c r="T1754" s="1">
        <v>1.00616377E8</v>
      </c>
      <c r="W1754" s="1" t="s">
        <v>115</v>
      </c>
      <c r="X1754" s="1" t="s">
        <v>5728</v>
      </c>
    </row>
    <row r="1755">
      <c r="A1755" s="1" t="s">
        <v>5729</v>
      </c>
      <c r="B1755" s="1" t="s">
        <v>1149</v>
      </c>
      <c r="C1755" s="1" t="s">
        <v>5730</v>
      </c>
      <c r="D1755" s="1" t="s">
        <v>51</v>
      </c>
      <c r="E1755" s="1" t="s">
        <v>29</v>
      </c>
      <c r="F1755" s="5">
        <v>500000.0</v>
      </c>
      <c r="G1755" s="1" t="s">
        <v>3964</v>
      </c>
      <c r="H1755" s="1" t="s">
        <v>2724</v>
      </c>
      <c r="I1755" s="4">
        <v>44840.0</v>
      </c>
      <c r="K1755" s="1">
        <v>0.0</v>
      </c>
      <c r="L1755" s="1" t="s">
        <v>618</v>
      </c>
      <c r="M1755" s="1" t="str">
        <f>VLOOKUP(L1755,'Copy of PMD Workday Constants -'!B1754:W2440,22,false)</f>
        <v>#N/A</v>
      </c>
      <c r="N1755" s="1" t="s">
        <v>32</v>
      </c>
      <c r="O1755" s="1" t="s">
        <v>33</v>
      </c>
      <c r="P1755" s="1" t="s">
        <v>173</v>
      </c>
      <c r="Q1755" s="1" t="s">
        <v>173</v>
      </c>
      <c r="R1755" s="1" t="s">
        <v>174</v>
      </c>
      <c r="T1755" s="1">
        <v>1.00591141E8</v>
      </c>
      <c r="W1755" s="1" t="s">
        <v>115</v>
      </c>
      <c r="X1755" s="1" t="s">
        <v>5731</v>
      </c>
    </row>
    <row r="1756">
      <c r="A1756" s="1" t="s">
        <v>5732</v>
      </c>
      <c r="B1756" s="1" t="s">
        <v>580</v>
      </c>
      <c r="C1756" s="1" t="s">
        <v>5733</v>
      </c>
      <c r="D1756" s="1" t="s">
        <v>28</v>
      </c>
      <c r="E1756" s="1" t="s">
        <v>29</v>
      </c>
      <c r="F1756" s="5">
        <v>500000.0</v>
      </c>
      <c r="G1756" s="1" t="s">
        <v>3964</v>
      </c>
      <c r="H1756" s="4">
        <v>44625.0</v>
      </c>
      <c r="I1756" s="1" t="s">
        <v>96</v>
      </c>
      <c r="K1756" s="1">
        <v>0.0</v>
      </c>
      <c r="L1756" s="1" t="s">
        <v>5734</v>
      </c>
      <c r="M1756" s="1" t="str">
        <f>VLOOKUP(L1756,'Copy of PMD Workday Constants -'!B1755:W2441,22,false)</f>
        <v>#N/A</v>
      </c>
      <c r="N1756" s="1" t="s">
        <v>32</v>
      </c>
      <c r="O1756" s="1" t="s">
        <v>33</v>
      </c>
      <c r="P1756" s="1" t="s">
        <v>173</v>
      </c>
      <c r="Q1756" s="1" t="s">
        <v>173</v>
      </c>
      <c r="R1756" s="1" t="s">
        <v>174</v>
      </c>
      <c r="S1756" s="1" t="s">
        <v>153</v>
      </c>
      <c r="T1756" s="1">
        <v>1.00648324E8</v>
      </c>
      <c r="W1756" s="1" t="s">
        <v>456</v>
      </c>
      <c r="X1756" s="1" t="s">
        <v>5735</v>
      </c>
    </row>
    <row r="1757">
      <c r="A1757" s="1" t="s">
        <v>5736</v>
      </c>
      <c r="B1757" s="1" t="s">
        <v>1392</v>
      </c>
      <c r="C1757" s="1" t="s">
        <v>5737</v>
      </c>
      <c r="D1757" s="1" t="s">
        <v>28</v>
      </c>
      <c r="E1757" s="1" t="s">
        <v>29</v>
      </c>
      <c r="F1757" s="5">
        <v>500000.0</v>
      </c>
      <c r="G1757" s="1" t="s">
        <v>3964</v>
      </c>
      <c r="H1757" s="4">
        <v>44746.0</v>
      </c>
      <c r="I1757" s="1" t="s">
        <v>43</v>
      </c>
      <c r="K1757" s="1">
        <v>0.0</v>
      </c>
      <c r="L1757" s="1" t="s">
        <v>2819</v>
      </c>
      <c r="M1757" s="1" t="str">
        <f>VLOOKUP(L1757,'Copy of PMD Workday Constants -'!B1756:W2442,22,false)</f>
        <v>#N/A</v>
      </c>
      <c r="N1757" s="1" t="s">
        <v>32</v>
      </c>
      <c r="O1757" s="1" t="s">
        <v>33</v>
      </c>
      <c r="P1757" s="1" t="s">
        <v>34</v>
      </c>
      <c r="Q1757" s="1" t="s">
        <v>34</v>
      </c>
      <c r="R1757" s="1" t="s">
        <v>35</v>
      </c>
      <c r="T1757" s="1">
        <v>1.00602451E8</v>
      </c>
      <c r="W1757" s="1" t="s">
        <v>947</v>
      </c>
      <c r="X1757" s="1" t="s">
        <v>5738</v>
      </c>
    </row>
    <row r="1758">
      <c r="A1758" s="1" t="s">
        <v>5739</v>
      </c>
      <c r="B1758" s="1" t="s">
        <v>5315</v>
      </c>
      <c r="C1758" s="1" t="s">
        <v>5740</v>
      </c>
      <c r="D1758" s="1" t="s">
        <v>103</v>
      </c>
      <c r="E1758" s="1" t="s">
        <v>29</v>
      </c>
      <c r="F1758" s="5">
        <v>500000.0</v>
      </c>
      <c r="G1758" s="1" t="s">
        <v>3964</v>
      </c>
      <c r="H1758" s="1" t="s">
        <v>1708</v>
      </c>
      <c r="I1758" s="1" t="s">
        <v>80</v>
      </c>
      <c r="K1758" s="1">
        <v>0.0</v>
      </c>
      <c r="L1758" s="1" t="s">
        <v>5317</v>
      </c>
      <c r="M1758" s="1" t="str">
        <f>VLOOKUP(L1758,'Copy of PMD Workday Constants -'!B1757:W2443,22,false)</f>
        <v>#N/A</v>
      </c>
      <c r="N1758" s="1" t="s">
        <v>32</v>
      </c>
      <c r="O1758" s="1" t="s">
        <v>33</v>
      </c>
      <c r="P1758" s="1" t="s">
        <v>112</v>
      </c>
      <c r="Q1758" s="1" t="s">
        <v>112</v>
      </c>
      <c r="R1758" s="1" t="s">
        <v>113</v>
      </c>
      <c r="T1758" s="1">
        <v>1.00569225E8</v>
      </c>
      <c r="W1758" s="1" t="s">
        <v>533</v>
      </c>
      <c r="X1758" s="1" t="s">
        <v>5318</v>
      </c>
    </row>
    <row r="1759">
      <c r="A1759" s="1" t="s">
        <v>5741</v>
      </c>
      <c r="B1759" s="1" t="s">
        <v>954</v>
      </c>
      <c r="C1759" s="1" t="s">
        <v>5742</v>
      </c>
      <c r="D1759" s="1" t="s">
        <v>51</v>
      </c>
      <c r="E1759" s="1" t="s">
        <v>29</v>
      </c>
      <c r="F1759" s="5">
        <v>500000.0</v>
      </c>
      <c r="G1759" s="1" t="s">
        <v>3964</v>
      </c>
      <c r="H1759" s="4">
        <v>44682.0</v>
      </c>
      <c r="I1759" s="1" t="s">
        <v>302</v>
      </c>
      <c r="K1759" s="1">
        <v>0.0</v>
      </c>
      <c r="L1759" s="1" t="s">
        <v>2983</v>
      </c>
      <c r="M1759" s="1" t="str">
        <f>VLOOKUP(L1759,'Copy of PMD Workday Constants -'!B1758:W2444,22,false)</f>
        <v>#N/A</v>
      </c>
      <c r="N1759" s="1" t="s">
        <v>32</v>
      </c>
      <c r="O1759" s="1" t="s">
        <v>33</v>
      </c>
      <c r="P1759" s="1" t="s">
        <v>34</v>
      </c>
      <c r="Q1759" s="1" t="s">
        <v>34</v>
      </c>
      <c r="R1759" s="1" t="s">
        <v>35</v>
      </c>
      <c r="S1759" s="1" t="s">
        <v>383</v>
      </c>
      <c r="T1759" s="1">
        <v>1.00650568E8</v>
      </c>
      <c r="W1759" s="1" t="s">
        <v>147</v>
      </c>
      <c r="X1759" s="1" t="s">
        <v>2983</v>
      </c>
    </row>
    <row r="1760">
      <c r="A1760" s="1" t="s">
        <v>5743</v>
      </c>
      <c r="B1760" s="1" t="s">
        <v>503</v>
      </c>
      <c r="C1760" s="1" t="s">
        <v>5744</v>
      </c>
      <c r="D1760" s="1" t="s">
        <v>51</v>
      </c>
      <c r="E1760" s="1" t="s">
        <v>29</v>
      </c>
      <c r="F1760" s="5">
        <v>500000.0</v>
      </c>
      <c r="G1760" s="1" t="s">
        <v>3964</v>
      </c>
      <c r="H1760" s="1" t="s">
        <v>2463</v>
      </c>
      <c r="I1760" s="1" t="s">
        <v>80</v>
      </c>
      <c r="K1760" s="1">
        <v>0.0</v>
      </c>
      <c r="L1760" s="1" t="s">
        <v>2747</v>
      </c>
      <c r="M1760" s="1" t="str">
        <f>VLOOKUP(L1760,'Copy of PMD Workday Constants -'!B1759:W2445,22,false)</f>
        <v>#N/A</v>
      </c>
      <c r="N1760" s="1" t="s">
        <v>32</v>
      </c>
      <c r="O1760" s="1" t="s">
        <v>33</v>
      </c>
      <c r="P1760" s="1" t="s">
        <v>64</v>
      </c>
      <c r="Q1760" s="1" t="s">
        <v>64</v>
      </c>
      <c r="R1760" s="1" t="s">
        <v>65</v>
      </c>
      <c r="T1760" s="1">
        <v>1.00586524E8</v>
      </c>
      <c r="W1760" s="1" t="s">
        <v>391</v>
      </c>
      <c r="X1760" s="1" t="s">
        <v>5745</v>
      </c>
    </row>
    <row r="1761">
      <c r="A1761" s="1" t="s">
        <v>5746</v>
      </c>
      <c r="B1761" s="1" t="s">
        <v>489</v>
      </c>
      <c r="C1761" s="1" t="s">
        <v>5747</v>
      </c>
      <c r="D1761" s="1" t="s">
        <v>28</v>
      </c>
      <c r="E1761" s="1" t="s">
        <v>29</v>
      </c>
      <c r="F1761" s="5">
        <v>500000.0</v>
      </c>
      <c r="G1761" s="1" t="s">
        <v>3964</v>
      </c>
      <c r="H1761" s="1" t="s">
        <v>2463</v>
      </c>
      <c r="I1761" s="1" t="s">
        <v>302</v>
      </c>
      <c r="K1761" s="1">
        <v>0.0</v>
      </c>
      <c r="L1761" s="1" t="s">
        <v>4699</v>
      </c>
      <c r="M1761" s="1" t="str">
        <f>VLOOKUP(L1761,'Copy of PMD Workday Constants -'!B1760:W2446,22,false)</f>
        <v>#N/A</v>
      </c>
      <c r="N1761" s="1" t="s">
        <v>32</v>
      </c>
      <c r="O1761" s="1" t="s">
        <v>33</v>
      </c>
      <c r="P1761" s="1" t="s">
        <v>222</v>
      </c>
      <c r="Q1761" s="1" t="s">
        <v>222</v>
      </c>
      <c r="R1761" s="1" t="s">
        <v>223</v>
      </c>
      <c r="S1761" s="1" t="s">
        <v>601</v>
      </c>
      <c r="T1761" s="1">
        <v>1.00986592E8</v>
      </c>
      <c r="W1761" s="1" t="s">
        <v>493</v>
      </c>
      <c r="X1761" s="1" t="s">
        <v>5748</v>
      </c>
    </row>
    <row r="1762">
      <c r="A1762" s="1" t="s">
        <v>5749</v>
      </c>
      <c r="B1762" s="1" t="s">
        <v>5750</v>
      </c>
      <c r="C1762" s="1" t="s">
        <v>5751</v>
      </c>
      <c r="D1762" s="1" t="s">
        <v>51</v>
      </c>
      <c r="E1762" s="1" t="s">
        <v>29</v>
      </c>
      <c r="F1762" s="5">
        <v>500000.0</v>
      </c>
      <c r="G1762" s="1" t="s">
        <v>3964</v>
      </c>
      <c r="H1762" s="1" t="s">
        <v>5752</v>
      </c>
      <c r="I1762" s="1" t="s">
        <v>43</v>
      </c>
      <c r="K1762" s="1">
        <v>0.0</v>
      </c>
      <c r="L1762" s="1" t="s">
        <v>4608</v>
      </c>
      <c r="M1762" s="1" t="str">
        <f>VLOOKUP(L1762,'Copy of PMD Workday Constants -'!B1761:W2447,22,false)</f>
        <v>#N/A</v>
      </c>
      <c r="N1762" s="1" t="s">
        <v>32</v>
      </c>
      <c r="O1762" s="1" t="s">
        <v>33</v>
      </c>
      <c r="P1762" s="1" t="s">
        <v>222</v>
      </c>
      <c r="Q1762" s="1" t="s">
        <v>222</v>
      </c>
      <c r="R1762" s="1" t="s">
        <v>223</v>
      </c>
      <c r="S1762" s="1" t="s">
        <v>482</v>
      </c>
      <c r="T1762" s="1">
        <v>1.00592715E8</v>
      </c>
      <c r="W1762" s="1" t="s">
        <v>115</v>
      </c>
      <c r="X1762" s="1" t="s">
        <v>5753</v>
      </c>
    </row>
    <row r="1763">
      <c r="A1763" s="1" t="s">
        <v>5754</v>
      </c>
      <c r="B1763" s="1" t="s">
        <v>1047</v>
      </c>
      <c r="C1763" s="1" t="s">
        <v>5755</v>
      </c>
      <c r="D1763" s="1" t="s">
        <v>28</v>
      </c>
      <c r="E1763" s="1" t="s">
        <v>29</v>
      </c>
      <c r="F1763" s="5">
        <v>500000.0</v>
      </c>
      <c r="G1763" s="1" t="s">
        <v>3964</v>
      </c>
      <c r="H1763" s="4">
        <v>44266.0</v>
      </c>
      <c r="I1763" s="1" t="s">
        <v>5756</v>
      </c>
      <c r="K1763" s="1">
        <v>0.0</v>
      </c>
      <c r="L1763" s="1" t="s">
        <v>1049</v>
      </c>
      <c r="M1763" s="1" t="str">
        <f>VLOOKUP(L1763,'Copy of PMD Workday Constants -'!B1762:W2448,22,false)</f>
        <v>#N/A</v>
      </c>
      <c r="N1763" s="1" t="s">
        <v>32</v>
      </c>
      <c r="O1763" s="1" t="s">
        <v>33</v>
      </c>
      <c r="P1763" s="1" t="s">
        <v>210</v>
      </c>
      <c r="Q1763" s="1" t="s">
        <v>210</v>
      </c>
      <c r="R1763" s="1" t="s">
        <v>211</v>
      </c>
      <c r="S1763" s="1" t="s">
        <v>297</v>
      </c>
      <c r="T1763" s="1">
        <v>1.00650344E8</v>
      </c>
      <c r="W1763" s="1" t="s">
        <v>258</v>
      </c>
      <c r="X1763" s="1" t="s">
        <v>4651</v>
      </c>
    </row>
    <row r="1764">
      <c r="A1764" s="1" t="s">
        <v>5757</v>
      </c>
      <c r="B1764" s="1" t="s">
        <v>573</v>
      </c>
      <c r="C1764" s="1" t="s">
        <v>5758</v>
      </c>
      <c r="D1764" s="1" t="s">
        <v>51</v>
      </c>
      <c r="E1764" s="1" t="s">
        <v>29</v>
      </c>
      <c r="F1764" s="5">
        <v>500000.0</v>
      </c>
      <c r="G1764" s="1" t="s">
        <v>3964</v>
      </c>
      <c r="H1764" s="1" t="s">
        <v>1842</v>
      </c>
      <c r="I1764" s="1" t="s">
        <v>4378</v>
      </c>
      <c r="K1764" s="1">
        <v>0.0</v>
      </c>
      <c r="L1764" s="1" t="s">
        <v>1770</v>
      </c>
      <c r="M1764" s="1" t="str">
        <f>VLOOKUP(L1764,'Copy of PMD Workday Constants -'!B1763:W2449,22,false)</f>
        <v>#N/A</v>
      </c>
      <c r="N1764" s="1" t="s">
        <v>32</v>
      </c>
      <c r="O1764" s="1" t="s">
        <v>33</v>
      </c>
      <c r="P1764" s="1" t="s">
        <v>210</v>
      </c>
      <c r="Q1764" s="1" t="s">
        <v>210</v>
      </c>
      <c r="R1764" s="1" t="s">
        <v>211</v>
      </c>
      <c r="S1764" s="1" t="s">
        <v>1313</v>
      </c>
      <c r="T1764" s="1">
        <v>1.00593918E8</v>
      </c>
      <c r="W1764" s="1" t="s">
        <v>56</v>
      </c>
      <c r="X1764" s="1" t="s">
        <v>1314</v>
      </c>
    </row>
    <row r="1765">
      <c r="A1765" s="1" t="s">
        <v>5759</v>
      </c>
      <c r="B1765" s="1" t="s">
        <v>1886</v>
      </c>
      <c r="C1765" s="1" t="s">
        <v>5760</v>
      </c>
      <c r="D1765" s="1" t="s">
        <v>51</v>
      </c>
      <c r="E1765" s="1" t="s">
        <v>29</v>
      </c>
      <c r="F1765" s="5">
        <v>500000.0</v>
      </c>
      <c r="G1765" s="1" t="s">
        <v>3964</v>
      </c>
      <c r="H1765" s="1" t="s">
        <v>5761</v>
      </c>
      <c r="I1765" s="1" t="s">
        <v>302</v>
      </c>
      <c r="K1765" s="1">
        <v>0.0</v>
      </c>
      <c r="L1765" s="1" t="s">
        <v>198</v>
      </c>
      <c r="M1765" s="1" t="str">
        <f>VLOOKUP(L1765,'Copy of PMD Workday Constants -'!B1764:W2450,22,false)</f>
        <v>#N/A</v>
      </c>
      <c r="N1765" s="1" t="s">
        <v>32</v>
      </c>
      <c r="O1765" s="1" t="s">
        <v>33</v>
      </c>
      <c r="P1765" s="1" t="s">
        <v>82</v>
      </c>
      <c r="Q1765" s="1" t="s">
        <v>82</v>
      </c>
      <c r="R1765" s="1" t="s">
        <v>83</v>
      </c>
      <c r="S1765" s="1" t="s">
        <v>180</v>
      </c>
      <c r="T1765" s="1">
        <v>1.00590896E8</v>
      </c>
      <c r="W1765" s="1" t="s">
        <v>85</v>
      </c>
      <c r="X1765" s="1" t="s">
        <v>1142</v>
      </c>
    </row>
    <row r="1766">
      <c r="A1766" s="1" t="s">
        <v>5762</v>
      </c>
      <c r="B1766" s="1" t="s">
        <v>4340</v>
      </c>
      <c r="C1766" s="1" t="s">
        <v>5763</v>
      </c>
      <c r="D1766" s="1" t="s">
        <v>28</v>
      </c>
      <c r="E1766" s="1" t="s">
        <v>29</v>
      </c>
      <c r="F1766" s="5">
        <v>500000.0</v>
      </c>
      <c r="G1766" s="1" t="s">
        <v>3964</v>
      </c>
      <c r="H1766" s="1" t="s">
        <v>706</v>
      </c>
      <c r="I1766" s="1" t="s">
        <v>810</v>
      </c>
      <c r="K1766" s="1">
        <v>0.0</v>
      </c>
      <c r="L1766" s="1" t="s">
        <v>184</v>
      </c>
      <c r="M1766" s="1" t="str">
        <f>VLOOKUP(L1766,'Copy of PMD Workday Constants -'!B1765:W2451,22,false)</f>
        <v>#N/A</v>
      </c>
      <c r="N1766" s="1" t="s">
        <v>32</v>
      </c>
      <c r="O1766" s="1" t="s">
        <v>33</v>
      </c>
      <c r="P1766" s="1" t="s">
        <v>64</v>
      </c>
      <c r="Q1766" s="1" t="s">
        <v>64</v>
      </c>
      <c r="R1766" s="1" t="s">
        <v>65</v>
      </c>
      <c r="S1766" s="1" t="s">
        <v>185</v>
      </c>
      <c r="T1766" s="1">
        <v>1.00589741E8</v>
      </c>
      <c r="W1766" s="1" t="s">
        <v>115</v>
      </c>
      <c r="X1766" s="1" t="s">
        <v>5764</v>
      </c>
    </row>
    <row r="1767">
      <c r="A1767" s="1" t="s">
        <v>5765</v>
      </c>
      <c r="B1767" s="1" t="s">
        <v>70</v>
      </c>
      <c r="C1767" s="1" t="s">
        <v>5766</v>
      </c>
      <c r="D1767" s="1" t="s">
        <v>28</v>
      </c>
      <c r="E1767" s="1" t="s">
        <v>29</v>
      </c>
      <c r="F1767" s="5">
        <v>500000.0</v>
      </c>
      <c r="G1767" s="1" t="s">
        <v>3964</v>
      </c>
      <c r="H1767" s="1" t="s">
        <v>2463</v>
      </c>
      <c r="I1767" s="4">
        <v>44872.0</v>
      </c>
      <c r="K1767" s="1">
        <v>0.0</v>
      </c>
      <c r="L1767" s="1" t="s">
        <v>2522</v>
      </c>
      <c r="M1767" s="1" t="str">
        <f>VLOOKUP(L1767,'Copy of PMD Workday Constants -'!B1766:W2452,22,false)</f>
        <v>#N/A</v>
      </c>
      <c r="N1767" s="1" t="s">
        <v>32</v>
      </c>
      <c r="O1767" s="1" t="s">
        <v>33</v>
      </c>
      <c r="P1767" s="1" t="s">
        <v>173</v>
      </c>
      <c r="Q1767" s="1" t="s">
        <v>173</v>
      </c>
      <c r="R1767" s="1" t="s">
        <v>174</v>
      </c>
      <c r="S1767" s="1" t="s">
        <v>612</v>
      </c>
      <c r="T1767" s="1">
        <v>1.00590772E8</v>
      </c>
      <c r="W1767" s="1" t="s">
        <v>74</v>
      </c>
      <c r="X1767" s="1" t="s">
        <v>75</v>
      </c>
    </row>
    <row r="1768">
      <c r="A1768" s="1" t="s">
        <v>5767</v>
      </c>
      <c r="B1768" s="1" t="s">
        <v>373</v>
      </c>
      <c r="C1768" s="1" t="s">
        <v>5768</v>
      </c>
      <c r="D1768" s="1" t="s">
        <v>103</v>
      </c>
      <c r="E1768" s="1" t="s">
        <v>29</v>
      </c>
      <c r="F1768" s="5">
        <v>500000.0</v>
      </c>
      <c r="G1768" s="1" t="s">
        <v>3964</v>
      </c>
      <c r="H1768" s="4">
        <v>44686.0</v>
      </c>
      <c r="I1768" s="1" t="s">
        <v>80</v>
      </c>
      <c r="K1768" s="1">
        <v>0.0</v>
      </c>
      <c r="L1768" s="1" t="s">
        <v>370</v>
      </c>
      <c r="M1768" s="1" t="str">
        <f>VLOOKUP(L1768,'Copy of PMD Workday Constants -'!B1767:W2453,22,false)</f>
        <v>#N/A</v>
      </c>
      <c r="N1768" s="1" t="s">
        <v>32</v>
      </c>
      <c r="O1768" s="1" t="s">
        <v>33</v>
      </c>
      <c r="P1768" s="1" t="s">
        <v>210</v>
      </c>
      <c r="Q1768" s="1" t="s">
        <v>210</v>
      </c>
      <c r="R1768" s="1" t="s">
        <v>211</v>
      </c>
      <c r="T1768" s="1">
        <v>1.00658132E8</v>
      </c>
      <c r="W1768" s="1" t="s">
        <v>258</v>
      </c>
      <c r="X1768" s="1" t="s">
        <v>370</v>
      </c>
    </row>
    <row r="1769">
      <c r="A1769" s="1" t="s">
        <v>5769</v>
      </c>
      <c r="B1769" s="1" t="s">
        <v>5770</v>
      </c>
      <c r="C1769" s="1" t="s">
        <v>5771</v>
      </c>
      <c r="D1769" s="1" t="s">
        <v>28</v>
      </c>
      <c r="E1769" s="1" t="s">
        <v>29</v>
      </c>
      <c r="F1769" s="5">
        <v>500000.0</v>
      </c>
      <c r="G1769" s="1" t="s">
        <v>3964</v>
      </c>
      <c r="H1769" s="4">
        <v>43933.0</v>
      </c>
      <c r="I1769" s="1" t="s">
        <v>217</v>
      </c>
      <c r="K1769" s="1">
        <v>0.0</v>
      </c>
      <c r="L1769" s="1" t="s">
        <v>532</v>
      </c>
      <c r="M1769" s="1" t="str">
        <f>VLOOKUP(L1769,'Copy of PMD Workday Constants -'!B1768:W2454,22,false)</f>
        <v>#N/A</v>
      </c>
      <c r="N1769" s="1" t="s">
        <v>32</v>
      </c>
      <c r="O1769" s="1" t="s">
        <v>33</v>
      </c>
      <c r="P1769" s="1" t="s">
        <v>112</v>
      </c>
      <c r="Q1769" s="1" t="s">
        <v>112</v>
      </c>
      <c r="R1769" s="1" t="s">
        <v>113</v>
      </c>
      <c r="S1769" s="1" t="s">
        <v>307</v>
      </c>
      <c r="T1769" s="1">
        <v>1.00646702E8</v>
      </c>
      <c r="U1769" s="1" t="s">
        <v>5772</v>
      </c>
      <c r="V1769" s="1" t="s">
        <v>187</v>
      </c>
      <c r="W1769" s="1" t="s">
        <v>533</v>
      </c>
      <c r="X1769" s="1" t="s">
        <v>5773</v>
      </c>
    </row>
    <row r="1770">
      <c r="A1770" s="1" t="s">
        <v>5774</v>
      </c>
      <c r="B1770" s="1" t="s">
        <v>3962</v>
      </c>
      <c r="C1770" s="1" t="s">
        <v>5775</v>
      </c>
      <c r="D1770" s="1" t="s">
        <v>28</v>
      </c>
      <c r="E1770" s="1" t="s">
        <v>29</v>
      </c>
      <c r="F1770" s="5">
        <v>500000.0</v>
      </c>
      <c r="G1770" s="1" t="s">
        <v>3964</v>
      </c>
      <c r="H1770" s="4">
        <v>44899.0</v>
      </c>
      <c r="I1770" s="1" t="s">
        <v>302</v>
      </c>
      <c r="K1770" s="1">
        <v>0.0</v>
      </c>
      <c r="L1770" s="1" t="s">
        <v>3345</v>
      </c>
      <c r="M1770" s="1" t="str">
        <f>VLOOKUP(L1770,'Copy of PMD Workday Constants -'!B1769:W2455,22,false)</f>
        <v>#N/A</v>
      </c>
      <c r="N1770" s="1" t="s">
        <v>32</v>
      </c>
      <c r="O1770" s="1" t="s">
        <v>33</v>
      </c>
      <c r="P1770" s="1" t="s">
        <v>64</v>
      </c>
      <c r="Q1770" s="1" t="s">
        <v>64</v>
      </c>
      <c r="R1770" s="1" t="s">
        <v>65</v>
      </c>
      <c r="S1770" s="1" t="s">
        <v>791</v>
      </c>
      <c r="T1770" s="1">
        <v>1.0105484E8</v>
      </c>
      <c r="W1770" s="1" t="s">
        <v>456</v>
      </c>
      <c r="X1770" s="1" t="s">
        <v>3345</v>
      </c>
    </row>
    <row r="1771">
      <c r="A1771" s="1" t="s">
        <v>5776</v>
      </c>
      <c r="B1771" s="1" t="s">
        <v>5777</v>
      </c>
      <c r="C1771" s="1" t="s">
        <v>5778</v>
      </c>
      <c r="D1771" s="1" t="s">
        <v>28</v>
      </c>
      <c r="E1771" s="1" t="s">
        <v>29</v>
      </c>
      <c r="F1771" s="5">
        <v>500000.0</v>
      </c>
      <c r="G1771" s="1" t="s">
        <v>3964</v>
      </c>
      <c r="H1771" s="4">
        <v>44622.0</v>
      </c>
      <c r="I1771" s="4">
        <v>44597.0</v>
      </c>
      <c r="K1771" s="1">
        <v>0.0</v>
      </c>
      <c r="L1771" s="1" t="s">
        <v>3249</v>
      </c>
      <c r="M1771" s="1" t="str">
        <f>VLOOKUP(L1771,'Copy of PMD Workday Constants -'!B1770:W2456,22,false)</f>
        <v>#N/A</v>
      </c>
      <c r="N1771" s="1" t="s">
        <v>32</v>
      </c>
      <c r="O1771" s="1" t="s">
        <v>33</v>
      </c>
      <c r="P1771" s="1" t="s">
        <v>173</v>
      </c>
      <c r="Q1771" s="1" t="s">
        <v>173</v>
      </c>
      <c r="R1771" s="1" t="s">
        <v>174</v>
      </c>
      <c r="T1771" s="1">
        <v>1.00633763E8</v>
      </c>
      <c r="X1771" s="1" t="s">
        <v>5779</v>
      </c>
    </row>
    <row r="1772">
      <c r="A1772" s="1" t="s">
        <v>5780</v>
      </c>
      <c r="B1772" s="1" t="s">
        <v>2785</v>
      </c>
      <c r="C1772" s="1" t="s">
        <v>5781</v>
      </c>
      <c r="D1772" s="1" t="s">
        <v>28</v>
      </c>
      <c r="E1772" s="1" t="s">
        <v>29</v>
      </c>
      <c r="F1772" s="5">
        <v>500000.0</v>
      </c>
      <c r="G1772" s="1" t="s">
        <v>3964</v>
      </c>
      <c r="H1772" s="4">
        <v>44598.0</v>
      </c>
      <c r="I1772" s="1" t="s">
        <v>104</v>
      </c>
      <c r="K1772" s="1">
        <v>0.0</v>
      </c>
      <c r="L1772" s="1" t="s">
        <v>228</v>
      </c>
      <c r="M1772" s="1" t="str">
        <f>VLOOKUP(L1772,'Copy of PMD Workday Constants -'!B1771:W2457,22,false)</f>
        <v>#N/A</v>
      </c>
      <c r="N1772" s="1" t="s">
        <v>32</v>
      </c>
      <c r="O1772" s="1" t="s">
        <v>33</v>
      </c>
      <c r="P1772" s="1" t="s">
        <v>64</v>
      </c>
      <c r="Q1772" s="1" t="s">
        <v>64</v>
      </c>
      <c r="R1772" s="1" t="s">
        <v>65</v>
      </c>
      <c r="T1772" s="1">
        <v>1.00650619E8</v>
      </c>
      <c r="W1772" s="1" t="s">
        <v>85</v>
      </c>
      <c r="X1772" s="1" t="s">
        <v>5782</v>
      </c>
    </row>
    <row r="1773">
      <c r="A1773" s="1" t="s">
        <v>5783</v>
      </c>
      <c r="B1773" s="1" t="s">
        <v>5784</v>
      </c>
      <c r="C1773" s="1" t="s">
        <v>5785</v>
      </c>
      <c r="D1773" s="1" t="s">
        <v>28</v>
      </c>
      <c r="E1773" s="1" t="s">
        <v>29</v>
      </c>
      <c r="F1773" s="5">
        <v>500000.0</v>
      </c>
      <c r="G1773" s="1" t="s">
        <v>3964</v>
      </c>
      <c r="H1773" s="1" t="s">
        <v>1192</v>
      </c>
      <c r="I1773" s="1" t="s">
        <v>302</v>
      </c>
      <c r="K1773" s="1">
        <v>0.0</v>
      </c>
      <c r="L1773" s="1" t="s">
        <v>3345</v>
      </c>
      <c r="M1773" s="1" t="str">
        <f>VLOOKUP(L1773,'Copy of PMD Workday Constants -'!B1772:W2458,22,false)</f>
        <v>#N/A</v>
      </c>
      <c r="N1773" s="1" t="s">
        <v>32</v>
      </c>
      <c r="O1773" s="1" t="s">
        <v>33</v>
      </c>
      <c r="P1773" s="1" t="s">
        <v>64</v>
      </c>
      <c r="Q1773" s="1" t="s">
        <v>64</v>
      </c>
      <c r="R1773" s="1" t="s">
        <v>65</v>
      </c>
      <c r="S1773" s="1" t="s">
        <v>791</v>
      </c>
      <c r="T1773" s="1">
        <v>1.0105484E8</v>
      </c>
      <c r="W1773" s="1" t="s">
        <v>456</v>
      </c>
      <c r="X1773" s="1" t="s">
        <v>1016</v>
      </c>
    </row>
    <row r="1774">
      <c r="A1774" s="1" t="s">
        <v>5786</v>
      </c>
      <c r="B1774" s="1" t="s">
        <v>2267</v>
      </c>
      <c r="C1774" s="1" t="s">
        <v>5787</v>
      </c>
      <c r="D1774" s="1" t="s">
        <v>51</v>
      </c>
      <c r="E1774" s="1" t="s">
        <v>29</v>
      </c>
      <c r="F1774" s="5">
        <v>500000.0</v>
      </c>
      <c r="G1774" s="1" t="s">
        <v>3964</v>
      </c>
      <c r="H1774" s="4">
        <v>44598.0</v>
      </c>
      <c r="I1774" s="4">
        <v>44568.0</v>
      </c>
      <c r="K1774" s="1">
        <v>0.0</v>
      </c>
      <c r="L1774" s="1" t="s">
        <v>2788</v>
      </c>
      <c r="M1774" s="1" t="str">
        <f>VLOOKUP(L1774,'Copy of PMD Workday Constants -'!B1773:W2459,22,false)</f>
        <v>#N/A</v>
      </c>
      <c r="N1774" s="1" t="s">
        <v>32</v>
      </c>
      <c r="O1774" s="1" t="s">
        <v>33</v>
      </c>
      <c r="P1774" s="1" t="s">
        <v>54</v>
      </c>
      <c r="Q1774" s="1" t="s">
        <v>54</v>
      </c>
      <c r="R1774" s="1" t="s">
        <v>55</v>
      </c>
      <c r="S1774" s="1" t="s">
        <v>180</v>
      </c>
      <c r="T1774" s="1">
        <v>1.0059132E8</v>
      </c>
      <c r="W1774" s="1" t="s">
        <v>85</v>
      </c>
      <c r="X1774" s="1" t="s">
        <v>5221</v>
      </c>
    </row>
    <row r="1775">
      <c r="A1775" s="1" t="s">
        <v>5788</v>
      </c>
      <c r="B1775" s="1" t="s">
        <v>1003</v>
      </c>
      <c r="C1775" s="1" t="s">
        <v>5789</v>
      </c>
      <c r="D1775" s="1" t="s">
        <v>28</v>
      </c>
      <c r="E1775" s="1" t="s">
        <v>29</v>
      </c>
      <c r="F1775" s="5">
        <v>500000.0</v>
      </c>
      <c r="G1775" s="1" t="s">
        <v>3964</v>
      </c>
      <c r="H1775" s="1" t="s">
        <v>5674</v>
      </c>
      <c r="I1775" s="1" t="s">
        <v>302</v>
      </c>
      <c r="K1775" s="1">
        <v>0.0</v>
      </c>
      <c r="L1775" s="1" t="s">
        <v>5790</v>
      </c>
      <c r="M1775" s="1" t="str">
        <f>VLOOKUP(L1775,'Copy of PMD Workday Constants -'!B1774:W2460,22,false)</f>
        <v>#N/A</v>
      </c>
      <c r="N1775" s="1" t="s">
        <v>32</v>
      </c>
      <c r="O1775" s="1" t="s">
        <v>33</v>
      </c>
      <c r="P1775" s="1" t="s">
        <v>82</v>
      </c>
      <c r="Q1775" s="1" t="s">
        <v>82</v>
      </c>
      <c r="R1775" s="1" t="s">
        <v>83</v>
      </c>
      <c r="S1775" s="1" t="s">
        <v>180</v>
      </c>
      <c r="T1775" s="1">
        <v>1.00634752E8</v>
      </c>
      <c r="W1775" s="1" t="s">
        <v>85</v>
      </c>
      <c r="X1775" s="1" t="s">
        <v>1692</v>
      </c>
    </row>
    <row r="1776">
      <c r="A1776" s="1" t="s">
        <v>5791</v>
      </c>
      <c r="B1776" s="1" t="s">
        <v>868</v>
      </c>
      <c r="C1776" s="1" t="s">
        <v>5792</v>
      </c>
      <c r="D1776" s="1" t="s">
        <v>51</v>
      </c>
      <c r="E1776" s="1" t="s">
        <v>29</v>
      </c>
      <c r="F1776" s="5">
        <v>500000.0</v>
      </c>
      <c r="G1776" s="1" t="s">
        <v>3964</v>
      </c>
      <c r="H1776" s="1" t="s">
        <v>1330</v>
      </c>
      <c r="I1776" s="1" t="s">
        <v>302</v>
      </c>
      <c r="K1776" s="1">
        <v>0.0</v>
      </c>
      <c r="L1776" s="1" t="s">
        <v>1249</v>
      </c>
      <c r="M1776" s="1" t="str">
        <f>VLOOKUP(L1776,'Copy of PMD Workday Constants -'!B1775:W2461,22,false)</f>
        <v>#N/A</v>
      </c>
      <c r="N1776" s="1" t="s">
        <v>32</v>
      </c>
      <c r="O1776" s="1" t="s">
        <v>33</v>
      </c>
      <c r="P1776" s="1" t="s">
        <v>222</v>
      </c>
      <c r="Q1776" s="1" t="s">
        <v>222</v>
      </c>
      <c r="R1776" s="1" t="s">
        <v>223</v>
      </c>
      <c r="S1776" s="1" t="s">
        <v>646</v>
      </c>
      <c r="T1776" s="1">
        <v>1.00609871E8</v>
      </c>
      <c r="W1776" s="1" t="s">
        <v>287</v>
      </c>
      <c r="X1776" s="1" t="s">
        <v>5793</v>
      </c>
    </row>
    <row r="1777">
      <c r="A1777" s="1" t="s">
        <v>5794</v>
      </c>
      <c r="B1777" s="1" t="s">
        <v>4544</v>
      </c>
      <c r="C1777" s="1" t="s">
        <v>5795</v>
      </c>
      <c r="D1777" s="1" t="s">
        <v>28</v>
      </c>
      <c r="E1777" s="1" t="s">
        <v>29</v>
      </c>
      <c r="F1777" s="5">
        <v>500000.0</v>
      </c>
      <c r="G1777" s="1" t="s">
        <v>3964</v>
      </c>
      <c r="H1777" s="1" t="s">
        <v>545</v>
      </c>
      <c r="I1777" s="1" t="s">
        <v>104</v>
      </c>
      <c r="K1777" s="1">
        <v>0.0</v>
      </c>
      <c r="L1777" s="1" t="s">
        <v>2356</v>
      </c>
      <c r="M1777" s="1" t="str">
        <f>VLOOKUP(L1777,'Copy of PMD Workday Constants -'!B1776:W2462,22,false)</f>
        <v>#N/A</v>
      </c>
      <c r="N1777" s="1" t="s">
        <v>32</v>
      </c>
      <c r="O1777" s="1" t="s">
        <v>33</v>
      </c>
      <c r="P1777" s="1" t="s">
        <v>173</v>
      </c>
      <c r="Q1777" s="1" t="s">
        <v>173</v>
      </c>
      <c r="R1777" s="1" t="s">
        <v>174</v>
      </c>
      <c r="T1777" s="1">
        <v>1.00620162E8</v>
      </c>
      <c r="W1777" s="1" t="s">
        <v>74</v>
      </c>
      <c r="X1777" s="1" t="s">
        <v>2356</v>
      </c>
    </row>
    <row r="1778">
      <c r="A1778" s="1" t="s">
        <v>5796</v>
      </c>
      <c r="B1778" s="1" t="s">
        <v>5797</v>
      </c>
      <c r="C1778" s="1" t="s">
        <v>5798</v>
      </c>
      <c r="D1778" s="1" t="s">
        <v>28</v>
      </c>
      <c r="E1778" s="1" t="s">
        <v>29</v>
      </c>
      <c r="F1778" s="5">
        <v>500000.0</v>
      </c>
      <c r="G1778" s="1" t="s">
        <v>3964</v>
      </c>
      <c r="H1778" s="1" t="s">
        <v>5799</v>
      </c>
      <c r="I1778" s="1" t="s">
        <v>510</v>
      </c>
      <c r="K1778" s="1">
        <v>0.0</v>
      </c>
      <c r="L1778" s="1" t="s">
        <v>1351</v>
      </c>
      <c r="M1778" s="1" t="str">
        <f>VLOOKUP(L1778,'Copy of PMD Workday Constants -'!B1777:W2463,22,false)</f>
        <v>#N/A</v>
      </c>
      <c r="N1778" s="1" t="s">
        <v>32</v>
      </c>
      <c r="O1778" s="1" t="s">
        <v>33</v>
      </c>
      <c r="P1778" s="1" t="s">
        <v>34</v>
      </c>
      <c r="Q1778" s="1" t="s">
        <v>34</v>
      </c>
      <c r="R1778" s="1" t="s">
        <v>35</v>
      </c>
      <c r="S1778" s="1" t="s">
        <v>126</v>
      </c>
      <c r="T1778" s="1">
        <v>1.00585872E8</v>
      </c>
      <c r="W1778" s="1" t="s">
        <v>47</v>
      </c>
      <c r="X1778" s="1" t="s">
        <v>1351</v>
      </c>
    </row>
    <row r="1779">
      <c r="A1779" s="1" t="s">
        <v>5800</v>
      </c>
      <c r="B1779" s="1" t="s">
        <v>2867</v>
      </c>
      <c r="C1779" s="1" t="s">
        <v>5801</v>
      </c>
      <c r="D1779" s="1" t="s">
        <v>103</v>
      </c>
      <c r="E1779" s="1" t="s">
        <v>29</v>
      </c>
      <c r="F1779" s="5">
        <v>500000.0</v>
      </c>
      <c r="G1779" s="1" t="s">
        <v>3964</v>
      </c>
      <c r="H1779" s="1" t="s">
        <v>5802</v>
      </c>
      <c r="I1779" s="1" t="s">
        <v>510</v>
      </c>
      <c r="K1779" s="1">
        <v>0.0</v>
      </c>
      <c r="L1779" s="1" t="s">
        <v>428</v>
      </c>
      <c r="M1779" s="1" t="str">
        <f>VLOOKUP(L1779,'Copy of PMD Workday Constants -'!B1778:W2464,22,false)</f>
        <v>#N/A</v>
      </c>
      <c r="N1779" s="1" t="s">
        <v>32</v>
      </c>
      <c r="O1779" s="1" t="s">
        <v>33</v>
      </c>
      <c r="P1779" s="1" t="s">
        <v>173</v>
      </c>
      <c r="Q1779" s="1" t="s">
        <v>173</v>
      </c>
      <c r="R1779" s="1" t="s">
        <v>174</v>
      </c>
      <c r="S1779" s="1" t="s">
        <v>153</v>
      </c>
      <c r="T1779" s="1">
        <v>1.00654085E8</v>
      </c>
      <c r="W1779" s="1" t="s">
        <v>85</v>
      </c>
      <c r="X1779" s="1" t="s">
        <v>2046</v>
      </c>
    </row>
    <row r="1780">
      <c r="A1780" s="1" t="s">
        <v>5803</v>
      </c>
      <c r="B1780" s="1" t="s">
        <v>3270</v>
      </c>
      <c r="C1780" s="1" t="s">
        <v>5804</v>
      </c>
      <c r="D1780" s="1" t="s">
        <v>51</v>
      </c>
      <c r="E1780" s="1" t="s">
        <v>29</v>
      </c>
      <c r="F1780" s="5">
        <v>500000.0</v>
      </c>
      <c r="G1780" s="1" t="s">
        <v>3964</v>
      </c>
      <c r="H1780" s="4">
        <v>44598.0</v>
      </c>
      <c r="I1780" s="1" t="s">
        <v>96</v>
      </c>
      <c r="K1780" s="1">
        <v>0.0</v>
      </c>
      <c r="L1780" s="1" t="s">
        <v>2477</v>
      </c>
      <c r="M1780" s="1" t="str">
        <f>VLOOKUP(L1780,'Copy of PMD Workday Constants -'!B1779:W2465,22,false)</f>
        <v>#N/A</v>
      </c>
      <c r="N1780" s="1" t="s">
        <v>32</v>
      </c>
      <c r="O1780" s="1" t="s">
        <v>33</v>
      </c>
      <c r="P1780" s="1" t="s">
        <v>112</v>
      </c>
      <c r="Q1780" s="1" t="s">
        <v>112</v>
      </c>
      <c r="R1780" s="1" t="s">
        <v>113</v>
      </c>
      <c r="S1780" s="1" t="s">
        <v>134</v>
      </c>
      <c r="T1780" s="1">
        <v>1.00660092E8</v>
      </c>
      <c r="W1780" s="1" t="s">
        <v>74</v>
      </c>
      <c r="X1780" s="1" t="s">
        <v>5805</v>
      </c>
    </row>
    <row r="1781">
      <c r="A1781" s="1" t="s">
        <v>5806</v>
      </c>
      <c r="B1781" s="1" t="s">
        <v>1132</v>
      </c>
      <c r="C1781" s="1" t="s">
        <v>5696</v>
      </c>
      <c r="D1781" s="1" t="s">
        <v>28</v>
      </c>
      <c r="E1781" s="1" t="s">
        <v>29</v>
      </c>
      <c r="F1781" s="5">
        <v>500000.0</v>
      </c>
      <c r="G1781" s="1" t="s">
        <v>3964</v>
      </c>
      <c r="H1781" s="4">
        <v>44565.0</v>
      </c>
      <c r="I1781" s="1" t="s">
        <v>80</v>
      </c>
      <c r="K1781" s="1">
        <v>0.0</v>
      </c>
      <c r="L1781" s="1" t="s">
        <v>5807</v>
      </c>
      <c r="M1781" s="1" t="str">
        <f>VLOOKUP(L1781,'Copy of PMD Workday Constants -'!B1780:W2466,22,false)</f>
        <v>#N/A</v>
      </c>
      <c r="N1781" s="1" t="s">
        <v>32</v>
      </c>
      <c r="O1781" s="1" t="s">
        <v>33</v>
      </c>
      <c r="P1781" s="1" t="s">
        <v>173</v>
      </c>
      <c r="Q1781" s="1" t="s">
        <v>173</v>
      </c>
      <c r="R1781" s="1" t="s">
        <v>174</v>
      </c>
      <c r="S1781" s="1" t="s">
        <v>153</v>
      </c>
      <c r="T1781" s="1">
        <v>1.00589278E8</v>
      </c>
      <c r="W1781" s="1" t="s">
        <v>56</v>
      </c>
      <c r="X1781" s="1" t="s">
        <v>5697</v>
      </c>
    </row>
    <row r="1782">
      <c r="A1782" s="1" t="s">
        <v>5808</v>
      </c>
      <c r="B1782" s="1" t="s">
        <v>3885</v>
      </c>
      <c r="C1782" s="1" t="s">
        <v>5809</v>
      </c>
      <c r="D1782" s="1" t="s">
        <v>51</v>
      </c>
      <c r="E1782" s="1" t="s">
        <v>29</v>
      </c>
      <c r="F1782" s="5">
        <v>500000.0</v>
      </c>
      <c r="G1782" s="1" t="s">
        <v>3964</v>
      </c>
      <c r="H1782" s="4">
        <v>44477.0</v>
      </c>
      <c r="I1782" s="4">
        <v>44626.0</v>
      </c>
      <c r="J1782" s="1" t="s">
        <v>5810</v>
      </c>
      <c r="K1782" s="1">
        <v>0.0</v>
      </c>
      <c r="L1782" s="1" t="s">
        <v>2136</v>
      </c>
      <c r="M1782" s="1" t="str">
        <f>VLOOKUP(L1782,'Copy of PMD Workday Constants -'!B1781:W2467,22,false)</f>
        <v>#N/A</v>
      </c>
      <c r="N1782" s="1" t="s">
        <v>32</v>
      </c>
      <c r="O1782" s="1" t="s">
        <v>33</v>
      </c>
      <c r="P1782" s="1" t="s">
        <v>34</v>
      </c>
      <c r="Q1782" s="1" t="s">
        <v>34</v>
      </c>
      <c r="R1782" s="1" t="s">
        <v>35</v>
      </c>
      <c r="S1782" s="1" t="s">
        <v>126</v>
      </c>
      <c r="T1782" s="1">
        <v>1.00610903E8</v>
      </c>
      <c r="W1782" s="1" t="s">
        <v>533</v>
      </c>
      <c r="X1782" s="1" t="s">
        <v>2136</v>
      </c>
    </row>
    <row r="1783">
      <c r="A1783" s="1" t="s">
        <v>5811</v>
      </c>
      <c r="B1783" s="1" t="s">
        <v>26</v>
      </c>
      <c r="C1783" s="1" t="s">
        <v>5812</v>
      </c>
      <c r="D1783" s="1" t="s">
        <v>28</v>
      </c>
      <c r="E1783" s="1" t="s">
        <v>29</v>
      </c>
      <c r="F1783" s="5">
        <v>500000.0</v>
      </c>
      <c r="G1783" s="1" t="s">
        <v>3964</v>
      </c>
      <c r="H1783" s="1" t="s">
        <v>5813</v>
      </c>
      <c r="I1783" s="1" t="s">
        <v>96</v>
      </c>
      <c r="K1783" s="1">
        <v>0.0</v>
      </c>
      <c r="L1783" s="1" t="s">
        <v>1389</v>
      </c>
      <c r="M1783" s="1" t="str">
        <f>VLOOKUP(L1783,'Copy of PMD Workday Constants -'!B1782:W2468,22,false)</f>
        <v>#N/A</v>
      </c>
      <c r="N1783" s="1" t="s">
        <v>32</v>
      </c>
      <c r="O1783" s="1" t="s">
        <v>33</v>
      </c>
      <c r="P1783" s="1" t="s">
        <v>64</v>
      </c>
      <c r="Q1783" s="1" t="s">
        <v>64</v>
      </c>
      <c r="R1783" s="1" t="s">
        <v>65</v>
      </c>
      <c r="S1783" s="1" t="s">
        <v>1336</v>
      </c>
      <c r="T1783" s="1">
        <v>1.00610014E8</v>
      </c>
      <c r="W1783" s="1" t="s">
        <v>37</v>
      </c>
      <c r="X1783" s="1" t="s">
        <v>1389</v>
      </c>
    </row>
    <row r="1784">
      <c r="A1784" s="1" t="s">
        <v>5814</v>
      </c>
      <c r="B1784" s="1" t="s">
        <v>886</v>
      </c>
      <c r="C1784" s="1" t="s">
        <v>5815</v>
      </c>
      <c r="D1784" s="1" t="s">
        <v>103</v>
      </c>
      <c r="E1784" s="1" t="s">
        <v>29</v>
      </c>
      <c r="F1784" s="5">
        <v>500000.0</v>
      </c>
      <c r="G1784" s="1" t="s">
        <v>3964</v>
      </c>
      <c r="H1784" s="1" t="s">
        <v>263</v>
      </c>
      <c r="I1784" s="1" t="s">
        <v>1223</v>
      </c>
      <c r="K1784" s="1">
        <v>0.0</v>
      </c>
      <c r="L1784" s="1" t="s">
        <v>198</v>
      </c>
      <c r="M1784" s="1" t="str">
        <f>VLOOKUP(L1784,'Copy of PMD Workday Constants -'!B1783:W2469,22,false)</f>
        <v>#N/A</v>
      </c>
      <c r="N1784" s="1" t="s">
        <v>32</v>
      </c>
      <c r="O1784" s="1" t="s">
        <v>33</v>
      </c>
      <c r="P1784" s="1" t="s">
        <v>82</v>
      </c>
      <c r="Q1784" s="1" t="s">
        <v>82</v>
      </c>
      <c r="R1784" s="1" t="s">
        <v>83</v>
      </c>
      <c r="S1784" s="1" t="s">
        <v>180</v>
      </c>
      <c r="T1784" s="1">
        <v>1.00590896E8</v>
      </c>
      <c r="W1784" s="1" t="s">
        <v>85</v>
      </c>
      <c r="X1784" s="1" t="s">
        <v>198</v>
      </c>
    </row>
    <row r="1785">
      <c r="A1785" s="1" t="s">
        <v>5816</v>
      </c>
      <c r="B1785" s="1" t="s">
        <v>246</v>
      </c>
      <c r="C1785" s="1" t="s">
        <v>5817</v>
      </c>
      <c r="D1785" s="1" t="s">
        <v>103</v>
      </c>
      <c r="E1785" s="1" t="s">
        <v>29</v>
      </c>
      <c r="F1785" s="5">
        <v>500000.0</v>
      </c>
      <c r="G1785" s="1" t="s">
        <v>3964</v>
      </c>
      <c r="H1785" s="4">
        <v>44595.0</v>
      </c>
      <c r="I1785" s="1" t="s">
        <v>191</v>
      </c>
      <c r="K1785" s="1">
        <v>0.0</v>
      </c>
      <c r="L1785" s="1" t="s">
        <v>1249</v>
      </c>
      <c r="M1785" s="1" t="str">
        <f>VLOOKUP(L1785,'Copy of PMD Workday Constants -'!B1784:W2470,22,false)</f>
        <v>#N/A</v>
      </c>
      <c r="N1785" s="1" t="s">
        <v>32</v>
      </c>
      <c r="O1785" s="1" t="s">
        <v>33</v>
      </c>
      <c r="P1785" s="1" t="s">
        <v>222</v>
      </c>
      <c r="Q1785" s="1" t="s">
        <v>222</v>
      </c>
      <c r="R1785" s="1" t="s">
        <v>223</v>
      </c>
      <c r="S1785" s="1" t="s">
        <v>646</v>
      </c>
      <c r="T1785" s="1">
        <v>1.00609871E8</v>
      </c>
      <c r="W1785" s="1" t="s">
        <v>250</v>
      </c>
      <c r="X1785" s="1" t="s">
        <v>5483</v>
      </c>
    </row>
    <row r="1786">
      <c r="A1786" s="1" t="s">
        <v>5818</v>
      </c>
      <c r="B1786" s="1" t="s">
        <v>5819</v>
      </c>
      <c r="C1786" s="1" t="s">
        <v>5820</v>
      </c>
      <c r="D1786" s="1" t="s">
        <v>103</v>
      </c>
      <c r="E1786" s="1" t="s">
        <v>29</v>
      </c>
      <c r="F1786" s="5">
        <v>500000.0</v>
      </c>
      <c r="G1786" s="1" t="s">
        <v>3964</v>
      </c>
      <c r="H1786" s="4">
        <v>44448.0</v>
      </c>
      <c r="I1786" s="1" t="s">
        <v>699</v>
      </c>
      <c r="K1786" s="1">
        <v>0.0</v>
      </c>
      <c r="L1786" s="1" t="s">
        <v>976</v>
      </c>
      <c r="M1786" s="1" t="str">
        <f>VLOOKUP(L1786,'Copy of PMD Workday Constants -'!B1785:W2471,22,false)</f>
        <v>#N/A</v>
      </c>
      <c r="N1786" s="1" t="s">
        <v>32</v>
      </c>
      <c r="O1786" s="1" t="s">
        <v>33</v>
      </c>
      <c r="P1786" s="1" t="s">
        <v>173</v>
      </c>
      <c r="Q1786" s="1" t="s">
        <v>173</v>
      </c>
      <c r="R1786" s="1" t="s">
        <v>174</v>
      </c>
      <c r="S1786" s="1" t="s">
        <v>153</v>
      </c>
      <c r="T1786" s="1">
        <v>1.00611358E8</v>
      </c>
      <c r="W1786" s="1" t="s">
        <v>456</v>
      </c>
      <c r="X1786" s="1" t="s">
        <v>976</v>
      </c>
    </row>
    <row r="1787">
      <c r="A1787" s="1" t="s">
        <v>5821</v>
      </c>
      <c r="B1787" s="1" t="s">
        <v>5822</v>
      </c>
      <c r="C1787" s="1" t="s">
        <v>5823</v>
      </c>
      <c r="D1787" s="1" t="s">
        <v>28</v>
      </c>
      <c r="E1787" s="1" t="s">
        <v>29</v>
      </c>
      <c r="F1787" s="5">
        <v>500000.0</v>
      </c>
      <c r="G1787" s="1" t="s">
        <v>3964</v>
      </c>
      <c r="H1787" s="4">
        <v>44202.0</v>
      </c>
      <c r="I1787" s="1" t="s">
        <v>302</v>
      </c>
      <c r="K1787" s="1">
        <v>0.0</v>
      </c>
      <c r="L1787" s="1" t="s">
        <v>1486</v>
      </c>
      <c r="M1787" s="1" t="str">
        <f>VLOOKUP(L1787,'Copy of PMD Workday Constants -'!B1786:W2472,22,false)</f>
        <v>#N/A</v>
      </c>
      <c r="N1787" s="1" t="s">
        <v>32</v>
      </c>
      <c r="O1787" s="1" t="s">
        <v>33</v>
      </c>
      <c r="P1787" s="1" t="s">
        <v>82</v>
      </c>
      <c r="Q1787" s="1" t="s">
        <v>82</v>
      </c>
      <c r="R1787" s="1" t="s">
        <v>83</v>
      </c>
      <c r="S1787" s="1" t="s">
        <v>583</v>
      </c>
      <c r="T1787" s="1">
        <v>1.006324E8</v>
      </c>
      <c r="W1787" s="1" t="s">
        <v>456</v>
      </c>
      <c r="X1787" s="1" t="s">
        <v>1486</v>
      </c>
    </row>
    <row r="1788">
      <c r="A1788" s="1" t="s">
        <v>5824</v>
      </c>
      <c r="B1788" s="1" t="s">
        <v>5237</v>
      </c>
      <c r="C1788" s="1" t="s">
        <v>5825</v>
      </c>
      <c r="D1788" s="1" t="s">
        <v>51</v>
      </c>
      <c r="E1788" s="1" t="s">
        <v>29</v>
      </c>
      <c r="F1788" s="5">
        <v>500000.0</v>
      </c>
      <c r="G1788" s="1" t="s">
        <v>3964</v>
      </c>
      <c r="H1788" s="4">
        <v>44412.0</v>
      </c>
      <c r="I1788" s="1" t="s">
        <v>237</v>
      </c>
      <c r="K1788" s="1">
        <v>0.0</v>
      </c>
      <c r="L1788" s="1" t="s">
        <v>1973</v>
      </c>
      <c r="M1788" s="1" t="str">
        <f>VLOOKUP(L1788,'Copy of PMD Workday Constants -'!B1787:W2473,22,false)</f>
        <v>#N/A</v>
      </c>
      <c r="N1788" s="1" t="s">
        <v>32</v>
      </c>
      <c r="O1788" s="1" t="s">
        <v>33</v>
      </c>
      <c r="P1788" s="1" t="s">
        <v>82</v>
      </c>
      <c r="Q1788" s="1" t="s">
        <v>82</v>
      </c>
      <c r="R1788" s="1" t="s">
        <v>83</v>
      </c>
      <c r="S1788" s="1" t="s">
        <v>180</v>
      </c>
      <c r="T1788" s="1">
        <v>1.00619692E8</v>
      </c>
      <c r="W1788" s="1" t="s">
        <v>85</v>
      </c>
      <c r="X1788" s="1" t="s">
        <v>1973</v>
      </c>
    </row>
    <row r="1789">
      <c r="A1789" s="1" t="s">
        <v>5826</v>
      </c>
      <c r="B1789" s="1" t="s">
        <v>2236</v>
      </c>
      <c r="C1789" s="1" t="s">
        <v>5827</v>
      </c>
      <c r="D1789" s="1" t="s">
        <v>103</v>
      </c>
      <c r="E1789" s="1" t="s">
        <v>29</v>
      </c>
      <c r="F1789" s="5">
        <v>500000.0</v>
      </c>
      <c r="G1789" s="1" t="s">
        <v>3964</v>
      </c>
      <c r="H1789" s="4">
        <v>44716.0</v>
      </c>
      <c r="I1789" s="1" t="s">
        <v>414</v>
      </c>
      <c r="K1789" s="1">
        <v>0.0</v>
      </c>
      <c r="L1789" s="1" t="s">
        <v>481</v>
      </c>
      <c r="M1789" s="1" t="str">
        <f>VLOOKUP(L1789,'Copy of PMD Workday Constants -'!B1788:W2474,22,false)</f>
        <v>#N/A</v>
      </c>
      <c r="N1789" s="1" t="s">
        <v>32</v>
      </c>
      <c r="O1789" s="1" t="s">
        <v>33</v>
      </c>
      <c r="P1789" s="1" t="s">
        <v>222</v>
      </c>
      <c r="Q1789" s="1" t="s">
        <v>222</v>
      </c>
      <c r="R1789" s="1" t="s">
        <v>223</v>
      </c>
      <c r="S1789" s="1" t="s">
        <v>482</v>
      </c>
      <c r="T1789" s="1">
        <v>1.00654864E8</v>
      </c>
      <c r="W1789" s="1" t="s">
        <v>258</v>
      </c>
      <c r="X1789" s="1" t="s">
        <v>5828</v>
      </c>
    </row>
    <row r="1790">
      <c r="A1790" s="1" t="s">
        <v>5829</v>
      </c>
      <c r="B1790" s="1" t="s">
        <v>5830</v>
      </c>
      <c r="C1790" s="1" t="s">
        <v>5831</v>
      </c>
      <c r="D1790" s="1" t="s">
        <v>28</v>
      </c>
      <c r="E1790" s="1" t="s">
        <v>29</v>
      </c>
      <c r="F1790" s="5">
        <v>500000.0</v>
      </c>
      <c r="G1790" s="1" t="s">
        <v>3964</v>
      </c>
      <c r="H1790" s="1" t="s">
        <v>785</v>
      </c>
      <c r="I1790" s="1" t="s">
        <v>810</v>
      </c>
      <c r="K1790" s="1">
        <v>0.0</v>
      </c>
      <c r="L1790" s="1" t="s">
        <v>5832</v>
      </c>
      <c r="M1790" s="1" t="str">
        <f>VLOOKUP(L1790,'Copy of PMD Workday Constants -'!B1789:W2475,22,false)</f>
        <v>#N/A</v>
      </c>
      <c r="N1790" s="1" t="s">
        <v>32</v>
      </c>
      <c r="O1790" s="1" t="s">
        <v>33</v>
      </c>
      <c r="P1790" s="1" t="s">
        <v>64</v>
      </c>
      <c r="Q1790" s="1" t="s">
        <v>64</v>
      </c>
      <c r="R1790" s="1" t="s">
        <v>65</v>
      </c>
      <c r="T1790" s="1">
        <v>1.00609257E8</v>
      </c>
      <c r="W1790" s="1" t="s">
        <v>258</v>
      </c>
      <c r="X1790" s="1" t="s">
        <v>5833</v>
      </c>
    </row>
    <row r="1791">
      <c r="A1791" s="1" t="s">
        <v>5834</v>
      </c>
      <c r="B1791" s="1" t="s">
        <v>5835</v>
      </c>
      <c r="C1791" s="1" t="s">
        <v>5836</v>
      </c>
      <c r="D1791" s="1" t="s">
        <v>28</v>
      </c>
      <c r="E1791" s="1" t="s">
        <v>29</v>
      </c>
      <c r="F1791" s="5">
        <v>500000.0</v>
      </c>
      <c r="G1791" s="1" t="s">
        <v>3964</v>
      </c>
      <c r="H1791" s="4">
        <v>44870.0</v>
      </c>
      <c r="I1791" s="1" t="s">
        <v>1281</v>
      </c>
      <c r="K1791" s="1">
        <v>0.0</v>
      </c>
      <c r="L1791" s="1" t="s">
        <v>1198</v>
      </c>
      <c r="M1791" s="1" t="str">
        <f>VLOOKUP(L1791,'Copy of PMD Workday Constants -'!B1790:W2476,22,false)</f>
        <v>#N/A</v>
      </c>
      <c r="N1791" s="1" t="s">
        <v>32</v>
      </c>
      <c r="O1791" s="1" t="s">
        <v>33</v>
      </c>
      <c r="P1791" s="1" t="s">
        <v>64</v>
      </c>
      <c r="Q1791" s="1" t="s">
        <v>64</v>
      </c>
      <c r="R1791" s="1" t="s">
        <v>65</v>
      </c>
      <c r="T1791" s="1">
        <v>1.01127868E8</v>
      </c>
      <c r="W1791" s="1" t="s">
        <v>308</v>
      </c>
      <c r="X1791" s="1" t="s">
        <v>2197</v>
      </c>
    </row>
    <row r="1792">
      <c r="A1792" s="1" t="s">
        <v>5837</v>
      </c>
      <c r="B1792" s="1" t="s">
        <v>954</v>
      </c>
      <c r="C1792" s="1" t="s">
        <v>5838</v>
      </c>
      <c r="D1792" s="1" t="s">
        <v>28</v>
      </c>
      <c r="E1792" s="1" t="s">
        <v>29</v>
      </c>
      <c r="F1792" s="5">
        <v>500000.0</v>
      </c>
      <c r="G1792" s="1" t="s">
        <v>3964</v>
      </c>
      <c r="H1792" s="1" t="s">
        <v>870</v>
      </c>
      <c r="I1792" s="1" t="s">
        <v>302</v>
      </c>
      <c r="K1792" s="1">
        <v>0.0</v>
      </c>
      <c r="L1792" s="1" t="s">
        <v>2983</v>
      </c>
      <c r="M1792" s="1" t="str">
        <f>VLOOKUP(L1792,'Copy of PMD Workday Constants -'!B1791:W2477,22,false)</f>
        <v>#N/A</v>
      </c>
      <c r="N1792" s="1" t="s">
        <v>32</v>
      </c>
      <c r="O1792" s="1" t="s">
        <v>33</v>
      </c>
      <c r="P1792" s="1" t="s">
        <v>34</v>
      </c>
      <c r="Q1792" s="1" t="s">
        <v>34</v>
      </c>
      <c r="R1792" s="1" t="s">
        <v>35</v>
      </c>
      <c r="S1792" s="1" t="s">
        <v>383</v>
      </c>
      <c r="T1792" s="1">
        <v>1.00650568E8</v>
      </c>
      <c r="W1792" s="1" t="s">
        <v>147</v>
      </c>
      <c r="X1792" s="1" t="s">
        <v>2983</v>
      </c>
    </row>
    <row r="1793">
      <c r="A1793" s="1" t="s">
        <v>5839</v>
      </c>
      <c r="B1793" s="1" t="s">
        <v>5840</v>
      </c>
      <c r="C1793" s="1" t="s">
        <v>5841</v>
      </c>
      <c r="D1793" s="1" t="s">
        <v>28</v>
      </c>
      <c r="E1793" s="1" t="s">
        <v>29</v>
      </c>
      <c r="F1793" s="5">
        <v>500000.0</v>
      </c>
      <c r="G1793" s="1" t="s">
        <v>3964</v>
      </c>
      <c r="H1793" s="1" t="s">
        <v>1323</v>
      </c>
      <c r="I1793" s="1" t="s">
        <v>80</v>
      </c>
      <c r="K1793" s="1">
        <v>0.0</v>
      </c>
      <c r="L1793" s="1" t="s">
        <v>5313</v>
      </c>
      <c r="M1793" s="1" t="str">
        <f>VLOOKUP(L1793,'Copy of PMD Workday Constants -'!B1792:W2478,22,false)</f>
        <v>#N/A</v>
      </c>
      <c r="N1793" s="1" t="s">
        <v>32</v>
      </c>
      <c r="O1793" s="1" t="s">
        <v>33</v>
      </c>
      <c r="P1793" s="1" t="s">
        <v>64</v>
      </c>
      <c r="Q1793" s="1" t="s">
        <v>64</v>
      </c>
      <c r="R1793" s="1" t="s">
        <v>65</v>
      </c>
      <c r="S1793" s="1" t="s">
        <v>1496</v>
      </c>
      <c r="T1793" s="1">
        <v>1.00910509E8</v>
      </c>
      <c r="W1793" s="1" t="s">
        <v>258</v>
      </c>
      <c r="X1793" s="1" t="s">
        <v>5313</v>
      </c>
    </row>
    <row r="1794">
      <c r="A1794" s="1" t="s">
        <v>5842</v>
      </c>
      <c r="B1794" s="1" t="s">
        <v>168</v>
      </c>
      <c r="C1794" s="1" t="s">
        <v>5696</v>
      </c>
      <c r="D1794" s="1" t="s">
        <v>28</v>
      </c>
      <c r="E1794" s="1" t="s">
        <v>29</v>
      </c>
      <c r="F1794" s="5">
        <v>500000.0</v>
      </c>
      <c r="G1794" s="1" t="s">
        <v>3964</v>
      </c>
      <c r="H1794" s="4">
        <v>44565.0</v>
      </c>
      <c r="I1794" s="1" t="s">
        <v>80</v>
      </c>
      <c r="K1794" s="1">
        <v>0.0</v>
      </c>
      <c r="L1794" s="1" t="s">
        <v>3734</v>
      </c>
      <c r="M1794" s="1" t="str">
        <f>VLOOKUP(L1794,'Copy of PMD Workday Constants -'!B1793:W2479,22,false)</f>
        <v>#N/A</v>
      </c>
      <c r="N1794" s="1" t="s">
        <v>32</v>
      </c>
      <c r="O1794" s="1" t="s">
        <v>33</v>
      </c>
      <c r="P1794" s="1" t="s">
        <v>173</v>
      </c>
      <c r="Q1794" s="1" t="s">
        <v>173</v>
      </c>
      <c r="R1794" s="1" t="s">
        <v>174</v>
      </c>
      <c r="S1794" s="1" t="s">
        <v>153</v>
      </c>
      <c r="T1794" s="1">
        <v>1.00589248E8</v>
      </c>
      <c r="W1794" s="1" t="s">
        <v>37</v>
      </c>
      <c r="X1794" s="1" t="s">
        <v>5697</v>
      </c>
    </row>
    <row r="1795">
      <c r="A1795" s="1" t="s">
        <v>5843</v>
      </c>
      <c r="B1795" s="1" t="s">
        <v>2079</v>
      </c>
      <c r="C1795" s="1" t="s">
        <v>5844</v>
      </c>
      <c r="D1795" s="1" t="s">
        <v>28</v>
      </c>
      <c r="E1795" s="1" t="s">
        <v>29</v>
      </c>
      <c r="F1795" s="5">
        <v>500000.0</v>
      </c>
      <c r="G1795" s="1" t="s">
        <v>3964</v>
      </c>
      <c r="H1795" s="4">
        <v>44565.0</v>
      </c>
      <c r="I1795" s="1" t="s">
        <v>132</v>
      </c>
      <c r="K1795" s="1">
        <v>0.0</v>
      </c>
      <c r="L1795" s="1" t="s">
        <v>934</v>
      </c>
      <c r="M1795" s="1" t="str">
        <f>VLOOKUP(L1795,'Copy of PMD Workday Constants -'!B1794:W2480,22,false)</f>
        <v>#N/A</v>
      </c>
      <c r="N1795" s="1" t="s">
        <v>32</v>
      </c>
      <c r="O1795" s="1" t="s">
        <v>33</v>
      </c>
      <c r="P1795" s="1" t="s">
        <v>173</v>
      </c>
      <c r="Q1795" s="1" t="s">
        <v>173</v>
      </c>
      <c r="R1795" s="1" t="s">
        <v>174</v>
      </c>
      <c r="S1795" s="1" t="s">
        <v>153</v>
      </c>
      <c r="T1795" s="1">
        <v>1.00653269E8</v>
      </c>
      <c r="W1795" s="1" t="s">
        <v>258</v>
      </c>
      <c r="X1795" s="1" t="s">
        <v>5697</v>
      </c>
    </row>
    <row r="1796">
      <c r="A1796" s="1" t="s">
        <v>5845</v>
      </c>
      <c r="B1796" s="1" t="s">
        <v>4514</v>
      </c>
      <c r="C1796" s="1" t="s">
        <v>5846</v>
      </c>
      <c r="D1796" s="1" t="s">
        <v>51</v>
      </c>
      <c r="E1796" s="1" t="s">
        <v>29</v>
      </c>
      <c r="F1796" s="5">
        <v>500000.0</v>
      </c>
      <c r="G1796" s="1" t="s">
        <v>3964</v>
      </c>
      <c r="H1796" s="4">
        <v>44229.0</v>
      </c>
      <c r="I1796" s="1" t="s">
        <v>80</v>
      </c>
      <c r="K1796" s="1">
        <v>0.0</v>
      </c>
      <c r="L1796" s="1" t="s">
        <v>1312</v>
      </c>
      <c r="M1796" s="1" t="str">
        <f>VLOOKUP(L1796,'Copy of PMD Workday Constants -'!B1795:W2481,22,false)</f>
        <v>#N/A</v>
      </c>
      <c r="N1796" s="1" t="s">
        <v>32</v>
      </c>
      <c r="O1796" s="1" t="s">
        <v>33</v>
      </c>
      <c r="P1796" s="1" t="s">
        <v>210</v>
      </c>
      <c r="Q1796" s="1" t="s">
        <v>210</v>
      </c>
      <c r="R1796" s="1" t="s">
        <v>211</v>
      </c>
      <c r="S1796" s="1" t="s">
        <v>1313</v>
      </c>
      <c r="T1796" s="1">
        <v>1.00660608E8</v>
      </c>
      <c r="W1796" s="1" t="s">
        <v>577</v>
      </c>
      <c r="X1796" s="1" t="s">
        <v>5385</v>
      </c>
    </row>
    <row r="1797">
      <c r="A1797" s="1" t="s">
        <v>5847</v>
      </c>
      <c r="B1797" s="1" t="s">
        <v>432</v>
      </c>
      <c r="C1797" s="1" t="s">
        <v>5844</v>
      </c>
      <c r="D1797" s="1" t="s">
        <v>28</v>
      </c>
      <c r="E1797" s="1" t="s">
        <v>29</v>
      </c>
      <c r="F1797" s="5">
        <v>500000.0</v>
      </c>
      <c r="G1797" s="1" t="s">
        <v>3964</v>
      </c>
      <c r="H1797" s="4">
        <v>44565.0</v>
      </c>
      <c r="I1797" s="1" t="s">
        <v>80</v>
      </c>
      <c r="K1797" s="1">
        <v>0.0</v>
      </c>
      <c r="L1797" s="1" t="s">
        <v>5807</v>
      </c>
      <c r="M1797" s="1" t="str">
        <f>VLOOKUP(L1797,'Copy of PMD Workday Constants -'!B1796:W2482,22,false)</f>
        <v>#N/A</v>
      </c>
      <c r="N1797" s="1" t="s">
        <v>32</v>
      </c>
      <c r="O1797" s="1" t="s">
        <v>33</v>
      </c>
      <c r="P1797" s="1" t="s">
        <v>173</v>
      </c>
      <c r="Q1797" s="1" t="s">
        <v>173</v>
      </c>
      <c r="R1797" s="1" t="s">
        <v>174</v>
      </c>
      <c r="S1797" s="1" t="s">
        <v>153</v>
      </c>
      <c r="T1797" s="1">
        <v>1.00589278E8</v>
      </c>
      <c r="W1797" s="1" t="s">
        <v>436</v>
      </c>
      <c r="X1797" s="1" t="s">
        <v>5697</v>
      </c>
    </row>
    <row r="1798">
      <c r="A1798" s="1" t="s">
        <v>5848</v>
      </c>
      <c r="B1798" s="1" t="s">
        <v>5849</v>
      </c>
      <c r="C1798" s="1" t="s">
        <v>5850</v>
      </c>
      <c r="D1798" s="1" t="s">
        <v>51</v>
      </c>
      <c r="E1798" s="1" t="s">
        <v>29</v>
      </c>
      <c r="F1798" s="5">
        <v>500000.0</v>
      </c>
      <c r="G1798" s="1" t="s">
        <v>3964</v>
      </c>
      <c r="H1798" s="1" t="s">
        <v>727</v>
      </c>
      <c r="I1798" s="1" t="s">
        <v>865</v>
      </c>
      <c r="K1798" s="1">
        <v>0.0</v>
      </c>
      <c r="L1798" s="1" t="s">
        <v>1510</v>
      </c>
      <c r="M1798" s="1" t="str">
        <f>VLOOKUP(L1798,'Copy of PMD Workday Constants -'!B1797:W2483,22,false)</f>
        <v>#N/A</v>
      </c>
      <c r="N1798" s="1" t="s">
        <v>32</v>
      </c>
      <c r="O1798" s="1" t="s">
        <v>33</v>
      </c>
      <c r="P1798" s="1" t="s">
        <v>222</v>
      </c>
      <c r="Q1798" s="1" t="s">
        <v>222</v>
      </c>
      <c r="R1798" s="1" t="s">
        <v>223</v>
      </c>
      <c r="S1798" s="1" t="s">
        <v>601</v>
      </c>
      <c r="T1798" s="1">
        <v>1.00711752E8</v>
      </c>
      <c r="W1798" s="1" t="s">
        <v>47</v>
      </c>
      <c r="X1798" s="1" t="s">
        <v>5851</v>
      </c>
    </row>
    <row r="1799">
      <c r="A1799" s="1" t="s">
        <v>5852</v>
      </c>
      <c r="B1799" s="1" t="s">
        <v>5853</v>
      </c>
      <c r="C1799" s="1" t="s">
        <v>5854</v>
      </c>
      <c r="D1799" s="1" t="s">
        <v>28</v>
      </c>
      <c r="E1799" s="1" t="s">
        <v>29</v>
      </c>
      <c r="F1799" s="5">
        <v>500000.0</v>
      </c>
      <c r="G1799" s="1" t="s">
        <v>3964</v>
      </c>
      <c r="H1799" s="4">
        <v>44626.0</v>
      </c>
      <c r="I1799" s="1" t="s">
        <v>43</v>
      </c>
      <c r="K1799" s="1">
        <v>0.0</v>
      </c>
      <c r="L1799" s="1" t="s">
        <v>5384</v>
      </c>
      <c r="M1799" s="1" t="str">
        <f>VLOOKUP(L1799,'Copy of PMD Workday Constants -'!B1798:W2484,22,false)</f>
        <v>#N/A</v>
      </c>
      <c r="N1799" s="1" t="s">
        <v>32</v>
      </c>
      <c r="O1799" s="1" t="s">
        <v>33</v>
      </c>
      <c r="P1799" s="1" t="s">
        <v>112</v>
      </c>
      <c r="Q1799" s="1" t="s">
        <v>112</v>
      </c>
      <c r="R1799" s="1" t="s">
        <v>113</v>
      </c>
      <c r="T1799" s="1">
        <v>1.00615309E8</v>
      </c>
      <c r="W1799" s="1" t="s">
        <v>250</v>
      </c>
      <c r="X1799" s="1" t="s">
        <v>5384</v>
      </c>
    </row>
    <row r="1800">
      <c r="A1800" s="1" t="s">
        <v>5855</v>
      </c>
      <c r="B1800" s="1" t="s">
        <v>1580</v>
      </c>
      <c r="C1800" s="1" t="s">
        <v>5856</v>
      </c>
      <c r="D1800" s="1" t="s">
        <v>103</v>
      </c>
      <c r="E1800" s="1" t="s">
        <v>29</v>
      </c>
      <c r="F1800" s="5">
        <v>500000.0</v>
      </c>
      <c r="G1800" s="1" t="s">
        <v>3964</v>
      </c>
      <c r="H1800" s="4">
        <v>44262.0</v>
      </c>
      <c r="I1800" s="4">
        <v>44568.0</v>
      </c>
      <c r="K1800" s="1">
        <v>0.0</v>
      </c>
      <c r="L1800" s="1" t="s">
        <v>3565</v>
      </c>
      <c r="M1800" s="1" t="str">
        <f>VLOOKUP(L1800,'Copy of PMD Workday Constants -'!B1799:W2485,22,false)</f>
        <v>#N/A</v>
      </c>
      <c r="N1800" s="1" t="s">
        <v>32</v>
      </c>
      <c r="O1800" s="1" t="s">
        <v>33</v>
      </c>
      <c r="P1800" s="1" t="s">
        <v>112</v>
      </c>
      <c r="Q1800" s="1" t="s">
        <v>112</v>
      </c>
      <c r="R1800" s="1" t="s">
        <v>113</v>
      </c>
      <c r="S1800" s="1" t="s">
        <v>204</v>
      </c>
      <c r="T1800" s="1">
        <v>1.00658777E8</v>
      </c>
      <c r="W1800" s="1" t="s">
        <v>91</v>
      </c>
      <c r="X1800" s="1" t="s">
        <v>4381</v>
      </c>
    </row>
    <row r="1801">
      <c r="A1801" s="1" t="s">
        <v>5857</v>
      </c>
      <c r="B1801" s="1" t="s">
        <v>3786</v>
      </c>
      <c r="C1801" s="1" t="s">
        <v>5858</v>
      </c>
      <c r="D1801" s="1" t="s">
        <v>28</v>
      </c>
      <c r="E1801" s="1" t="s">
        <v>29</v>
      </c>
      <c r="F1801" s="5">
        <v>500000.0</v>
      </c>
      <c r="G1801" s="1" t="s">
        <v>3964</v>
      </c>
      <c r="H1801" s="4">
        <v>44565.0</v>
      </c>
      <c r="I1801" s="1" t="s">
        <v>80</v>
      </c>
      <c r="K1801" s="1">
        <v>0.0</v>
      </c>
      <c r="L1801" s="1" t="s">
        <v>934</v>
      </c>
      <c r="M1801" s="1" t="str">
        <f>VLOOKUP(L1801,'Copy of PMD Workday Constants -'!B1800:W2486,22,false)</f>
        <v>#N/A</v>
      </c>
      <c r="N1801" s="1" t="s">
        <v>32</v>
      </c>
      <c r="O1801" s="1" t="s">
        <v>33</v>
      </c>
      <c r="P1801" s="1" t="s">
        <v>173</v>
      </c>
      <c r="Q1801" s="1" t="s">
        <v>173</v>
      </c>
      <c r="R1801" s="1" t="s">
        <v>174</v>
      </c>
      <c r="S1801" s="1" t="s">
        <v>153</v>
      </c>
      <c r="T1801" s="1">
        <v>1.00653269E8</v>
      </c>
      <c r="W1801" s="1" t="s">
        <v>74</v>
      </c>
      <c r="X1801" s="1" t="s">
        <v>5697</v>
      </c>
    </row>
    <row r="1802">
      <c r="A1802" s="1" t="s">
        <v>5859</v>
      </c>
      <c r="B1802" s="1" t="s">
        <v>4986</v>
      </c>
      <c r="C1802" s="1" t="s">
        <v>5696</v>
      </c>
      <c r="D1802" s="1" t="s">
        <v>28</v>
      </c>
      <c r="E1802" s="1" t="s">
        <v>29</v>
      </c>
      <c r="F1802" s="5">
        <v>500000.0</v>
      </c>
      <c r="G1802" s="1" t="s">
        <v>3964</v>
      </c>
      <c r="H1802" s="4">
        <v>44565.0</v>
      </c>
      <c r="I1802" s="1" t="s">
        <v>80</v>
      </c>
      <c r="K1802" s="1">
        <v>0.0</v>
      </c>
      <c r="L1802" s="1" t="s">
        <v>3734</v>
      </c>
      <c r="M1802" s="1" t="str">
        <f>VLOOKUP(L1802,'Copy of PMD Workday Constants -'!B1801:W2487,22,false)</f>
        <v>#N/A</v>
      </c>
      <c r="N1802" s="1" t="s">
        <v>32</v>
      </c>
      <c r="O1802" s="1" t="s">
        <v>33</v>
      </c>
      <c r="P1802" s="1" t="s">
        <v>173</v>
      </c>
      <c r="Q1802" s="1" t="s">
        <v>173</v>
      </c>
      <c r="R1802" s="1" t="s">
        <v>174</v>
      </c>
      <c r="S1802" s="1" t="s">
        <v>153</v>
      </c>
      <c r="T1802" s="1">
        <v>1.00589248E8</v>
      </c>
      <c r="W1802" s="1" t="s">
        <v>147</v>
      </c>
      <c r="X1802" s="1" t="s">
        <v>5697</v>
      </c>
    </row>
    <row r="1803">
      <c r="A1803" s="1" t="s">
        <v>5860</v>
      </c>
      <c r="B1803" s="1" t="s">
        <v>1062</v>
      </c>
      <c r="C1803" s="1" t="s">
        <v>5696</v>
      </c>
      <c r="D1803" s="1" t="s">
        <v>28</v>
      </c>
      <c r="E1803" s="1" t="s">
        <v>29</v>
      </c>
      <c r="F1803" s="5">
        <v>500000.0</v>
      </c>
      <c r="G1803" s="1" t="s">
        <v>3964</v>
      </c>
      <c r="H1803" s="4">
        <v>44565.0</v>
      </c>
      <c r="I1803" s="1" t="s">
        <v>80</v>
      </c>
      <c r="K1803" s="1">
        <v>0.0</v>
      </c>
      <c r="L1803" s="1" t="s">
        <v>934</v>
      </c>
      <c r="M1803" s="1" t="str">
        <f>VLOOKUP(L1803,'Copy of PMD Workday Constants -'!B1802:W2488,22,false)</f>
        <v>#N/A</v>
      </c>
      <c r="N1803" s="1" t="s">
        <v>32</v>
      </c>
      <c r="O1803" s="1" t="s">
        <v>33</v>
      </c>
      <c r="P1803" s="1" t="s">
        <v>173</v>
      </c>
      <c r="Q1803" s="1" t="s">
        <v>173</v>
      </c>
      <c r="R1803" s="1" t="s">
        <v>174</v>
      </c>
      <c r="S1803" s="1" t="s">
        <v>153</v>
      </c>
      <c r="T1803" s="1">
        <v>1.00653269E8</v>
      </c>
      <c r="W1803" s="1" t="s">
        <v>493</v>
      </c>
      <c r="X1803" s="1" t="s">
        <v>5697</v>
      </c>
    </row>
    <row r="1804">
      <c r="A1804" s="1" t="s">
        <v>5861</v>
      </c>
      <c r="B1804" s="1" t="s">
        <v>4082</v>
      </c>
      <c r="C1804" s="1" t="s">
        <v>5862</v>
      </c>
      <c r="D1804" s="1" t="s">
        <v>28</v>
      </c>
      <c r="E1804" s="1" t="s">
        <v>29</v>
      </c>
      <c r="F1804" s="5">
        <v>500000.0</v>
      </c>
      <c r="G1804" s="1" t="s">
        <v>3964</v>
      </c>
      <c r="H1804" s="4">
        <v>44686.0</v>
      </c>
      <c r="I1804" s="1" t="s">
        <v>1134</v>
      </c>
      <c r="K1804" s="1">
        <v>0.0</v>
      </c>
      <c r="L1804" s="1" t="s">
        <v>5863</v>
      </c>
      <c r="M1804" s="1" t="str">
        <f>VLOOKUP(L1804,'Copy of PMD Workday Constants -'!B1803:W2489,22,false)</f>
        <v>#N/A</v>
      </c>
      <c r="N1804" s="1" t="s">
        <v>32</v>
      </c>
      <c r="O1804" s="1" t="s">
        <v>33</v>
      </c>
      <c r="P1804" s="1" t="s">
        <v>34</v>
      </c>
      <c r="Q1804" s="1" t="s">
        <v>34</v>
      </c>
      <c r="R1804" s="1" t="s">
        <v>35</v>
      </c>
      <c r="T1804" s="1">
        <v>1.00588086E8</v>
      </c>
      <c r="W1804" s="1" t="s">
        <v>37</v>
      </c>
      <c r="X1804" s="1" t="s">
        <v>5863</v>
      </c>
    </row>
    <row r="1805">
      <c r="A1805" s="1" t="s">
        <v>5864</v>
      </c>
      <c r="B1805" s="1" t="s">
        <v>5865</v>
      </c>
      <c r="C1805" s="1" t="s">
        <v>5866</v>
      </c>
      <c r="D1805" s="1" t="s">
        <v>51</v>
      </c>
      <c r="E1805" s="1" t="s">
        <v>29</v>
      </c>
      <c r="F1805" s="5">
        <v>500000.0</v>
      </c>
      <c r="G1805" s="1" t="s">
        <v>3964</v>
      </c>
      <c r="H1805" s="1" t="s">
        <v>2069</v>
      </c>
      <c r="I1805" s="1" t="s">
        <v>104</v>
      </c>
      <c r="K1805" s="1">
        <v>0.0</v>
      </c>
      <c r="L1805" s="1" t="s">
        <v>1292</v>
      </c>
      <c r="M1805" s="1" t="str">
        <f>VLOOKUP(L1805,'Copy of PMD Workday Constants -'!B1804:W2490,22,false)</f>
        <v>#N/A</v>
      </c>
      <c r="N1805" s="1" t="s">
        <v>32</v>
      </c>
      <c r="O1805" s="1" t="s">
        <v>33</v>
      </c>
      <c r="P1805" s="1" t="s">
        <v>82</v>
      </c>
      <c r="Q1805" s="1" t="s">
        <v>82</v>
      </c>
      <c r="R1805" s="1" t="s">
        <v>83</v>
      </c>
      <c r="S1805" s="1" t="s">
        <v>180</v>
      </c>
      <c r="T1805" s="1">
        <v>1.006299E8</v>
      </c>
      <c r="W1805" s="1" t="s">
        <v>2098</v>
      </c>
      <c r="X1805" s="1" t="s">
        <v>1292</v>
      </c>
    </row>
    <row r="1806">
      <c r="A1806" s="1" t="s">
        <v>5867</v>
      </c>
      <c r="B1806" s="1" t="s">
        <v>2641</v>
      </c>
      <c r="C1806" s="1" t="s">
        <v>5868</v>
      </c>
      <c r="D1806" s="1" t="s">
        <v>28</v>
      </c>
      <c r="E1806" s="1" t="s">
        <v>29</v>
      </c>
      <c r="F1806" s="5">
        <v>500000.0</v>
      </c>
      <c r="G1806" s="1" t="s">
        <v>3964</v>
      </c>
      <c r="H1806" s="1" t="s">
        <v>375</v>
      </c>
      <c r="I1806" s="1" t="s">
        <v>264</v>
      </c>
      <c r="K1806" s="1">
        <v>0.0</v>
      </c>
      <c r="L1806" s="1" t="s">
        <v>2970</v>
      </c>
      <c r="M1806" s="1" t="str">
        <f>VLOOKUP(L1806,'Copy of PMD Workday Constants -'!B1805:W2491,22,false)</f>
        <v>#N/A</v>
      </c>
      <c r="N1806" s="1" t="s">
        <v>32</v>
      </c>
      <c r="O1806" s="1" t="s">
        <v>33</v>
      </c>
      <c r="P1806" s="1" t="s">
        <v>173</v>
      </c>
      <c r="Q1806" s="1" t="s">
        <v>173</v>
      </c>
      <c r="R1806" s="1" t="s">
        <v>174</v>
      </c>
      <c r="S1806" s="1" t="s">
        <v>612</v>
      </c>
      <c r="T1806" s="1">
        <v>1.00616377E8</v>
      </c>
      <c r="W1806" s="1" t="s">
        <v>456</v>
      </c>
      <c r="X1806" s="1" t="s">
        <v>5869</v>
      </c>
    </row>
    <row r="1807">
      <c r="A1807" s="1" t="s">
        <v>5870</v>
      </c>
      <c r="B1807" s="1" t="s">
        <v>5871</v>
      </c>
      <c r="C1807" s="1" t="s">
        <v>5872</v>
      </c>
      <c r="D1807" s="1" t="s">
        <v>51</v>
      </c>
      <c r="E1807" s="1" t="s">
        <v>29</v>
      </c>
      <c r="F1807" s="5">
        <v>500000.0</v>
      </c>
      <c r="G1807" s="1" t="s">
        <v>3964</v>
      </c>
      <c r="H1807" s="1" t="s">
        <v>52</v>
      </c>
      <c r="I1807" s="1" t="s">
        <v>816</v>
      </c>
      <c r="K1807" s="1">
        <v>0.0</v>
      </c>
      <c r="L1807" s="1" t="s">
        <v>2154</v>
      </c>
      <c r="M1807" s="1" t="str">
        <f>VLOOKUP(L1807,'Copy of PMD Workday Constants -'!B1806:W2492,22,false)</f>
        <v>#N/A</v>
      </c>
      <c r="N1807" s="1" t="s">
        <v>32</v>
      </c>
      <c r="O1807" s="1" t="s">
        <v>33</v>
      </c>
      <c r="P1807" s="1" t="s">
        <v>173</v>
      </c>
      <c r="Q1807" s="1" t="s">
        <v>173</v>
      </c>
      <c r="R1807" s="1" t="s">
        <v>174</v>
      </c>
      <c r="T1807" s="1">
        <v>1.00639477E8</v>
      </c>
      <c r="W1807" s="1" t="s">
        <v>47</v>
      </c>
      <c r="X1807" s="1" t="s">
        <v>5873</v>
      </c>
    </row>
    <row r="1808">
      <c r="A1808" s="1" t="s">
        <v>5874</v>
      </c>
      <c r="B1808" s="1" t="s">
        <v>3270</v>
      </c>
      <c r="C1808" s="1" t="s">
        <v>5875</v>
      </c>
      <c r="D1808" s="1" t="s">
        <v>28</v>
      </c>
      <c r="E1808" s="1" t="s">
        <v>29</v>
      </c>
      <c r="F1808" s="5">
        <v>500000.0</v>
      </c>
      <c r="G1808" s="1" t="s">
        <v>3964</v>
      </c>
      <c r="H1808" s="1" t="s">
        <v>2724</v>
      </c>
      <c r="I1808" s="1" t="s">
        <v>104</v>
      </c>
      <c r="K1808" s="1">
        <v>0.0</v>
      </c>
      <c r="L1808" s="1" t="s">
        <v>1981</v>
      </c>
      <c r="M1808" s="1" t="str">
        <f>VLOOKUP(L1808,'Copy of PMD Workday Constants -'!B1807:W2493,22,false)</f>
        <v>#N/A</v>
      </c>
      <c r="N1808" s="1" t="s">
        <v>32</v>
      </c>
      <c r="O1808" s="1" t="s">
        <v>33</v>
      </c>
      <c r="P1808" s="1" t="s">
        <v>64</v>
      </c>
      <c r="Q1808" s="1" t="s">
        <v>64</v>
      </c>
      <c r="R1808" s="1" t="s">
        <v>65</v>
      </c>
      <c r="T1808" s="1">
        <v>1.00638494E8</v>
      </c>
      <c r="W1808" s="1" t="s">
        <v>74</v>
      </c>
      <c r="X1808" s="1" t="s">
        <v>1981</v>
      </c>
    </row>
    <row r="1809">
      <c r="A1809" s="1" t="s">
        <v>5876</v>
      </c>
      <c r="B1809" s="1" t="s">
        <v>4473</v>
      </c>
      <c r="C1809" s="1" t="s">
        <v>5877</v>
      </c>
      <c r="D1809" s="1" t="s">
        <v>51</v>
      </c>
      <c r="E1809" s="1" t="s">
        <v>29</v>
      </c>
      <c r="F1809" s="5">
        <v>500000.0</v>
      </c>
      <c r="G1809" s="1" t="s">
        <v>3964</v>
      </c>
      <c r="H1809" s="4">
        <v>44625.0</v>
      </c>
      <c r="I1809" s="1" t="s">
        <v>810</v>
      </c>
      <c r="K1809" s="1">
        <v>0.0</v>
      </c>
      <c r="L1809" s="1" t="s">
        <v>1770</v>
      </c>
      <c r="M1809" s="1" t="str">
        <f>VLOOKUP(L1809,'Copy of PMD Workday Constants -'!B1808:W2494,22,false)</f>
        <v>#N/A</v>
      </c>
      <c r="N1809" s="1" t="s">
        <v>32</v>
      </c>
      <c r="O1809" s="1" t="s">
        <v>33</v>
      </c>
      <c r="P1809" s="1" t="s">
        <v>210</v>
      </c>
      <c r="Q1809" s="1" t="s">
        <v>210</v>
      </c>
      <c r="R1809" s="1" t="s">
        <v>211</v>
      </c>
      <c r="S1809" s="1" t="s">
        <v>1313</v>
      </c>
      <c r="T1809" s="1">
        <v>1.00593918E8</v>
      </c>
      <c r="W1809" s="1" t="s">
        <v>436</v>
      </c>
      <c r="X1809" s="1" t="s">
        <v>1314</v>
      </c>
    </row>
    <row r="1810">
      <c r="A1810" s="1" t="s">
        <v>5878</v>
      </c>
      <c r="B1810" s="1" t="s">
        <v>5879</v>
      </c>
      <c r="C1810" s="1" t="s">
        <v>5880</v>
      </c>
      <c r="D1810" s="1" t="s">
        <v>51</v>
      </c>
      <c r="E1810" s="1" t="s">
        <v>29</v>
      </c>
      <c r="F1810" s="5">
        <v>500000.0</v>
      </c>
      <c r="G1810" s="1" t="s">
        <v>3964</v>
      </c>
      <c r="H1810" s="4">
        <v>44657.0</v>
      </c>
      <c r="I1810" s="1" t="s">
        <v>732</v>
      </c>
      <c r="K1810" s="1">
        <v>0.0</v>
      </c>
      <c r="L1810" s="1" t="s">
        <v>5881</v>
      </c>
      <c r="M1810" s="1" t="str">
        <f>VLOOKUP(L1810,'Copy of PMD Workday Constants -'!B1809:W2495,22,false)</f>
        <v>#N/A</v>
      </c>
      <c r="N1810" s="1" t="s">
        <v>32</v>
      </c>
      <c r="O1810" s="1" t="s">
        <v>33</v>
      </c>
      <c r="P1810" s="1" t="s">
        <v>64</v>
      </c>
      <c r="Q1810" s="1" t="s">
        <v>64</v>
      </c>
      <c r="R1810" s="1" t="s">
        <v>65</v>
      </c>
      <c r="S1810" s="1" t="s">
        <v>1336</v>
      </c>
      <c r="T1810" s="1">
        <v>1.01230882E8</v>
      </c>
      <c r="W1810" s="1" t="s">
        <v>1801</v>
      </c>
      <c r="X1810" s="1" t="s">
        <v>5882</v>
      </c>
    </row>
    <row r="1811">
      <c r="A1811" s="1" t="s">
        <v>5883</v>
      </c>
      <c r="B1811" s="1" t="s">
        <v>5884</v>
      </c>
      <c r="C1811" s="1" t="s">
        <v>5885</v>
      </c>
      <c r="D1811" s="1" t="s">
        <v>51</v>
      </c>
      <c r="E1811" s="1" t="s">
        <v>29</v>
      </c>
      <c r="F1811" s="5">
        <v>500000.0</v>
      </c>
      <c r="G1811" s="1" t="s">
        <v>3964</v>
      </c>
      <c r="H1811" s="4">
        <v>44357.0</v>
      </c>
      <c r="I1811" s="1" t="s">
        <v>302</v>
      </c>
      <c r="K1811" s="1">
        <v>0.0</v>
      </c>
      <c r="L1811" s="1" t="s">
        <v>370</v>
      </c>
      <c r="M1811" s="1" t="str">
        <f>VLOOKUP(L1811,'Copy of PMD Workday Constants -'!B1810:W2496,22,false)</f>
        <v>#N/A</v>
      </c>
      <c r="N1811" s="1" t="s">
        <v>32</v>
      </c>
      <c r="O1811" s="1" t="s">
        <v>33</v>
      </c>
      <c r="P1811" s="1" t="s">
        <v>210</v>
      </c>
      <c r="Q1811" s="1" t="s">
        <v>210</v>
      </c>
      <c r="R1811" s="1" t="s">
        <v>211</v>
      </c>
      <c r="S1811" s="1" t="s">
        <v>297</v>
      </c>
      <c r="T1811" s="1">
        <v>1.00658132E8</v>
      </c>
      <c r="W1811" s="1" t="s">
        <v>258</v>
      </c>
      <c r="X1811" s="1" t="s">
        <v>370</v>
      </c>
    </row>
    <row r="1812">
      <c r="A1812" s="1" t="s">
        <v>5886</v>
      </c>
      <c r="B1812" s="1" t="s">
        <v>70</v>
      </c>
      <c r="C1812" s="1" t="s">
        <v>5887</v>
      </c>
      <c r="D1812" s="1" t="s">
        <v>51</v>
      </c>
      <c r="E1812" s="1" t="s">
        <v>29</v>
      </c>
      <c r="F1812" s="5">
        <v>500000.0</v>
      </c>
      <c r="G1812" s="1" t="s">
        <v>3964</v>
      </c>
      <c r="H1812" s="4">
        <v>44746.0</v>
      </c>
      <c r="I1812" s="1" t="s">
        <v>1349</v>
      </c>
      <c r="K1812" s="1">
        <v>0.0</v>
      </c>
      <c r="L1812" s="1" t="s">
        <v>184</v>
      </c>
      <c r="M1812" s="1" t="str">
        <f>VLOOKUP(L1812,'Copy of PMD Workday Constants -'!B1811:W2497,22,false)</f>
        <v>#N/A</v>
      </c>
      <c r="N1812" s="1" t="s">
        <v>32</v>
      </c>
      <c r="O1812" s="1" t="s">
        <v>33</v>
      </c>
      <c r="P1812" s="1" t="s">
        <v>64</v>
      </c>
      <c r="Q1812" s="1" t="s">
        <v>64</v>
      </c>
      <c r="R1812" s="1" t="s">
        <v>65</v>
      </c>
      <c r="T1812" s="1">
        <v>1.00589741E8</v>
      </c>
      <c r="W1812" s="1" t="s">
        <v>74</v>
      </c>
      <c r="X1812" s="1" t="s">
        <v>3298</v>
      </c>
    </row>
    <row r="1813">
      <c r="A1813" s="1" t="s">
        <v>5888</v>
      </c>
      <c r="B1813" s="1" t="s">
        <v>3122</v>
      </c>
      <c r="C1813" s="1" t="s">
        <v>5889</v>
      </c>
      <c r="D1813" s="1" t="s">
        <v>28</v>
      </c>
      <c r="E1813" s="1" t="s">
        <v>29</v>
      </c>
      <c r="F1813" s="5">
        <v>500000.0</v>
      </c>
      <c r="G1813" s="1" t="s">
        <v>3964</v>
      </c>
      <c r="H1813" s="1" t="s">
        <v>1842</v>
      </c>
      <c r="I1813" s="4">
        <v>44840.0</v>
      </c>
      <c r="K1813" s="1">
        <v>0.0</v>
      </c>
      <c r="L1813" s="1" t="s">
        <v>5890</v>
      </c>
      <c r="M1813" s="1" t="str">
        <f>VLOOKUP(L1813,'Copy of PMD Workday Constants -'!B1812:W2498,22,false)</f>
        <v>#N/A</v>
      </c>
      <c r="N1813" s="1" t="s">
        <v>32</v>
      </c>
      <c r="O1813" s="1" t="s">
        <v>33</v>
      </c>
      <c r="P1813" s="1" t="s">
        <v>54</v>
      </c>
      <c r="Q1813" s="1" t="s">
        <v>54</v>
      </c>
      <c r="R1813" s="1" t="s">
        <v>55</v>
      </c>
      <c r="S1813" s="1" t="s">
        <v>701</v>
      </c>
      <c r="T1813" s="1">
        <v>1.00629231E8</v>
      </c>
      <c r="W1813" s="1" t="s">
        <v>74</v>
      </c>
      <c r="X1813" s="1" t="s">
        <v>5890</v>
      </c>
    </row>
    <row r="1814">
      <c r="A1814" s="1" t="s">
        <v>5891</v>
      </c>
      <c r="B1814" s="1" t="s">
        <v>800</v>
      </c>
      <c r="C1814" s="1" t="s">
        <v>5892</v>
      </c>
      <c r="D1814" s="1" t="s">
        <v>28</v>
      </c>
      <c r="E1814" s="1" t="s">
        <v>29</v>
      </c>
      <c r="F1814" s="5">
        <v>500000.0</v>
      </c>
      <c r="G1814" s="1" t="s">
        <v>3964</v>
      </c>
      <c r="H1814" s="1" t="s">
        <v>865</v>
      </c>
      <c r="I1814" s="1" t="s">
        <v>661</v>
      </c>
      <c r="K1814" s="1">
        <v>0.0</v>
      </c>
      <c r="L1814" s="1" t="s">
        <v>435</v>
      </c>
      <c r="M1814" s="1" t="str">
        <f>VLOOKUP(L1814,'Copy of PMD Workday Constants -'!B1813:W2499,22,false)</f>
        <v>#N/A</v>
      </c>
      <c r="N1814" s="1" t="s">
        <v>32</v>
      </c>
      <c r="O1814" s="1" t="s">
        <v>33</v>
      </c>
      <c r="P1814" s="1" t="s">
        <v>64</v>
      </c>
      <c r="Q1814" s="1" t="s">
        <v>64</v>
      </c>
      <c r="R1814" s="1" t="s">
        <v>65</v>
      </c>
      <c r="S1814" s="1" t="s">
        <v>98</v>
      </c>
      <c r="T1814" s="1">
        <v>1.00653756E8</v>
      </c>
      <c r="W1814" s="1" t="s">
        <v>56</v>
      </c>
      <c r="X1814" s="1" t="s">
        <v>435</v>
      </c>
    </row>
    <row r="1815">
      <c r="A1815" s="1" t="s">
        <v>5893</v>
      </c>
      <c r="B1815" s="1" t="s">
        <v>1047</v>
      </c>
      <c r="C1815" s="1" t="s">
        <v>5894</v>
      </c>
      <c r="D1815" s="1" t="s">
        <v>51</v>
      </c>
      <c r="E1815" s="1" t="s">
        <v>29</v>
      </c>
      <c r="F1815" s="5">
        <v>500000.0</v>
      </c>
      <c r="G1815" s="1" t="s">
        <v>3964</v>
      </c>
      <c r="H1815" s="4">
        <v>44263.0</v>
      </c>
      <c r="I1815" s="1" t="s">
        <v>998</v>
      </c>
      <c r="K1815" s="1">
        <v>0.0</v>
      </c>
      <c r="L1815" s="1" t="s">
        <v>4794</v>
      </c>
      <c r="M1815" s="1" t="str">
        <f>VLOOKUP(L1815,'Copy of PMD Workday Constants -'!B1814:W2500,22,false)</f>
        <v>#N/A</v>
      </c>
      <c r="N1815" s="1" t="s">
        <v>32</v>
      </c>
      <c r="O1815" s="1" t="s">
        <v>33</v>
      </c>
      <c r="P1815" s="1" t="s">
        <v>173</v>
      </c>
      <c r="Q1815" s="1" t="s">
        <v>173</v>
      </c>
      <c r="R1815" s="1" t="s">
        <v>174</v>
      </c>
      <c r="S1815" s="1" t="s">
        <v>416</v>
      </c>
      <c r="T1815" s="1">
        <v>1.00875111E8</v>
      </c>
      <c r="W1815" s="1" t="s">
        <v>258</v>
      </c>
      <c r="X1815" s="1" t="s">
        <v>1791</v>
      </c>
    </row>
    <row r="1816">
      <c r="A1816" s="1" t="s">
        <v>5895</v>
      </c>
      <c r="B1816" s="1" t="s">
        <v>324</v>
      </c>
      <c r="C1816" s="1" t="s">
        <v>5896</v>
      </c>
      <c r="D1816" s="1" t="s">
        <v>51</v>
      </c>
      <c r="E1816" s="1" t="s">
        <v>29</v>
      </c>
      <c r="F1816" s="5">
        <v>500000.0</v>
      </c>
      <c r="G1816" s="1" t="s">
        <v>3964</v>
      </c>
      <c r="H1816" s="1" t="s">
        <v>920</v>
      </c>
      <c r="I1816" s="4">
        <v>44781.0</v>
      </c>
      <c r="K1816" s="1">
        <v>0.0</v>
      </c>
      <c r="L1816" s="1" t="s">
        <v>474</v>
      </c>
      <c r="M1816" s="1" t="str">
        <f>VLOOKUP(L1816,'Copy of PMD Workday Constants -'!B1815:W2501,22,false)</f>
        <v>#N/A</v>
      </c>
      <c r="N1816" s="1" t="s">
        <v>32</v>
      </c>
      <c r="O1816" s="1" t="s">
        <v>33</v>
      </c>
      <c r="P1816" s="1" t="s">
        <v>64</v>
      </c>
      <c r="Q1816" s="1" t="s">
        <v>64</v>
      </c>
      <c r="R1816" s="1" t="s">
        <v>65</v>
      </c>
      <c r="S1816" s="1" t="s">
        <v>98</v>
      </c>
      <c r="T1816" s="1">
        <v>1.00660049E8</v>
      </c>
      <c r="W1816" s="1" t="s">
        <v>56</v>
      </c>
      <c r="X1816" s="1" t="s">
        <v>3013</v>
      </c>
    </row>
    <row r="1817">
      <c r="A1817" s="1" t="s">
        <v>5897</v>
      </c>
      <c r="B1817" s="1" t="s">
        <v>1184</v>
      </c>
      <c r="C1817" s="1" t="s">
        <v>5898</v>
      </c>
      <c r="D1817" s="1" t="s">
        <v>28</v>
      </c>
      <c r="E1817" s="1" t="s">
        <v>29</v>
      </c>
      <c r="F1817" s="5">
        <v>500000.0</v>
      </c>
      <c r="G1817" s="1" t="s">
        <v>3964</v>
      </c>
      <c r="H1817" s="1" t="s">
        <v>865</v>
      </c>
      <c r="I1817" s="4">
        <v>44569.0</v>
      </c>
      <c r="K1817" s="1">
        <v>0.0</v>
      </c>
      <c r="L1817" s="1" t="s">
        <v>1188</v>
      </c>
      <c r="M1817" s="1" t="str">
        <f>VLOOKUP(L1817,'Copy of PMD Workday Constants -'!B1816:W2502,22,false)</f>
        <v>#N/A</v>
      </c>
      <c r="N1817" s="1" t="s">
        <v>32</v>
      </c>
      <c r="O1817" s="1" t="s">
        <v>33</v>
      </c>
      <c r="P1817" s="1" t="s">
        <v>64</v>
      </c>
      <c r="Q1817" s="1" t="s">
        <v>64</v>
      </c>
      <c r="R1817" s="1" t="s">
        <v>65</v>
      </c>
      <c r="T1817" s="1">
        <v>1.00968114E8</v>
      </c>
      <c r="W1817" s="1" t="s">
        <v>56</v>
      </c>
      <c r="X1817" s="1" t="s">
        <v>1188</v>
      </c>
    </row>
    <row r="1818">
      <c r="A1818" s="1" t="s">
        <v>5899</v>
      </c>
      <c r="B1818" s="1" t="s">
        <v>1047</v>
      </c>
      <c r="C1818" s="1" t="s">
        <v>5900</v>
      </c>
      <c r="D1818" s="1" t="s">
        <v>28</v>
      </c>
      <c r="E1818" s="1" t="s">
        <v>29</v>
      </c>
      <c r="F1818" s="5">
        <v>500000.0</v>
      </c>
      <c r="G1818" s="1" t="s">
        <v>3964</v>
      </c>
      <c r="H1818" s="4">
        <v>44263.0</v>
      </c>
      <c r="I1818" s="1" t="s">
        <v>264</v>
      </c>
      <c r="K1818" s="1">
        <v>0.0</v>
      </c>
      <c r="L1818" s="1" t="s">
        <v>1049</v>
      </c>
      <c r="M1818" s="1" t="str">
        <f>VLOOKUP(L1818,'Copy of PMD Workday Constants -'!B1817:W2503,22,false)</f>
        <v>#N/A</v>
      </c>
      <c r="N1818" s="1" t="s">
        <v>32</v>
      </c>
      <c r="O1818" s="1" t="s">
        <v>33</v>
      </c>
      <c r="P1818" s="1" t="s">
        <v>210</v>
      </c>
      <c r="Q1818" s="1" t="s">
        <v>210</v>
      </c>
      <c r="R1818" s="1" t="s">
        <v>211</v>
      </c>
      <c r="S1818" s="1" t="s">
        <v>297</v>
      </c>
      <c r="T1818" s="1">
        <v>1.00650344E8</v>
      </c>
      <c r="W1818" s="1" t="s">
        <v>258</v>
      </c>
      <c r="X1818" s="1" t="s">
        <v>1791</v>
      </c>
    </row>
    <row r="1819">
      <c r="A1819" s="1" t="s">
        <v>5901</v>
      </c>
      <c r="B1819" s="1" t="s">
        <v>70</v>
      </c>
      <c r="C1819" s="1" t="s">
        <v>5902</v>
      </c>
      <c r="D1819" s="1" t="s">
        <v>28</v>
      </c>
      <c r="E1819" s="1" t="s">
        <v>29</v>
      </c>
      <c r="F1819" s="5">
        <v>500000.0</v>
      </c>
      <c r="G1819" s="1" t="s">
        <v>3964</v>
      </c>
      <c r="H1819" s="1" t="s">
        <v>3781</v>
      </c>
      <c r="I1819" s="1" t="s">
        <v>80</v>
      </c>
      <c r="K1819" s="1">
        <v>0.0</v>
      </c>
      <c r="L1819" s="1" t="s">
        <v>1380</v>
      </c>
      <c r="M1819" s="1" t="str">
        <f>VLOOKUP(L1819,'Copy of PMD Workday Constants -'!B1818:W2504,22,false)</f>
        <v>#N/A</v>
      </c>
      <c r="N1819" s="1" t="s">
        <v>32</v>
      </c>
      <c r="O1819" s="1" t="s">
        <v>33</v>
      </c>
      <c r="P1819" s="1" t="s">
        <v>34</v>
      </c>
      <c r="Q1819" s="1" t="s">
        <v>34</v>
      </c>
      <c r="R1819" s="1" t="s">
        <v>35</v>
      </c>
      <c r="S1819" s="1" t="s">
        <v>126</v>
      </c>
      <c r="T1819" s="1">
        <v>1.00587434E8</v>
      </c>
      <c r="W1819" s="1" t="s">
        <v>74</v>
      </c>
      <c r="X1819" s="1" t="s">
        <v>75</v>
      </c>
    </row>
    <row r="1820">
      <c r="A1820" s="1" t="s">
        <v>5903</v>
      </c>
      <c r="B1820" s="1" t="s">
        <v>5904</v>
      </c>
      <c r="C1820" s="1" t="s">
        <v>5905</v>
      </c>
      <c r="D1820" s="1" t="s">
        <v>28</v>
      </c>
      <c r="E1820" s="1" t="s">
        <v>29</v>
      </c>
      <c r="F1820" s="5">
        <v>500000.0</v>
      </c>
      <c r="G1820" s="1" t="s">
        <v>3964</v>
      </c>
      <c r="H1820" s="4">
        <v>44387.0</v>
      </c>
      <c r="I1820" s="4">
        <v>44626.0</v>
      </c>
      <c r="K1820" s="1">
        <v>0.0</v>
      </c>
      <c r="L1820" s="1" t="s">
        <v>5384</v>
      </c>
      <c r="M1820" s="1" t="str">
        <f>VLOOKUP(L1820,'Copy of PMD Workday Constants -'!B1819:W2505,22,false)</f>
        <v>#N/A</v>
      </c>
      <c r="N1820" s="1" t="s">
        <v>32</v>
      </c>
      <c r="O1820" s="1" t="s">
        <v>33</v>
      </c>
      <c r="P1820" s="1" t="s">
        <v>112</v>
      </c>
      <c r="Q1820" s="1" t="s">
        <v>112</v>
      </c>
      <c r="R1820" s="1" t="s">
        <v>113</v>
      </c>
      <c r="T1820" s="1">
        <v>1.00615309E8</v>
      </c>
      <c r="W1820" s="1" t="s">
        <v>436</v>
      </c>
      <c r="X1820" s="1" t="s">
        <v>5384</v>
      </c>
    </row>
    <row r="1821">
      <c r="A1821" s="1" t="s">
        <v>5906</v>
      </c>
      <c r="B1821" s="1" t="s">
        <v>4488</v>
      </c>
      <c r="C1821" s="1" t="s">
        <v>33</v>
      </c>
      <c r="D1821" s="1" t="s">
        <v>28</v>
      </c>
      <c r="E1821" s="1" t="s">
        <v>29</v>
      </c>
      <c r="F1821" s="5">
        <v>500000.0</v>
      </c>
      <c r="G1821" s="1" t="s">
        <v>3964</v>
      </c>
      <c r="H1821" s="1" t="s">
        <v>3103</v>
      </c>
      <c r="I1821" s="1" t="s">
        <v>43</v>
      </c>
      <c r="K1821" s="1">
        <v>0.0</v>
      </c>
      <c r="L1821" s="1" t="s">
        <v>5194</v>
      </c>
      <c r="M1821" s="1" t="str">
        <f>VLOOKUP(L1821,'Copy of PMD Workday Constants -'!B1820:W2506,22,false)</f>
        <v>#N/A</v>
      </c>
      <c r="N1821" s="1" t="s">
        <v>32</v>
      </c>
      <c r="O1821" s="1" t="s">
        <v>33</v>
      </c>
      <c r="P1821" s="1" t="s">
        <v>173</v>
      </c>
      <c r="Q1821" s="1" t="s">
        <v>173</v>
      </c>
      <c r="R1821" s="1" t="s">
        <v>174</v>
      </c>
      <c r="T1821" s="1">
        <v>1.00609393E8</v>
      </c>
      <c r="W1821" s="1" t="s">
        <v>436</v>
      </c>
      <c r="X1821" s="1" t="s">
        <v>4491</v>
      </c>
    </row>
    <row r="1822">
      <c r="A1822" s="1" t="s">
        <v>5907</v>
      </c>
      <c r="B1822" s="1" t="s">
        <v>5908</v>
      </c>
      <c r="C1822" s="1" t="s">
        <v>5909</v>
      </c>
      <c r="D1822" s="1" t="s">
        <v>28</v>
      </c>
      <c r="E1822" s="1" t="s">
        <v>29</v>
      </c>
      <c r="F1822" s="5">
        <v>500000.0</v>
      </c>
      <c r="G1822" s="1" t="s">
        <v>3964</v>
      </c>
      <c r="H1822" s="1" t="s">
        <v>5910</v>
      </c>
      <c r="I1822" s="1" t="s">
        <v>633</v>
      </c>
      <c r="K1822" s="1">
        <v>0.0</v>
      </c>
      <c r="L1822" s="1" t="s">
        <v>1659</v>
      </c>
      <c r="M1822" s="1" t="str">
        <f>VLOOKUP(L1822,'Copy of PMD Workday Constants -'!B1821:W2507,22,false)</f>
        <v>#N/A</v>
      </c>
      <c r="N1822" s="1" t="s">
        <v>32</v>
      </c>
      <c r="O1822" s="1" t="s">
        <v>33</v>
      </c>
      <c r="P1822" s="1" t="s">
        <v>173</v>
      </c>
      <c r="Q1822" s="1" t="s">
        <v>173</v>
      </c>
      <c r="R1822" s="1" t="s">
        <v>174</v>
      </c>
      <c r="S1822" s="1" t="s">
        <v>612</v>
      </c>
      <c r="T1822" s="1">
        <v>1.00650786E8</v>
      </c>
      <c r="W1822" s="1" t="s">
        <v>147</v>
      </c>
      <c r="X1822" s="1" t="s">
        <v>831</v>
      </c>
    </row>
    <row r="1823">
      <c r="A1823" s="1" t="s">
        <v>5911</v>
      </c>
      <c r="B1823" s="1" t="s">
        <v>5912</v>
      </c>
      <c r="C1823" s="1" t="s">
        <v>5913</v>
      </c>
      <c r="D1823" s="1" t="s">
        <v>103</v>
      </c>
      <c r="E1823" s="1" t="s">
        <v>29</v>
      </c>
      <c r="F1823" s="5">
        <v>500000.0</v>
      </c>
      <c r="G1823" s="1" t="s">
        <v>3964</v>
      </c>
      <c r="H1823" s="1" t="s">
        <v>5914</v>
      </c>
      <c r="I1823" s="1" t="s">
        <v>96</v>
      </c>
      <c r="K1823" s="1">
        <v>0.0</v>
      </c>
      <c r="L1823" s="1" t="s">
        <v>2163</v>
      </c>
      <c r="M1823" s="1" t="str">
        <f>VLOOKUP(L1823,'Copy of PMD Workday Constants -'!B1822:W2508,22,false)</f>
        <v>#N/A</v>
      </c>
      <c r="N1823" s="1" t="s">
        <v>32</v>
      </c>
      <c r="O1823" s="1" t="s">
        <v>33</v>
      </c>
      <c r="P1823" s="1" t="s">
        <v>210</v>
      </c>
      <c r="Q1823" s="1" t="s">
        <v>210</v>
      </c>
      <c r="R1823" s="1" t="s">
        <v>211</v>
      </c>
      <c r="S1823" s="1" t="s">
        <v>297</v>
      </c>
      <c r="T1823" s="1">
        <v>1.00608366E8</v>
      </c>
      <c r="W1823" s="1" t="s">
        <v>258</v>
      </c>
      <c r="X1823" s="1" t="s">
        <v>2163</v>
      </c>
    </row>
    <row r="1824">
      <c r="A1824" s="1" t="s">
        <v>5915</v>
      </c>
      <c r="B1824" s="1" t="s">
        <v>3166</v>
      </c>
      <c r="C1824" s="1" t="s">
        <v>5916</v>
      </c>
      <c r="D1824" s="1" t="s">
        <v>28</v>
      </c>
      <c r="E1824" s="1" t="s">
        <v>29</v>
      </c>
      <c r="F1824" s="5">
        <v>500000.0</v>
      </c>
      <c r="G1824" s="1" t="s">
        <v>3964</v>
      </c>
      <c r="H1824" s="1" t="s">
        <v>5917</v>
      </c>
      <c r="I1824" s="1" t="s">
        <v>104</v>
      </c>
      <c r="K1824" s="1">
        <v>0.0</v>
      </c>
      <c r="L1824" s="1" t="s">
        <v>1549</v>
      </c>
      <c r="M1824" s="1" t="str">
        <f>VLOOKUP(L1824,'Copy of PMD Workday Constants -'!B1823:W2509,22,false)</f>
        <v>#N/A</v>
      </c>
      <c r="N1824" s="1" t="s">
        <v>32</v>
      </c>
      <c r="O1824" s="1" t="s">
        <v>33</v>
      </c>
      <c r="P1824" s="1" t="s">
        <v>173</v>
      </c>
      <c r="Q1824" s="1" t="s">
        <v>173</v>
      </c>
      <c r="R1824" s="1" t="s">
        <v>174</v>
      </c>
      <c r="S1824" s="1" t="s">
        <v>612</v>
      </c>
      <c r="T1824" s="1">
        <v>1.00646908E8</v>
      </c>
      <c r="W1824" s="1" t="s">
        <v>1303</v>
      </c>
      <c r="X1824" s="1" t="s">
        <v>3066</v>
      </c>
    </row>
    <row r="1825">
      <c r="A1825" s="1" t="s">
        <v>5918</v>
      </c>
      <c r="B1825" s="1" t="s">
        <v>1568</v>
      </c>
      <c r="C1825" s="1" t="s">
        <v>5919</v>
      </c>
      <c r="D1825" s="1" t="s">
        <v>51</v>
      </c>
      <c r="E1825" s="1" t="s">
        <v>29</v>
      </c>
      <c r="F1825" s="5">
        <v>500000.0</v>
      </c>
      <c r="G1825" s="1" t="s">
        <v>3964</v>
      </c>
      <c r="H1825" s="4">
        <v>44564.0</v>
      </c>
      <c r="I1825" s="1" t="s">
        <v>732</v>
      </c>
      <c r="K1825" s="1">
        <v>0.0</v>
      </c>
      <c r="L1825" s="1" t="s">
        <v>3422</v>
      </c>
      <c r="M1825" s="1" t="str">
        <f>VLOOKUP(L1825,'Copy of PMD Workday Constants -'!B1824:W2510,22,false)</f>
        <v>#N/A</v>
      </c>
      <c r="N1825" s="1" t="s">
        <v>32</v>
      </c>
      <c r="O1825" s="1" t="s">
        <v>33</v>
      </c>
      <c r="P1825" s="1" t="s">
        <v>173</v>
      </c>
      <c r="Q1825" s="1" t="s">
        <v>173</v>
      </c>
      <c r="R1825" s="1" t="s">
        <v>174</v>
      </c>
      <c r="S1825" s="1" t="s">
        <v>612</v>
      </c>
      <c r="T1825" s="1">
        <v>1.01141463E8</v>
      </c>
      <c r="W1825" s="1" t="s">
        <v>147</v>
      </c>
      <c r="X1825" s="1" t="s">
        <v>3422</v>
      </c>
    </row>
    <row r="1826">
      <c r="A1826" s="1" t="s">
        <v>5920</v>
      </c>
      <c r="B1826" s="1" t="s">
        <v>3215</v>
      </c>
      <c r="C1826" s="1" t="s">
        <v>5921</v>
      </c>
      <c r="D1826" s="1" t="s">
        <v>28</v>
      </c>
      <c r="E1826" s="1" t="s">
        <v>29</v>
      </c>
      <c r="F1826" s="5">
        <v>500000.0</v>
      </c>
      <c r="G1826" s="1" t="s">
        <v>3964</v>
      </c>
      <c r="H1826" s="4">
        <v>44810.0</v>
      </c>
      <c r="I1826" s="1" t="s">
        <v>166</v>
      </c>
      <c r="K1826" s="1">
        <v>0.0</v>
      </c>
      <c r="L1826" s="1" t="s">
        <v>461</v>
      </c>
      <c r="M1826" s="1" t="str">
        <f>VLOOKUP(L1826,'Copy of PMD Workday Constants -'!B1825:W2511,22,false)</f>
        <v>#N/A</v>
      </c>
      <c r="N1826" s="1" t="s">
        <v>32</v>
      </c>
      <c r="O1826" s="1" t="s">
        <v>33</v>
      </c>
      <c r="P1826" s="1" t="s">
        <v>210</v>
      </c>
      <c r="Q1826" s="1" t="s">
        <v>210</v>
      </c>
      <c r="R1826" s="1" t="s">
        <v>211</v>
      </c>
      <c r="T1826" s="1">
        <v>1.00652846E8</v>
      </c>
      <c r="W1826" s="1" t="s">
        <v>56</v>
      </c>
      <c r="X1826" s="1" t="s">
        <v>3217</v>
      </c>
    </row>
    <row r="1827">
      <c r="A1827" s="1" t="s">
        <v>5922</v>
      </c>
      <c r="B1827" s="1" t="s">
        <v>554</v>
      </c>
      <c r="C1827" s="1" t="s">
        <v>5923</v>
      </c>
      <c r="D1827" s="1" t="s">
        <v>28</v>
      </c>
      <c r="E1827" s="1" t="s">
        <v>29</v>
      </c>
      <c r="F1827" s="5">
        <v>500000.0</v>
      </c>
      <c r="G1827" s="1" t="s">
        <v>3964</v>
      </c>
      <c r="H1827" s="1" t="s">
        <v>556</v>
      </c>
      <c r="I1827" s="4">
        <v>44570.0</v>
      </c>
      <c r="K1827" s="1">
        <v>0.0</v>
      </c>
      <c r="L1827" s="1" t="s">
        <v>557</v>
      </c>
      <c r="M1827" s="1" t="str">
        <f>VLOOKUP(L1827,'Copy of PMD Workday Constants -'!B1826:W2512,22,false)</f>
        <v>#N/A</v>
      </c>
      <c r="N1827" s="1" t="s">
        <v>32</v>
      </c>
      <c r="O1827" s="1" t="s">
        <v>33</v>
      </c>
      <c r="P1827" s="1" t="s">
        <v>173</v>
      </c>
      <c r="Q1827" s="1" t="s">
        <v>173</v>
      </c>
      <c r="R1827" s="1" t="s">
        <v>174</v>
      </c>
      <c r="S1827" s="1" t="s">
        <v>153</v>
      </c>
      <c r="T1827" s="1">
        <v>1.00700761E8</v>
      </c>
      <c r="U1827" s="1" t="s">
        <v>558</v>
      </c>
      <c r="V1827" s="1" t="s">
        <v>187</v>
      </c>
      <c r="W1827" s="1" t="s">
        <v>147</v>
      </c>
      <c r="X1827" s="1" t="s">
        <v>559</v>
      </c>
    </row>
    <row r="1828">
      <c r="A1828" s="1" t="s">
        <v>5924</v>
      </c>
      <c r="B1828" s="1" t="s">
        <v>4476</v>
      </c>
      <c r="C1828" s="1" t="s">
        <v>5925</v>
      </c>
      <c r="D1828" s="1" t="s">
        <v>51</v>
      </c>
      <c r="E1828" s="1" t="s">
        <v>29</v>
      </c>
      <c r="F1828" s="5">
        <v>500000.0</v>
      </c>
      <c r="G1828" s="1" t="s">
        <v>3964</v>
      </c>
      <c r="H1828" s="1" t="s">
        <v>4907</v>
      </c>
      <c r="I1828" s="1" t="s">
        <v>732</v>
      </c>
      <c r="K1828" s="1">
        <v>0.0</v>
      </c>
      <c r="L1828" s="1" t="s">
        <v>3891</v>
      </c>
      <c r="M1828" s="1" t="str">
        <f>VLOOKUP(L1828,'Copy of PMD Workday Constants -'!B1827:W2513,22,false)</f>
        <v>#N/A</v>
      </c>
      <c r="N1828" s="1" t="s">
        <v>32</v>
      </c>
      <c r="O1828" s="1" t="s">
        <v>33</v>
      </c>
      <c r="P1828" s="1" t="s">
        <v>112</v>
      </c>
      <c r="Q1828" s="1" t="s">
        <v>112</v>
      </c>
      <c r="R1828" s="1" t="s">
        <v>113</v>
      </c>
      <c r="S1828" s="1" t="s">
        <v>114</v>
      </c>
      <c r="T1828" s="1">
        <v>1.00589299E8</v>
      </c>
      <c r="W1828" s="1" t="s">
        <v>1303</v>
      </c>
      <c r="X1828" s="1" t="s">
        <v>3891</v>
      </c>
    </row>
    <row r="1829">
      <c r="A1829" s="1" t="s">
        <v>5926</v>
      </c>
      <c r="B1829" s="1" t="s">
        <v>507</v>
      </c>
      <c r="C1829" s="1" t="s">
        <v>5927</v>
      </c>
      <c r="D1829" s="1" t="s">
        <v>28</v>
      </c>
      <c r="E1829" s="1" t="s">
        <v>29</v>
      </c>
      <c r="F1829" s="5">
        <v>500000.0</v>
      </c>
      <c r="G1829" s="1" t="s">
        <v>3964</v>
      </c>
      <c r="H1829" s="1" t="s">
        <v>5928</v>
      </c>
      <c r="I1829" s="1" t="s">
        <v>80</v>
      </c>
      <c r="K1829" s="1">
        <v>0.0</v>
      </c>
      <c r="L1829" s="1" t="s">
        <v>1780</v>
      </c>
      <c r="M1829" s="1" t="str">
        <f>VLOOKUP(L1829,'Copy of PMD Workday Constants -'!B1828:W2514,22,false)</f>
        <v>#N/A</v>
      </c>
      <c r="N1829" s="1" t="s">
        <v>32</v>
      </c>
      <c r="O1829" s="1" t="s">
        <v>33</v>
      </c>
      <c r="P1829" s="1" t="s">
        <v>82</v>
      </c>
      <c r="Q1829" s="1" t="s">
        <v>82</v>
      </c>
      <c r="R1829" s="1" t="s">
        <v>83</v>
      </c>
      <c r="S1829" s="1" t="s">
        <v>583</v>
      </c>
      <c r="T1829" s="1">
        <v>1.00617113E8</v>
      </c>
      <c r="W1829" s="1" t="s">
        <v>456</v>
      </c>
      <c r="X1829" s="1" t="s">
        <v>1780</v>
      </c>
    </row>
    <row r="1830">
      <c r="A1830" s="1" t="s">
        <v>5929</v>
      </c>
      <c r="B1830" s="1" t="s">
        <v>4721</v>
      </c>
      <c r="C1830" s="1" t="s">
        <v>5930</v>
      </c>
      <c r="D1830" s="1" t="s">
        <v>28</v>
      </c>
      <c r="E1830" s="1" t="s">
        <v>29</v>
      </c>
      <c r="F1830" s="5">
        <v>500000.0</v>
      </c>
      <c r="G1830" s="1" t="s">
        <v>3964</v>
      </c>
      <c r="H1830" s="4">
        <v>44810.0</v>
      </c>
      <c r="I1830" s="1" t="s">
        <v>302</v>
      </c>
      <c r="K1830" s="1">
        <v>0.0</v>
      </c>
      <c r="L1830" s="1" t="s">
        <v>4723</v>
      </c>
      <c r="M1830" s="1" t="str">
        <f>VLOOKUP(L1830,'Copy of PMD Workday Constants -'!B1829:W2515,22,false)</f>
        <v>#N/A</v>
      </c>
      <c r="N1830" s="1" t="s">
        <v>32</v>
      </c>
      <c r="O1830" s="1" t="s">
        <v>33</v>
      </c>
      <c r="P1830" s="1" t="s">
        <v>210</v>
      </c>
      <c r="Q1830" s="1" t="s">
        <v>210</v>
      </c>
      <c r="R1830" s="1" t="s">
        <v>211</v>
      </c>
      <c r="T1830" s="1">
        <v>1.00585834E8</v>
      </c>
      <c r="W1830" s="1" t="s">
        <v>436</v>
      </c>
      <c r="X1830" s="1" t="s">
        <v>5931</v>
      </c>
    </row>
    <row r="1831">
      <c r="A1831" s="1" t="s">
        <v>5932</v>
      </c>
      <c r="B1831" s="1" t="s">
        <v>913</v>
      </c>
      <c r="C1831" s="1" t="s">
        <v>5933</v>
      </c>
      <c r="D1831" s="1" t="s">
        <v>28</v>
      </c>
      <c r="E1831" s="1" t="s">
        <v>29</v>
      </c>
      <c r="F1831" s="5">
        <v>500000.0</v>
      </c>
      <c r="G1831" s="1" t="s">
        <v>3964</v>
      </c>
      <c r="H1831" s="4">
        <v>43901.0</v>
      </c>
      <c r="I1831" s="4">
        <v>44568.0</v>
      </c>
      <c r="K1831" s="1">
        <v>0.0</v>
      </c>
      <c r="L1831" s="1" t="s">
        <v>1456</v>
      </c>
      <c r="M1831" s="1" t="str">
        <f>VLOOKUP(L1831,'Copy of PMD Workday Constants -'!B1830:W2516,22,false)</f>
        <v>#N/A</v>
      </c>
      <c r="N1831" s="1" t="s">
        <v>32</v>
      </c>
      <c r="O1831" s="1" t="s">
        <v>33</v>
      </c>
      <c r="P1831" s="1" t="s">
        <v>82</v>
      </c>
      <c r="Q1831" s="1" t="s">
        <v>82</v>
      </c>
      <c r="R1831" s="1" t="s">
        <v>83</v>
      </c>
      <c r="S1831" s="1" t="s">
        <v>84</v>
      </c>
      <c r="T1831" s="1">
        <v>1.00649673E8</v>
      </c>
      <c r="W1831" s="1" t="s">
        <v>85</v>
      </c>
      <c r="X1831" s="1" t="s">
        <v>3278</v>
      </c>
    </row>
    <row r="1832">
      <c r="A1832" s="1" t="s">
        <v>5934</v>
      </c>
      <c r="B1832" s="1" t="s">
        <v>585</v>
      </c>
      <c r="C1832" s="1" t="s">
        <v>5935</v>
      </c>
      <c r="D1832" s="1" t="s">
        <v>28</v>
      </c>
      <c r="E1832" s="1" t="s">
        <v>29</v>
      </c>
      <c r="F1832" s="5">
        <v>500000.0</v>
      </c>
      <c r="G1832" s="1" t="s">
        <v>3964</v>
      </c>
      <c r="H1832" s="1" t="s">
        <v>556</v>
      </c>
      <c r="I1832" s="1" t="s">
        <v>152</v>
      </c>
      <c r="K1832" s="1">
        <v>0.0</v>
      </c>
      <c r="L1832" s="1" t="s">
        <v>5936</v>
      </c>
      <c r="M1832" s="1" t="str">
        <f>VLOOKUP(L1832,'Copy of PMD Workday Constants -'!B1831:W2517,22,false)</f>
        <v>#N/A</v>
      </c>
      <c r="N1832" s="1" t="s">
        <v>32</v>
      </c>
      <c r="O1832" s="1" t="s">
        <v>33</v>
      </c>
      <c r="P1832" s="1" t="s">
        <v>34</v>
      </c>
      <c r="Q1832" s="1" t="s">
        <v>34</v>
      </c>
      <c r="R1832" s="1" t="s">
        <v>35</v>
      </c>
      <c r="T1832" s="1">
        <v>1.00627876E8</v>
      </c>
      <c r="W1832" s="1" t="s">
        <v>91</v>
      </c>
      <c r="X1832" s="1" t="s">
        <v>5936</v>
      </c>
    </row>
    <row r="1833">
      <c r="A1833" s="1" t="s">
        <v>5937</v>
      </c>
      <c r="B1833" s="1" t="s">
        <v>4721</v>
      </c>
      <c r="C1833" s="1" t="s">
        <v>5938</v>
      </c>
      <c r="D1833" s="1" t="s">
        <v>28</v>
      </c>
      <c r="E1833" s="1" t="s">
        <v>29</v>
      </c>
      <c r="F1833" s="5">
        <v>500000.0</v>
      </c>
      <c r="G1833" s="1" t="s">
        <v>3964</v>
      </c>
      <c r="H1833" s="4">
        <v>44810.0</v>
      </c>
      <c r="I1833" s="1" t="s">
        <v>302</v>
      </c>
      <c r="K1833" s="1">
        <v>0.0</v>
      </c>
      <c r="L1833" s="1" t="s">
        <v>4723</v>
      </c>
      <c r="M1833" s="1" t="str">
        <f>VLOOKUP(L1833,'Copy of PMD Workday Constants -'!B1832:W2518,22,false)</f>
        <v>#N/A</v>
      </c>
      <c r="N1833" s="1" t="s">
        <v>32</v>
      </c>
      <c r="O1833" s="1" t="s">
        <v>33</v>
      </c>
      <c r="P1833" s="1" t="s">
        <v>210</v>
      </c>
      <c r="Q1833" s="1" t="s">
        <v>210</v>
      </c>
      <c r="R1833" s="1" t="s">
        <v>211</v>
      </c>
      <c r="T1833" s="1">
        <v>1.00585834E8</v>
      </c>
      <c r="W1833" s="1" t="s">
        <v>436</v>
      </c>
      <c r="X1833" s="1" t="s">
        <v>5931</v>
      </c>
    </row>
    <row r="1834">
      <c r="A1834" s="1" t="s">
        <v>5939</v>
      </c>
      <c r="B1834" s="1" t="s">
        <v>4721</v>
      </c>
      <c r="C1834" s="1" t="s">
        <v>5940</v>
      </c>
      <c r="D1834" s="1" t="s">
        <v>28</v>
      </c>
      <c r="E1834" s="1" t="s">
        <v>29</v>
      </c>
      <c r="F1834" s="5">
        <v>500000.0</v>
      </c>
      <c r="G1834" s="1" t="s">
        <v>3964</v>
      </c>
      <c r="H1834" s="4">
        <v>44810.0</v>
      </c>
      <c r="I1834" s="1" t="s">
        <v>302</v>
      </c>
      <c r="K1834" s="1">
        <v>0.0</v>
      </c>
      <c r="L1834" s="1" t="s">
        <v>4723</v>
      </c>
      <c r="M1834" s="1" t="str">
        <f>VLOOKUP(L1834,'Copy of PMD Workday Constants -'!B1833:W2519,22,false)</f>
        <v>#N/A</v>
      </c>
      <c r="N1834" s="1" t="s">
        <v>32</v>
      </c>
      <c r="O1834" s="1" t="s">
        <v>33</v>
      </c>
      <c r="P1834" s="1" t="s">
        <v>210</v>
      </c>
      <c r="Q1834" s="1" t="s">
        <v>210</v>
      </c>
      <c r="R1834" s="1" t="s">
        <v>211</v>
      </c>
      <c r="T1834" s="1">
        <v>1.00585834E8</v>
      </c>
      <c r="W1834" s="1" t="s">
        <v>436</v>
      </c>
      <c r="X1834" s="1" t="s">
        <v>5931</v>
      </c>
    </row>
    <row r="1835">
      <c r="A1835" s="1" t="s">
        <v>5941</v>
      </c>
      <c r="B1835" s="1" t="s">
        <v>5942</v>
      </c>
      <c r="C1835" s="1" t="s">
        <v>5943</v>
      </c>
      <c r="D1835" s="1" t="s">
        <v>28</v>
      </c>
      <c r="E1835" s="1" t="s">
        <v>29</v>
      </c>
      <c r="F1835" s="5">
        <v>500000.0</v>
      </c>
      <c r="G1835" s="1" t="s">
        <v>3964</v>
      </c>
      <c r="H1835" s="1" t="s">
        <v>2360</v>
      </c>
      <c r="I1835" s="1" t="s">
        <v>5944</v>
      </c>
      <c r="K1835" s="1">
        <v>0.0</v>
      </c>
      <c r="L1835" s="1" t="s">
        <v>491</v>
      </c>
      <c r="M1835" s="1" t="str">
        <f>VLOOKUP(L1835,'Copy of PMD Workday Constants -'!B1834:W2520,22,false)</f>
        <v>#N/A</v>
      </c>
      <c r="N1835" s="1" t="s">
        <v>32</v>
      </c>
      <c r="O1835" s="1" t="s">
        <v>33</v>
      </c>
      <c r="P1835" s="1" t="s">
        <v>112</v>
      </c>
      <c r="Q1835" s="1" t="s">
        <v>112</v>
      </c>
      <c r="R1835" s="1" t="s">
        <v>113</v>
      </c>
      <c r="S1835" s="1" t="s">
        <v>492</v>
      </c>
      <c r="T1835" s="1">
        <v>1.00623914E8</v>
      </c>
      <c r="W1835" s="1" t="s">
        <v>115</v>
      </c>
      <c r="X1835" s="1" t="s">
        <v>491</v>
      </c>
    </row>
    <row r="1836">
      <c r="A1836" s="1" t="s">
        <v>5945</v>
      </c>
      <c r="B1836" s="1" t="s">
        <v>4721</v>
      </c>
      <c r="C1836" s="1" t="s">
        <v>5946</v>
      </c>
      <c r="D1836" s="1" t="s">
        <v>28</v>
      </c>
      <c r="E1836" s="1" t="s">
        <v>29</v>
      </c>
      <c r="F1836" s="5">
        <v>500000.0</v>
      </c>
      <c r="G1836" s="1" t="s">
        <v>3964</v>
      </c>
      <c r="H1836" s="4">
        <v>44810.0</v>
      </c>
      <c r="I1836" s="1" t="s">
        <v>302</v>
      </c>
      <c r="K1836" s="1">
        <v>0.0</v>
      </c>
      <c r="L1836" s="1" t="s">
        <v>4723</v>
      </c>
      <c r="M1836" s="1" t="str">
        <f>VLOOKUP(L1836,'Copy of PMD Workday Constants -'!B1835:W2521,22,false)</f>
        <v>#N/A</v>
      </c>
      <c r="N1836" s="1" t="s">
        <v>32</v>
      </c>
      <c r="O1836" s="1" t="s">
        <v>33</v>
      </c>
      <c r="P1836" s="1" t="s">
        <v>210</v>
      </c>
      <c r="Q1836" s="1" t="s">
        <v>210</v>
      </c>
      <c r="R1836" s="1" t="s">
        <v>211</v>
      </c>
      <c r="T1836" s="1">
        <v>1.00585834E8</v>
      </c>
      <c r="W1836" s="1" t="s">
        <v>436</v>
      </c>
      <c r="X1836" s="1" t="s">
        <v>5931</v>
      </c>
    </row>
    <row r="1837">
      <c r="A1837" s="1" t="s">
        <v>5947</v>
      </c>
      <c r="B1837" s="1" t="s">
        <v>5948</v>
      </c>
      <c r="C1837" s="1" t="s">
        <v>5949</v>
      </c>
      <c r="D1837" s="1" t="s">
        <v>28</v>
      </c>
      <c r="E1837" s="1" t="s">
        <v>29</v>
      </c>
      <c r="F1837" s="5">
        <v>500000.0</v>
      </c>
      <c r="G1837" s="1" t="s">
        <v>3964</v>
      </c>
      <c r="H1837" s="1" t="s">
        <v>870</v>
      </c>
      <c r="I1837" s="1" t="s">
        <v>152</v>
      </c>
      <c r="K1837" s="1">
        <v>0.0</v>
      </c>
      <c r="L1837" s="1" t="s">
        <v>3345</v>
      </c>
      <c r="M1837" s="1" t="str">
        <f>VLOOKUP(L1837,'Copy of PMD Workday Constants -'!B1836:W2522,22,false)</f>
        <v>#N/A</v>
      </c>
      <c r="N1837" s="1" t="s">
        <v>32</v>
      </c>
      <c r="O1837" s="1" t="s">
        <v>33</v>
      </c>
      <c r="P1837" s="1" t="s">
        <v>64</v>
      </c>
      <c r="Q1837" s="1" t="s">
        <v>64</v>
      </c>
      <c r="R1837" s="1" t="s">
        <v>65</v>
      </c>
      <c r="S1837" s="1" t="s">
        <v>791</v>
      </c>
      <c r="T1837" s="1">
        <v>1.0105484E8</v>
      </c>
      <c r="W1837" s="1" t="s">
        <v>456</v>
      </c>
      <c r="X1837" s="1" t="s">
        <v>106</v>
      </c>
    </row>
    <row r="1838">
      <c r="A1838" s="1" t="s">
        <v>5950</v>
      </c>
      <c r="B1838" s="1" t="s">
        <v>615</v>
      </c>
      <c r="C1838" s="1" t="s">
        <v>5951</v>
      </c>
      <c r="D1838" s="1" t="s">
        <v>51</v>
      </c>
      <c r="E1838" s="1" t="s">
        <v>29</v>
      </c>
      <c r="F1838" s="5">
        <v>500000.0</v>
      </c>
      <c r="G1838" s="1" t="s">
        <v>3964</v>
      </c>
      <c r="H1838" s="1" t="s">
        <v>686</v>
      </c>
      <c r="I1838" s="1" t="s">
        <v>104</v>
      </c>
      <c r="K1838" s="1">
        <v>0.0</v>
      </c>
      <c r="L1838" s="1" t="s">
        <v>618</v>
      </c>
      <c r="M1838" s="1" t="str">
        <f>VLOOKUP(L1838,'Copy of PMD Workday Constants -'!B1837:W2523,22,false)</f>
        <v>#N/A</v>
      </c>
      <c r="N1838" s="1" t="s">
        <v>32</v>
      </c>
      <c r="O1838" s="1" t="s">
        <v>33</v>
      </c>
      <c r="P1838" s="1" t="s">
        <v>173</v>
      </c>
      <c r="Q1838" s="1" t="s">
        <v>173</v>
      </c>
      <c r="R1838" s="1" t="s">
        <v>174</v>
      </c>
      <c r="T1838" s="1">
        <v>1.00591141E8</v>
      </c>
      <c r="W1838" s="1" t="s">
        <v>74</v>
      </c>
      <c r="X1838" s="1" t="s">
        <v>1381</v>
      </c>
    </row>
    <row r="1839">
      <c r="A1839" s="1" t="s">
        <v>5952</v>
      </c>
      <c r="B1839" s="1" t="s">
        <v>4721</v>
      </c>
      <c r="C1839" s="1" t="s">
        <v>5953</v>
      </c>
      <c r="D1839" s="1" t="s">
        <v>28</v>
      </c>
      <c r="E1839" s="1" t="s">
        <v>29</v>
      </c>
      <c r="F1839" s="5">
        <v>500000.0</v>
      </c>
      <c r="G1839" s="1" t="s">
        <v>3964</v>
      </c>
      <c r="H1839" s="4">
        <v>44810.0</v>
      </c>
      <c r="I1839" s="1" t="s">
        <v>302</v>
      </c>
      <c r="K1839" s="1">
        <v>0.0</v>
      </c>
      <c r="L1839" s="1" t="s">
        <v>4723</v>
      </c>
      <c r="M1839" s="1" t="str">
        <f>VLOOKUP(L1839,'Copy of PMD Workday Constants -'!B1838:W2524,22,false)</f>
        <v>#N/A</v>
      </c>
      <c r="N1839" s="1" t="s">
        <v>32</v>
      </c>
      <c r="O1839" s="1" t="s">
        <v>33</v>
      </c>
      <c r="P1839" s="1" t="s">
        <v>210</v>
      </c>
      <c r="Q1839" s="1" t="s">
        <v>210</v>
      </c>
      <c r="R1839" s="1" t="s">
        <v>211</v>
      </c>
      <c r="T1839" s="1">
        <v>1.00585834E8</v>
      </c>
      <c r="W1839" s="1" t="s">
        <v>436</v>
      </c>
      <c r="X1839" s="1" t="s">
        <v>5931</v>
      </c>
    </row>
    <row r="1840">
      <c r="A1840" s="1" t="s">
        <v>5954</v>
      </c>
      <c r="B1840" s="1" t="s">
        <v>4721</v>
      </c>
      <c r="C1840" s="1" t="s">
        <v>5955</v>
      </c>
      <c r="D1840" s="1" t="s">
        <v>28</v>
      </c>
      <c r="E1840" s="1" t="s">
        <v>29</v>
      </c>
      <c r="F1840" s="5">
        <v>500000.0</v>
      </c>
      <c r="G1840" s="1" t="s">
        <v>3964</v>
      </c>
      <c r="H1840" s="4">
        <v>44810.0</v>
      </c>
      <c r="I1840" s="1" t="s">
        <v>302</v>
      </c>
      <c r="K1840" s="1">
        <v>0.0</v>
      </c>
      <c r="L1840" s="1" t="s">
        <v>4723</v>
      </c>
      <c r="M1840" s="1" t="str">
        <f>VLOOKUP(L1840,'Copy of PMD Workday Constants -'!B1839:W2525,22,false)</f>
        <v>#N/A</v>
      </c>
      <c r="N1840" s="1" t="s">
        <v>32</v>
      </c>
      <c r="O1840" s="1" t="s">
        <v>33</v>
      </c>
      <c r="P1840" s="1" t="s">
        <v>210</v>
      </c>
      <c r="Q1840" s="1" t="s">
        <v>210</v>
      </c>
      <c r="R1840" s="1" t="s">
        <v>211</v>
      </c>
      <c r="T1840" s="1">
        <v>1.00585834E8</v>
      </c>
      <c r="W1840" s="1" t="s">
        <v>436</v>
      </c>
      <c r="X1840" s="1" t="s">
        <v>5931</v>
      </c>
    </row>
    <row r="1841">
      <c r="A1841" s="1" t="s">
        <v>5956</v>
      </c>
      <c r="B1841" s="1" t="s">
        <v>1763</v>
      </c>
      <c r="C1841" s="1" t="s">
        <v>5957</v>
      </c>
      <c r="D1841" s="1" t="s">
        <v>28</v>
      </c>
      <c r="E1841" s="1" t="s">
        <v>29</v>
      </c>
      <c r="F1841" s="5">
        <v>500000.0</v>
      </c>
      <c r="G1841" s="1" t="s">
        <v>3964</v>
      </c>
      <c r="H1841" s="4">
        <v>44598.0</v>
      </c>
      <c r="I1841" s="1" t="s">
        <v>302</v>
      </c>
      <c r="K1841" s="1">
        <v>0.0</v>
      </c>
      <c r="L1841" s="1" t="s">
        <v>3231</v>
      </c>
      <c r="M1841" s="1" t="str">
        <f>VLOOKUP(L1841,'Copy of PMD Workday Constants -'!B1840:W2526,22,false)</f>
        <v>#N/A</v>
      </c>
      <c r="N1841" s="1" t="s">
        <v>32</v>
      </c>
      <c r="O1841" s="1" t="s">
        <v>33</v>
      </c>
      <c r="P1841" s="1" t="s">
        <v>112</v>
      </c>
      <c r="Q1841" s="1" t="s">
        <v>112</v>
      </c>
      <c r="R1841" s="1" t="s">
        <v>113</v>
      </c>
      <c r="S1841" s="1" t="s">
        <v>307</v>
      </c>
      <c r="T1841" s="1">
        <v>1.00592784E8</v>
      </c>
      <c r="W1841" s="1" t="s">
        <v>533</v>
      </c>
      <c r="X1841" s="1" t="s">
        <v>1766</v>
      </c>
    </row>
    <row r="1842">
      <c r="A1842" s="1" t="s">
        <v>5958</v>
      </c>
      <c r="B1842" s="1" t="s">
        <v>5959</v>
      </c>
      <c r="C1842" s="1" t="s">
        <v>5960</v>
      </c>
      <c r="D1842" s="1" t="s">
        <v>28</v>
      </c>
      <c r="E1842" s="1" t="s">
        <v>29</v>
      </c>
      <c r="F1842" s="5">
        <v>500000.0</v>
      </c>
      <c r="G1842" s="1" t="s">
        <v>3964</v>
      </c>
      <c r="H1842" s="4">
        <v>44682.0</v>
      </c>
      <c r="I1842" s="1" t="s">
        <v>217</v>
      </c>
      <c r="K1842" s="1">
        <v>0.0</v>
      </c>
      <c r="L1842" s="1" t="s">
        <v>1198</v>
      </c>
      <c r="M1842" s="1" t="str">
        <f>VLOOKUP(L1842,'Copy of PMD Workday Constants -'!B1841:W2527,22,false)</f>
        <v>#N/A</v>
      </c>
      <c r="N1842" s="1" t="s">
        <v>32</v>
      </c>
      <c r="O1842" s="1" t="s">
        <v>33</v>
      </c>
      <c r="P1842" s="1" t="s">
        <v>64</v>
      </c>
      <c r="Q1842" s="1" t="s">
        <v>64</v>
      </c>
      <c r="R1842" s="1" t="s">
        <v>65</v>
      </c>
      <c r="T1842" s="1">
        <v>1.01127868E8</v>
      </c>
      <c r="W1842" s="1" t="s">
        <v>308</v>
      </c>
      <c r="X1842" s="1" t="s">
        <v>4552</v>
      </c>
    </row>
    <row r="1843">
      <c r="A1843" s="1" t="s">
        <v>5961</v>
      </c>
      <c r="B1843" s="1" t="s">
        <v>5422</v>
      </c>
      <c r="C1843" s="1" t="s">
        <v>5962</v>
      </c>
      <c r="D1843" s="1" t="s">
        <v>28</v>
      </c>
      <c r="E1843" s="1" t="s">
        <v>29</v>
      </c>
      <c r="F1843" s="5">
        <v>500000.0</v>
      </c>
      <c r="G1843" s="1" t="s">
        <v>3964</v>
      </c>
      <c r="H1843" s="4">
        <v>44533.0</v>
      </c>
      <c r="I1843" s="4">
        <v>44876.0</v>
      </c>
      <c r="K1843" s="1">
        <v>0.0</v>
      </c>
      <c r="L1843" s="1" t="s">
        <v>806</v>
      </c>
      <c r="M1843" s="1" t="str">
        <f>VLOOKUP(L1843,'Copy of PMD Workday Constants -'!B1842:W2528,22,false)</f>
        <v>#N/A</v>
      </c>
      <c r="N1843" s="1" t="s">
        <v>32</v>
      </c>
      <c r="O1843" s="1" t="s">
        <v>33</v>
      </c>
      <c r="P1843" s="1" t="s">
        <v>173</v>
      </c>
      <c r="Q1843" s="1" t="s">
        <v>173</v>
      </c>
      <c r="R1843" s="1" t="s">
        <v>174</v>
      </c>
      <c r="S1843" s="1" t="s">
        <v>612</v>
      </c>
      <c r="T1843" s="1">
        <v>1.00581784E8</v>
      </c>
      <c r="W1843" s="1" t="s">
        <v>147</v>
      </c>
      <c r="X1843" s="1" t="s">
        <v>806</v>
      </c>
    </row>
    <row r="1844">
      <c r="A1844" s="1" t="s">
        <v>5963</v>
      </c>
      <c r="B1844" s="1" t="s">
        <v>219</v>
      </c>
      <c r="C1844" s="1" t="s">
        <v>5964</v>
      </c>
      <c r="D1844" s="1" t="s">
        <v>28</v>
      </c>
      <c r="E1844" s="1" t="s">
        <v>29</v>
      </c>
      <c r="F1844" s="5">
        <v>500000.0</v>
      </c>
      <c r="G1844" s="1" t="s">
        <v>3964</v>
      </c>
      <c r="H1844" s="4">
        <v>44810.0</v>
      </c>
      <c r="I1844" s="1" t="s">
        <v>132</v>
      </c>
      <c r="K1844" s="1">
        <v>0.0</v>
      </c>
      <c r="L1844" s="1" t="s">
        <v>157</v>
      </c>
      <c r="M1844" s="1" t="str">
        <f>VLOOKUP(L1844,'Copy of PMD Workday Constants -'!B1843:W2529,22,false)</f>
        <v>#N/A</v>
      </c>
      <c r="N1844" s="1" t="s">
        <v>32</v>
      </c>
      <c r="O1844" s="1" t="s">
        <v>33</v>
      </c>
      <c r="P1844" s="1" t="s">
        <v>112</v>
      </c>
      <c r="Q1844" s="1" t="s">
        <v>112</v>
      </c>
      <c r="R1844" s="1" t="s">
        <v>113</v>
      </c>
      <c r="S1844" s="1" t="s">
        <v>204</v>
      </c>
      <c r="T1844" s="1">
        <v>1.00658522E8</v>
      </c>
      <c r="W1844" s="1" t="s">
        <v>91</v>
      </c>
      <c r="X1844" s="1" t="s">
        <v>4069</v>
      </c>
    </row>
    <row r="1845">
      <c r="A1845" s="1" t="s">
        <v>5965</v>
      </c>
      <c r="B1845" s="1" t="s">
        <v>1997</v>
      </c>
      <c r="C1845" s="1" t="s">
        <v>5966</v>
      </c>
      <c r="D1845" s="1" t="s">
        <v>51</v>
      </c>
      <c r="E1845" s="1" t="s">
        <v>29</v>
      </c>
      <c r="F1845" s="5">
        <v>500000.0</v>
      </c>
      <c r="G1845" s="1" t="s">
        <v>3964</v>
      </c>
      <c r="H1845" s="1" t="s">
        <v>52</v>
      </c>
      <c r="I1845" s="1" t="s">
        <v>80</v>
      </c>
      <c r="K1845" s="1">
        <v>0.0</v>
      </c>
      <c r="L1845" s="1" t="s">
        <v>4365</v>
      </c>
      <c r="M1845" s="1" t="str">
        <f>VLOOKUP(L1845,'Copy of PMD Workday Constants -'!B1844:W2530,22,false)</f>
        <v>#N/A</v>
      </c>
      <c r="N1845" s="1" t="s">
        <v>32</v>
      </c>
      <c r="O1845" s="1" t="s">
        <v>33</v>
      </c>
      <c r="P1845" s="1" t="s">
        <v>173</v>
      </c>
      <c r="Q1845" s="1" t="s">
        <v>173</v>
      </c>
      <c r="R1845" s="1" t="s">
        <v>174</v>
      </c>
      <c r="T1845" s="1">
        <v>1.0066064E8</v>
      </c>
      <c r="W1845" s="1" t="s">
        <v>947</v>
      </c>
      <c r="X1845" s="1" t="s">
        <v>5967</v>
      </c>
    </row>
    <row r="1846">
      <c r="A1846" s="1" t="s">
        <v>5968</v>
      </c>
      <c r="B1846" s="1" t="s">
        <v>2867</v>
      </c>
      <c r="C1846" s="1" t="s">
        <v>5969</v>
      </c>
      <c r="D1846" s="1" t="s">
        <v>28</v>
      </c>
      <c r="E1846" s="1" t="s">
        <v>29</v>
      </c>
      <c r="F1846" s="5">
        <v>500000.0</v>
      </c>
      <c r="G1846" s="1" t="s">
        <v>3964</v>
      </c>
      <c r="H1846" s="4">
        <v>44051.0</v>
      </c>
      <c r="I1846" s="1" t="s">
        <v>510</v>
      </c>
      <c r="K1846" s="1">
        <v>0.0</v>
      </c>
      <c r="L1846" s="1" t="s">
        <v>428</v>
      </c>
      <c r="M1846" s="1" t="str">
        <f>VLOOKUP(L1846,'Copy of PMD Workday Constants -'!B1845:W2531,22,false)</f>
        <v>#N/A</v>
      </c>
      <c r="N1846" s="1" t="s">
        <v>32</v>
      </c>
      <c r="O1846" s="1" t="s">
        <v>33</v>
      </c>
      <c r="P1846" s="1" t="s">
        <v>173</v>
      </c>
      <c r="Q1846" s="1" t="s">
        <v>173</v>
      </c>
      <c r="R1846" s="1" t="s">
        <v>174</v>
      </c>
      <c r="S1846" s="1" t="s">
        <v>229</v>
      </c>
      <c r="T1846" s="1">
        <v>1.00654085E8</v>
      </c>
      <c r="W1846" s="1" t="s">
        <v>85</v>
      </c>
      <c r="X1846" s="1" t="s">
        <v>5970</v>
      </c>
    </row>
    <row r="1847">
      <c r="A1847" s="1" t="s">
        <v>5971</v>
      </c>
      <c r="B1847" s="1" t="s">
        <v>5972</v>
      </c>
      <c r="C1847" s="1" t="s">
        <v>5973</v>
      </c>
      <c r="D1847" s="1" t="s">
        <v>28</v>
      </c>
      <c r="E1847" s="1" t="s">
        <v>29</v>
      </c>
      <c r="F1847" s="5">
        <v>500000.0</v>
      </c>
      <c r="G1847" s="1" t="s">
        <v>3964</v>
      </c>
      <c r="H1847" s="4">
        <v>44051.0</v>
      </c>
      <c r="I1847" s="1" t="s">
        <v>80</v>
      </c>
      <c r="K1847" s="1">
        <v>0.0</v>
      </c>
      <c r="L1847" s="1" t="s">
        <v>428</v>
      </c>
      <c r="M1847" s="1" t="str">
        <f>VLOOKUP(L1847,'Copy of PMD Workday Constants -'!B1846:W2532,22,false)</f>
        <v>#N/A</v>
      </c>
      <c r="N1847" s="1" t="s">
        <v>32</v>
      </c>
      <c r="O1847" s="1" t="s">
        <v>33</v>
      </c>
      <c r="P1847" s="1" t="s">
        <v>173</v>
      </c>
      <c r="Q1847" s="1" t="s">
        <v>173</v>
      </c>
      <c r="R1847" s="1" t="s">
        <v>174</v>
      </c>
      <c r="S1847" s="1" t="s">
        <v>153</v>
      </c>
      <c r="T1847" s="1">
        <v>1.00654085E8</v>
      </c>
      <c r="W1847" s="1" t="s">
        <v>85</v>
      </c>
      <c r="X1847" s="1" t="s">
        <v>5970</v>
      </c>
    </row>
    <row r="1848">
      <c r="A1848" s="1" t="s">
        <v>5974</v>
      </c>
      <c r="B1848" s="1" t="s">
        <v>1072</v>
      </c>
      <c r="C1848" s="1" t="s">
        <v>5975</v>
      </c>
      <c r="D1848" s="1" t="s">
        <v>51</v>
      </c>
      <c r="E1848" s="1" t="s">
        <v>29</v>
      </c>
      <c r="F1848" s="5">
        <v>500000.0</v>
      </c>
      <c r="G1848" s="1" t="s">
        <v>3964</v>
      </c>
      <c r="H1848" s="4">
        <v>44200.0</v>
      </c>
      <c r="I1848" s="1" t="s">
        <v>104</v>
      </c>
      <c r="K1848" s="1">
        <v>0.0</v>
      </c>
      <c r="L1848" s="1" t="s">
        <v>1389</v>
      </c>
      <c r="M1848" s="1" t="str">
        <f>VLOOKUP(L1848,'Copy of PMD Workday Constants -'!B1847:W2533,22,false)</f>
        <v>#N/A</v>
      </c>
      <c r="N1848" s="1" t="s">
        <v>32</v>
      </c>
      <c r="O1848" s="1" t="s">
        <v>33</v>
      </c>
      <c r="P1848" s="1" t="s">
        <v>64</v>
      </c>
      <c r="Q1848" s="1" t="s">
        <v>64</v>
      </c>
      <c r="R1848" s="1" t="s">
        <v>65</v>
      </c>
      <c r="S1848" s="1" t="s">
        <v>1336</v>
      </c>
      <c r="T1848" s="1">
        <v>1.00610014E8</v>
      </c>
      <c r="W1848" s="1" t="s">
        <v>91</v>
      </c>
      <c r="X1848" s="1" t="s">
        <v>1389</v>
      </c>
    </row>
    <row r="1849">
      <c r="A1849" s="1" t="s">
        <v>5976</v>
      </c>
      <c r="B1849" s="1" t="s">
        <v>5977</v>
      </c>
      <c r="C1849" s="1" t="s">
        <v>5978</v>
      </c>
      <c r="D1849" s="1" t="s">
        <v>51</v>
      </c>
      <c r="E1849" s="1" t="s">
        <v>29</v>
      </c>
      <c r="F1849" s="5">
        <v>500000.0</v>
      </c>
      <c r="G1849" s="1" t="s">
        <v>3964</v>
      </c>
      <c r="H1849" s="1" t="s">
        <v>545</v>
      </c>
      <c r="I1849" s="4">
        <v>44689.0</v>
      </c>
      <c r="K1849" s="1">
        <v>0.0</v>
      </c>
      <c r="L1849" s="1" t="s">
        <v>1910</v>
      </c>
      <c r="M1849" s="1" t="str">
        <f>VLOOKUP(L1849,'Copy of PMD Workday Constants -'!B1848:W2534,22,false)</f>
        <v>#N/A</v>
      </c>
      <c r="N1849" s="1" t="s">
        <v>32</v>
      </c>
      <c r="O1849" s="1" t="s">
        <v>33</v>
      </c>
      <c r="P1849" s="1" t="s">
        <v>82</v>
      </c>
      <c r="Q1849" s="1" t="s">
        <v>82</v>
      </c>
      <c r="R1849" s="1" t="s">
        <v>83</v>
      </c>
      <c r="T1849" s="1">
        <v>1.01193937E8</v>
      </c>
      <c r="W1849" s="1" t="s">
        <v>456</v>
      </c>
      <c r="X1849" s="1" t="s">
        <v>582</v>
      </c>
    </row>
    <row r="1850">
      <c r="A1850" s="1" t="s">
        <v>5979</v>
      </c>
      <c r="B1850" s="1" t="s">
        <v>1631</v>
      </c>
      <c r="C1850" s="1" t="s">
        <v>5980</v>
      </c>
      <c r="D1850" s="1" t="s">
        <v>28</v>
      </c>
      <c r="E1850" s="1" t="s">
        <v>29</v>
      </c>
      <c r="F1850" s="5">
        <v>500000.0</v>
      </c>
      <c r="G1850" s="1" t="s">
        <v>3964</v>
      </c>
      <c r="H1850" s="4">
        <v>44840.0</v>
      </c>
      <c r="I1850" s="1" t="s">
        <v>152</v>
      </c>
      <c r="K1850" s="1">
        <v>0.0</v>
      </c>
      <c r="L1850" s="1" t="s">
        <v>5981</v>
      </c>
      <c r="M1850" s="1" t="str">
        <f>VLOOKUP(L1850,'Copy of PMD Workday Constants -'!B1849:W2535,22,false)</f>
        <v>#N/A</v>
      </c>
      <c r="N1850" s="1" t="s">
        <v>32</v>
      </c>
      <c r="O1850" s="1" t="s">
        <v>33</v>
      </c>
      <c r="P1850" s="1" t="s">
        <v>173</v>
      </c>
      <c r="Q1850" s="1" t="s">
        <v>173</v>
      </c>
      <c r="R1850" s="1" t="s">
        <v>174</v>
      </c>
      <c r="S1850" s="1" t="s">
        <v>612</v>
      </c>
      <c r="T1850" s="1">
        <v>1.00694303E8</v>
      </c>
      <c r="W1850" s="1" t="s">
        <v>456</v>
      </c>
      <c r="X1850" s="1" t="s">
        <v>4072</v>
      </c>
    </row>
    <row r="1851">
      <c r="A1851" s="1" t="s">
        <v>5982</v>
      </c>
      <c r="B1851" s="1" t="s">
        <v>241</v>
      </c>
      <c r="C1851" s="1" t="s">
        <v>5983</v>
      </c>
      <c r="D1851" s="1" t="s">
        <v>51</v>
      </c>
      <c r="E1851" s="1" t="s">
        <v>29</v>
      </c>
      <c r="F1851" s="5">
        <v>500000.0</v>
      </c>
      <c r="G1851" s="1" t="s">
        <v>3964</v>
      </c>
      <c r="H1851" s="1" t="s">
        <v>2049</v>
      </c>
      <c r="I1851" s="1" t="s">
        <v>104</v>
      </c>
      <c r="K1851" s="1">
        <v>0.0</v>
      </c>
      <c r="L1851" s="1" t="s">
        <v>244</v>
      </c>
      <c r="M1851" s="1" t="str">
        <f>VLOOKUP(L1851,'Copy of PMD Workday Constants -'!B1850:W2536,22,false)</f>
        <v>#N/A</v>
      </c>
      <c r="N1851" s="1" t="s">
        <v>32</v>
      </c>
      <c r="O1851" s="1" t="s">
        <v>33</v>
      </c>
      <c r="P1851" s="1" t="s">
        <v>34</v>
      </c>
      <c r="Q1851" s="1" t="s">
        <v>34</v>
      </c>
      <c r="R1851" s="1" t="s">
        <v>35</v>
      </c>
      <c r="S1851" s="1" t="s">
        <v>126</v>
      </c>
      <c r="T1851" s="1">
        <v>1.00617853E8</v>
      </c>
      <c r="U1851" s="1" t="s">
        <v>5984</v>
      </c>
      <c r="V1851" s="1" t="s">
        <v>187</v>
      </c>
      <c r="W1851" s="1" t="s">
        <v>37</v>
      </c>
      <c r="X1851" s="1" t="s">
        <v>1613</v>
      </c>
    </row>
    <row r="1852">
      <c r="A1852" s="1" t="s">
        <v>5985</v>
      </c>
      <c r="B1852" s="1" t="s">
        <v>4307</v>
      </c>
      <c r="C1852" s="1" t="s">
        <v>5986</v>
      </c>
      <c r="D1852" s="1" t="s">
        <v>28</v>
      </c>
      <c r="E1852" s="1" t="s">
        <v>29</v>
      </c>
      <c r="F1852" s="5">
        <v>500000.0</v>
      </c>
      <c r="G1852" s="1" t="s">
        <v>3964</v>
      </c>
      <c r="H1852" s="1" t="s">
        <v>556</v>
      </c>
      <c r="I1852" s="1" t="s">
        <v>104</v>
      </c>
      <c r="K1852" s="1">
        <v>0.0</v>
      </c>
      <c r="L1852" s="1" t="s">
        <v>387</v>
      </c>
      <c r="M1852" s="1" t="str">
        <f>VLOOKUP(L1852,'Copy of PMD Workday Constants -'!B1851:W2537,22,false)</f>
        <v>#N/A</v>
      </c>
      <c r="N1852" s="1" t="s">
        <v>32</v>
      </c>
      <c r="O1852" s="1" t="s">
        <v>33</v>
      </c>
      <c r="P1852" s="1" t="s">
        <v>34</v>
      </c>
      <c r="Q1852" s="1" t="s">
        <v>34</v>
      </c>
      <c r="R1852" s="1" t="s">
        <v>35</v>
      </c>
      <c r="T1852" s="1">
        <v>1.00642129E8</v>
      </c>
      <c r="W1852" s="1" t="s">
        <v>287</v>
      </c>
      <c r="X1852" s="1" t="s">
        <v>5987</v>
      </c>
    </row>
    <row r="1853">
      <c r="A1853" s="1" t="s">
        <v>5988</v>
      </c>
      <c r="B1853" s="1" t="s">
        <v>5989</v>
      </c>
      <c r="C1853" s="1" t="s">
        <v>5990</v>
      </c>
      <c r="D1853" s="1" t="s">
        <v>28</v>
      </c>
      <c r="E1853" s="1" t="s">
        <v>29</v>
      </c>
      <c r="F1853" s="5">
        <v>500000.0</v>
      </c>
      <c r="G1853" s="1" t="s">
        <v>3964</v>
      </c>
      <c r="H1853" s="1" t="s">
        <v>2318</v>
      </c>
      <c r="I1853" s="1" t="s">
        <v>132</v>
      </c>
      <c r="K1853" s="1">
        <v>0.0</v>
      </c>
      <c r="L1853" s="1" t="s">
        <v>3848</v>
      </c>
      <c r="M1853" s="1" t="str">
        <f>VLOOKUP(L1853,'Copy of PMD Workday Constants -'!B1852:W2538,22,false)</f>
        <v>#N/A</v>
      </c>
      <c r="N1853" s="1" t="s">
        <v>32</v>
      </c>
      <c r="O1853" s="1" t="s">
        <v>33</v>
      </c>
      <c r="P1853" s="1" t="s">
        <v>173</v>
      </c>
      <c r="Q1853" s="1" t="s">
        <v>173</v>
      </c>
      <c r="R1853" s="1" t="s">
        <v>174</v>
      </c>
      <c r="S1853" s="1" t="s">
        <v>612</v>
      </c>
      <c r="T1853" s="1">
        <v>1.00654914E8</v>
      </c>
      <c r="W1853" s="1" t="s">
        <v>85</v>
      </c>
      <c r="X1853" s="1" t="s">
        <v>3849</v>
      </c>
    </row>
    <row r="1854">
      <c r="A1854" s="1" t="s">
        <v>5991</v>
      </c>
      <c r="B1854" s="1" t="s">
        <v>1132</v>
      </c>
      <c r="C1854" s="1" t="s">
        <v>5992</v>
      </c>
      <c r="D1854" s="1" t="s">
        <v>103</v>
      </c>
      <c r="E1854" s="1" t="s">
        <v>29</v>
      </c>
      <c r="F1854" s="5">
        <v>500000.0</v>
      </c>
      <c r="G1854" s="1" t="s">
        <v>3964</v>
      </c>
      <c r="H1854" s="4">
        <v>44686.0</v>
      </c>
      <c r="I1854" s="1" t="s">
        <v>96</v>
      </c>
      <c r="K1854" s="1">
        <v>0.0</v>
      </c>
      <c r="L1854" s="1" t="s">
        <v>934</v>
      </c>
      <c r="M1854" s="1" t="str">
        <f>VLOOKUP(L1854,'Copy of PMD Workday Constants -'!B1853:W2539,22,false)</f>
        <v>#N/A</v>
      </c>
      <c r="N1854" s="1" t="s">
        <v>32</v>
      </c>
      <c r="O1854" s="1" t="s">
        <v>33</v>
      </c>
      <c r="P1854" s="1" t="s">
        <v>173</v>
      </c>
      <c r="Q1854" s="1" t="s">
        <v>173</v>
      </c>
      <c r="R1854" s="1" t="s">
        <v>174</v>
      </c>
      <c r="T1854" s="1">
        <v>1.00653269E8</v>
      </c>
      <c r="W1854" s="1" t="s">
        <v>56</v>
      </c>
      <c r="X1854" s="1" t="s">
        <v>5993</v>
      </c>
    </row>
    <row r="1855">
      <c r="A1855" s="1" t="s">
        <v>5994</v>
      </c>
      <c r="B1855" s="1" t="s">
        <v>5995</v>
      </c>
      <c r="C1855" s="1" t="s">
        <v>5996</v>
      </c>
      <c r="D1855" s="1" t="s">
        <v>51</v>
      </c>
      <c r="E1855" s="1" t="s">
        <v>29</v>
      </c>
      <c r="F1855" s="5">
        <v>500000.0</v>
      </c>
      <c r="G1855" s="1" t="s">
        <v>3964</v>
      </c>
      <c r="H1855" s="4">
        <v>44744.0</v>
      </c>
      <c r="I1855" s="1" t="s">
        <v>132</v>
      </c>
      <c r="K1855" s="1">
        <v>0.0</v>
      </c>
      <c r="L1855" s="1" t="s">
        <v>3848</v>
      </c>
      <c r="M1855" s="1" t="str">
        <f>VLOOKUP(L1855,'Copy of PMD Workday Constants -'!B1854:W2540,22,false)</f>
        <v>#N/A</v>
      </c>
      <c r="N1855" s="1" t="s">
        <v>32</v>
      </c>
      <c r="O1855" s="1" t="s">
        <v>33</v>
      </c>
      <c r="P1855" s="1" t="s">
        <v>173</v>
      </c>
      <c r="Q1855" s="1" t="s">
        <v>173</v>
      </c>
      <c r="R1855" s="1" t="s">
        <v>174</v>
      </c>
      <c r="S1855" s="1" t="s">
        <v>612</v>
      </c>
      <c r="T1855" s="1">
        <v>1.00654914E8</v>
      </c>
      <c r="W1855" s="1" t="s">
        <v>115</v>
      </c>
      <c r="X1855" s="1" t="s">
        <v>3849</v>
      </c>
    </row>
    <row r="1856">
      <c r="A1856" s="1" t="s">
        <v>5997</v>
      </c>
      <c r="B1856" s="1" t="s">
        <v>70</v>
      </c>
      <c r="C1856" s="1" t="s">
        <v>5998</v>
      </c>
      <c r="D1856" s="1" t="s">
        <v>51</v>
      </c>
      <c r="E1856" s="1" t="s">
        <v>29</v>
      </c>
      <c r="F1856" s="5">
        <v>500000.0</v>
      </c>
      <c r="G1856" s="1" t="s">
        <v>3964</v>
      </c>
      <c r="H1856" s="1" t="s">
        <v>5999</v>
      </c>
      <c r="I1856" s="1" t="s">
        <v>264</v>
      </c>
      <c r="K1856" s="1">
        <v>0.0</v>
      </c>
      <c r="L1856" s="1" t="s">
        <v>72</v>
      </c>
      <c r="M1856" s="1" t="str">
        <f>VLOOKUP(L1856,'Copy of PMD Workday Constants -'!B1855:W2541,22,false)</f>
        <v>#N/A</v>
      </c>
      <c r="N1856" s="1" t="s">
        <v>32</v>
      </c>
      <c r="O1856" s="1" t="s">
        <v>33</v>
      </c>
      <c r="P1856" s="1" t="s">
        <v>34</v>
      </c>
      <c r="Q1856" s="1" t="s">
        <v>34</v>
      </c>
      <c r="R1856" s="1" t="s">
        <v>35</v>
      </c>
      <c r="S1856" s="1" t="s">
        <v>126</v>
      </c>
      <c r="T1856" s="1">
        <v>1.0060843E8</v>
      </c>
      <c r="W1856" s="1" t="s">
        <v>74</v>
      </c>
      <c r="X1856" s="1" t="s">
        <v>72</v>
      </c>
    </row>
    <row r="1857">
      <c r="A1857" s="1" t="s">
        <v>6000</v>
      </c>
      <c r="B1857" s="1" t="s">
        <v>6001</v>
      </c>
      <c r="C1857" s="1" t="s">
        <v>6002</v>
      </c>
      <c r="D1857" s="1" t="s">
        <v>28</v>
      </c>
      <c r="E1857" s="1" t="s">
        <v>29</v>
      </c>
      <c r="F1857" s="5">
        <v>500000.0</v>
      </c>
      <c r="G1857" s="1" t="s">
        <v>3964</v>
      </c>
      <c r="H1857" s="1" t="s">
        <v>6003</v>
      </c>
      <c r="I1857" s="4">
        <v>44571.0</v>
      </c>
      <c r="K1857" s="1">
        <v>0.0</v>
      </c>
      <c r="L1857" s="1" t="s">
        <v>3302</v>
      </c>
      <c r="M1857" s="1" t="str">
        <f>VLOOKUP(L1857,'Copy of PMD Workday Constants -'!B1856:W2542,22,false)</f>
        <v>#N/A</v>
      </c>
      <c r="N1857" s="1" t="s">
        <v>32</v>
      </c>
      <c r="O1857" s="1" t="s">
        <v>33</v>
      </c>
      <c r="P1857" s="1" t="s">
        <v>34</v>
      </c>
      <c r="Q1857" s="1" t="s">
        <v>34</v>
      </c>
      <c r="R1857" s="1" t="s">
        <v>35</v>
      </c>
      <c r="S1857" s="1" t="s">
        <v>1166</v>
      </c>
      <c r="T1857" s="1">
        <v>1.00586233E8</v>
      </c>
      <c r="W1857" s="1" t="s">
        <v>456</v>
      </c>
      <c r="X1857" s="1" t="s">
        <v>3302</v>
      </c>
    </row>
    <row r="1858">
      <c r="A1858" s="1" t="s">
        <v>6004</v>
      </c>
      <c r="B1858" s="1" t="s">
        <v>341</v>
      </c>
      <c r="C1858" s="1" t="s">
        <v>6005</v>
      </c>
      <c r="D1858" s="1" t="s">
        <v>28</v>
      </c>
      <c r="E1858" s="1" t="s">
        <v>29</v>
      </c>
      <c r="F1858" s="5">
        <v>500000.0</v>
      </c>
      <c r="G1858" s="1" t="s">
        <v>3964</v>
      </c>
      <c r="H1858" s="4">
        <v>44532.0</v>
      </c>
      <c r="I1858" s="1" t="s">
        <v>810</v>
      </c>
      <c r="K1858" s="1">
        <v>0.0</v>
      </c>
      <c r="L1858" s="1" t="s">
        <v>415</v>
      </c>
      <c r="M1858" s="1" t="str">
        <f>VLOOKUP(L1858,'Copy of PMD Workday Constants -'!B1857:W2543,22,false)</f>
        <v>#N/A</v>
      </c>
      <c r="N1858" s="1" t="s">
        <v>32</v>
      </c>
      <c r="O1858" s="1" t="s">
        <v>33</v>
      </c>
      <c r="P1858" s="1" t="s">
        <v>210</v>
      </c>
      <c r="Q1858" s="1" t="s">
        <v>210</v>
      </c>
      <c r="R1858" s="1" t="s">
        <v>211</v>
      </c>
      <c r="T1858" s="1">
        <v>1.00650375E8</v>
      </c>
      <c r="W1858" s="1" t="s">
        <v>85</v>
      </c>
      <c r="X1858" s="1" t="s">
        <v>415</v>
      </c>
    </row>
    <row r="1859">
      <c r="A1859" s="1" t="s">
        <v>6006</v>
      </c>
      <c r="B1859" s="1" t="s">
        <v>6007</v>
      </c>
      <c r="C1859" s="1" t="s">
        <v>6008</v>
      </c>
      <c r="D1859" s="1" t="s">
        <v>28</v>
      </c>
      <c r="E1859" s="1" t="s">
        <v>29</v>
      </c>
      <c r="F1859" s="5">
        <v>500000.0</v>
      </c>
      <c r="G1859" s="1" t="s">
        <v>3964</v>
      </c>
      <c r="H1859" s="1" t="s">
        <v>2241</v>
      </c>
      <c r="I1859" s="4">
        <v>44690.0</v>
      </c>
      <c r="K1859" s="1">
        <v>0.0</v>
      </c>
      <c r="L1859" s="1" t="s">
        <v>2169</v>
      </c>
      <c r="M1859" s="1" t="str">
        <f>VLOOKUP(L1859,'Copy of PMD Workday Constants -'!B1858:W2544,22,false)</f>
        <v>#N/A</v>
      </c>
      <c r="N1859" s="1" t="s">
        <v>32</v>
      </c>
      <c r="O1859" s="1" t="s">
        <v>33</v>
      </c>
      <c r="P1859" s="1" t="s">
        <v>64</v>
      </c>
      <c r="Q1859" s="1" t="s">
        <v>64</v>
      </c>
      <c r="R1859" s="1" t="s">
        <v>65</v>
      </c>
      <c r="S1859" s="1" t="s">
        <v>66</v>
      </c>
      <c r="T1859" s="1">
        <v>1.00886112E8</v>
      </c>
      <c r="W1859" s="1" t="s">
        <v>287</v>
      </c>
      <c r="X1859" s="1" t="s">
        <v>6009</v>
      </c>
    </row>
    <row r="1860">
      <c r="A1860" s="1" t="s">
        <v>6010</v>
      </c>
      <c r="B1860" s="1" t="s">
        <v>1106</v>
      </c>
      <c r="C1860" s="1" t="s">
        <v>6011</v>
      </c>
      <c r="D1860" s="1" t="s">
        <v>28</v>
      </c>
      <c r="E1860" s="1" t="s">
        <v>29</v>
      </c>
      <c r="F1860" s="5">
        <v>500000.0</v>
      </c>
      <c r="G1860" s="1" t="s">
        <v>3964</v>
      </c>
      <c r="H1860" s="4">
        <v>44687.0</v>
      </c>
      <c r="I1860" s="1" t="s">
        <v>104</v>
      </c>
      <c r="K1860" s="1">
        <v>0.0</v>
      </c>
      <c r="L1860" s="1" t="s">
        <v>2058</v>
      </c>
      <c r="M1860" s="1" t="str">
        <f>VLOOKUP(L1860,'Copy of PMD Workday Constants -'!B1859:W2545,22,false)</f>
        <v>#N/A</v>
      </c>
      <c r="N1860" s="1" t="s">
        <v>32</v>
      </c>
      <c r="O1860" s="1" t="s">
        <v>33</v>
      </c>
      <c r="P1860" s="1" t="s">
        <v>34</v>
      </c>
      <c r="Q1860" s="1" t="s">
        <v>34</v>
      </c>
      <c r="R1860" s="1" t="s">
        <v>35</v>
      </c>
      <c r="T1860" s="1">
        <v>1.01076271E8</v>
      </c>
      <c r="W1860" s="1" t="s">
        <v>140</v>
      </c>
      <c r="X1860" s="1" t="s">
        <v>2058</v>
      </c>
    </row>
    <row r="1861">
      <c r="A1861" s="1" t="s">
        <v>6012</v>
      </c>
      <c r="B1861" s="1" t="s">
        <v>673</v>
      </c>
      <c r="C1861" s="1" t="s">
        <v>6013</v>
      </c>
      <c r="D1861" s="1" t="s">
        <v>28</v>
      </c>
      <c r="E1861" s="1" t="s">
        <v>29</v>
      </c>
      <c r="F1861" s="5">
        <v>500000.0</v>
      </c>
      <c r="G1861" s="1" t="s">
        <v>3964</v>
      </c>
      <c r="H1861" s="4">
        <v>44086.0</v>
      </c>
      <c r="I1861" s="1" t="s">
        <v>152</v>
      </c>
      <c r="K1861" s="1">
        <v>0.0</v>
      </c>
      <c r="L1861" s="1" t="s">
        <v>983</v>
      </c>
      <c r="M1861" s="1" t="str">
        <f>VLOOKUP(L1861,'Copy of PMD Workday Constants -'!B1860:W2546,22,false)</f>
        <v>#N/A</v>
      </c>
      <c r="N1861" s="1" t="s">
        <v>32</v>
      </c>
      <c r="O1861" s="1" t="s">
        <v>33</v>
      </c>
      <c r="P1861" s="1" t="s">
        <v>112</v>
      </c>
      <c r="Q1861" s="1" t="s">
        <v>112</v>
      </c>
      <c r="R1861" s="1" t="s">
        <v>113</v>
      </c>
      <c r="S1861" s="1" t="s">
        <v>307</v>
      </c>
      <c r="T1861" s="1">
        <v>1.00607644E8</v>
      </c>
      <c r="W1861" s="1" t="s">
        <v>47</v>
      </c>
      <c r="X1861" s="1" t="s">
        <v>983</v>
      </c>
    </row>
    <row r="1862">
      <c r="A1862" s="1" t="s">
        <v>6014</v>
      </c>
      <c r="B1862" s="1" t="s">
        <v>573</v>
      </c>
      <c r="C1862" s="1" t="s">
        <v>6015</v>
      </c>
      <c r="D1862" s="1" t="s">
        <v>103</v>
      </c>
      <c r="E1862" s="1" t="s">
        <v>29</v>
      </c>
      <c r="F1862" s="5">
        <v>500000.0</v>
      </c>
      <c r="G1862" s="1" t="s">
        <v>3964</v>
      </c>
      <c r="H1862" s="4">
        <v>44594.0</v>
      </c>
      <c r="I1862" s="1" t="s">
        <v>302</v>
      </c>
      <c r="K1862" s="1">
        <v>0.0</v>
      </c>
      <c r="L1862" s="1" t="s">
        <v>4432</v>
      </c>
      <c r="M1862" s="1" t="str">
        <f>VLOOKUP(L1862,'Copy of PMD Workday Constants -'!B1861:W2547,22,false)</f>
        <v>#N/A</v>
      </c>
      <c r="N1862" s="1" t="s">
        <v>32</v>
      </c>
      <c r="O1862" s="1" t="s">
        <v>33</v>
      </c>
      <c r="P1862" s="1" t="s">
        <v>34</v>
      </c>
      <c r="Q1862" s="1" t="s">
        <v>34</v>
      </c>
      <c r="R1862" s="1" t="s">
        <v>35</v>
      </c>
      <c r="T1862" s="1">
        <v>1.00586334E8</v>
      </c>
      <c r="W1862" s="1" t="s">
        <v>456</v>
      </c>
      <c r="X1862" s="1" t="s">
        <v>6016</v>
      </c>
    </row>
    <row r="1863">
      <c r="A1863" s="1" t="s">
        <v>6017</v>
      </c>
      <c r="B1863" s="1" t="s">
        <v>1184</v>
      </c>
      <c r="C1863" s="1" t="s">
        <v>6018</v>
      </c>
      <c r="D1863" s="1" t="s">
        <v>103</v>
      </c>
      <c r="E1863" s="1" t="s">
        <v>29</v>
      </c>
      <c r="F1863" s="5">
        <v>500000.0</v>
      </c>
      <c r="G1863" s="1" t="s">
        <v>3964</v>
      </c>
      <c r="H1863" s="4">
        <v>43869.0</v>
      </c>
      <c r="I1863" s="1" t="s">
        <v>406</v>
      </c>
      <c r="K1863" s="1">
        <v>0.0</v>
      </c>
      <c r="L1863" s="1" t="s">
        <v>4491</v>
      </c>
      <c r="M1863" s="1" t="str">
        <f>VLOOKUP(L1863,'Copy of PMD Workday Constants -'!B1862:W2548,22,false)</f>
        <v>#N/A</v>
      </c>
      <c r="N1863" s="1" t="s">
        <v>32</v>
      </c>
      <c r="O1863" s="1" t="s">
        <v>33</v>
      </c>
      <c r="P1863" s="1" t="s">
        <v>64</v>
      </c>
      <c r="Q1863" s="1" t="s">
        <v>64</v>
      </c>
      <c r="R1863" s="1" t="s">
        <v>65</v>
      </c>
      <c r="S1863" s="1" t="s">
        <v>416</v>
      </c>
      <c r="T1863" s="1">
        <v>1.00660934E8</v>
      </c>
      <c r="W1863" s="1" t="s">
        <v>56</v>
      </c>
      <c r="X1863" s="1" t="s">
        <v>6019</v>
      </c>
    </row>
    <row r="1864">
      <c r="A1864" s="1" t="s">
        <v>6020</v>
      </c>
      <c r="B1864" s="1" t="s">
        <v>1184</v>
      </c>
      <c r="C1864" s="1" t="s">
        <v>6021</v>
      </c>
      <c r="D1864" s="1" t="s">
        <v>28</v>
      </c>
      <c r="E1864" s="1" t="s">
        <v>29</v>
      </c>
      <c r="F1864" s="5">
        <v>500000.0</v>
      </c>
      <c r="G1864" s="1" t="s">
        <v>3964</v>
      </c>
      <c r="H1864" s="1" t="s">
        <v>4892</v>
      </c>
      <c r="I1864" s="1" t="s">
        <v>132</v>
      </c>
      <c r="K1864" s="1">
        <v>0.0</v>
      </c>
      <c r="L1864" s="1" t="s">
        <v>1188</v>
      </c>
      <c r="M1864" s="1" t="str">
        <f>VLOOKUP(L1864,'Copy of PMD Workday Constants -'!B1863:W2549,22,false)</f>
        <v>#N/A</v>
      </c>
      <c r="N1864" s="1" t="s">
        <v>32</v>
      </c>
      <c r="O1864" s="1" t="s">
        <v>33</v>
      </c>
      <c r="P1864" s="1" t="s">
        <v>64</v>
      </c>
      <c r="Q1864" s="1" t="s">
        <v>64</v>
      </c>
      <c r="R1864" s="1" t="s">
        <v>65</v>
      </c>
      <c r="S1864" s="1" t="s">
        <v>98</v>
      </c>
      <c r="T1864" s="1">
        <v>1.00968114E8</v>
      </c>
      <c r="W1864" s="1" t="s">
        <v>56</v>
      </c>
      <c r="X1864" s="1" t="s">
        <v>1188</v>
      </c>
    </row>
    <row r="1865">
      <c r="A1865" s="1" t="s">
        <v>6022</v>
      </c>
      <c r="B1865" s="1" t="s">
        <v>913</v>
      </c>
      <c r="C1865" s="1" t="s">
        <v>6023</v>
      </c>
      <c r="D1865" s="1" t="s">
        <v>28</v>
      </c>
      <c r="E1865" s="1" t="s">
        <v>29</v>
      </c>
      <c r="F1865" s="5">
        <v>500000.0</v>
      </c>
      <c r="G1865" s="1" t="s">
        <v>3964</v>
      </c>
      <c r="H1865" s="1" t="s">
        <v>2069</v>
      </c>
      <c r="I1865" s="1" t="s">
        <v>104</v>
      </c>
      <c r="K1865" s="1">
        <v>0.0</v>
      </c>
      <c r="L1865" s="1" t="s">
        <v>1292</v>
      </c>
      <c r="M1865" s="1" t="str">
        <f>VLOOKUP(L1865,'Copy of PMD Workday Constants -'!B1864:W2550,22,false)</f>
        <v>#N/A</v>
      </c>
      <c r="N1865" s="1" t="s">
        <v>32</v>
      </c>
      <c r="O1865" s="1" t="s">
        <v>33</v>
      </c>
      <c r="P1865" s="1" t="s">
        <v>82</v>
      </c>
      <c r="Q1865" s="1" t="s">
        <v>82</v>
      </c>
      <c r="R1865" s="1" t="s">
        <v>83</v>
      </c>
      <c r="S1865" s="1" t="s">
        <v>180</v>
      </c>
      <c r="T1865" s="1">
        <v>1.006299E8</v>
      </c>
      <c r="W1865" s="1" t="s">
        <v>85</v>
      </c>
      <c r="X1865" s="1" t="s">
        <v>916</v>
      </c>
    </row>
    <row r="1866">
      <c r="A1866" s="1" t="s">
        <v>6024</v>
      </c>
      <c r="B1866" s="1" t="s">
        <v>4606</v>
      </c>
      <c r="C1866" s="1" t="s">
        <v>5474</v>
      </c>
      <c r="D1866" s="1" t="s">
        <v>103</v>
      </c>
      <c r="E1866" s="1" t="s">
        <v>29</v>
      </c>
      <c r="F1866" s="5">
        <v>500000.0</v>
      </c>
      <c r="G1866" s="1" t="s">
        <v>3964</v>
      </c>
      <c r="H1866" s="1" t="s">
        <v>6025</v>
      </c>
      <c r="I1866" s="1" t="s">
        <v>166</v>
      </c>
      <c r="K1866" s="1">
        <v>0.0</v>
      </c>
      <c r="L1866" s="1" t="s">
        <v>4608</v>
      </c>
      <c r="M1866" s="1" t="str">
        <f>VLOOKUP(L1866,'Copy of PMD Workday Constants -'!B1865:W2551,22,false)</f>
        <v>#N/A</v>
      </c>
      <c r="N1866" s="1" t="s">
        <v>32</v>
      </c>
      <c r="O1866" s="1" t="s">
        <v>33</v>
      </c>
      <c r="P1866" s="1" t="s">
        <v>222</v>
      </c>
      <c r="Q1866" s="1" t="s">
        <v>222</v>
      </c>
      <c r="R1866" s="1" t="s">
        <v>223</v>
      </c>
      <c r="S1866" s="1" t="s">
        <v>482</v>
      </c>
      <c r="T1866" s="1">
        <v>1.00592715E8</v>
      </c>
      <c r="W1866" s="1" t="s">
        <v>115</v>
      </c>
      <c r="X1866" s="1" t="s">
        <v>4608</v>
      </c>
    </row>
    <row r="1867">
      <c r="A1867" s="1" t="s">
        <v>6026</v>
      </c>
      <c r="B1867" s="1" t="s">
        <v>669</v>
      </c>
      <c r="C1867" s="1" t="s">
        <v>6027</v>
      </c>
      <c r="D1867" s="1" t="s">
        <v>51</v>
      </c>
      <c r="E1867" s="1" t="s">
        <v>29</v>
      </c>
      <c r="F1867" s="5">
        <v>500000.0</v>
      </c>
      <c r="G1867" s="1" t="s">
        <v>3964</v>
      </c>
      <c r="H1867" s="1" t="s">
        <v>1215</v>
      </c>
      <c r="I1867" s="1" t="s">
        <v>1673</v>
      </c>
      <c r="K1867" s="1">
        <v>0.0</v>
      </c>
      <c r="L1867" s="1" t="s">
        <v>5596</v>
      </c>
      <c r="M1867" s="1" t="str">
        <f>VLOOKUP(L1867,'Copy of PMD Workday Constants -'!B1866:W2552,22,false)</f>
        <v>#N/A</v>
      </c>
      <c r="N1867" s="1" t="s">
        <v>32</v>
      </c>
      <c r="O1867" s="1" t="s">
        <v>33</v>
      </c>
      <c r="P1867" s="1" t="s">
        <v>34</v>
      </c>
      <c r="Q1867" s="1" t="s">
        <v>34</v>
      </c>
      <c r="R1867" s="1" t="s">
        <v>35</v>
      </c>
      <c r="T1867" s="1">
        <v>1.00586097E8</v>
      </c>
      <c r="W1867" s="1" t="s">
        <v>37</v>
      </c>
      <c r="X1867" s="1" t="s">
        <v>5596</v>
      </c>
    </row>
    <row r="1868">
      <c r="A1868" s="1" t="s">
        <v>6028</v>
      </c>
      <c r="B1868" s="1" t="s">
        <v>776</v>
      </c>
      <c r="C1868" s="1" t="s">
        <v>6029</v>
      </c>
      <c r="D1868" s="1" t="s">
        <v>28</v>
      </c>
      <c r="E1868" s="1" t="s">
        <v>29</v>
      </c>
      <c r="F1868" s="5">
        <v>500000.0</v>
      </c>
      <c r="G1868" s="1" t="s">
        <v>3964</v>
      </c>
      <c r="H1868" s="1" t="s">
        <v>243</v>
      </c>
      <c r="I1868" s="1" t="s">
        <v>80</v>
      </c>
      <c r="K1868" s="1">
        <v>0.0</v>
      </c>
      <c r="L1868" s="1" t="s">
        <v>5483</v>
      </c>
      <c r="M1868" s="1" t="str">
        <f>VLOOKUP(L1868,'Copy of PMD Workday Constants -'!B1867:W2553,22,false)</f>
        <v>#N/A</v>
      </c>
      <c r="N1868" s="1" t="s">
        <v>32</v>
      </c>
      <c r="O1868" s="1" t="s">
        <v>33</v>
      </c>
      <c r="P1868" s="1" t="s">
        <v>222</v>
      </c>
      <c r="Q1868" s="1" t="s">
        <v>222</v>
      </c>
      <c r="R1868" s="1" t="s">
        <v>223</v>
      </c>
      <c r="S1868" s="1" t="s">
        <v>601</v>
      </c>
      <c r="T1868" s="1">
        <v>1.00624329E8</v>
      </c>
      <c r="W1868" s="1" t="s">
        <v>74</v>
      </c>
      <c r="X1868" s="1" t="s">
        <v>6030</v>
      </c>
    </row>
    <row r="1869">
      <c r="A1869" s="1" t="s">
        <v>6031</v>
      </c>
      <c r="B1869" s="1" t="s">
        <v>610</v>
      </c>
      <c r="C1869" s="1" t="s">
        <v>6032</v>
      </c>
      <c r="D1869" s="1" t="s">
        <v>79</v>
      </c>
      <c r="E1869" s="1" t="s">
        <v>29</v>
      </c>
      <c r="F1869" s="5">
        <v>500000.0</v>
      </c>
      <c r="G1869" s="1" t="s">
        <v>3964</v>
      </c>
      <c r="H1869" s="1" t="s">
        <v>2837</v>
      </c>
      <c r="I1869" s="1" t="s">
        <v>96</v>
      </c>
      <c r="K1869" s="1">
        <v>0.0</v>
      </c>
      <c r="L1869" s="1" t="s">
        <v>2174</v>
      </c>
      <c r="M1869" s="1" t="str">
        <f>VLOOKUP(L1869,'Copy of PMD Workday Constants -'!B1868:W2554,22,false)</f>
        <v>#N/A</v>
      </c>
      <c r="N1869" s="1" t="s">
        <v>32</v>
      </c>
      <c r="O1869" s="1" t="s">
        <v>33</v>
      </c>
      <c r="P1869" s="1" t="s">
        <v>112</v>
      </c>
      <c r="Q1869" s="1" t="s">
        <v>112</v>
      </c>
      <c r="R1869" s="1" t="s">
        <v>113</v>
      </c>
      <c r="S1869" s="1" t="s">
        <v>114</v>
      </c>
      <c r="T1869" s="1">
        <v>1.00631322E8</v>
      </c>
      <c r="V1869" s="1" t="s">
        <v>67</v>
      </c>
      <c r="W1869" s="1" t="s">
        <v>947</v>
      </c>
      <c r="X1869" s="1" t="s">
        <v>2238</v>
      </c>
    </row>
    <row r="1870">
      <c r="A1870" s="1" t="s">
        <v>6033</v>
      </c>
      <c r="B1870" s="1" t="s">
        <v>6034</v>
      </c>
      <c r="C1870" s="1" t="s">
        <v>6035</v>
      </c>
      <c r="D1870" s="1" t="s">
        <v>103</v>
      </c>
      <c r="E1870" s="1" t="s">
        <v>29</v>
      </c>
      <c r="F1870" s="5">
        <v>500000.0</v>
      </c>
      <c r="G1870" s="1" t="s">
        <v>3964</v>
      </c>
      <c r="H1870" s="4">
        <v>44684.0</v>
      </c>
      <c r="I1870" s="4">
        <v>44780.0</v>
      </c>
      <c r="K1870" s="1">
        <v>0.0</v>
      </c>
      <c r="L1870" s="1" t="s">
        <v>5224</v>
      </c>
      <c r="M1870" s="1" t="str">
        <f>VLOOKUP(L1870,'Copy of PMD Workday Constants -'!B1869:W2555,22,false)</f>
        <v>#N/A</v>
      </c>
      <c r="N1870" s="1" t="s">
        <v>32</v>
      </c>
      <c r="O1870" s="1" t="s">
        <v>33</v>
      </c>
      <c r="P1870" s="1" t="s">
        <v>222</v>
      </c>
      <c r="Q1870" s="1" t="s">
        <v>222</v>
      </c>
      <c r="R1870" s="1" t="s">
        <v>223</v>
      </c>
      <c r="S1870" s="1" t="s">
        <v>601</v>
      </c>
      <c r="T1870" s="1">
        <v>1.01093737E8</v>
      </c>
      <c r="W1870" s="1" t="s">
        <v>74</v>
      </c>
      <c r="X1870" s="1" t="s">
        <v>5224</v>
      </c>
    </row>
    <row r="1871">
      <c r="A1871" s="1" t="s">
        <v>6036</v>
      </c>
      <c r="B1871" s="1" t="s">
        <v>704</v>
      </c>
      <c r="C1871" s="1" t="s">
        <v>6037</v>
      </c>
      <c r="D1871" s="1" t="s">
        <v>103</v>
      </c>
      <c r="E1871" s="1" t="s">
        <v>29</v>
      </c>
      <c r="F1871" s="5">
        <v>500000.0</v>
      </c>
      <c r="G1871" s="1" t="s">
        <v>3964</v>
      </c>
      <c r="H1871" s="1" t="s">
        <v>1140</v>
      </c>
      <c r="I1871" s="1" t="s">
        <v>217</v>
      </c>
      <c r="K1871" s="1">
        <v>0.0</v>
      </c>
      <c r="L1871" s="1" t="s">
        <v>4994</v>
      </c>
      <c r="M1871" s="1" t="str">
        <f>VLOOKUP(L1871,'Copy of PMD Workday Constants -'!B1870:W2556,22,false)</f>
        <v>#N/A</v>
      </c>
      <c r="N1871" s="1" t="s">
        <v>32</v>
      </c>
      <c r="O1871" s="1" t="s">
        <v>33</v>
      </c>
      <c r="P1871" s="1" t="s">
        <v>82</v>
      </c>
      <c r="Q1871" s="1" t="s">
        <v>82</v>
      </c>
      <c r="R1871" s="1" t="s">
        <v>83</v>
      </c>
      <c r="S1871" s="1" t="s">
        <v>180</v>
      </c>
      <c r="T1871" s="1">
        <v>1.00618376E8</v>
      </c>
      <c r="W1871" s="1" t="s">
        <v>85</v>
      </c>
      <c r="X1871" s="1" t="s">
        <v>4994</v>
      </c>
    </row>
    <row r="1872">
      <c r="A1872" s="1" t="s">
        <v>6038</v>
      </c>
      <c r="B1872" s="1" t="s">
        <v>5515</v>
      </c>
      <c r="C1872" s="1" t="s">
        <v>6039</v>
      </c>
      <c r="D1872" s="1" t="s">
        <v>103</v>
      </c>
      <c r="E1872" s="1" t="s">
        <v>29</v>
      </c>
      <c r="F1872" s="5">
        <v>500000.0</v>
      </c>
      <c r="G1872" s="1" t="s">
        <v>3964</v>
      </c>
      <c r="H1872" s="4">
        <v>44716.0</v>
      </c>
      <c r="I1872" s="1" t="s">
        <v>80</v>
      </c>
      <c r="K1872" s="1">
        <v>0.0</v>
      </c>
      <c r="L1872" s="1" t="s">
        <v>5415</v>
      </c>
      <c r="M1872" s="1" t="str">
        <f>VLOOKUP(L1872,'Copy of PMD Workday Constants -'!B1871:W2557,22,false)</f>
        <v>#N/A</v>
      </c>
      <c r="N1872" s="1" t="s">
        <v>32</v>
      </c>
      <c r="O1872" s="1" t="s">
        <v>33</v>
      </c>
      <c r="P1872" s="1" t="s">
        <v>222</v>
      </c>
      <c r="Q1872" s="1" t="s">
        <v>222</v>
      </c>
      <c r="R1872" s="1" t="s">
        <v>223</v>
      </c>
      <c r="S1872" s="1" t="s">
        <v>6040</v>
      </c>
      <c r="T1872" s="1">
        <v>1.00933537E8</v>
      </c>
      <c r="W1872" s="1" t="s">
        <v>456</v>
      </c>
      <c r="X1872" s="1" t="s">
        <v>5416</v>
      </c>
    </row>
    <row r="1873">
      <c r="A1873" s="1" t="s">
        <v>6041</v>
      </c>
      <c r="B1873" s="1" t="s">
        <v>1367</v>
      </c>
      <c r="C1873" s="1" t="s">
        <v>6042</v>
      </c>
      <c r="D1873" s="1" t="s">
        <v>28</v>
      </c>
      <c r="E1873" s="1" t="s">
        <v>29</v>
      </c>
      <c r="F1873" s="5">
        <v>500000.0</v>
      </c>
      <c r="G1873" s="1" t="s">
        <v>3964</v>
      </c>
      <c r="H1873" s="4">
        <v>44385.0</v>
      </c>
      <c r="I1873" s="1" t="s">
        <v>941</v>
      </c>
      <c r="K1873" s="1">
        <v>0.0</v>
      </c>
      <c r="L1873" s="1" t="s">
        <v>539</v>
      </c>
      <c r="M1873" s="1" t="str">
        <f>VLOOKUP(L1873,'Copy of PMD Workday Constants -'!B1872:W2558,22,false)</f>
        <v>#N/A</v>
      </c>
      <c r="N1873" s="1" t="s">
        <v>32</v>
      </c>
      <c r="O1873" s="1" t="s">
        <v>33</v>
      </c>
      <c r="P1873" s="1" t="s">
        <v>173</v>
      </c>
      <c r="Q1873" s="1" t="s">
        <v>173</v>
      </c>
      <c r="R1873" s="1" t="s">
        <v>174</v>
      </c>
      <c r="S1873" s="1" t="s">
        <v>66</v>
      </c>
      <c r="T1873" s="1">
        <v>1.00586314E8</v>
      </c>
      <c r="W1873" s="1" t="s">
        <v>47</v>
      </c>
      <c r="X1873" s="1" t="s">
        <v>6043</v>
      </c>
    </row>
    <row r="1874">
      <c r="A1874" s="1" t="s">
        <v>6044</v>
      </c>
      <c r="B1874" s="1" t="s">
        <v>6045</v>
      </c>
      <c r="C1874" s="1" t="s">
        <v>6046</v>
      </c>
      <c r="D1874" s="1" t="s">
        <v>51</v>
      </c>
      <c r="E1874" s="1" t="s">
        <v>29</v>
      </c>
      <c r="F1874" s="5">
        <v>500000.0</v>
      </c>
      <c r="G1874" s="1" t="s">
        <v>3964</v>
      </c>
      <c r="H1874" s="1" t="s">
        <v>587</v>
      </c>
      <c r="I1874" s="4">
        <v>44567.0</v>
      </c>
      <c r="K1874" s="1">
        <v>0.0</v>
      </c>
      <c r="L1874" s="1" t="s">
        <v>1611</v>
      </c>
      <c r="M1874" s="1" t="str">
        <f>VLOOKUP(L1874,'Copy of PMD Workday Constants -'!B1873:W2559,22,false)</f>
        <v>#N/A</v>
      </c>
      <c r="N1874" s="1" t="s">
        <v>32</v>
      </c>
      <c r="O1874" s="1" t="s">
        <v>33</v>
      </c>
      <c r="P1874" s="1" t="s">
        <v>34</v>
      </c>
      <c r="Q1874" s="1" t="s">
        <v>34</v>
      </c>
      <c r="R1874" s="1" t="s">
        <v>35</v>
      </c>
      <c r="S1874" s="1" t="s">
        <v>126</v>
      </c>
      <c r="T1874" s="1">
        <v>1.00645852E8</v>
      </c>
      <c r="W1874" s="1" t="s">
        <v>287</v>
      </c>
      <c r="X1874" s="1" t="s">
        <v>6047</v>
      </c>
    </row>
    <row r="1875">
      <c r="A1875" s="1" t="s">
        <v>6048</v>
      </c>
      <c r="B1875" s="1" t="s">
        <v>6049</v>
      </c>
      <c r="C1875" s="1" t="s">
        <v>6050</v>
      </c>
      <c r="D1875" s="1" t="s">
        <v>28</v>
      </c>
      <c r="E1875" s="1" t="s">
        <v>29</v>
      </c>
      <c r="F1875" s="5">
        <v>500000.0</v>
      </c>
      <c r="G1875" s="1" t="s">
        <v>3964</v>
      </c>
      <c r="H1875" s="1" t="s">
        <v>1307</v>
      </c>
      <c r="I1875" s="1" t="s">
        <v>104</v>
      </c>
      <c r="K1875" s="1">
        <v>0.0</v>
      </c>
      <c r="L1875" s="1" t="s">
        <v>2310</v>
      </c>
      <c r="M1875" s="1" t="str">
        <f>VLOOKUP(L1875,'Copy of PMD Workday Constants -'!B1874:W2560,22,false)</f>
        <v>#N/A</v>
      </c>
      <c r="N1875" s="1" t="s">
        <v>32</v>
      </c>
      <c r="O1875" s="1" t="s">
        <v>33</v>
      </c>
      <c r="P1875" s="1" t="s">
        <v>82</v>
      </c>
      <c r="Q1875" s="1" t="s">
        <v>82</v>
      </c>
      <c r="R1875" s="1" t="s">
        <v>83</v>
      </c>
      <c r="S1875" s="1" t="s">
        <v>180</v>
      </c>
      <c r="T1875" s="1">
        <v>1.01078216E8</v>
      </c>
      <c r="W1875" s="1" t="s">
        <v>85</v>
      </c>
      <c r="X1875" s="1" t="s">
        <v>2310</v>
      </c>
    </row>
    <row r="1876">
      <c r="A1876" s="1" t="s">
        <v>6051</v>
      </c>
      <c r="B1876" s="1" t="s">
        <v>143</v>
      </c>
      <c r="C1876" s="1" t="s">
        <v>6052</v>
      </c>
      <c r="D1876" s="1" t="s">
        <v>28</v>
      </c>
      <c r="E1876" s="1" t="s">
        <v>29</v>
      </c>
      <c r="F1876" s="5">
        <v>500000.0</v>
      </c>
      <c r="G1876" s="1" t="s">
        <v>3964</v>
      </c>
      <c r="H1876" s="1" t="s">
        <v>6053</v>
      </c>
      <c r="I1876" s="1" t="s">
        <v>6054</v>
      </c>
      <c r="K1876" s="1">
        <v>0.0</v>
      </c>
      <c r="L1876" s="1" t="s">
        <v>3571</v>
      </c>
      <c r="M1876" s="1" t="str">
        <f>VLOOKUP(L1876,'Copy of PMD Workday Constants -'!B1875:W2561,22,false)</f>
        <v>#N/A</v>
      </c>
      <c r="N1876" s="1" t="s">
        <v>32</v>
      </c>
      <c r="O1876" s="1" t="s">
        <v>33</v>
      </c>
      <c r="P1876" s="1" t="s">
        <v>173</v>
      </c>
      <c r="Q1876" s="1" t="s">
        <v>173</v>
      </c>
      <c r="R1876" s="1" t="s">
        <v>174</v>
      </c>
      <c r="S1876" s="1" t="s">
        <v>612</v>
      </c>
      <c r="T1876" s="1">
        <v>1.00651086E8</v>
      </c>
      <c r="W1876" s="1" t="s">
        <v>147</v>
      </c>
      <c r="X1876" s="1" t="s">
        <v>844</v>
      </c>
    </row>
    <row r="1877">
      <c r="A1877" s="1" t="s">
        <v>6055</v>
      </c>
      <c r="B1877" s="1" t="s">
        <v>489</v>
      </c>
      <c r="C1877" s="1" t="s">
        <v>6056</v>
      </c>
      <c r="D1877" s="1" t="s">
        <v>51</v>
      </c>
      <c r="E1877" s="1" t="s">
        <v>29</v>
      </c>
      <c r="F1877" s="5">
        <v>500000.0</v>
      </c>
      <c r="G1877" s="1" t="s">
        <v>3964</v>
      </c>
      <c r="H1877" s="1" t="s">
        <v>2360</v>
      </c>
      <c r="I1877" s="1" t="s">
        <v>80</v>
      </c>
      <c r="K1877" s="1">
        <v>0.0</v>
      </c>
      <c r="L1877" s="1" t="s">
        <v>4873</v>
      </c>
      <c r="M1877" s="1" t="str">
        <f>VLOOKUP(L1877,'Copy of PMD Workday Constants -'!B1876:W2562,22,false)</f>
        <v>#N/A</v>
      </c>
      <c r="N1877" s="1" t="s">
        <v>32</v>
      </c>
      <c r="O1877" s="1" t="s">
        <v>33</v>
      </c>
      <c r="P1877" s="1" t="s">
        <v>34</v>
      </c>
      <c r="Q1877" s="1" t="s">
        <v>34</v>
      </c>
      <c r="R1877" s="1" t="s">
        <v>35</v>
      </c>
      <c r="T1877" s="1">
        <v>1.00587881E8</v>
      </c>
      <c r="W1877" s="1" t="s">
        <v>493</v>
      </c>
      <c r="X1877" s="1" t="s">
        <v>5719</v>
      </c>
    </row>
    <row r="1878">
      <c r="A1878" s="1" t="s">
        <v>6057</v>
      </c>
      <c r="B1878" s="1" t="s">
        <v>3478</v>
      </c>
      <c r="C1878" s="1" t="s">
        <v>6058</v>
      </c>
      <c r="D1878" s="1" t="s">
        <v>51</v>
      </c>
      <c r="E1878" s="1" t="s">
        <v>29</v>
      </c>
      <c r="F1878" s="5">
        <v>500000.0</v>
      </c>
      <c r="G1878" s="1" t="s">
        <v>3964</v>
      </c>
      <c r="H1878" s="1" t="s">
        <v>5928</v>
      </c>
      <c r="I1878" s="1" t="s">
        <v>406</v>
      </c>
      <c r="K1878" s="1">
        <v>0.0</v>
      </c>
      <c r="L1878" s="1" t="s">
        <v>836</v>
      </c>
      <c r="M1878" s="1" t="str">
        <f>VLOOKUP(L1878,'Copy of PMD Workday Constants -'!B1877:W2563,22,false)</f>
        <v>#N/A</v>
      </c>
      <c r="N1878" s="1" t="s">
        <v>32</v>
      </c>
      <c r="O1878" s="1" t="s">
        <v>33</v>
      </c>
      <c r="P1878" s="1" t="s">
        <v>173</v>
      </c>
      <c r="Q1878" s="1" t="s">
        <v>173</v>
      </c>
      <c r="R1878" s="1" t="s">
        <v>174</v>
      </c>
      <c r="S1878" s="1" t="s">
        <v>612</v>
      </c>
      <c r="T1878" s="1">
        <v>1.00648457E8</v>
      </c>
      <c r="U1878" s="1" t="s">
        <v>6059</v>
      </c>
      <c r="V1878" s="1" t="s">
        <v>187</v>
      </c>
      <c r="W1878" s="1" t="s">
        <v>947</v>
      </c>
      <c r="X1878" s="1" t="s">
        <v>6060</v>
      </c>
    </row>
    <row r="1879">
      <c r="A1879" s="1" t="s">
        <v>6061</v>
      </c>
      <c r="B1879" s="1" t="s">
        <v>6062</v>
      </c>
      <c r="C1879" s="1" t="s">
        <v>6063</v>
      </c>
      <c r="D1879" s="1" t="s">
        <v>79</v>
      </c>
      <c r="E1879" s="1" t="s">
        <v>29</v>
      </c>
      <c r="F1879" s="5">
        <v>500000.0</v>
      </c>
      <c r="G1879" s="1" t="s">
        <v>3964</v>
      </c>
      <c r="H1879" s="1" t="s">
        <v>343</v>
      </c>
      <c r="I1879" s="4">
        <v>44568.0</v>
      </c>
      <c r="K1879" s="1">
        <v>0.0</v>
      </c>
      <c r="L1879" s="1" t="s">
        <v>350</v>
      </c>
      <c r="M1879" s="1" t="str">
        <f>VLOOKUP(L1879,'Copy of PMD Workday Constants -'!B1878:W2564,22,false)</f>
        <v>#N/A</v>
      </c>
      <c r="N1879" s="1" t="s">
        <v>32</v>
      </c>
      <c r="O1879" s="1" t="s">
        <v>33</v>
      </c>
      <c r="P1879" s="1" t="s">
        <v>82</v>
      </c>
      <c r="Q1879" s="1" t="s">
        <v>82</v>
      </c>
      <c r="R1879" s="1" t="s">
        <v>83</v>
      </c>
      <c r="S1879" s="1" t="s">
        <v>180</v>
      </c>
      <c r="T1879" s="1">
        <v>1.00582847E8</v>
      </c>
      <c r="U1879" s="1" t="s">
        <v>6064</v>
      </c>
      <c r="V1879" s="1" t="s">
        <v>346</v>
      </c>
      <c r="W1879" s="1" t="s">
        <v>85</v>
      </c>
      <c r="X1879" s="1" t="s">
        <v>350</v>
      </c>
    </row>
    <row r="1880">
      <c r="A1880" s="1" t="s">
        <v>6065</v>
      </c>
      <c r="B1880" s="1" t="s">
        <v>776</v>
      </c>
      <c r="C1880" s="1" t="s">
        <v>6066</v>
      </c>
      <c r="D1880" s="1" t="s">
        <v>51</v>
      </c>
      <c r="E1880" s="1" t="s">
        <v>29</v>
      </c>
      <c r="F1880" s="5">
        <v>500000.0</v>
      </c>
      <c r="G1880" s="1" t="s">
        <v>3964</v>
      </c>
      <c r="H1880" s="4">
        <v>44686.0</v>
      </c>
      <c r="I1880" s="1" t="s">
        <v>43</v>
      </c>
      <c r="K1880" s="1">
        <v>0.0</v>
      </c>
      <c r="L1880" s="1" t="s">
        <v>779</v>
      </c>
      <c r="M1880" s="1" t="str">
        <f>VLOOKUP(L1880,'Copy of PMD Workday Constants -'!B1879:W2565,22,false)</f>
        <v>#N/A</v>
      </c>
      <c r="N1880" s="1" t="s">
        <v>32</v>
      </c>
      <c r="O1880" s="1" t="s">
        <v>33</v>
      </c>
      <c r="P1880" s="1" t="s">
        <v>222</v>
      </c>
      <c r="Q1880" s="1" t="s">
        <v>222</v>
      </c>
      <c r="R1880" s="1" t="s">
        <v>223</v>
      </c>
      <c r="S1880" s="1" t="s">
        <v>601</v>
      </c>
      <c r="T1880" s="1">
        <v>1.0061139E8</v>
      </c>
      <c r="W1880" s="1" t="s">
        <v>74</v>
      </c>
      <c r="X1880" s="1" t="s">
        <v>6067</v>
      </c>
    </row>
    <row r="1881">
      <c r="A1881" s="1" t="s">
        <v>6068</v>
      </c>
      <c r="B1881" s="1" t="s">
        <v>3267</v>
      </c>
      <c r="C1881" s="1" t="s">
        <v>6069</v>
      </c>
      <c r="D1881" s="1" t="s">
        <v>51</v>
      </c>
      <c r="E1881" s="1" t="s">
        <v>29</v>
      </c>
      <c r="F1881" s="5">
        <v>500000.0</v>
      </c>
      <c r="G1881" s="1" t="s">
        <v>3964</v>
      </c>
      <c r="H1881" s="4">
        <v>44235.0</v>
      </c>
      <c r="I1881" s="4">
        <v>44572.0</v>
      </c>
      <c r="K1881" s="1">
        <v>0.0</v>
      </c>
      <c r="L1881" s="1" t="s">
        <v>1757</v>
      </c>
      <c r="M1881" s="1" t="str">
        <f>VLOOKUP(L1881,'Copy of PMD Workday Constants -'!B1880:W2566,22,false)</f>
        <v>#N/A</v>
      </c>
      <c r="N1881" s="1" t="s">
        <v>32</v>
      </c>
      <c r="O1881" s="1" t="s">
        <v>33</v>
      </c>
      <c r="P1881" s="1" t="s">
        <v>112</v>
      </c>
      <c r="Q1881" s="1" t="s">
        <v>112</v>
      </c>
      <c r="R1881" s="1" t="s">
        <v>113</v>
      </c>
      <c r="S1881" s="1" t="s">
        <v>256</v>
      </c>
      <c r="T1881" s="1">
        <v>1.00597983E8</v>
      </c>
      <c r="W1881" s="1" t="s">
        <v>258</v>
      </c>
      <c r="X1881" s="1" t="s">
        <v>2377</v>
      </c>
    </row>
    <row r="1882">
      <c r="A1882" s="1" t="s">
        <v>6070</v>
      </c>
      <c r="B1882" s="1" t="s">
        <v>2257</v>
      </c>
      <c r="C1882" s="1" t="s">
        <v>6071</v>
      </c>
      <c r="D1882" s="1" t="s">
        <v>28</v>
      </c>
      <c r="E1882" s="1" t="s">
        <v>29</v>
      </c>
      <c r="F1882" s="5">
        <v>500000.0</v>
      </c>
      <c r="G1882" s="1" t="s">
        <v>3964</v>
      </c>
      <c r="H1882" s="4">
        <v>44447.0</v>
      </c>
      <c r="I1882" s="1" t="s">
        <v>104</v>
      </c>
      <c r="K1882" s="1">
        <v>0.0</v>
      </c>
      <c r="L1882" s="1" t="s">
        <v>1447</v>
      </c>
      <c r="M1882" s="1" t="str">
        <f>VLOOKUP(L1882,'Copy of PMD Workday Constants -'!B1881:W2567,22,false)</f>
        <v>#N/A</v>
      </c>
      <c r="N1882" s="1" t="s">
        <v>32</v>
      </c>
      <c r="O1882" s="1" t="s">
        <v>33</v>
      </c>
      <c r="P1882" s="1" t="s">
        <v>64</v>
      </c>
      <c r="Q1882" s="1" t="s">
        <v>64</v>
      </c>
      <c r="R1882" s="1" t="s">
        <v>65</v>
      </c>
      <c r="S1882" s="1" t="s">
        <v>791</v>
      </c>
      <c r="T1882" s="1">
        <v>1.00997154E8</v>
      </c>
      <c r="W1882" s="1" t="s">
        <v>456</v>
      </c>
      <c r="X1882" s="1" t="s">
        <v>1447</v>
      </c>
    </row>
    <row r="1883">
      <c r="A1883" s="1" t="s">
        <v>6072</v>
      </c>
      <c r="B1883" s="1" t="s">
        <v>6073</v>
      </c>
      <c r="C1883" s="1" t="s">
        <v>6074</v>
      </c>
      <c r="D1883" s="1" t="s">
        <v>103</v>
      </c>
      <c r="E1883" s="1" t="s">
        <v>29</v>
      </c>
      <c r="F1883" s="5">
        <v>500000.0</v>
      </c>
      <c r="G1883" s="1" t="s">
        <v>3964</v>
      </c>
      <c r="H1883" s="1" t="s">
        <v>6075</v>
      </c>
      <c r="I1883" s="1" t="s">
        <v>941</v>
      </c>
      <c r="K1883" s="1">
        <v>0.0</v>
      </c>
      <c r="L1883" s="1" t="s">
        <v>618</v>
      </c>
      <c r="M1883" s="1" t="str">
        <f>VLOOKUP(L1883,'Copy of PMD Workday Constants -'!B1882:W2568,22,false)</f>
        <v>#N/A</v>
      </c>
      <c r="N1883" s="1" t="s">
        <v>32</v>
      </c>
      <c r="O1883" s="1" t="s">
        <v>33</v>
      </c>
      <c r="P1883" s="1" t="s">
        <v>173</v>
      </c>
      <c r="Q1883" s="1" t="s">
        <v>173</v>
      </c>
      <c r="R1883" s="1" t="s">
        <v>174</v>
      </c>
      <c r="S1883" s="1" t="s">
        <v>612</v>
      </c>
      <c r="T1883" s="1">
        <v>1.00591141E8</v>
      </c>
      <c r="W1883" s="1" t="s">
        <v>74</v>
      </c>
      <c r="X1883" s="1" t="s">
        <v>3357</v>
      </c>
    </row>
    <row r="1884">
      <c r="A1884" s="1" t="s">
        <v>6076</v>
      </c>
      <c r="B1884" s="1" t="s">
        <v>2375</v>
      </c>
      <c r="C1884" s="1" t="s">
        <v>6069</v>
      </c>
      <c r="D1884" s="1" t="s">
        <v>28</v>
      </c>
      <c r="E1884" s="1" t="s">
        <v>29</v>
      </c>
      <c r="F1884" s="5">
        <v>500000.0</v>
      </c>
      <c r="G1884" s="1" t="s">
        <v>3964</v>
      </c>
      <c r="H1884" s="4">
        <v>44235.0</v>
      </c>
      <c r="I1884" s="1" t="s">
        <v>302</v>
      </c>
      <c r="K1884" s="1">
        <v>0.0</v>
      </c>
      <c r="L1884" s="1" t="s">
        <v>1757</v>
      </c>
      <c r="M1884" s="1" t="str">
        <f>VLOOKUP(L1884,'Copy of PMD Workday Constants -'!B1883:W2569,22,false)</f>
        <v>#N/A</v>
      </c>
      <c r="N1884" s="1" t="s">
        <v>32</v>
      </c>
      <c r="O1884" s="1" t="s">
        <v>33</v>
      </c>
      <c r="P1884" s="1" t="s">
        <v>112</v>
      </c>
      <c r="Q1884" s="1" t="s">
        <v>112</v>
      </c>
      <c r="R1884" s="1" t="s">
        <v>113</v>
      </c>
      <c r="S1884" s="1" t="s">
        <v>256</v>
      </c>
      <c r="T1884" s="1">
        <v>1.00597983E8</v>
      </c>
      <c r="W1884" s="1" t="s">
        <v>258</v>
      </c>
      <c r="X1884" s="1" t="s">
        <v>2377</v>
      </c>
    </row>
    <row r="1885">
      <c r="A1885" s="1" t="s">
        <v>6077</v>
      </c>
      <c r="B1885" s="1" t="s">
        <v>2375</v>
      </c>
      <c r="C1885" s="1" t="s">
        <v>6078</v>
      </c>
      <c r="D1885" s="1" t="s">
        <v>28</v>
      </c>
      <c r="E1885" s="1" t="s">
        <v>29</v>
      </c>
      <c r="F1885" s="5">
        <v>500000.0</v>
      </c>
      <c r="G1885" s="1" t="s">
        <v>3964</v>
      </c>
      <c r="H1885" s="4">
        <v>44235.0</v>
      </c>
      <c r="I1885" s="1" t="s">
        <v>302</v>
      </c>
      <c r="K1885" s="1">
        <v>0.0</v>
      </c>
      <c r="L1885" s="1" t="s">
        <v>1757</v>
      </c>
      <c r="M1885" s="1" t="str">
        <f>VLOOKUP(L1885,'Copy of PMD Workday Constants -'!B1884:W2570,22,false)</f>
        <v>#N/A</v>
      </c>
      <c r="N1885" s="1" t="s">
        <v>32</v>
      </c>
      <c r="O1885" s="1" t="s">
        <v>33</v>
      </c>
      <c r="P1885" s="1" t="s">
        <v>112</v>
      </c>
      <c r="Q1885" s="1" t="s">
        <v>112</v>
      </c>
      <c r="R1885" s="1" t="s">
        <v>113</v>
      </c>
      <c r="S1885" s="1" t="s">
        <v>256</v>
      </c>
      <c r="T1885" s="1">
        <v>1.00597983E8</v>
      </c>
      <c r="W1885" s="1" t="s">
        <v>258</v>
      </c>
      <c r="X1885" s="1" t="s">
        <v>2377</v>
      </c>
    </row>
    <row r="1886">
      <c r="A1886" s="1" t="s">
        <v>6079</v>
      </c>
      <c r="B1886" s="1" t="s">
        <v>40</v>
      </c>
      <c r="C1886" s="1" t="s">
        <v>6080</v>
      </c>
      <c r="D1886" s="1" t="s">
        <v>103</v>
      </c>
      <c r="E1886" s="1" t="s">
        <v>29</v>
      </c>
      <c r="F1886" s="5">
        <v>500000.0</v>
      </c>
      <c r="G1886" s="1" t="s">
        <v>3964</v>
      </c>
      <c r="H1886" s="4">
        <v>44746.0</v>
      </c>
      <c r="I1886" s="1" t="s">
        <v>80</v>
      </c>
      <c r="J1886" s="6">
        <v>44746.197222222225</v>
      </c>
      <c r="K1886" s="1">
        <v>0.0</v>
      </c>
      <c r="L1886" s="1" t="s">
        <v>6081</v>
      </c>
      <c r="M1886" s="1" t="str">
        <f>VLOOKUP(L1886,'Copy of PMD Workday Constants -'!B1885:W2571,22,false)</f>
        <v>#N/A</v>
      </c>
      <c r="N1886" s="1" t="s">
        <v>32</v>
      </c>
      <c r="O1886" s="1" t="s">
        <v>33</v>
      </c>
      <c r="P1886" s="1" t="s">
        <v>222</v>
      </c>
      <c r="Q1886" s="1" t="s">
        <v>222</v>
      </c>
      <c r="R1886" s="1" t="s">
        <v>223</v>
      </c>
      <c r="S1886" s="1" t="s">
        <v>285</v>
      </c>
      <c r="T1886" s="1">
        <v>1.00632043E8</v>
      </c>
      <c r="U1886" s="1" t="s">
        <v>332</v>
      </c>
      <c r="V1886" s="1" t="s">
        <v>46</v>
      </c>
      <c r="W1886" s="1" t="s">
        <v>47</v>
      </c>
      <c r="X1886" s="1" t="s">
        <v>6082</v>
      </c>
    </row>
    <row r="1887">
      <c r="A1887" s="1" t="s">
        <v>6083</v>
      </c>
      <c r="B1887" s="1" t="s">
        <v>2888</v>
      </c>
      <c r="C1887" s="1" t="s">
        <v>6084</v>
      </c>
      <c r="D1887" s="1" t="s">
        <v>103</v>
      </c>
      <c r="E1887" s="1" t="s">
        <v>29</v>
      </c>
      <c r="F1887" s="5">
        <v>500000.0</v>
      </c>
      <c r="G1887" s="1" t="s">
        <v>3964</v>
      </c>
      <c r="H1887" s="4">
        <v>44686.0</v>
      </c>
      <c r="I1887" s="1" t="s">
        <v>104</v>
      </c>
      <c r="K1887" s="1">
        <v>0.0</v>
      </c>
      <c r="L1887" s="1" t="s">
        <v>1981</v>
      </c>
      <c r="M1887" s="1" t="str">
        <f>VLOOKUP(L1887,'Copy of PMD Workday Constants -'!B1886:W2572,22,false)</f>
        <v>#N/A</v>
      </c>
      <c r="N1887" s="1" t="s">
        <v>32</v>
      </c>
      <c r="O1887" s="1" t="s">
        <v>33</v>
      </c>
      <c r="P1887" s="1" t="s">
        <v>64</v>
      </c>
      <c r="Q1887" s="1" t="s">
        <v>64</v>
      </c>
      <c r="R1887" s="1" t="s">
        <v>65</v>
      </c>
      <c r="S1887" s="1" t="s">
        <v>1336</v>
      </c>
      <c r="T1887" s="1">
        <v>1.00638494E8</v>
      </c>
      <c r="W1887" s="1" t="s">
        <v>250</v>
      </c>
      <c r="X1887" s="1" t="s">
        <v>1982</v>
      </c>
    </row>
    <row r="1888">
      <c r="A1888" s="1" t="s">
        <v>6085</v>
      </c>
      <c r="B1888" s="1" t="s">
        <v>521</v>
      </c>
      <c r="C1888" s="1" t="s">
        <v>6086</v>
      </c>
      <c r="D1888" s="1" t="s">
        <v>51</v>
      </c>
      <c r="E1888" s="1" t="s">
        <v>29</v>
      </c>
      <c r="F1888" s="5">
        <v>500000.0</v>
      </c>
      <c r="G1888" s="1" t="s">
        <v>3964</v>
      </c>
      <c r="H1888" s="4">
        <v>44176.0</v>
      </c>
      <c r="I1888" s="1" t="s">
        <v>2485</v>
      </c>
      <c r="K1888" s="1">
        <v>0.0</v>
      </c>
      <c r="L1888" s="1" t="s">
        <v>2353</v>
      </c>
      <c r="M1888" s="1" t="str">
        <f>VLOOKUP(L1888,'Copy of PMD Workday Constants -'!B1887:W2573,22,false)</f>
        <v>#N/A</v>
      </c>
      <c r="N1888" s="1" t="s">
        <v>32</v>
      </c>
      <c r="O1888" s="1" t="s">
        <v>33</v>
      </c>
      <c r="P1888" s="1" t="s">
        <v>82</v>
      </c>
      <c r="Q1888" s="1" t="s">
        <v>82</v>
      </c>
      <c r="R1888" s="1" t="s">
        <v>83</v>
      </c>
      <c r="S1888" s="1" t="s">
        <v>180</v>
      </c>
      <c r="T1888" s="1">
        <v>1.0061108E8</v>
      </c>
      <c r="W1888" s="1" t="s">
        <v>85</v>
      </c>
      <c r="X1888" s="1" t="s">
        <v>6087</v>
      </c>
    </row>
    <row r="1889">
      <c r="A1889" s="1" t="s">
        <v>6088</v>
      </c>
      <c r="B1889" s="1" t="s">
        <v>3478</v>
      </c>
      <c r="C1889" s="1" t="s">
        <v>6089</v>
      </c>
      <c r="D1889" s="1" t="s">
        <v>51</v>
      </c>
      <c r="E1889" s="1" t="s">
        <v>29</v>
      </c>
      <c r="F1889" s="5">
        <v>500000.0</v>
      </c>
      <c r="G1889" s="1" t="s">
        <v>3964</v>
      </c>
      <c r="H1889" s="1" t="s">
        <v>5928</v>
      </c>
      <c r="I1889" s="1" t="s">
        <v>406</v>
      </c>
      <c r="K1889" s="1">
        <v>0.0</v>
      </c>
      <c r="L1889" s="1" t="s">
        <v>836</v>
      </c>
      <c r="M1889" s="1" t="str">
        <f>VLOOKUP(L1889,'Copy of PMD Workday Constants -'!B1888:W2574,22,false)</f>
        <v>#N/A</v>
      </c>
      <c r="N1889" s="1" t="s">
        <v>32</v>
      </c>
      <c r="O1889" s="1" t="s">
        <v>33</v>
      </c>
      <c r="P1889" s="1" t="s">
        <v>173</v>
      </c>
      <c r="Q1889" s="1" t="s">
        <v>173</v>
      </c>
      <c r="R1889" s="1" t="s">
        <v>174</v>
      </c>
      <c r="S1889" s="1" t="s">
        <v>612</v>
      </c>
      <c r="T1889" s="1">
        <v>1.00648457E8</v>
      </c>
      <c r="U1889" s="1" t="s">
        <v>6090</v>
      </c>
      <c r="V1889" s="1" t="s">
        <v>46</v>
      </c>
      <c r="W1889" s="1" t="s">
        <v>947</v>
      </c>
      <c r="X1889" s="1" t="s">
        <v>6060</v>
      </c>
    </row>
    <row r="1890">
      <c r="A1890" s="1" t="s">
        <v>6091</v>
      </c>
      <c r="B1890" s="1" t="s">
        <v>1737</v>
      </c>
      <c r="C1890" s="1" t="s">
        <v>6092</v>
      </c>
      <c r="D1890" s="1" t="s">
        <v>28</v>
      </c>
      <c r="E1890" s="1" t="s">
        <v>29</v>
      </c>
      <c r="F1890" s="5">
        <v>500000.0</v>
      </c>
      <c r="G1890" s="1" t="s">
        <v>3964</v>
      </c>
      <c r="H1890" s="1" t="s">
        <v>778</v>
      </c>
      <c r="I1890" s="1" t="s">
        <v>816</v>
      </c>
      <c r="K1890" s="1">
        <v>0.0</v>
      </c>
      <c r="L1890" s="1" t="s">
        <v>967</v>
      </c>
      <c r="M1890" s="1" t="str">
        <f>VLOOKUP(L1890,'Copy of PMD Workday Constants -'!B1889:W2575,22,false)</f>
        <v>#N/A</v>
      </c>
      <c r="N1890" s="1" t="s">
        <v>32</v>
      </c>
      <c r="O1890" s="1" t="s">
        <v>33</v>
      </c>
      <c r="P1890" s="1" t="s">
        <v>210</v>
      </c>
      <c r="Q1890" s="1" t="s">
        <v>210</v>
      </c>
      <c r="R1890" s="1" t="s">
        <v>211</v>
      </c>
      <c r="S1890" s="1" t="s">
        <v>416</v>
      </c>
      <c r="T1890" s="1">
        <v>1.00608243E8</v>
      </c>
      <c r="W1890" s="1" t="s">
        <v>56</v>
      </c>
      <c r="X1890" s="1" t="s">
        <v>967</v>
      </c>
    </row>
    <row r="1891">
      <c r="A1891" s="1" t="s">
        <v>6093</v>
      </c>
      <c r="B1891" s="1" t="s">
        <v>5634</v>
      </c>
      <c r="C1891" s="1" t="s">
        <v>6094</v>
      </c>
      <c r="D1891" s="1" t="s">
        <v>28</v>
      </c>
      <c r="E1891" s="1" t="s">
        <v>29</v>
      </c>
      <c r="F1891" s="5">
        <v>500000.0</v>
      </c>
      <c r="G1891" s="1" t="s">
        <v>3964</v>
      </c>
      <c r="H1891" s="4">
        <v>44235.0</v>
      </c>
      <c r="I1891" s="1" t="s">
        <v>302</v>
      </c>
      <c r="K1891" s="1">
        <v>0.0</v>
      </c>
      <c r="L1891" s="1" t="s">
        <v>1757</v>
      </c>
      <c r="M1891" s="1" t="str">
        <f>VLOOKUP(L1891,'Copy of PMD Workday Constants -'!B1890:W2576,22,false)</f>
        <v>#N/A</v>
      </c>
      <c r="N1891" s="1" t="s">
        <v>32</v>
      </c>
      <c r="O1891" s="1" t="s">
        <v>33</v>
      </c>
      <c r="P1891" s="1" t="s">
        <v>112</v>
      </c>
      <c r="Q1891" s="1" t="s">
        <v>112</v>
      </c>
      <c r="R1891" s="1" t="s">
        <v>113</v>
      </c>
      <c r="S1891" s="1" t="s">
        <v>120</v>
      </c>
      <c r="T1891" s="1">
        <v>1.00597983E8</v>
      </c>
      <c r="W1891" s="1" t="s">
        <v>436</v>
      </c>
      <c r="X1891" s="1" t="s">
        <v>2377</v>
      </c>
    </row>
    <row r="1892">
      <c r="A1892" s="1" t="s">
        <v>6095</v>
      </c>
      <c r="B1892" s="1" t="s">
        <v>2429</v>
      </c>
      <c r="C1892" s="1" t="s">
        <v>6096</v>
      </c>
      <c r="D1892" s="1" t="s">
        <v>28</v>
      </c>
      <c r="E1892" s="1" t="s">
        <v>29</v>
      </c>
      <c r="F1892" s="5">
        <v>500000.0</v>
      </c>
      <c r="G1892" s="1" t="s">
        <v>3964</v>
      </c>
      <c r="H1892" s="1" t="s">
        <v>778</v>
      </c>
      <c r="I1892" s="1" t="s">
        <v>191</v>
      </c>
      <c r="K1892" s="1">
        <v>0.0</v>
      </c>
      <c r="L1892" s="1" t="s">
        <v>3171</v>
      </c>
      <c r="M1892" s="1" t="str">
        <f>VLOOKUP(L1892,'Copy of PMD Workday Constants -'!B1891:W2577,22,false)</f>
        <v>#N/A</v>
      </c>
      <c r="N1892" s="1" t="s">
        <v>32</v>
      </c>
      <c r="O1892" s="1" t="s">
        <v>33</v>
      </c>
      <c r="P1892" s="1" t="s">
        <v>173</v>
      </c>
      <c r="Q1892" s="1" t="s">
        <v>173</v>
      </c>
      <c r="R1892" s="1" t="s">
        <v>174</v>
      </c>
      <c r="S1892" s="1" t="s">
        <v>153</v>
      </c>
      <c r="T1892" s="1">
        <v>1.01170527E8</v>
      </c>
      <c r="W1892" s="1" t="s">
        <v>456</v>
      </c>
      <c r="X1892" s="1" t="s">
        <v>4352</v>
      </c>
    </row>
    <row r="1893">
      <c r="A1893" s="1" t="s">
        <v>6097</v>
      </c>
      <c r="B1893" s="1" t="s">
        <v>6098</v>
      </c>
      <c r="C1893" s="1" t="s">
        <v>6099</v>
      </c>
      <c r="D1893" s="1" t="s">
        <v>103</v>
      </c>
      <c r="E1893" s="1" t="s">
        <v>29</v>
      </c>
      <c r="F1893" s="5">
        <v>500000.0</v>
      </c>
      <c r="G1893" s="1" t="s">
        <v>3964</v>
      </c>
      <c r="H1893" s="1" t="s">
        <v>466</v>
      </c>
      <c r="I1893" s="1" t="s">
        <v>80</v>
      </c>
      <c r="K1893" s="1">
        <v>0.0</v>
      </c>
      <c r="L1893" s="1" t="s">
        <v>539</v>
      </c>
      <c r="M1893" s="1" t="str">
        <f>VLOOKUP(L1893,'Copy of PMD Workday Constants -'!B1892:W2578,22,false)</f>
        <v>#N/A</v>
      </c>
      <c r="N1893" s="1" t="s">
        <v>32</v>
      </c>
      <c r="O1893" s="1" t="s">
        <v>33</v>
      </c>
      <c r="P1893" s="1" t="s">
        <v>173</v>
      </c>
      <c r="Q1893" s="1" t="s">
        <v>173</v>
      </c>
      <c r="R1893" s="1" t="s">
        <v>174</v>
      </c>
      <c r="T1893" s="1">
        <v>1.00586314E8</v>
      </c>
      <c r="W1893" s="1" t="s">
        <v>74</v>
      </c>
      <c r="X1893" s="1" t="s">
        <v>6100</v>
      </c>
    </row>
    <row r="1894">
      <c r="A1894" s="1" t="s">
        <v>6101</v>
      </c>
      <c r="B1894" s="1" t="s">
        <v>489</v>
      </c>
      <c r="C1894" s="1" t="s">
        <v>6102</v>
      </c>
      <c r="D1894" s="1" t="s">
        <v>51</v>
      </c>
      <c r="E1894" s="1" t="s">
        <v>29</v>
      </c>
      <c r="F1894" s="5">
        <v>500000.0</v>
      </c>
      <c r="G1894" s="1" t="s">
        <v>3964</v>
      </c>
      <c r="H1894" s="1" t="s">
        <v>556</v>
      </c>
      <c r="I1894" s="1" t="s">
        <v>4589</v>
      </c>
      <c r="K1894" s="1">
        <v>0.0</v>
      </c>
      <c r="L1894" s="1" t="s">
        <v>847</v>
      </c>
      <c r="M1894" s="1" t="str">
        <f>VLOOKUP(L1894,'Copy of PMD Workday Constants -'!B1893:W2579,22,false)</f>
        <v>#N/A</v>
      </c>
      <c r="N1894" s="1" t="s">
        <v>32</v>
      </c>
      <c r="O1894" s="1" t="s">
        <v>33</v>
      </c>
      <c r="P1894" s="1" t="s">
        <v>173</v>
      </c>
      <c r="Q1894" s="1" t="s">
        <v>173</v>
      </c>
      <c r="R1894" s="1" t="s">
        <v>174</v>
      </c>
      <c r="T1894" s="1">
        <v>1.00586701E8</v>
      </c>
      <c r="W1894" s="1" t="s">
        <v>493</v>
      </c>
      <c r="X1894" s="1" t="s">
        <v>1529</v>
      </c>
    </row>
    <row r="1895">
      <c r="A1895" s="1" t="s">
        <v>6103</v>
      </c>
      <c r="B1895" s="1" t="s">
        <v>304</v>
      </c>
      <c r="C1895" s="1" t="s">
        <v>6104</v>
      </c>
      <c r="D1895" s="1" t="s">
        <v>103</v>
      </c>
      <c r="E1895" s="1" t="s">
        <v>29</v>
      </c>
      <c r="F1895" s="5">
        <v>500000.0</v>
      </c>
      <c r="G1895" s="1" t="s">
        <v>3964</v>
      </c>
      <c r="H1895" s="4">
        <v>43933.0</v>
      </c>
      <c r="I1895" s="1" t="s">
        <v>6105</v>
      </c>
      <c r="K1895" s="1">
        <v>0.0</v>
      </c>
      <c r="L1895" s="1" t="s">
        <v>1646</v>
      </c>
      <c r="M1895" s="1" t="str">
        <f>VLOOKUP(L1895,'Copy of PMD Workday Constants -'!B1894:W2580,22,false)</f>
        <v>#N/A</v>
      </c>
      <c r="N1895" s="1" t="s">
        <v>32</v>
      </c>
      <c r="O1895" s="1" t="s">
        <v>33</v>
      </c>
      <c r="P1895" s="1" t="s">
        <v>64</v>
      </c>
      <c r="Q1895" s="1" t="s">
        <v>64</v>
      </c>
      <c r="R1895" s="1" t="s">
        <v>65</v>
      </c>
      <c r="S1895" s="1" t="s">
        <v>126</v>
      </c>
      <c r="T1895" s="1">
        <v>1.00650657E8</v>
      </c>
      <c r="W1895" s="1" t="s">
        <v>308</v>
      </c>
      <c r="X1895" s="1" t="s">
        <v>309</v>
      </c>
    </row>
    <row r="1896">
      <c r="A1896" s="1" t="s">
        <v>6106</v>
      </c>
      <c r="B1896" s="1" t="s">
        <v>489</v>
      </c>
      <c r="C1896" s="1" t="s">
        <v>6107</v>
      </c>
      <c r="D1896" s="1" t="s">
        <v>51</v>
      </c>
      <c r="E1896" s="1" t="s">
        <v>29</v>
      </c>
      <c r="F1896" s="5">
        <v>500000.0</v>
      </c>
      <c r="G1896" s="1" t="s">
        <v>3964</v>
      </c>
      <c r="H1896" s="1" t="s">
        <v>556</v>
      </c>
      <c r="I1896" s="1" t="s">
        <v>941</v>
      </c>
      <c r="K1896" s="1">
        <v>0.0</v>
      </c>
      <c r="L1896" s="1" t="s">
        <v>847</v>
      </c>
      <c r="M1896" s="1" t="str">
        <f>VLOOKUP(L1896,'Copy of PMD Workday Constants -'!B1895:W2581,22,false)</f>
        <v>#N/A</v>
      </c>
      <c r="N1896" s="1" t="s">
        <v>32</v>
      </c>
      <c r="O1896" s="1" t="s">
        <v>33</v>
      </c>
      <c r="P1896" s="1" t="s">
        <v>173</v>
      </c>
      <c r="Q1896" s="1" t="s">
        <v>173</v>
      </c>
      <c r="R1896" s="1" t="s">
        <v>174</v>
      </c>
      <c r="T1896" s="1">
        <v>1.00586701E8</v>
      </c>
      <c r="W1896" s="1" t="s">
        <v>493</v>
      </c>
      <c r="X1896" s="1" t="s">
        <v>1529</v>
      </c>
    </row>
    <row r="1897">
      <c r="A1897" s="1" t="s">
        <v>6108</v>
      </c>
      <c r="B1897" s="1" t="s">
        <v>530</v>
      </c>
      <c r="C1897" s="1" t="s">
        <v>6109</v>
      </c>
      <c r="D1897" s="1" t="s">
        <v>28</v>
      </c>
      <c r="E1897" s="1" t="s">
        <v>29</v>
      </c>
      <c r="F1897" s="5">
        <v>500000.0</v>
      </c>
      <c r="G1897" s="1" t="s">
        <v>3964</v>
      </c>
      <c r="H1897" s="1" t="s">
        <v>466</v>
      </c>
      <c r="I1897" s="1" t="s">
        <v>104</v>
      </c>
      <c r="K1897" s="1">
        <v>0.0</v>
      </c>
      <c r="L1897" s="1" t="s">
        <v>338</v>
      </c>
      <c r="M1897" s="1" t="str">
        <f>VLOOKUP(L1897,'Copy of PMD Workday Constants -'!B1896:W2582,22,false)</f>
        <v>#N/A</v>
      </c>
      <c r="N1897" s="1" t="s">
        <v>32</v>
      </c>
      <c r="O1897" s="1" t="s">
        <v>33</v>
      </c>
      <c r="P1897" s="1" t="s">
        <v>34</v>
      </c>
      <c r="Q1897" s="1" t="s">
        <v>34</v>
      </c>
      <c r="R1897" s="1" t="s">
        <v>35</v>
      </c>
      <c r="S1897" s="1" t="s">
        <v>126</v>
      </c>
      <c r="T1897" s="1">
        <v>1.00619817E8</v>
      </c>
      <c r="W1897" s="1" t="s">
        <v>533</v>
      </c>
      <c r="X1897" s="1" t="s">
        <v>338</v>
      </c>
    </row>
    <row r="1898">
      <c r="A1898" s="1" t="s">
        <v>6110</v>
      </c>
      <c r="B1898" s="1" t="s">
        <v>765</v>
      </c>
      <c r="C1898" s="1" t="s">
        <v>6111</v>
      </c>
      <c r="D1898" s="1" t="s">
        <v>103</v>
      </c>
      <c r="E1898" s="1" t="s">
        <v>29</v>
      </c>
      <c r="F1898" s="5">
        <v>500000.0</v>
      </c>
      <c r="G1898" s="1" t="s">
        <v>3964</v>
      </c>
      <c r="H1898" s="1" t="s">
        <v>2484</v>
      </c>
      <c r="I1898" s="1" t="s">
        <v>80</v>
      </c>
      <c r="K1898" s="1">
        <v>0.0</v>
      </c>
      <c r="L1898" s="1" t="s">
        <v>1780</v>
      </c>
      <c r="M1898" s="1" t="str">
        <f>VLOOKUP(L1898,'Copy of PMD Workday Constants -'!B1897:W2583,22,false)</f>
        <v>#N/A</v>
      </c>
      <c r="N1898" s="1" t="s">
        <v>32</v>
      </c>
      <c r="O1898" s="1" t="s">
        <v>33</v>
      </c>
      <c r="P1898" s="1" t="s">
        <v>82</v>
      </c>
      <c r="Q1898" s="1" t="s">
        <v>82</v>
      </c>
      <c r="R1898" s="1" t="s">
        <v>83</v>
      </c>
      <c r="S1898" s="1" t="s">
        <v>583</v>
      </c>
      <c r="T1898" s="1">
        <v>1.00617113E8</v>
      </c>
      <c r="W1898" s="1" t="s">
        <v>456</v>
      </c>
      <c r="X1898" s="1" t="s">
        <v>6112</v>
      </c>
    </row>
    <row r="1899">
      <c r="A1899" s="1" t="s">
        <v>6113</v>
      </c>
      <c r="B1899" s="1" t="s">
        <v>3549</v>
      </c>
      <c r="C1899" s="1" t="s">
        <v>6114</v>
      </c>
      <c r="D1899" s="1" t="s">
        <v>103</v>
      </c>
      <c r="E1899" s="1" t="s">
        <v>29</v>
      </c>
      <c r="F1899" s="5">
        <v>500000.0</v>
      </c>
      <c r="G1899" s="1" t="s">
        <v>3964</v>
      </c>
      <c r="H1899" s="1" t="s">
        <v>778</v>
      </c>
      <c r="I1899" s="1" t="s">
        <v>302</v>
      </c>
      <c r="K1899" s="1">
        <v>0.0</v>
      </c>
      <c r="L1899" s="1" t="s">
        <v>338</v>
      </c>
      <c r="M1899" s="1" t="str">
        <f>VLOOKUP(L1899,'Copy of PMD Workday Constants -'!B1898:W2584,22,false)</f>
        <v>#N/A</v>
      </c>
      <c r="N1899" s="1" t="s">
        <v>32</v>
      </c>
      <c r="O1899" s="1" t="s">
        <v>33</v>
      </c>
      <c r="P1899" s="1" t="s">
        <v>34</v>
      </c>
      <c r="Q1899" s="1" t="s">
        <v>34</v>
      </c>
      <c r="R1899" s="1" t="s">
        <v>35</v>
      </c>
      <c r="S1899" s="1" t="s">
        <v>126</v>
      </c>
      <c r="T1899" s="1">
        <v>1.00619817E8</v>
      </c>
      <c r="W1899" s="1" t="s">
        <v>308</v>
      </c>
      <c r="X1899" s="1" t="s">
        <v>5026</v>
      </c>
    </row>
    <row r="1900">
      <c r="A1900" s="1" t="s">
        <v>6115</v>
      </c>
      <c r="B1900" s="1" t="s">
        <v>6116</v>
      </c>
      <c r="C1900" s="1" t="s">
        <v>4040</v>
      </c>
      <c r="D1900" s="1" t="s">
        <v>51</v>
      </c>
      <c r="E1900" s="1" t="s">
        <v>29</v>
      </c>
      <c r="F1900" s="5">
        <v>500000.0</v>
      </c>
      <c r="G1900" s="1" t="s">
        <v>3964</v>
      </c>
      <c r="H1900" s="4">
        <v>44532.0</v>
      </c>
      <c r="I1900" s="4">
        <v>44568.0</v>
      </c>
      <c r="K1900" s="1">
        <v>0.0</v>
      </c>
      <c r="L1900" s="1" t="s">
        <v>338</v>
      </c>
      <c r="M1900" s="1" t="str">
        <f>VLOOKUP(L1900,'Copy of PMD Workday Constants -'!B1899:W2585,22,false)</f>
        <v>#N/A</v>
      </c>
      <c r="N1900" s="1" t="s">
        <v>32</v>
      </c>
      <c r="O1900" s="1" t="s">
        <v>33</v>
      </c>
      <c r="P1900" s="1" t="s">
        <v>34</v>
      </c>
      <c r="Q1900" s="1" t="s">
        <v>34</v>
      </c>
      <c r="R1900" s="1" t="s">
        <v>35</v>
      </c>
      <c r="S1900" s="1" t="s">
        <v>36</v>
      </c>
      <c r="T1900" s="1">
        <v>1.00619817E8</v>
      </c>
      <c r="W1900" s="1" t="s">
        <v>91</v>
      </c>
      <c r="X1900" s="1" t="s">
        <v>338</v>
      </c>
    </row>
    <row r="1901">
      <c r="A1901" s="1" t="s">
        <v>6117</v>
      </c>
      <c r="B1901" s="1" t="s">
        <v>3222</v>
      </c>
      <c r="C1901" s="1" t="s">
        <v>6118</v>
      </c>
      <c r="D1901" s="1" t="s">
        <v>28</v>
      </c>
      <c r="E1901" s="1" t="s">
        <v>29</v>
      </c>
      <c r="F1901" s="5">
        <v>500000.0</v>
      </c>
      <c r="G1901" s="1" t="s">
        <v>3964</v>
      </c>
      <c r="H1901" s="1" t="s">
        <v>1287</v>
      </c>
      <c r="I1901" s="1" t="s">
        <v>699</v>
      </c>
      <c r="K1901" s="1">
        <v>0.0</v>
      </c>
      <c r="L1901" s="1" t="s">
        <v>6119</v>
      </c>
      <c r="M1901" s="1" t="str">
        <f>VLOOKUP(L1901,'Copy of PMD Workday Constants -'!B1900:W2586,22,false)</f>
        <v>#N/A</v>
      </c>
      <c r="N1901" s="1" t="s">
        <v>32</v>
      </c>
      <c r="O1901" s="1" t="s">
        <v>33</v>
      </c>
      <c r="P1901" s="1" t="s">
        <v>64</v>
      </c>
      <c r="Q1901" s="1" t="s">
        <v>64</v>
      </c>
      <c r="R1901" s="1" t="s">
        <v>65</v>
      </c>
      <c r="S1901" s="1" t="s">
        <v>1336</v>
      </c>
      <c r="T1901" s="1">
        <v>1.01144324E8</v>
      </c>
      <c r="W1901" s="1" t="s">
        <v>37</v>
      </c>
      <c r="X1901" s="1" t="s">
        <v>6119</v>
      </c>
    </row>
    <row r="1902">
      <c r="A1902" s="1" t="s">
        <v>6120</v>
      </c>
      <c r="B1902" s="1" t="s">
        <v>137</v>
      </c>
      <c r="C1902" s="1" t="s">
        <v>6121</v>
      </c>
      <c r="D1902" s="1" t="s">
        <v>28</v>
      </c>
      <c r="E1902" s="1" t="s">
        <v>29</v>
      </c>
      <c r="F1902" s="5">
        <v>500000.0</v>
      </c>
      <c r="G1902" s="1" t="s">
        <v>3964</v>
      </c>
      <c r="H1902" s="4">
        <v>44839.0</v>
      </c>
      <c r="I1902" s="1" t="s">
        <v>302</v>
      </c>
      <c r="K1902" s="1">
        <v>0.0</v>
      </c>
      <c r="L1902" s="1" t="s">
        <v>387</v>
      </c>
      <c r="M1902" s="1" t="str">
        <f>VLOOKUP(L1902,'Copy of PMD Workday Constants -'!B1901:W2587,22,false)</f>
        <v>#N/A</v>
      </c>
      <c r="N1902" s="1" t="s">
        <v>32</v>
      </c>
      <c r="O1902" s="1" t="s">
        <v>33</v>
      </c>
      <c r="P1902" s="1" t="s">
        <v>34</v>
      </c>
      <c r="Q1902" s="1" t="s">
        <v>34</v>
      </c>
      <c r="R1902" s="1" t="s">
        <v>35</v>
      </c>
      <c r="T1902" s="1">
        <v>1.00642129E8</v>
      </c>
      <c r="W1902" s="1" t="s">
        <v>140</v>
      </c>
      <c r="X1902" s="1" t="s">
        <v>387</v>
      </c>
    </row>
    <row r="1903">
      <c r="A1903" s="1" t="s">
        <v>6122</v>
      </c>
      <c r="B1903" s="1" t="s">
        <v>2280</v>
      </c>
      <c r="C1903" s="1" t="s">
        <v>6123</v>
      </c>
      <c r="D1903" s="1" t="s">
        <v>51</v>
      </c>
      <c r="E1903" s="1" t="s">
        <v>29</v>
      </c>
      <c r="F1903" s="5">
        <v>500000.0</v>
      </c>
      <c r="G1903" s="1" t="s">
        <v>3964</v>
      </c>
      <c r="H1903" s="4">
        <v>44839.0</v>
      </c>
      <c r="I1903" s="1" t="s">
        <v>104</v>
      </c>
      <c r="K1903" s="1">
        <v>0.0</v>
      </c>
      <c r="L1903" s="1" t="s">
        <v>2556</v>
      </c>
      <c r="M1903" s="1" t="str">
        <f>VLOOKUP(L1903,'Copy of PMD Workday Constants -'!B1902:W2588,22,false)</f>
        <v>#N/A</v>
      </c>
      <c r="N1903" s="1" t="s">
        <v>32</v>
      </c>
      <c r="O1903" s="1" t="s">
        <v>33</v>
      </c>
      <c r="P1903" s="1" t="s">
        <v>82</v>
      </c>
      <c r="Q1903" s="1" t="s">
        <v>82</v>
      </c>
      <c r="R1903" s="1" t="s">
        <v>83</v>
      </c>
      <c r="S1903" s="1" t="s">
        <v>84</v>
      </c>
      <c r="T1903" s="1">
        <v>1.01082364E8</v>
      </c>
      <c r="W1903" s="1" t="s">
        <v>85</v>
      </c>
      <c r="X1903" s="1" t="s">
        <v>2556</v>
      </c>
    </row>
    <row r="1904">
      <c r="A1904" s="1" t="s">
        <v>6124</v>
      </c>
      <c r="B1904" s="1" t="s">
        <v>489</v>
      </c>
      <c r="C1904" s="1" t="s">
        <v>6125</v>
      </c>
      <c r="D1904" s="1" t="s">
        <v>28</v>
      </c>
      <c r="E1904" s="1" t="s">
        <v>29</v>
      </c>
      <c r="F1904" s="5">
        <v>500000.0</v>
      </c>
      <c r="G1904" s="1" t="s">
        <v>3964</v>
      </c>
      <c r="H1904" s="1" t="s">
        <v>3574</v>
      </c>
      <c r="I1904" s="1" t="s">
        <v>80</v>
      </c>
      <c r="K1904" s="1">
        <v>0.0</v>
      </c>
      <c r="L1904" s="1" t="s">
        <v>6126</v>
      </c>
      <c r="M1904" s="1" t="str">
        <f>VLOOKUP(L1904,'Copy of PMD Workday Constants -'!B1903:W2589,22,false)</f>
        <v>#N/A</v>
      </c>
      <c r="N1904" s="1" t="s">
        <v>32</v>
      </c>
      <c r="O1904" s="1" t="s">
        <v>33</v>
      </c>
      <c r="P1904" s="1" t="s">
        <v>173</v>
      </c>
      <c r="Q1904" s="1" t="s">
        <v>173</v>
      </c>
      <c r="R1904" s="1" t="s">
        <v>174</v>
      </c>
      <c r="S1904" s="1" t="s">
        <v>5636</v>
      </c>
      <c r="T1904" s="1">
        <v>1.00624244E8</v>
      </c>
      <c r="W1904" s="1" t="s">
        <v>493</v>
      </c>
      <c r="X1904" s="1" t="s">
        <v>5719</v>
      </c>
    </row>
    <row r="1905">
      <c r="A1905" s="1" t="s">
        <v>6127</v>
      </c>
      <c r="B1905" s="1" t="s">
        <v>4602</v>
      </c>
      <c r="C1905" s="1" t="s">
        <v>6128</v>
      </c>
      <c r="D1905" s="1" t="s">
        <v>28</v>
      </c>
      <c r="E1905" s="1" t="s">
        <v>29</v>
      </c>
      <c r="F1905" s="5">
        <v>500000.0</v>
      </c>
      <c r="G1905" s="1" t="s">
        <v>3964</v>
      </c>
      <c r="H1905" s="4">
        <v>44656.0</v>
      </c>
      <c r="I1905" s="1" t="s">
        <v>104</v>
      </c>
      <c r="K1905" s="1">
        <v>0.0</v>
      </c>
      <c r="L1905" s="1" t="s">
        <v>1525</v>
      </c>
      <c r="M1905" s="1" t="str">
        <f>VLOOKUP(L1905,'Copy of PMD Workday Constants -'!B1904:W2590,22,false)</f>
        <v>#N/A</v>
      </c>
      <c r="N1905" s="1" t="s">
        <v>32</v>
      </c>
      <c r="O1905" s="1" t="s">
        <v>33</v>
      </c>
      <c r="P1905" s="1" t="s">
        <v>34</v>
      </c>
      <c r="Q1905" s="1" t="s">
        <v>34</v>
      </c>
      <c r="R1905" s="1" t="s">
        <v>35</v>
      </c>
      <c r="S1905" s="1" t="s">
        <v>1166</v>
      </c>
      <c r="T1905" s="1">
        <v>1.00637597E8</v>
      </c>
      <c r="U1905" s="1" t="s">
        <v>4604</v>
      </c>
      <c r="V1905" s="1" t="s">
        <v>187</v>
      </c>
      <c r="W1905" s="1" t="s">
        <v>85</v>
      </c>
      <c r="X1905" s="1" t="s">
        <v>1525</v>
      </c>
    </row>
    <row r="1906">
      <c r="A1906" s="1" t="s">
        <v>6129</v>
      </c>
      <c r="B1906" s="1" t="s">
        <v>863</v>
      </c>
      <c r="C1906" s="1" t="s">
        <v>6130</v>
      </c>
      <c r="D1906" s="1" t="s">
        <v>51</v>
      </c>
      <c r="E1906" s="1" t="s">
        <v>29</v>
      </c>
      <c r="F1906" s="5">
        <v>500000.0</v>
      </c>
      <c r="G1906" s="1" t="s">
        <v>3964</v>
      </c>
      <c r="H1906" s="1" t="s">
        <v>778</v>
      </c>
      <c r="I1906" s="1" t="s">
        <v>166</v>
      </c>
      <c r="K1906" s="1">
        <v>0.0</v>
      </c>
      <c r="L1906" s="1" t="s">
        <v>3935</v>
      </c>
      <c r="M1906" s="1" t="str">
        <f>VLOOKUP(L1906,'Copy of PMD Workday Constants -'!B1905:W2591,22,false)</f>
        <v>#N/A</v>
      </c>
      <c r="N1906" s="1" t="s">
        <v>32</v>
      </c>
      <c r="O1906" s="1" t="s">
        <v>33</v>
      </c>
      <c r="P1906" s="1" t="s">
        <v>82</v>
      </c>
      <c r="Q1906" s="1" t="s">
        <v>82</v>
      </c>
      <c r="R1906" s="1" t="s">
        <v>83</v>
      </c>
      <c r="S1906" s="1" t="s">
        <v>84</v>
      </c>
      <c r="T1906" s="1">
        <v>1.01088146E8</v>
      </c>
      <c r="W1906" s="1" t="s">
        <v>85</v>
      </c>
      <c r="X1906" s="1" t="s">
        <v>3115</v>
      </c>
    </row>
    <row r="1907">
      <c r="A1907" s="1" t="s">
        <v>6131</v>
      </c>
      <c r="B1907" s="1" t="s">
        <v>77</v>
      </c>
      <c r="C1907" s="1" t="s">
        <v>6132</v>
      </c>
      <c r="D1907" s="1" t="s">
        <v>28</v>
      </c>
      <c r="E1907" s="1" t="s">
        <v>29</v>
      </c>
      <c r="F1907" s="5">
        <v>500000.0</v>
      </c>
      <c r="G1907" s="1" t="s">
        <v>3964</v>
      </c>
      <c r="H1907" s="4">
        <v>44685.0</v>
      </c>
      <c r="I1907" s="1" t="s">
        <v>80</v>
      </c>
      <c r="K1907" s="1">
        <v>0.0</v>
      </c>
      <c r="L1907" s="1" t="s">
        <v>81</v>
      </c>
      <c r="M1907" s="1" t="str">
        <f>VLOOKUP(L1907,'Copy of PMD Workday Constants -'!B1906:W2592,22,false)</f>
        <v>#N/A</v>
      </c>
      <c r="N1907" s="1" t="s">
        <v>32</v>
      </c>
      <c r="O1907" s="1" t="s">
        <v>33</v>
      </c>
      <c r="P1907" s="1" t="s">
        <v>82</v>
      </c>
      <c r="Q1907" s="1" t="s">
        <v>82</v>
      </c>
      <c r="R1907" s="1" t="s">
        <v>83</v>
      </c>
      <c r="S1907" s="1" t="s">
        <v>84</v>
      </c>
      <c r="T1907" s="1">
        <v>1.00640331E8</v>
      </c>
      <c r="W1907" s="1" t="s">
        <v>85</v>
      </c>
      <c r="X1907" s="1" t="s">
        <v>81</v>
      </c>
    </row>
    <row r="1908">
      <c r="A1908" s="1" t="s">
        <v>6133</v>
      </c>
      <c r="B1908" s="1" t="s">
        <v>2641</v>
      </c>
      <c r="C1908" s="1" t="s">
        <v>6134</v>
      </c>
      <c r="D1908" s="1" t="s">
        <v>103</v>
      </c>
      <c r="E1908" s="1" t="s">
        <v>29</v>
      </c>
      <c r="F1908" s="5">
        <v>500000.0</v>
      </c>
      <c r="G1908" s="1" t="s">
        <v>3964</v>
      </c>
      <c r="H1908" s="1" t="s">
        <v>556</v>
      </c>
      <c r="I1908" s="1" t="s">
        <v>661</v>
      </c>
      <c r="K1908" s="1">
        <v>0.0</v>
      </c>
      <c r="L1908" s="1" t="s">
        <v>4534</v>
      </c>
      <c r="M1908" s="1" t="str">
        <f>VLOOKUP(L1908,'Copy of PMD Workday Constants -'!B1907:W2593,22,false)</f>
        <v>#N/A</v>
      </c>
      <c r="N1908" s="1" t="s">
        <v>32</v>
      </c>
      <c r="O1908" s="1" t="s">
        <v>33</v>
      </c>
      <c r="P1908" s="1" t="s">
        <v>173</v>
      </c>
      <c r="Q1908" s="1" t="s">
        <v>173</v>
      </c>
      <c r="R1908" s="1" t="s">
        <v>174</v>
      </c>
      <c r="S1908" s="1" t="s">
        <v>612</v>
      </c>
      <c r="T1908" s="1">
        <v>1.00620934E8</v>
      </c>
      <c r="W1908" s="1" t="s">
        <v>456</v>
      </c>
      <c r="X1908" s="1" t="s">
        <v>6135</v>
      </c>
    </row>
    <row r="1909">
      <c r="A1909" s="1" t="s">
        <v>6136</v>
      </c>
      <c r="B1909" s="1" t="s">
        <v>489</v>
      </c>
      <c r="C1909" s="1" t="s">
        <v>6137</v>
      </c>
      <c r="D1909" s="1" t="s">
        <v>51</v>
      </c>
      <c r="E1909" s="1" t="s">
        <v>29</v>
      </c>
      <c r="F1909" s="5">
        <v>500000.0</v>
      </c>
      <c r="G1909" s="1" t="s">
        <v>3964</v>
      </c>
      <c r="H1909" s="1" t="s">
        <v>3034</v>
      </c>
      <c r="I1909" s="1" t="s">
        <v>104</v>
      </c>
      <c r="K1909" s="1">
        <v>0.0</v>
      </c>
      <c r="L1909" s="1" t="s">
        <v>847</v>
      </c>
      <c r="M1909" s="1" t="str">
        <f>VLOOKUP(L1909,'Copy of PMD Workday Constants -'!B1908:W2594,22,false)</f>
        <v>#N/A</v>
      </c>
      <c r="N1909" s="1" t="s">
        <v>32</v>
      </c>
      <c r="O1909" s="1" t="s">
        <v>33</v>
      </c>
      <c r="P1909" s="1" t="s">
        <v>173</v>
      </c>
      <c r="Q1909" s="1" t="s">
        <v>173</v>
      </c>
      <c r="R1909" s="1" t="s">
        <v>174</v>
      </c>
      <c r="S1909" s="1" t="s">
        <v>1385</v>
      </c>
      <c r="T1909" s="1">
        <v>1.00586701E8</v>
      </c>
      <c r="U1909" s="1" t="s">
        <v>6138</v>
      </c>
      <c r="V1909" s="1" t="s">
        <v>187</v>
      </c>
      <c r="W1909" s="1" t="s">
        <v>493</v>
      </c>
      <c r="X1909" s="1" t="s">
        <v>6139</v>
      </c>
    </row>
    <row r="1910">
      <c r="A1910" s="1" t="s">
        <v>6140</v>
      </c>
      <c r="B1910" s="1" t="s">
        <v>4200</v>
      </c>
      <c r="C1910" s="1" t="s">
        <v>6141</v>
      </c>
      <c r="D1910" s="1" t="s">
        <v>28</v>
      </c>
      <c r="E1910" s="1" t="s">
        <v>29</v>
      </c>
      <c r="F1910" s="5">
        <v>500000.0</v>
      </c>
      <c r="G1910" s="1" t="s">
        <v>3964</v>
      </c>
      <c r="H1910" s="1" t="s">
        <v>110</v>
      </c>
      <c r="I1910" s="4">
        <v>44567.0</v>
      </c>
      <c r="K1910" s="1">
        <v>0.0</v>
      </c>
      <c r="L1910" s="1" t="s">
        <v>5431</v>
      </c>
      <c r="M1910" s="1" t="str">
        <f>VLOOKUP(L1910,'Copy of PMD Workday Constants -'!B1909:W2595,22,false)</f>
        <v>#N/A</v>
      </c>
      <c r="N1910" s="1" t="s">
        <v>32</v>
      </c>
      <c r="O1910" s="1" t="s">
        <v>33</v>
      </c>
      <c r="P1910" s="1" t="s">
        <v>34</v>
      </c>
      <c r="Q1910" s="1" t="s">
        <v>34</v>
      </c>
      <c r="R1910" s="1" t="s">
        <v>35</v>
      </c>
      <c r="S1910" s="1" t="s">
        <v>1166</v>
      </c>
      <c r="T1910" s="1">
        <v>1.00580806E8</v>
      </c>
      <c r="W1910" s="1" t="s">
        <v>456</v>
      </c>
      <c r="X1910" s="1" t="s">
        <v>2631</v>
      </c>
    </row>
    <row r="1911">
      <c r="A1911" s="1" t="s">
        <v>6142</v>
      </c>
      <c r="B1911" s="1" t="s">
        <v>756</v>
      </c>
      <c r="C1911" s="1" t="s">
        <v>6143</v>
      </c>
      <c r="D1911" s="1" t="s">
        <v>28</v>
      </c>
      <c r="E1911" s="1" t="s">
        <v>29</v>
      </c>
      <c r="F1911" s="5">
        <v>500000.0</v>
      </c>
      <c r="G1911" s="1" t="s">
        <v>3964</v>
      </c>
      <c r="H1911" s="4">
        <v>44779.0</v>
      </c>
      <c r="I1911" s="1" t="s">
        <v>661</v>
      </c>
      <c r="K1911" s="1">
        <v>0.0</v>
      </c>
      <c r="L1911" s="1" t="s">
        <v>6144</v>
      </c>
      <c r="M1911" s="1" t="str">
        <f>VLOOKUP(L1911,'Copy of PMD Workday Constants -'!B1910:W2596,22,false)</f>
        <v>#N/A</v>
      </c>
      <c r="N1911" s="1" t="s">
        <v>32</v>
      </c>
      <c r="O1911" s="1" t="s">
        <v>33</v>
      </c>
      <c r="P1911" s="1" t="s">
        <v>173</v>
      </c>
      <c r="Q1911" s="1" t="s">
        <v>173</v>
      </c>
      <c r="R1911" s="1" t="s">
        <v>174</v>
      </c>
      <c r="S1911" s="1" t="s">
        <v>612</v>
      </c>
      <c r="T1911" s="1">
        <v>1.0049491E8</v>
      </c>
      <c r="W1911" s="1" t="s">
        <v>74</v>
      </c>
      <c r="X1911" s="1" t="s">
        <v>6144</v>
      </c>
    </row>
    <row r="1912">
      <c r="A1912" s="1" t="s">
        <v>6145</v>
      </c>
      <c r="B1912" s="1" t="s">
        <v>3585</v>
      </c>
      <c r="C1912" s="1" t="s">
        <v>6146</v>
      </c>
      <c r="D1912" s="1" t="s">
        <v>51</v>
      </c>
      <c r="E1912" s="1" t="s">
        <v>29</v>
      </c>
      <c r="F1912" s="5">
        <v>500000.0</v>
      </c>
      <c r="G1912" s="1" t="s">
        <v>3964</v>
      </c>
      <c r="H1912" s="4">
        <v>44870.0</v>
      </c>
      <c r="I1912" s="1" t="s">
        <v>816</v>
      </c>
      <c r="K1912" s="1">
        <v>0.0</v>
      </c>
      <c r="L1912" s="1" t="s">
        <v>5807</v>
      </c>
      <c r="M1912" s="1" t="str">
        <f>VLOOKUP(L1912,'Copy of PMD Workday Constants -'!B1911:W2597,22,false)</f>
        <v>#N/A</v>
      </c>
      <c r="N1912" s="1" t="s">
        <v>32</v>
      </c>
      <c r="O1912" s="1" t="s">
        <v>33</v>
      </c>
      <c r="P1912" s="1" t="s">
        <v>173</v>
      </c>
      <c r="Q1912" s="1" t="s">
        <v>173</v>
      </c>
      <c r="R1912" s="1" t="s">
        <v>174</v>
      </c>
      <c r="T1912" s="1">
        <v>1.00589278E8</v>
      </c>
      <c r="X1912" s="1" t="s">
        <v>6147</v>
      </c>
    </row>
    <row r="1913">
      <c r="A1913" s="1" t="s">
        <v>6148</v>
      </c>
      <c r="B1913" s="1" t="s">
        <v>573</v>
      </c>
      <c r="C1913" s="1" t="s">
        <v>6149</v>
      </c>
      <c r="D1913" s="1" t="s">
        <v>28</v>
      </c>
      <c r="E1913" s="1" t="s">
        <v>29</v>
      </c>
      <c r="F1913" s="5">
        <v>500000.0</v>
      </c>
      <c r="G1913" s="1" t="s">
        <v>3964</v>
      </c>
      <c r="H1913" s="4">
        <v>44779.0</v>
      </c>
      <c r="I1913" s="1" t="s">
        <v>152</v>
      </c>
      <c r="K1913" s="1">
        <v>0.0</v>
      </c>
      <c r="L1913" s="1" t="s">
        <v>6150</v>
      </c>
      <c r="M1913" s="1" t="str">
        <f>VLOOKUP(L1913,'Copy of PMD Workday Constants -'!B1912:W2598,22,false)</f>
        <v>#N/A</v>
      </c>
      <c r="N1913" s="1" t="s">
        <v>32</v>
      </c>
      <c r="O1913" s="1" t="s">
        <v>33</v>
      </c>
      <c r="P1913" s="1" t="s">
        <v>64</v>
      </c>
      <c r="Q1913" s="1" t="s">
        <v>64</v>
      </c>
      <c r="R1913" s="1" t="s">
        <v>65</v>
      </c>
      <c r="S1913" s="1" t="s">
        <v>612</v>
      </c>
      <c r="T1913" s="1">
        <v>1.01204051E8</v>
      </c>
      <c r="W1913" s="1" t="s">
        <v>56</v>
      </c>
      <c r="X1913" s="1" t="s">
        <v>6144</v>
      </c>
    </row>
    <row r="1914">
      <c r="A1914" s="1" t="s">
        <v>6151</v>
      </c>
      <c r="B1914" s="1" t="s">
        <v>6152</v>
      </c>
      <c r="C1914" s="1" t="s">
        <v>6153</v>
      </c>
      <c r="D1914" s="1" t="s">
        <v>51</v>
      </c>
      <c r="E1914" s="1" t="s">
        <v>29</v>
      </c>
      <c r="F1914" s="5">
        <v>500000.0</v>
      </c>
      <c r="G1914" s="1" t="s">
        <v>3964</v>
      </c>
      <c r="H1914" s="4">
        <v>44236.0</v>
      </c>
      <c r="I1914" s="1" t="s">
        <v>301</v>
      </c>
      <c r="J1914" s="1" t="s">
        <v>6154</v>
      </c>
      <c r="K1914" s="1">
        <v>0.0</v>
      </c>
      <c r="L1914" s="1" t="s">
        <v>6155</v>
      </c>
      <c r="M1914" s="1" t="str">
        <f>VLOOKUP(L1914,'Copy of PMD Workday Constants -'!B1913:W2599,22,false)</f>
        <v>#N/A</v>
      </c>
      <c r="N1914" s="1" t="s">
        <v>32</v>
      </c>
      <c r="O1914" s="1" t="s">
        <v>33</v>
      </c>
      <c r="P1914" s="1" t="s">
        <v>64</v>
      </c>
      <c r="Q1914" s="1" t="s">
        <v>64</v>
      </c>
      <c r="R1914" s="1" t="s">
        <v>65</v>
      </c>
      <c r="S1914" s="1" t="s">
        <v>229</v>
      </c>
      <c r="T1914" s="1">
        <v>1.00646652E8</v>
      </c>
      <c r="W1914" s="1" t="s">
        <v>85</v>
      </c>
      <c r="X1914" s="1" t="s">
        <v>6156</v>
      </c>
    </row>
    <row r="1915">
      <c r="A1915" s="1" t="s">
        <v>6157</v>
      </c>
      <c r="B1915" s="1" t="s">
        <v>485</v>
      </c>
      <c r="C1915" s="1" t="s">
        <v>6158</v>
      </c>
      <c r="D1915" s="1" t="s">
        <v>28</v>
      </c>
      <c r="E1915" s="1" t="s">
        <v>29</v>
      </c>
      <c r="F1915" s="5">
        <v>500000.0</v>
      </c>
      <c r="G1915" s="1" t="s">
        <v>3964</v>
      </c>
      <c r="H1915" s="1" t="s">
        <v>1708</v>
      </c>
      <c r="I1915" s="4">
        <v>44626.0</v>
      </c>
      <c r="K1915" s="1">
        <v>0.0</v>
      </c>
      <c r="L1915" s="1" t="s">
        <v>4051</v>
      </c>
      <c r="M1915" s="1" t="str">
        <f>VLOOKUP(L1915,'Copy of PMD Workday Constants -'!B1914:W2600,22,false)</f>
        <v>#N/A</v>
      </c>
      <c r="N1915" s="1" t="s">
        <v>32</v>
      </c>
      <c r="O1915" s="1" t="s">
        <v>33</v>
      </c>
      <c r="P1915" s="1" t="s">
        <v>112</v>
      </c>
      <c r="Q1915" s="1" t="s">
        <v>112</v>
      </c>
      <c r="R1915" s="1" t="s">
        <v>113</v>
      </c>
      <c r="S1915" s="1" t="s">
        <v>134</v>
      </c>
      <c r="T1915" s="1">
        <v>1.00694651E8</v>
      </c>
      <c r="W1915" s="1" t="s">
        <v>250</v>
      </c>
      <c r="X1915" s="1" t="s">
        <v>6159</v>
      </c>
    </row>
    <row r="1916">
      <c r="A1916" s="1" t="s">
        <v>6160</v>
      </c>
      <c r="B1916" s="1" t="s">
        <v>6161</v>
      </c>
      <c r="C1916" s="1" t="s">
        <v>6162</v>
      </c>
      <c r="D1916" s="1" t="s">
        <v>28</v>
      </c>
      <c r="E1916" s="1" t="s">
        <v>29</v>
      </c>
      <c r="F1916" s="5">
        <v>500000.0</v>
      </c>
      <c r="G1916" s="1" t="s">
        <v>3964</v>
      </c>
      <c r="H1916" s="1" t="s">
        <v>1575</v>
      </c>
      <c r="I1916" s="1" t="s">
        <v>152</v>
      </c>
      <c r="K1916" s="1">
        <v>0.0</v>
      </c>
      <c r="L1916" s="1" t="s">
        <v>2097</v>
      </c>
      <c r="M1916" s="1" t="str">
        <f>VLOOKUP(L1916,'Copy of PMD Workday Constants -'!B1915:W2601,22,false)</f>
        <v>#N/A</v>
      </c>
      <c r="N1916" s="1" t="s">
        <v>32</v>
      </c>
      <c r="O1916" s="1" t="s">
        <v>33</v>
      </c>
      <c r="P1916" s="1" t="s">
        <v>82</v>
      </c>
      <c r="Q1916" s="1" t="s">
        <v>82</v>
      </c>
      <c r="R1916" s="1" t="s">
        <v>83</v>
      </c>
      <c r="S1916" s="1" t="s">
        <v>180</v>
      </c>
      <c r="T1916" s="1">
        <v>1.00619607E8</v>
      </c>
      <c r="W1916" s="1" t="s">
        <v>85</v>
      </c>
      <c r="X1916" s="1" t="s">
        <v>6163</v>
      </c>
    </row>
    <row r="1917">
      <c r="A1917" s="1" t="s">
        <v>6164</v>
      </c>
      <c r="B1917" s="1" t="s">
        <v>6165</v>
      </c>
      <c r="C1917" s="1" t="s">
        <v>6166</v>
      </c>
      <c r="D1917" s="1" t="s">
        <v>28</v>
      </c>
      <c r="E1917" s="1" t="s">
        <v>29</v>
      </c>
      <c r="F1917" s="5">
        <v>500000.0</v>
      </c>
      <c r="G1917" s="1" t="s">
        <v>3964</v>
      </c>
      <c r="H1917" s="1" t="s">
        <v>727</v>
      </c>
      <c r="I1917" s="4">
        <v>45265.0</v>
      </c>
      <c r="K1917" s="1">
        <v>0.0</v>
      </c>
      <c r="L1917" s="1" t="s">
        <v>228</v>
      </c>
      <c r="M1917" s="1" t="str">
        <f>VLOOKUP(L1917,'Copy of PMD Workday Constants -'!B1916:W2602,22,false)</f>
        <v>#N/A</v>
      </c>
      <c r="N1917" s="1" t="s">
        <v>32</v>
      </c>
      <c r="O1917" s="1" t="s">
        <v>33</v>
      </c>
      <c r="P1917" s="1" t="s">
        <v>64</v>
      </c>
      <c r="Q1917" s="1" t="s">
        <v>64</v>
      </c>
      <c r="R1917" s="1" t="s">
        <v>65</v>
      </c>
      <c r="T1917" s="1">
        <v>1.00650619E8</v>
      </c>
      <c r="W1917" s="1" t="s">
        <v>85</v>
      </c>
      <c r="X1917" s="1" t="s">
        <v>228</v>
      </c>
    </row>
    <row r="1918">
      <c r="A1918" s="1" t="s">
        <v>6167</v>
      </c>
      <c r="B1918" s="1" t="s">
        <v>6168</v>
      </c>
      <c r="C1918" s="1" t="s">
        <v>6169</v>
      </c>
      <c r="D1918" s="1" t="s">
        <v>28</v>
      </c>
      <c r="E1918" s="1" t="s">
        <v>29</v>
      </c>
      <c r="F1918" s="5">
        <v>500000.0</v>
      </c>
      <c r="G1918" s="1" t="s">
        <v>3964</v>
      </c>
      <c r="H1918" s="4">
        <v>44326.0</v>
      </c>
      <c r="I1918" s="1" t="s">
        <v>80</v>
      </c>
      <c r="K1918" s="1">
        <v>0.0</v>
      </c>
      <c r="L1918" s="1" t="s">
        <v>461</v>
      </c>
      <c r="M1918" s="1" t="str">
        <f>VLOOKUP(L1918,'Copy of PMD Workday Constants -'!B1917:W2603,22,false)</f>
        <v>#N/A</v>
      </c>
      <c r="N1918" s="1" t="s">
        <v>32</v>
      </c>
      <c r="O1918" s="1" t="s">
        <v>33</v>
      </c>
      <c r="P1918" s="1" t="s">
        <v>210</v>
      </c>
      <c r="Q1918" s="1" t="s">
        <v>210</v>
      </c>
      <c r="R1918" s="1" t="s">
        <v>211</v>
      </c>
      <c r="S1918" s="1" t="s">
        <v>416</v>
      </c>
      <c r="T1918" s="1">
        <v>1.00652846E8</v>
      </c>
      <c r="W1918" s="1" t="s">
        <v>56</v>
      </c>
      <c r="X1918" s="1" t="s">
        <v>921</v>
      </c>
    </row>
    <row r="1919">
      <c r="A1919" s="1" t="s">
        <v>6170</v>
      </c>
      <c r="B1919" s="1" t="s">
        <v>1009</v>
      </c>
      <c r="C1919" s="1" t="s">
        <v>6171</v>
      </c>
      <c r="D1919" s="1" t="s">
        <v>28</v>
      </c>
      <c r="E1919" s="1" t="s">
        <v>29</v>
      </c>
      <c r="F1919" s="5">
        <v>500000.0</v>
      </c>
      <c r="G1919" s="1" t="s">
        <v>3964</v>
      </c>
      <c r="H1919" s="1" t="s">
        <v>1005</v>
      </c>
      <c r="I1919" s="1" t="s">
        <v>699</v>
      </c>
      <c r="K1919" s="1">
        <v>0.0</v>
      </c>
      <c r="L1919" s="1" t="s">
        <v>6172</v>
      </c>
      <c r="M1919" s="1" t="str">
        <f>VLOOKUP(L1919,'Copy of PMD Workday Constants -'!B1918:W2604,22,false)</f>
        <v>#N/A</v>
      </c>
      <c r="N1919" s="1" t="s">
        <v>32</v>
      </c>
      <c r="O1919" s="1" t="s">
        <v>33</v>
      </c>
      <c r="P1919" s="1" t="s">
        <v>173</v>
      </c>
      <c r="Q1919" s="1" t="s">
        <v>173</v>
      </c>
      <c r="R1919" s="1" t="s">
        <v>174</v>
      </c>
      <c r="T1919" s="1">
        <v>1.00650254E8</v>
      </c>
      <c r="W1919" s="1" t="s">
        <v>74</v>
      </c>
      <c r="X1919" s="1" t="s">
        <v>4682</v>
      </c>
    </row>
    <row r="1920">
      <c r="A1920" s="1" t="s">
        <v>6173</v>
      </c>
      <c r="B1920" s="1" t="s">
        <v>3911</v>
      </c>
      <c r="C1920" s="1" t="s">
        <v>6174</v>
      </c>
      <c r="D1920" s="1" t="s">
        <v>51</v>
      </c>
      <c r="E1920" s="1" t="s">
        <v>29</v>
      </c>
      <c r="F1920" s="5">
        <v>500000.0</v>
      </c>
      <c r="G1920" s="1" t="s">
        <v>3964</v>
      </c>
      <c r="H1920" s="4">
        <v>44083.0</v>
      </c>
      <c r="I1920" s="1" t="s">
        <v>302</v>
      </c>
      <c r="K1920" s="1">
        <v>0.0</v>
      </c>
      <c r="L1920" s="1" t="s">
        <v>1031</v>
      </c>
      <c r="M1920" s="1" t="str">
        <f>VLOOKUP(L1920,'Copy of PMD Workday Constants -'!B1919:W2605,22,false)</f>
        <v>#N/A</v>
      </c>
      <c r="N1920" s="1" t="s">
        <v>32</v>
      </c>
      <c r="O1920" s="1" t="s">
        <v>33</v>
      </c>
      <c r="P1920" s="1" t="s">
        <v>64</v>
      </c>
      <c r="Q1920" s="1" t="s">
        <v>64</v>
      </c>
      <c r="R1920" s="1" t="s">
        <v>65</v>
      </c>
      <c r="S1920" s="1" t="s">
        <v>229</v>
      </c>
      <c r="T1920" s="1">
        <v>1.00879751E8</v>
      </c>
      <c r="W1920" s="1" t="s">
        <v>258</v>
      </c>
      <c r="X1920" s="1" t="s">
        <v>5225</v>
      </c>
    </row>
    <row r="1921">
      <c r="A1921" s="1" t="s">
        <v>6175</v>
      </c>
      <c r="B1921" s="1" t="s">
        <v>6176</v>
      </c>
      <c r="C1921" s="1" t="s">
        <v>6177</v>
      </c>
      <c r="D1921" s="1" t="s">
        <v>103</v>
      </c>
      <c r="E1921" s="1" t="s">
        <v>29</v>
      </c>
      <c r="F1921" s="5">
        <v>500000.0</v>
      </c>
      <c r="G1921" s="1" t="s">
        <v>3964</v>
      </c>
      <c r="H1921" s="4">
        <v>44810.0</v>
      </c>
      <c r="I1921" s="1" t="s">
        <v>104</v>
      </c>
      <c r="K1921" s="1">
        <v>0.0</v>
      </c>
      <c r="L1921" s="1" t="s">
        <v>1408</v>
      </c>
      <c r="M1921" s="1" t="str">
        <f>VLOOKUP(L1921,'Copy of PMD Workday Constants -'!B1920:W2606,22,false)</f>
        <v>#N/A</v>
      </c>
      <c r="N1921" s="1" t="s">
        <v>32</v>
      </c>
      <c r="O1921" s="1" t="s">
        <v>33</v>
      </c>
      <c r="P1921" s="1" t="s">
        <v>64</v>
      </c>
      <c r="Q1921" s="1" t="s">
        <v>64</v>
      </c>
      <c r="R1921" s="1" t="s">
        <v>65</v>
      </c>
      <c r="S1921" s="1" t="s">
        <v>791</v>
      </c>
      <c r="T1921" s="1">
        <v>1.00652169E8</v>
      </c>
      <c r="W1921" s="1" t="s">
        <v>456</v>
      </c>
      <c r="X1921" s="1" t="s">
        <v>3259</v>
      </c>
    </row>
    <row r="1922">
      <c r="A1922" s="1" t="s">
        <v>6178</v>
      </c>
      <c r="B1922" s="1" t="s">
        <v>87</v>
      </c>
      <c r="C1922" s="1" t="s">
        <v>6179</v>
      </c>
      <c r="D1922" s="1" t="s">
        <v>103</v>
      </c>
      <c r="E1922" s="1" t="s">
        <v>29</v>
      </c>
      <c r="F1922" s="5">
        <v>500000.0</v>
      </c>
      <c r="G1922" s="1" t="s">
        <v>3964</v>
      </c>
      <c r="H1922" s="4">
        <v>44654.0</v>
      </c>
      <c r="I1922" s="4">
        <v>44569.0</v>
      </c>
      <c r="J1922" s="6">
        <v>44656.97638888889</v>
      </c>
      <c r="K1922" s="1">
        <v>0.0</v>
      </c>
      <c r="L1922" s="1" t="s">
        <v>1370</v>
      </c>
      <c r="M1922" s="1" t="str">
        <f>VLOOKUP(L1922,'Copy of PMD Workday Constants -'!B1921:W2607,22,false)</f>
        <v>#N/A</v>
      </c>
      <c r="N1922" s="1" t="s">
        <v>32</v>
      </c>
      <c r="O1922" s="1" t="s">
        <v>33</v>
      </c>
      <c r="P1922" s="1" t="s">
        <v>173</v>
      </c>
      <c r="Q1922" s="1" t="s">
        <v>173</v>
      </c>
      <c r="R1922" s="1" t="s">
        <v>174</v>
      </c>
      <c r="T1922" s="1">
        <v>1.00869794E8</v>
      </c>
      <c r="W1922" s="1" t="s">
        <v>91</v>
      </c>
      <c r="X1922" s="1" t="s">
        <v>1371</v>
      </c>
    </row>
    <row r="1923">
      <c r="A1923" s="1" t="s">
        <v>6180</v>
      </c>
      <c r="B1923" s="1" t="s">
        <v>859</v>
      </c>
      <c r="C1923" s="1" t="s">
        <v>6181</v>
      </c>
      <c r="D1923" s="1" t="s">
        <v>28</v>
      </c>
      <c r="E1923" s="1" t="s">
        <v>29</v>
      </c>
      <c r="F1923" s="5">
        <v>500000.0</v>
      </c>
      <c r="G1923" s="1" t="s">
        <v>3964</v>
      </c>
      <c r="H1923" s="1" t="s">
        <v>2896</v>
      </c>
      <c r="I1923" s="1" t="s">
        <v>104</v>
      </c>
      <c r="K1923" s="1">
        <v>0.0</v>
      </c>
      <c r="L1923" s="1" t="s">
        <v>2435</v>
      </c>
      <c r="M1923" s="1" t="str">
        <f>VLOOKUP(L1923,'Copy of PMD Workday Constants -'!B1922:W2608,22,false)</f>
        <v>#N/A</v>
      </c>
      <c r="N1923" s="1" t="s">
        <v>32</v>
      </c>
      <c r="O1923" s="1" t="s">
        <v>33</v>
      </c>
      <c r="P1923" s="1" t="s">
        <v>173</v>
      </c>
      <c r="Q1923" s="1" t="s">
        <v>173</v>
      </c>
      <c r="R1923" s="1" t="s">
        <v>174</v>
      </c>
      <c r="S1923" s="1" t="s">
        <v>612</v>
      </c>
      <c r="T1923" s="1">
        <v>1.00634919E8</v>
      </c>
      <c r="W1923" s="1" t="s">
        <v>147</v>
      </c>
      <c r="X1923" s="1" t="s">
        <v>2435</v>
      </c>
    </row>
    <row r="1924">
      <c r="A1924" s="1" t="s">
        <v>6182</v>
      </c>
      <c r="B1924" s="1" t="s">
        <v>6183</v>
      </c>
      <c r="C1924" s="1" t="s">
        <v>6184</v>
      </c>
      <c r="D1924" s="1" t="s">
        <v>28</v>
      </c>
      <c r="E1924" s="1" t="s">
        <v>29</v>
      </c>
      <c r="F1924" s="5">
        <v>500000.0</v>
      </c>
      <c r="G1924" s="1" t="s">
        <v>3964</v>
      </c>
      <c r="H1924" s="1" t="s">
        <v>2935</v>
      </c>
      <c r="I1924" s="1" t="s">
        <v>152</v>
      </c>
      <c r="K1924" s="1">
        <v>0.0</v>
      </c>
      <c r="L1924" s="1" t="s">
        <v>3043</v>
      </c>
      <c r="M1924" s="1" t="str">
        <f>VLOOKUP(L1924,'Copy of PMD Workday Constants -'!B1923:W2609,22,false)</f>
        <v>#N/A</v>
      </c>
      <c r="N1924" s="1" t="s">
        <v>32</v>
      </c>
      <c r="O1924" s="1" t="s">
        <v>33</v>
      </c>
      <c r="P1924" s="1" t="s">
        <v>222</v>
      </c>
      <c r="Q1924" s="1" t="s">
        <v>222</v>
      </c>
      <c r="R1924" s="1" t="s">
        <v>223</v>
      </c>
      <c r="S1924" s="1" t="s">
        <v>90</v>
      </c>
      <c r="T1924" s="1">
        <v>1.00638978E8</v>
      </c>
      <c r="W1924" s="1" t="s">
        <v>1303</v>
      </c>
      <c r="X1924" s="1" t="s">
        <v>239</v>
      </c>
    </row>
    <row r="1925">
      <c r="A1925" s="1" t="s">
        <v>6185</v>
      </c>
      <c r="B1925" s="1" t="s">
        <v>373</v>
      </c>
      <c r="C1925" s="1" t="s">
        <v>6186</v>
      </c>
      <c r="D1925" s="1" t="s">
        <v>79</v>
      </c>
      <c r="E1925" s="1" t="s">
        <v>29</v>
      </c>
      <c r="F1925" s="5">
        <v>500000.0</v>
      </c>
      <c r="G1925" s="1" t="s">
        <v>3964</v>
      </c>
      <c r="H1925" s="4">
        <v>44594.0</v>
      </c>
      <c r="I1925" s="1" t="s">
        <v>80</v>
      </c>
      <c r="K1925" s="1">
        <v>0.0</v>
      </c>
      <c r="L1925" s="1" t="s">
        <v>2339</v>
      </c>
      <c r="M1925" s="1" t="str">
        <f>VLOOKUP(L1925,'Copy of PMD Workday Constants -'!B1924:W2610,22,false)</f>
        <v>#N/A</v>
      </c>
      <c r="N1925" s="1" t="s">
        <v>32</v>
      </c>
      <c r="O1925" s="1" t="s">
        <v>33</v>
      </c>
      <c r="P1925" s="1" t="s">
        <v>210</v>
      </c>
      <c r="Q1925" s="1" t="s">
        <v>210</v>
      </c>
      <c r="R1925" s="1" t="s">
        <v>211</v>
      </c>
      <c r="S1925" s="1" t="s">
        <v>297</v>
      </c>
      <c r="T1925" s="1">
        <v>1.00647488E8</v>
      </c>
      <c r="W1925" s="1" t="s">
        <v>258</v>
      </c>
      <c r="X1925" s="1" t="s">
        <v>370</v>
      </c>
    </row>
    <row r="1926">
      <c r="A1926" s="1" t="s">
        <v>6187</v>
      </c>
      <c r="B1926" s="1" t="s">
        <v>2429</v>
      </c>
      <c r="C1926" s="1" t="s">
        <v>6188</v>
      </c>
      <c r="D1926" s="1" t="s">
        <v>28</v>
      </c>
      <c r="E1926" s="1" t="s">
        <v>29</v>
      </c>
      <c r="F1926" s="5">
        <v>500000.0</v>
      </c>
      <c r="G1926" s="1" t="s">
        <v>3964</v>
      </c>
      <c r="H1926" s="1" t="s">
        <v>556</v>
      </c>
      <c r="I1926" s="1" t="s">
        <v>217</v>
      </c>
      <c r="K1926" s="1">
        <v>0.0</v>
      </c>
      <c r="L1926" s="1" t="s">
        <v>5392</v>
      </c>
      <c r="M1926" s="1" t="str">
        <f>VLOOKUP(L1926,'Copy of PMD Workday Constants -'!B1925:W2611,22,false)</f>
        <v>#N/A</v>
      </c>
      <c r="N1926" s="1" t="s">
        <v>32</v>
      </c>
      <c r="O1926" s="1" t="s">
        <v>33</v>
      </c>
      <c r="P1926" s="1" t="s">
        <v>173</v>
      </c>
      <c r="Q1926" s="1" t="s">
        <v>173</v>
      </c>
      <c r="R1926" s="1" t="s">
        <v>174</v>
      </c>
      <c r="T1926" s="1">
        <v>1.01138319E8</v>
      </c>
      <c r="W1926" s="1" t="s">
        <v>456</v>
      </c>
      <c r="X1926" s="1" t="s">
        <v>5392</v>
      </c>
    </row>
    <row r="1927">
      <c r="A1927" s="1" t="s">
        <v>6189</v>
      </c>
      <c r="B1927" s="1" t="s">
        <v>6190</v>
      </c>
      <c r="C1927" s="1" t="s">
        <v>6191</v>
      </c>
      <c r="D1927" s="1" t="s">
        <v>28</v>
      </c>
      <c r="E1927" s="1" t="s">
        <v>29</v>
      </c>
      <c r="F1927" s="5">
        <v>500000.0</v>
      </c>
      <c r="G1927" s="1" t="s">
        <v>3964</v>
      </c>
      <c r="H1927" s="1" t="s">
        <v>1915</v>
      </c>
      <c r="I1927" s="4">
        <v>44569.0</v>
      </c>
      <c r="K1927" s="1">
        <v>0.0</v>
      </c>
      <c r="L1927" s="1" t="s">
        <v>570</v>
      </c>
      <c r="M1927" s="1" t="str">
        <f>VLOOKUP(L1927,'Copy of PMD Workday Constants -'!B1926:W2612,22,false)</f>
        <v>#N/A</v>
      </c>
      <c r="N1927" s="1" t="s">
        <v>32</v>
      </c>
      <c r="O1927" s="1" t="s">
        <v>33</v>
      </c>
      <c r="P1927" s="1" t="s">
        <v>112</v>
      </c>
      <c r="Q1927" s="1" t="s">
        <v>112</v>
      </c>
      <c r="R1927" s="1" t="s">
        <v>113</v>
      </c>
      <c r="S1927" s="1" t="s">
        <v>120</v>
      </c>
      <c r="T1927" s="1">
        <v>1.00625415E8</v>
      </c>
      <c r="W1927" s="1" t="s">
        <v>56</v>
      </c>
      <c r="X1927" s="1" t="s">
        <v>6192</v>
      </c>
    </row>
    <row r="1928">
      <c r="A1928" s="1" t="s">
        <v>6193</v>
      </c>
      <c r="B1928" s="1" t="s">
        <v>6062</v>
      </c>
      <c r="C1928" s="1" t="s">
        <v>6194</v>
      </c>
      <c r="D1928" s="1" t="s">
        <v>28</v>
      </c>
      <c r="E1928" s="1" t="s">
        <v>29</v>
      </c>
      <c r="F1928" s="5">
        <v>500000.0</v>
      </c>
      <c r="G1928" s="1" t="s">
        <v>3964</v>
      </c>
      <c r="H1928" s="1" t="s">
        <v>283</v>
      </c>
      <c r="I1928" s="1" t="s">
        <v>538</v>
      </c>
      <c r="K1928" s="1">
        <v>0.0</v>
      </c>
      <c r="L1928" s="1" t="s">
        <v>893</v>
      </c>
      <c r="M1928" s="1" t="str">
        <f>VLOOKUP(L1928,'Copy of PMD Workday Constants -'!B1927:W2613,22,false)</f>
        <v>#N/A</v>
      </c>
      <c r="N1928" s="1" t="s">
        <v>32</v>
      </c>
      <c r="O1928" s="1" t="s">
        <v>33</v>
      </c>
      <c r="P1928" s="1" t="s">
        <v>82</v>
      </c>
      <c r="Q1928" s="1" t="s">
        <v>82</v>
      </c>
      <c r="R1928" s="1" t="s">
        <v>83</v>
      </c>
      <c r="T1928" s="1">
        <v>1.0112897E8</v>
      </c>
      <c r="W1928" s="1" t="s">
        <v>85</v>
      </c>
      <c r="X1928" s="1" t="s">
        <v>894</v>
      </c>
    </row>
    <row r="1929">
      <c r="A1929" s="1" t="s">
        <v>6195</v>
      </c>
      <c r="B1929" s="1" t="s">
        <v>6196</v>
      </c>
      <c r="C1929" s="1" t="s">
        <v>6197</v>
      </c>
      <c r="D1929" s="1" t="s">
        <v>103</v>
      </c>
      <c r="E1929" s="1" t="s">
        <v>29</v>
      </c>
      <c r="F1929" s="5">
        <v>500000.0</v>
      </c>
      <c r="G1929" s="1" t="s">
        <v>3964</v>
      </c>
      <c r="H1929" s="1" t="s">
        <v>5674</v>
      </c>
      <c r="I1929" s="4">
        <v>44626.0</v>
      </c>
      <c r="K1929" s="1">
        <v>0.0</v>
      </c>
      <c r="L1929" s="1" t="s">
        <v>6198</v>
      </c>
      <c r="M1929" s="1" t="str">
        <f>VLOOKUP(L1929,'Copy of PMD Workday Constants -'!B1928:W2614,22,false)</f>
        <v>#N/A</v>
      </c>
      <c r="N1929" s="1" t="s">
        <v>32</v>
      </c>
      <c r="O1929" s="1" t="s">
        <v>33</v>
      </c>
      <c r="P1929" s="1" t="s">
        <v>222</v>
      </c>
      <c r="Q1929" s="1" t="s">
        <v>222</v>
      </c>
      <c r="R1929" s="1" t="s">
        <v>223</v>
      </c>
      <c r="S1929" s="1" t="s">
        <v>482</v>
      </c>
      <c r="T1929" s="1">
        <v>1.00923205E8</v>
      </c>
      <c r="W1929" s="1" t="s">
        <v>47</v>
      </c>
      <c r="X1929" s="1" t="s">
        <v>6198</v>
      </c>
    </row>
    <row r="1930">
      <c r="A1930" s="1" t="s">
        <v>6199</v>
      </c>
      <c r="B1930" s="1" t="s">
        <v>6200</v>
      </c>
      <c r="C1930" s="1" t="s">
        <v>6201</v>
      </c>
      <c r="D1930" s="1" t="s">
        <v>28</v>
      </c>
      <c r="E1930" s="1" t="s">
        <v>29</v>
      </c>
      <c r="F1930" s="5">
        <v>500000.0</v>
      </c>
      <c r="G1930" s="1" t="s">
        <v>3964</v>
      </c>
      <c r="H1930" s="4">
        <v>43902.0</v>
      </c>
      <c r="I1930" s="1" t="s">
        <v>538</v>
      </c>
      <c r="K1930" s="1">
        <v>0.0</v>
      </c>
      <c r="L1930" s="1" t="s">
        <v>6202</v>
      </c>
      <c r="M1930" s="1" t="str">
        <f>VLOOKUP(L1930,'Copy of PMD Workday Constants -'!B1929:W2615,22,false)</f>
        <v>#N/A</v>
      </c>
      <c r="N1930" s="1" t="s">
        <v>32</v>
      </c>
      <c r="O1930" s="1" t="s">
        <v>33</v>
      </c>
      <c r="P1930" s="1" t="s">
        <v>210</v>
      </c>
      <c r="Q1930" s="1" t="s">
        <v>210</v>
      </c>
      <c r="R1930" s="1" t="s">
        <v>211</v>
      </c>
      <c r="T1930" s="1">
        <v>1.00911004E8</v>
      </c>
      <c r="W1930" s="1" t="s">
        <v>56</v>
      </c>
      <c r="X1930" s="1" t="s">
        <v>3609</v>
      </c>
    </row>
    <row r="1931">
      <c r="A1931" s="1" t="s">
        <v>6203</v>
      </c>
      <c r="B1931" s="1" t="s">
        <v>1664</v>
      </c>
      <c r="C1931" s="1" t="s">
        <v>6204</v>
      </c>
      <c r="D1931" s="1" t="s">
        <v>103</v>
      </c>
      <c r="E1931" s="1" t="s">
        <v>29</v>
      </c>
      <c r="F1931" s="5">
        <v>500000.0</v>
      </c>
      <c r="G1931" s="1" t="s">
        <v>3964</v>
      </c>
      <c r="H1931" s="1" t="s">
        <v>556</v>
      </c>
      <c r="I1931" s="1" t="s">
        <v>941</v>
      </c>
      <c r="K1931" s="1">
        <v>0.0</v>
      </c>
      <c r="L1931" s="1" t="s">
        <v>830</v>
      </c>
      <c r="M1931" s="1" t="str">
        <f>VLOOKUP(L1931,'Copy of PMD Workday Constants -'!B1930:W2616,22,false)</f>
        <v>#N/A</v>
      </c>
      <c r="N1931" s="1" t="s">
        <v>32</v>
      </c>
      <c r="O1931" s="1" t="s">
        <v>33</v>
      </c>
      <c r="P1931" s="1" t="s">
        <v>173</v>
      </c>
      <c r="Q1931" s="1" t="s">
        <v>173</v>
      </c>
      <c r="R1931" s="1" t="s">
        <v>174</v>
      </c>
      <c r="T1931" s="1">
        <v>1.00584422E8</v>
      </c>
      <c r="W1931" s="1" t="s">
        <v>147</v>
      </c>
      <c r="X1931" s="1" t="s">
        <v>1571</v>
      </c>
    </row>
    <row r="1932">
      <c r="A1932" s="1" t="s">
        <v>6205</v>
      </c>
      <c r="B1932" s="1" t="s">
        <v>225</v>
      </c>
      <c r="C1932" s="1" t="s">
        <v>6206</v>
      </c>
      <c r="D1932" s="1" t="s">
        <v>51</v>
      </c>
      <c r="E1932" s="1" t="s">
        <v>29</v>
      </c>
      <c r="F1932" s="5">
        <v>500000.0</v>
      </c>
      <c r="G1932" s="1" t="s">
        <v>3964</v>
      </c>
      <c r="H1932" s="4">
        <v>44207.0</v>
      </c>
      <c r="I1932" s="1" t="s">
        <v>104</v>
      </c>
      <c r="K1932" s="1">
        <v>0.0</v>
      </c>
      <c r="L1932" s="1" t="s">
        <v>1456</v>
      </c>
      <c r="M1932" s="1" t="str">
        <f>VLOOKUP(L1932,'Copy of PMD Workday Constants -'!B1931:W2617,22,false)</f>
        <v>#N/A</v>
      </c>
      <c r="N1932" s="1" t="s">
        <v>32</v>
      </c>
      <c r="O1932" s="1" t="s">
        <v>33</v>
      </c>
      <c r="P1932" s="1" t="s">
        <v>82</v>
      </c>
      <c r="Q1932" s="1" t="s">
        <v>82</v>
      </c>
      <c r="R1932" s="1" t="s">
        <v>83</v>
      </c>
      <c r="S1932" s="1" t="s">
        <v>612</v>
      </c>
      <c r="T1932" s="1">
        <v>1.00649673E8</v>
      </c>
      <c r="W1932" s="1" t="s">
        <v>85</v>
      </c>
      <c r="X1932" s="1" t="s">
        <v>3115</v>
      </c>
    </row>
    <row r="1933">
      <c r="A1933" s="1" t="s">
        <v>6207</v>
      </c>
      <c r="B1933" s="1" t="s">
        <v>5566</v>
      </c>
      <c r="C1933" s="1" t="s">
        <v>6208</v>
      </c>
      <c r="D1933" s="1" t="s">
        <v>51</v>
      </c>
      <c r="E1933" s="1" t="s">
        <v>29</v>
      </c>
      <c r="F1933" s="5">
        <v>500000.0</v>
      </c>
      <c r="G1933" s="1" t="s">
        <v>3964</v>
      </c>
      <c r="H1933" s="1" t="s">
        <v>556</v>
      </c>
      <c r="I1933" s="4">
        <v>44569.0</v>
      </c>
      <c r="K1933" s="1">
        <v>0.0</v>
      </c>
      <c r="L1933" s="1" t="s">
        <v>2942</v>
      </c>
      <c r="M1933" s="1" t="str">
        <f>VLOOKUP(L1933,'Copy of PMD Workday Constants -'!B1932:W2618,22,false)</f>
        <v>#N/A</v>
      </c>
      <c r="N1933" s="1" t="s">
        <v>32</v>
      </c>
      <c r="O1933" s="1" t="s">
        <v>33</v>
      </c>
      <c r="P1933" s="1" t="s">
        <v>173</v>
      </c>
      <c r="Q1933" s="1" t="s">
        <v>173</v>
      </c>
      <c r="R1933" s="1" t="s">
        <v>174</v>
      </c>
      <c r="T1933" s="1">
        <v>1.00650064E8</v>
      </c>
      <c r="W1933" s="1" t="s">
        <v>147</v>
      </c>
      <c r="X1933" s="1" t="s">
        <v>2704</v>
      </c>
    </row>
    <row r="1934">
      <c r="A1934" s="1" t="s">
        <v>6209</v>
      </c>
      <c r="B1934" s="1" t="s">
        <v>373</v>
      </c>
      <c r="C1934" s="1" t="s">
        <v>6210</v>
      </c>
      <c r="D1934" s="1" t="s">
        <v>51</v>
      </c>
      <c r="E1934" s="1" t="s">
        <v>29</v>
      </c>
      <c r="F1934" s="5">
        <v>500000.0</v>
      </c>
      <c r="G1934" s="1" t="s">
        <v>3964</v>
      </c>
      <c r="H1934" s="4">
        <v>44359.0</v>
      </c>
      <c r="I1934" s="1" t="s">
        <v>302</v>
      </c>
      <c r="K1934" s="1">
        <v>0.0</v>
      </c>
      <c r="L1934" s="1" t="s">
        <v>370</v>
      </c>
      <c r="M1934" s="1" t="str">
        <f>VLOOKUP(L1934,'Copy of PMD Workday Constants -'!B1933:W2619,22,false)</f>
        <v>#N/A</v>
      </c>
      <c r="N1934" s="1" t="s">
        <v>32</v>
      </c>
      <c r="O1934" s="1" t="s">
        <v>33</v>
      </c>
      <c r="P1934" s="1" t="s">
        <v>210</v>
      </c>
      <c r="Q1934" s="1" t="s">
        <v>210</v>
      </c>
      <c r="R1934" s="1" t="s">
        <v>211</v>
      </c>
      <c r="S1934" s="1" t="s">
        <v>297</v>
      </c>
      <c r="T1934" s="1">
        <v>1.00658132E8</v>
      </c>
      <c r="W1934" s="1" t="s">
        <v>258</v>
      </c>
      <c r="X1934" s="1" t="s">
        <v>370</v>
      </c>
    </row>
    <row r="1935">
      <c r="A1935" s="1" t="s">
        <v>6211</v>
      </c>
      <c r="B1935" s="1" t="s">
        <v>756</v>
      </c>
      <c r="C1935" s="1" t="s">
        <v>6212</v>
      </c>
      <c r="D1935" s="1" t="s">
        <v>103</v>
      </c>
      <c r="E1935" s="1" t="s">
        <v>29</v>
      </c>
      <c r="F1935" s="5">
        <v>500000.0</v>
      </c>
      <c r="G1935" s="1" t="s">
        <v>3964</v>
      </c>
      <c r="H1935" s="1" t="s">
        <v>556</v>
      </c>
      <c r="I1935" s="4">
        <v>44780.0</v>
      </c>
      <c r="K1935" s="1">
        <v>0.0</v>
      </c>
      <c r="L1935" s="1" t="s">
        <v>759</v>
      </c>
      <c r="M1935" s="1" t="str">
        <f>VLOOKUP(L1935,'Copy of PMD Workday Constants -'!B1934:W2620,22,false)</f>
        <v>#N/A</v>
      </c>
      <c r="N1935" s="1" t="s">
        <v>32</v>
      </c>
      <c r="O1935" s="1" t="s">
        <v>33</v>
      </c>
      <c r="P1935" s="1" t="s">
        <v>64</v>
      </c>
      <c r="Q1935" s="1" t="s">
        <v>64</v>
      </c>
      <c r="R1935" s="1" t="s">
        <v>65</v>
      </c>
      <c r="S1935" s="1" t="s">
        <v>185</v>
      </c>
      <c r="T1935" s="1">
        <v>1.00610205E8</v>
      </c>
      <c r="U1935" s="1" t="s">
        <v>6213</v>
      </c>
      <c r="V1935" s="1" t="s">
        <v>781</v>
      </c>
      <c r="W1935" s="1" t="s">
        <v>74</v>
      </c>
      <c r="X1935" s="1" t="s">
        <v>3313</v>
      </c>
    </row>
    <row r="1936">
      <c r="A1936" s="1" t="s">
        <v>6214</v>
      </c>
      <c r="B1936" s="1" t="s">
        <v>3355</v>
      </c>
      <c r="C1936" s="1" t="s">
        <v>6215</v>
      </c>
      <c r="D1936" s="1" t="s">
        <v>28</v>
      </c>
      <c r="E1936" s="1" t="s">
        <v>29</v>
      </c>
      <c r="F1936" s="5">
        <v>500000.0</v>
      </c>
      <c r="G1936" s="1" t="s">
        <v>3964</v>
      </c>
      <c r="H1936" s="1" t="s">
        <v>2510</v>
      </c>
      <c r="I1936" s="4">
        <v>44780.0</v>
      </c>
      <c r="K1936" s="1">
        <v>0.0</v>
      </c>
      <c r="L1936" s="1" t="s">
        <v>72</v>
      </c>
      <c r="M1936" s="1" t="str">
        <f>VLOOKUP(L1936,'Copy of PMD Workday Constants -'!B1935:W2621,22,false)</f>
        <v>#N/A</v>
      </c>
      <c r="N1936" s="1" t="s">
        <v>32</v>
      </c>
      <c r="O1936" s="1" t="s">
        <v>33</v>
      </c>
      <c r="P1936" s="1" t="s">
        <v>34</v>
      </c>
      <c r="Q1936" s="1" t="s">
        <v>34</v>
      </c>
      <c r="R1936" s="1" t="s">
        <v>35</v>
      </c>
      <c r="S1936" s="1" t="s">
        <v>126</v>
      </c>
      <c r="T1936" s="1">
        <v>1.0060843E8</v>
      </c>
      <c r="W1936" s="1" t="s">
        <v>74</v>
      </c>
      <c r="X1936" s="1" t="s">
        <v>72</v>
      </c>
    </row>
    <row r="1937">
      <c r="A1937" s="1" t="s">
        <v>6216</v>
      </c>
      <c r="B1937" s="1" t="s">
        <v>6217</v>
      </c>
      <c r="C1937" s="1" t="s">
        <v>6218</v>
      </c>
      <c r="D1937" s="1" t="s">
        <v>51</v>
      </c>
      <c r="E1937" s="1" t="s">
        <v>29</v>
      </c>
      <c r="F1937" s="5">
        <v>500000.0</v>
      </c>
      <c r="G1937" s="1" t="s">
        <v>3964</v>
      </c>
      <c r="H1937" s="1" t="s">
        <v>2125</v>
      </c>
      <c r="I1937" s="1" t="s">
        <v>166</v>
      </c>
      <c r="K1937" s="1">
        <v>0.0</v>
      </c>
      <c r="L1937" s="1" t="s">
        <v>4608</v>
      </c>
      <c r="M1937" s="1" t="str">
        <f>VLOOKUP(L1937,'Copy of PMD Workday Constants -'!B1936:W2622,22,false)</f>
        <v>#N/A</v>
      </c>
      <c r="N1937" s="1" t="s">
        <v>32</v>
      </c>
      <c r="O1937" s="1" t="s">
        <v>33</v>
      </c>
      <c r="P1937" s="1" t="s">
        <v>222</v>
      </c>
      <c r="Q1937" s="1" t="s">
        <v>222</v>
      </c>
      <c r="R1937" s="1" t="s">
        <v>223</v>
      </c>
      <c r="S1937" s="1" t="s">
        <v>482</v>
      </c>
      <c r="T1937" s="1">
        <v>1.00592715E8</v>
      </c>
      <c r="W1937" s="1" t="s">
        <v>115</v>
      </c>
      <c r="X1937" s="1" t="s">
        <v>4608</v>
      </c>
    </row>
    <row r="1938">
      <c r="A1938" s="1" t="s">
        <v>6219</v>
      </c>
      <c r="B1938" s="1" t="s">
        <v>6062</v>
      </c>
      <c r="C1938" s="1" t="s">
        <v>6220</v>
      </c>
      <c r="D1938" s="1" t="s">
        <v>103</v>
      </c>
      <c r="E1938" s="1" t="s">
        <v>29</v>
      </c>
      <c r="F1938" s="5">
        <v>500000.0</v>
      </c>
      <c r="G1938" s="1" t="s">
        <v>3964</v>
      </c>
      <c r="H1938" s="1" t="s">
        <v>399</v>
      </c>
      <c r="I1938" s="1" t="s">
        <v>302</v>
      </c>
      <c r="K1938" s="1">
        <v>0.0</v>
      </c>
      <c r="L1938" s="1" t="s">
        <v>517</v>
      </c>
      <c r="M1938" s="1" t="str">
        <f>VLOOKUP(L1938,'Copy of PMD Workday Constants -'!B1937:W2623,22,false)</f>
        <v>#N/A</v>
      </c>
      <c r="N1938" s="1" t="s">
        <v>32</v>
      </c>
      <c r="O1938" s="1" t="s">
        <v>33</v>
      </c>
      <c r="P1938" s="1" t="s">
        <v>64</v>
      </c>
      <c r="Q1938" s="1" t="s">
        <v>64</v>
      </c>
      <c r="R1938" s="1" t="s">
        <v>65</v>
      </c>
      <c r="S1938" s="1" t="s">
        <v>229</v>
      </c>
      <c r="T1938" s="1">
        <v>1.01001596E8</v>
      </c>
      <c r="W1938" s="1" t="s">
        <v>85</v>
      </c>
      <c r="X1938" s="1" t="s">
        <v>517</v>
      </c>
    </row>
    <row r="1939">
      <c r="A1939" s="1" t="s">
        <v>6221</v>
      </c>
      <c r="B1939" s="1" t="s">
        <v>458</v>
      </c>
      <c r="C1939" s="1" t="s">
        <v>6222</v>
      </c>
      <c r="D1939" s="1" t="s">
        <v>28</v>
      </c>
      <c r="E1939" s="1" t="s">
        <v>29</v>
      </c>
      <c r="F1939" s="5">
        <v>500000.0</v>
      </c>
      <c r="G1939" s="1" t="s">
        <v>3964</v>
      </c>
      <c r="H1939" s="1" t="s">
        <v>975</v>
      </c>
      <c r="I1939" s="4">
        <v>44876.0</v>
      </c>
      <c r="K1939" s="1">
        <v>0.0</v>
      </c>
      <c r="L1939" s="1" t="s">
        <v>4794</v>
      </c>
      <c r="M1939" s="1" t="str">
        <f>VLOOKUP(L1939,'Copy of PMD Workday Constants -'!B1938:W2624,22,false)</f>
        <v>#N/A</v>
      </c>
      <c r="N1939" s="1" t="s">
        <v>32</v>
      </c>
      <c r="O1939" s="1" t="s">
        <v>33</v>
      </c>
      <c r="P1939" s="1" t="s">
        <v>173</v>
      </c>
      <c r="Q1939" s="1" t="s">
        <v>173</v>
      </c>
      <c r="R1939" s="1" t="s">
        <v>174</v>
      </c>
      <c r="S1939" s="1" t="s">
        <v>612</v>
      </c>
      <c r="T1939" s="1">
        <v>1.00875111E8</v>
      </c>
      <c r="W1939" s="1" t="s">
        <v>56</v>
      </c>
      <c r="X1939" s="1" t="s">
        <v>4795</v>
      </c>
    </row>
    <row r="1940">
      <c r="A1940" s="1" t="s">
        <v>6223</v>
      </c>
      <c r="B1940" s="1" t="s">
        <v>1373</v>
      </c>
      <c r="C1940" s="1" t="s">
        <v>6224</v>
      </c>
      <c r="D1940" s="1" t="s">
        <v>28</v>
      </c>
      <c r="E1940" s="1" t="s">
        <v>29</v>
      </c>
      <c r="F1940" s="5">
        <v>500000.0</v>
      </c>
      <c r="G1940" s="1" t="s">
        <v>3964</v>
      </c>
      <c r="H1940" s="4">
        <v>44714.0</v>
      </c>
      <c r="I1940" s="4">
        <v>44626.0</v>
      </c>
      <c r="K1940" s="1">
        <v>0.0</v>
      </c>
      <c r="L1940" s="1" t="s">
        <v>2477</v>
      </c>
      <c r="M1940" s="1" t="str">
        <f>VLOOKUP(L1940,'Copy of PMD Workday Constants -'!B1939:W2625,22,false)</f>
        <v>#N/A</v>
      </c>
      <c r="N1940" s="1" t="s">
        <v>32</v>
      </c>
      <c r="O1940" s="1" t="s">
        <v>33</v>
      </c>
      <c r="P1940" s="1" t="s">
        <v>112</v>
      </c>
      <c r="Q1940" s="1" t="s">
        <v>112</v>
      </c>
      <c r="R1940" s="1" t="s">
        <v>113</v>
      </c>
      <c r="S1940" s="1" t="s">
        <v>134</v>
      </c>
      <c r="T1940" s="1">
        <v>1.00660092E8</v>
      </c>
      <c r="W1940" s="1" t="s">
        <v>74</v>
      </c>
      <c r="X1940" s="1" t="s">
        <v>6225</v>
      </c>
    </row>
    <row r="1941">
      <c r="A1941" s="1" t="s">
        <v>6226</v>
      </c>
      <c r="B1941" s="1" t="s">
        <v>2079</v>
      </c>
      <c r="C1941" s="1" t="s">
        <v>6227</v>
      </c>
      <c r="D1941" s="1" t="s">
        <v>28</v>
      </c>
      <c r="E1941" s="1" t="s">
        <v>29</v>
      </c>
      <c r="F1941" s="5">
        <v>500000.0</v>
      </c>
      <c r="G1941" s="1" t="s">
        <v>3964</v>
      </c>
      <c r="H1941" s="4">
        <v>44653.0</v>
      </c>
      <c r="I1941" s="1" t="s">
        <v>132</v>
      </c>
      <c r="K1941" s="1">
        <v>0.0</v>
      </c>
      <c r="L1941" s="1" t="s">
        <v>2146</v>
      </c>
      <c r="M1941" s="1" t="str">
        <f>VLOOKUP(L1941,'Copy of PMD Workday Constants -'!B1940:W2626,22,false)</f>
        <v>#N/A</v>
      </c>
      <c r="N1941" s="1" t="s">
        <v>32</v>
      </c>
      <c r="O1941" s="1" t="s">
        <v>33</v>
      </c>
      <c r="P1941" s="1" t="s">
        <v>210</v>
      </c>
      <c r="Q1941" s="1" t="s">
        <v>210</v>
      </c>
      <c r="R1941" s="1" t="s">
        <v>211</v>
      </c>
      <c r="S1941" s="1" t="s">
        <v>297</v>
      </c>
      <c r="T1941" s="1">
        <v>1.00649726E8</v>
      </c>
      <c r="W1941" s="1" t="s">
        <v>258</v>
      </c>
      <c r="X1941" s="1" t="s">
        <v>2146</v>
      </c>
    </row>
    <row r="1942">
      <c r="A1942" s="1" t="s">
        <v>6228</v>
      </c>
      <c r="B1942" s="1" t="s">
        <v>2079</v>
      </c>
      <c r="C1942" s="1" t="s">
        <v>6229</v>
      </c>
      <c r="D1942" s="1" t="s">
        <v>79</v>
      </c>
      <c r="E1942" s="1" t="s">
        <v>29</v>
      </c>
      <c r="F1942" s="5">
        <v>500000.0</v>
      </c>
      <c r="G1942" s="1" t="s">
        <v>3964</v>
      </c>
      <c r="H1942" s="1" t="s">
        <v>1765</v>
      </c>
      <c r="I1942" s="1" t="s">
        <v>80</v>
      </c>
      <c r="K1942" s="1">
        <v>0.0</v>
      </c>
      <c r="L1942" s="1" t="s">
        <v>3656</v>
      </c>
      <c r="M1942" s="1" t="str">
        <f>VLOOKUP(L1942,'Copy of PMD Workday Constants -'!B1941:W2627,22,false)</f>
        <v>#N/A</v>
      </c>
      <c r="N1942" s="1" t="s">
        <v>32</v>
      </c>
      <c r="O1942" s="1" t="s">
        <v>33</v>
      </c>
      <c r="P1942" s="1" t="s">
        <v>210</v>
      </c>
      <c r="Q1942" s="1" t="s">
        <v>210</v>
      </c>
      <c r="R1942" s="1" t="s">
        <v>211</v>
      </c>
      <c r="S1942" s="1" t="s">
        <v>297</v>
      </c>
      <c r="T1942" s="1">
        <v>1.00658814E8</v>
      </c>
      <c r="W1942" s="1" t="s">
        <v>258</v>
      </c>
      <c r="X1942" s="1" t="s">
        <v>5683</v>
      </c>
    </row>
    <row r="1943">
      <c r="A1943" s="1" t="s">
        <v>6230</v>
      </c>
      <c r="B1943" s="1" t="s">
        <v>585</v>
      </c>
      <c r="C1943" s="1" t="s">
        <v>6231</v>
      </c>
      <c r="D1943" s="1" t="s">
        <v>103</v>
      </c>
      <c r="E1943" s="1" t="s">
        <v>29</v>
      </c>
      <c r="F1943" s="5">
        <v>500000.0</v>
      </c>
      <c r="G1943" s="1" t="s">
        <v>3964</v>
      </c>
      <c r="H1943" s="4">
        <v>44352.0</v>
      </c>
      <c r="I1943" s="4">
        <v>44571.0</v>
      </c>
      <c r="K1943" s="1">
        <v>0.0</v>
      </c>
      <c r="L1943" s="1" t="s">
        <v>338</v>
      </c>
      <c r="M1943" s="1" t="str">
        <f>VLOOKUP(L1943,'Copy of PMD Workday Constants -'!B1942:W2628,22,false)</f>
        <v>#N/A</v>
      </c>
      <c r="N1943" s="1" t="s">
        <v>32</v>
      </c>
      <c r="O1943" s="1" t="s">
        <v>33</v>
      </c>
      <c r="P1943" s="1" t="s">
        <v>34</v>
      </c>
      <c r="Q1943" s="1" t="s">
        <v>34</v>
      </c>
      <c r="R1943" s="1" t="s">
        <v>35</v>
      </c>
      <c r="S1943" s="1" t="s">
        <v>36</v>
      </c>
      <c r="T1943" s="1">
        <v>1.00619817E8</v>
      </c>
      <c r="W1943" s="1" t="s">
        <v>91</v>
      </c>
      <c r="X1943" s="1" t="s">
        <v>6232</v>
      </c>
    </row>
    <row r="1944">
      <c r="A1944" s="1" t="s">
        <v>6233</v>
      </c>
      <c r="B1944" s="1" t="s">
        <v>3270</v>
      </c>
      <c r="C1944" s="1" t="s">
        <v>6234</v>
      </c>
      <c r="D1944" s="1" t="s">
        <v>51</v>
      </c>
      <c r="E1944" s="1" t="s">
        <v>29</v>
      </c>
      <c r="F1944" s="5">
        <v>500000.0</v>
      </c>
      <c r="G1944" s="1" t="s">
        <v>3964</v>
      </c>
      <c r="H1944" s="4">
        <v>44317.0</v>
      </c>
      <c r="I1944" s="1" t="s">
        <v>104</v>
      </c>
      <c r="K1944" s="1">
        <v>0.0</v>
      </c>
      <c r="L1944" s="1" t="s">
        <v>6235</v>
      </c>
      <c r="M1944" s="1" t="str">
        <f>VLOOKUP(L1944,'Copy of PMD Workday Constants -'!B1943:W2629,22,false)</f>
        <v>#N/A</v>
      </c>
      <c r="N1944" s="1" t="s">
        <v>32</v>
      </c>
      <c r="O1944" s="1" t="s">
        <v>33</v>
      </c>
      <c r="P1944" s="1" t="s">
        <v>54</v>
      </c>
      <c r="Q1944" s="1" t="s">
        <v>54</v>
      </c>
      <c r="R1944" s="1" t="s">
        <v>55</v>
      </c>
      <c r="S1944" s="1" t="s">
        <v>701</v>
      </c>
      <c r="T1944" s="1">
        <v>1.00585036E8</v>
      </c>
      <c r="W1944" s="1" t="s">
        <v>74</v>
      </c>
      <c r="X1944" s="1" t="s">
        <v>6235</v>
      </c>
    </row>
    <row r="1945">
      <c r="A1945" s="1" t="s">
        <v>6236</v>
      </c>
      <c r="B1945" s="1" t="s">
        <v>6237</v>
      </c>
      <c r="C1945" s="1" t="s">
        <v>6238</v>
      </c>
      <c r="D1945" s="1" t="s">
        <v>28</v>
      </c>
      <c r="E1945" s="1" t="s">
        <v>29</v>
      </c>
      <c r="F1945" s="5">
        <v>500000.0</v>
      </c>
      <c r="G1945" s="1" t="s">
        <v>3964</v>
      </c>
      <c r="H1945" s="4">
        <v>44809.0</v>
      </c>
      <c r="I1945" s="4">
        <v>44569.0</v>
      </c>
      <c r="K1945" s="1">
        <v>0.0</v>
      </c>
      <c r="L1945" s="1" t="s">
        <v>1370</v>
      </c>
      <c r="M1945" s="1" t="str">
        <f>VLOOKUP(L1945,'Copy of PMD Workday Constants -'!B1944:W2630,22,false)</f>
        <v>#N/A</v>
      </c>
      <c r="N1945" s="1" t="s">
        <v>32</v>
      </c>
      <c r="O1945" s="1" t="s">
        <v>33</v>
      </c>
      <c r="P1945" s="1" t="s">
        <v>173</v>
      </c>
      <c r="Q1945" s="1" t="s">
        <v>173</v>
      </c>
      <c r="R1945" s="1" t="s">
        <v>174</v>
      </c>
      <c r="T1945" s="1">
        <v>1.00869794E8</v>
      </c>
      <c r="W1945" s="1" t="s">
        <v>47</v>
      </c>
      <c r="X1945" s="1" t="s">
        <v>6239</v>
      </c>
    </row>
    <row r="1946">
      <c r="A1946" s="1" t="s">
        <v>6240</v>
      </c>
      <c r="B1946" s="1" t="s">
        <v>6237</v>
      </c>
      <c r="C1946" s="1" t="s">
        <v>6241</v>
      </c>
      <c r="D1946" s="1" t="s">
        <v>28</v>
      </c>
      <c r="E1946" s="1" t="s">
        <v>29</v>
      </c>
      <c r="F1946" s="5">
        <v>500000.0</v>
      </c>
      <c r="G1946" s="1" t="s">
        <v>3964</v>
      </c>
      <c r="H1946" s="4">
        <v>44809.0</v>
      </c>
      <c r="I1946" s="4">
        <v>44569.0</v>
      </c>
      <c r="K1946" s="1">
        <v>0.0</v>
      </c>
      <c r="L1946" s="1" t="s">
        <v>1370</v>
      </c>
      <c r="M1946" s="1" t="str">
        <f>VLOOKUP(L1946,'Copy of PMD Workday Constants -'!B1945:W2631,22,false)</f>
        <v>#N/A</v>
      </c>
      <c r="N1946" s="1" t="s">
        <v>32</v>
      </c>
      <c r="O1946" s="1" t="s">
        <v>33</v>
      </c>
      <c r="P1946" s="1" t="s">
        <v>173</v>
      </c>
      <c r="Q1946" s="1" t="s">
        <v>173</v>
      </c>
      <c r="R1946" s="1" t="s">
        <v>174</v>
      </c>
      <c r="T1946" s="1">
        <v>1.00869794E8</v>
      </c>
      <c r="W1946" s="1" t="s">
        <v>47</v>
      </c>
      <c r="X1946" s="1" t="s">
        <v>6239</v>
      </c>
    </row>
    <row r="1947">
      <c r="A1947" s="1" t="s">
        <v>6242</v>
      </c>
      <c r="B1947" s="1" t="s">
        <v>2075</v>
      </c>
      <c r="C1947" s="1" t="s">
        <v>6243</v>
      </c>
      <c r="D1947" s="1" t="s">
        <v>103</v>
      </c>
      <c r="E1947" s="1" t="s">
        <v>29</v>
      </c>
      <c r="F1947" s="5">
        <v>500000.0</v>
      </c>
      <c r="G1947" s="1" t="s">
        <v>3964</v>
      </c>
      <c r="H1947" s="1" t="s">
        <v>2077</v>
      </c>
      <c r="I1947" s="1" t="s">
        <v>414</v>
      </c>
      <c r="K1947" s="1">
        <v>0.0</v>
      </c>
      <c r="L1947" s="1" t="s">
        <v>1206</v>
      </c>
      <c r="M1947" s="1" t="str">
        <f>VLOOKUP(L1947,'Copy of PMD Workday Constants -'!B1946:W2632,22,false)</f>
        <v>#N/A</v>
      </c>
      <c r="N1947" s="1" t="s">
        <v>32</v>
      </c>
      <c r="O1947" s="1" t="s">
        <v>33</v>
      </c>
      <c r="P1947" s="1" t="s">
        <v>82</v>
      </c>
      <c r="Q1947" s="1" t="s">
        <v>82</v>
      </c>
      <c r="R1947" s="1" t="s">
        <v>83</v>
      </c>
      <c r="S1947" s="1" t="s">
        <v>180</v>
      </c>
      <c r="T1947" s="1">
        <v>1.00943277E8</v>
      </c>
      <c r="W1947" s="1" t="s">
        <v>85</v>
      </c>
      <c r="X1947" s="1" t="s">
        <v>1206</v>
      </c>
    </row>
    <row r="1948">
      <c r="A1948" s="1" t="s">
        <v>6244</v>
      </c>
      <c r="B1948" s="1" t="s">
        <v>373</v>
      </c>
      <c r="C1948" s="1" t="s">
        <v>6245</v>
      </c>
      <c r="D1948" s="1" t="s">
        <v>28</v>
      </c>
      <c r="E1948" s="1" t="s">
        <v>29</v>
      </c>
      <c r="F1948" s="5">
        <v>500000.0</v>
      </c>
      <c r="G1948" s="1" t="s">
        <v>3964</v>
      </c>
      <c r="H1948" s="4">
        <v>44779.0</v>
      </c>
      <c r="I1948" s="1" t="s">
        <v>406</v>
      </c>
      <c r="K1948" s="1">
        <v>0.0</v>
      </c>
      <c r="L1948" s="1" t="s">
        <v>5384</v>
      </c>
      <c r="M1948" s="1" t="str">
        <f>VLOOKUP(L1948,'Copy of PMD Workday Constants -'!B1947:W2633,22,false)</f>
        <v>#N/A</v>
      </c>
      <c r="N1948" s="1" t="s">
        <v>32</v>
      </c>
      <c r="O1948" s="1" t="s">
        <v>33</v>
      </c>
      <c r="P1948" s="1" t="s">
        <v>112</v>
      </c>
      <c r="Q1948" s="1" t="s">
        <v>112</v>
      </c>
      <c r="R1948" s="1" t="s">
        <v>113</v>
      </c>
      <c r="T1948" s="1">
        <v>1.00615309E8</v>
      </c>
      <c r="W1948" s="1" t="s">
        <v>258</v>
      </c>
      <c r="X1948" s="1" t="s">
        <v>5384</v>
      </c>
    </row>
    <row r="1949">
      <c r="A1949" s="1" t="s">
        <v>6246</v>
      </c>
      <c r="B1949" s="1" t="s">
        <v>3585</v>
      </c>
      <c r="C1949" s="1" t="s">
        <v>6247</v>
      </c>
      <c r="D1949" s="1" t="s">
        <v>28</v>
      </c>
      <c r="E1949" s="1" t="s">
        <v>29</v>
      </c>
      <c r="F1949" s="5">
        <v>500000.0</v>
      </c>
      <c r="G1949" s="1" t="s">
        <v>3964</v>
      </c>
      <c r="H1949" s="1" t="s">
        <v>52</v>
      </c>
      <c r="I1949" s="4">
        <v>44840.0</v>
      </c>
      <c r="K1949" s="1">
        <v>0.0</v>
      </c>
      <c r="L1949" s="1" t="s">
        <v>1723</v>
      </c>
      <c r="M1949" s="1" t="str">
        <f>VLOOKUP(L1949,'Copy of PMD Workday Constants -'!B1948:W2634,22,false)</f>
        <v>#N/A</v>
      </c>
      <c r="N1949" s="1" t="s">
        <v>32</v>
      </c>
      <c r="O1949" s="1" t="s">
        <v>33</v>
      </c>
      <c r="P1949" s="1" t="s">
        <v>222</v>
      </c>
      <c r="Q1949" s="1" t="s">
        <v>222</v>
      </c>
      <c r="R1949" s="1" t="s">
        <v>223</v>
      </c>
      <c r="S1949" s="1" t="s">
        <v>601</v>
      </c>
      <c r="T1949" s="1">
        <v>1.00901211E8</v>
      </c>
      <c r="X1949" s="1" t="s">
        <v>6248</v>
      </c>
    </row>
    <row r="1950">
      <c r="A1950" s="1" t="s">
        <v>6249</v>
      </c>
      <c r="B1950" s="1" t="s">
        <v>2429</v>
      </c>
      <c r="C1950" s="1" t="s">
        <v>6250</v>
      </c>
      <c r="D1950" s="1" t="s">
        <v>28</v>
      </c>
      <c r="E1950" s="1" t="s">
        <v>29</v>
      </c>
      <c r="F1950" s="5">
        <v>500000.0</v>
      </c>
      <c r="G1950" s="1" t="s">
        <v>3964</v>
      </c>
      <c r="H1950" s="4">
        <v>44204.0</v>
      </c>
      <c r="I1950" s="1" t="s">
        <v>43</v>
      </c>
      <c r="K1950" s="1">
        <v>0.0</v>
      </c>
      <c r="L1950" s="1" t="s">
        <v>1525</v>
      </c>
      <c r="M1950" s="1" t="str">
        <f>VLOOKUP(L1950,'Copy of PMD Workday Constants -'!B1949:W2635,22,false)</f>
        <v>#N/A</v>
      </c>
      <c r="N1950" s="1" t="s">
        <v>32</v>
      </c>
      <c r="O1950" s="1" t="s">
        <v>33</v>
      </c>
      <c r="P1950" s="1" t="s">
        <v>34</v>
      </c>
      <c r="Q1950" s="1" t="s">
        <v>34</v>
      </c>
      <c r="R1950" s="1" t="s">
        <v>35</v>
      </c>
      <c r="S1950" s="1" t="s">
        <v>1166</v>
      </c>
      <c r="T1950" s="1">
        <v>1.00637597E8</v>
      </c>
      <c r="U1950" s="1" t="s">
        <v>6251</v>
      </c>
      <c r="V1950" s="1" t="s">
        <v>187</v>
      </c>
      <c r="W1950" s="1" t="s">
        <v>456</v>
      </c>
      <c r="X1950" s="1" t="s">
        <v>1525</v>
      </c>
    </row>
    <row r="1951">
      <c r="A1951" s="1" t="s">
        <v>6252</v>
      </c>
      <c r="B1951" s="1" t="s">
        <v>6237</v>
      </c>
      <c r="C1951" s="1" t="s">
        <v>6253</v>
      </c>
      <c r="D1951" s="1" t="s">
        <v>28</v>
      </c>
      <c r="E1951" s="1" t="s">
        <v>29</v>
      </c>
      <c r="F1951" s="5">
        <v>500000.0</v>
      </c>
      <c r="G1951" s="1" t="s">
        <v>3964</v>
      </c>
      <c r="H1951" s="4">
        <v>44809.0</v>
      </c>
      <c r="I1951" s="4">
        <v>44569.0</v>
      </c>
      <c r="K1951" s="1">
        <v>0.0</v>
      </c>
      <c r="L1951" s="1" t="s">
        <v>1370</v>
      </c>
      <c r="M1951" s="1" t="str">
        <f>VLOOKUP(L1951,'Copy of PMD Workday Constants -'!B1950:W2636,22,false)</f>
        <v>#N/A</v>
      </c>
      <c r="N1951" s="1" t="s">
        <v>32</v>
      </c>
      <c r="O1951" s="1" t="s">
        <v>33</v>
      </c>
      <c r="P1951" s="1" t="s">
        <v>173</v>
      </c>
      <c r="Q1951" s="1" t="s">
        <v>173</v>
      </c>
      <c r="R1951" s="1" t="s">
        <v>174</v>
      </c>
      <c r="T1951" s="1">
        <v>1.00869794E8</v>
      </c>
      <c r="W1951" s="1" t="s">
        <v>47</v>
      </c>
      <c r="X1951" s="1" t="s">
        <v>6239</v>
      </c>
    </row>
    <row r="1952">
      <c r="A1952" s="1" t="s">
        <v>6254</v>
      </c>
      <c r="B1952" s="1" t="s">
        <v>913</v>
      </c>
      <c r="C1952" s="1" t="s">
        <v>6255</v>
      </c>
      <c r="D1952" s="1" t="s">
        <v>28</v>
      </c>
      <c r="E1952" s="1" t="s">
        <v>29</v>
      </c>
      <c r="F1952" s="5">
        <v>500000.0</v>
      </c>
      <c r="G1952" s="1" t="s">
        <v>3964</v>
      </c>
      <c r="H1952" s="4">
        <v>44870.0</v>
      </c>
      <c r="I1952" s="1" t="s">
        <v>217</v>
      </c>
      <c r="K1952" s="1">
        <v>0.0</v>
      </c>
      <c r="L1952" s="1" t="s">
        <v>938</v>
      </c>
      <c r="M1952" s="1" t="str">
        <f>VLOOKUP(L1952,'Copy of PMD Workday Constants -'!B1951:W2637,22,false)</f>
        <v>#N/A</v>
      </c>
      <c r="N1952" s="1" t="s">
        <v>32</v>
      </c>
      <c r="O1952" s="1" t="s">
        <v>33</v>
      </c>
      <c r="P1952" s="1" t="s">
        <v>82</v>
      </c>
      <c r="Q1952" s="1" t="s">
        <v>82</v>
      </c>
      <c r="R1952" s="1" t="s">
        <v>83</v>
      </c>
      <c r="S1952" s="1" t="s">
        <v>84</v>
      </c>
      <c r="T1952" s="1">
        <v>1.00653499E8</v>
      </c>
      <c r="W1952" s="1" t="s">
        <v>85</v>
      </c>
      <c r="X1952" s="1" t="s">
        <v>916</v>
      </c>
    </row>
    <row r="1953">
      <c r="A1953" s="1" t="s">
        <v>6256</v>
      </c>
      <c r="B1953" s="1" t="s">
        <v>40</v>
      </c>
      <c r="C1953" s="1" t="s">
        <v>6257</v>
      </c>
      <c r="D1953" s="1" t="s">
        <v>51</v>
      </c>
      <c r="E1953" s="1" t="s">
        <v>29</v>
      </c>
      <c r="F1953" s="5">
        <v>500000.0</v>
      </c>
      <c r="G1953" s="1" t="s">
        <v>3964</v>
      </c>
      <c r="H1953" s="1" t="s">
        <v>1681</v>
      </c>
      <c r="I1953" s="1" t="s">
        <v>152</v>
      </c>
      <c r="K1953" s="1">
        <v>0.0</v>
      </c>
      <c r="L1953" s="1" t="s">
        <v>4112</v>
      </c>
      <c r="M1953" s="1" t="str">
        <f>VLOOKUP(L1953,'Copy of PMD Workday Constants -'!B1952:W2638,22,false)</f>
        <v>#N/A</v>
      </c>
      <c r="N1953" s="1" t="s">
        <v>32</v>
      </c>
      <c r="O1953" s="1" t="s">
        <v>33</v>
      </c>
      <c r="P1953" s="1" t="s">
        <v>34</v>
      </c>
      <c r="Q1953" s="1" t="s">
        <v>34</v>
      </c>
      <c r="R1953" s="1" t="s">
        <v>35</v>
      </c>
      <c r="S1953" s="1" t="s">
        <v>126</v>
      </c>
      <c r="T1953" s="1">
        <v>1.00584558E8</v>
      </c>
      <c r="W1953" s="1" t="s">
        <v>47</v>
      </c>
      <c r="X1953" s="1" t="s">
        <v>718</v>
      </c>
    </row>
    <row r="1954">
      <c r="A1954" s="1" t="s">
        <v>6258</v>
      </c>
      <c r="B1954" s="1" t="s">
        <v>6259</v>
      </c>
      <c r="C1954" s="1" t="s">
        <v>6260</v>
      </c>
      <c r="D1954" s="1" t="s">
        <v>28</v>
      </c>
      <c r="E1954" s="1" t="s">
        <v>29</v>
      </c>
      <c r="F1954" s="5">
        <v>500000.0</v>
      </c>
      <c r="G1954" s="1" t="s">
        <v>3964</v>
      </c>
      <c r="H1954" s="1" t="s">
        <v>4570</v>
      </c>
      <c r="I1954" s="1" t="s">
        <v>295</v>
      </c>
      <c r="K1954" s="1">
        <v>0.0</v>
      </c>
      <c r="L1954" s="1" t="s">
        <v>415</v>
      </c>
      <c r="M1954" s="1" t="str">
        <f>VLOOKUP(L1954,'Copy of PMD Workday Constants -'!B1953:W2639,22,false)</f>
        <v>#N/A</v>
      </c>
      <c r="N1954" s="1" t="s">
        <v>32</v>
      </c>
      <c r="O1954" s="1" t="s">
        <v>33</v>
      </c>
      <c r="P1954" s="1" t="s">
        <v>210</v>
      </c>
      <c r="Q1954" s="1" t="s">
        <v>210</v>
      </c>
      <c r="R1954" s="1" t="s">
        <v>211</v>
      </c>
      <c r="S1954" s="1" t="s">
        <v>114</v>
      </c>
      <c r="T1954" s="1">
        <v>1.00650375E8</v>
      </c>
      <c r="W1954" s="1" t="s">
        <v>140</v>
      </c>
      <c r="X1954" s="1" t="s">
        <v>415</v>
      </c>
    </row>
    <row r="1955">
      <c r="A1955" s="1" t="s">
        <v>6261</v>
      </c>
      <c r="B1955" s="1" t="s">
        <v>1373</v>
      </c>
      <c r="C1955" s="1" t="s">
        <v>6262</v>
      </c>
      <c r="D1955" s="1" t="s">
        <v>51</v>
      </c>
      <c r="E1955" s="1" t="s">
        <v>29</v>
      </c>
      <c r="F1955" s="5">
        <v>500000.0</v>
      </c>
      <c r="G1955" s="1" t="s">
        <v>3964</v>
      </c>
      <c r="H1955" s="1" t="s">
        <v>2896</v>
      </c>
      <c r="I1955" s="1" t="s">
        <v>302</v>
      </c>
      <c r="K1955" s="1">
        <v>0.0</v>
      </c>
      <c r="L1955" s="1" t="s">
        <v>1380</v>
      </c>
      <c r="M1955" s="1" t="str">
        <f>VLOOKUP(L1955,'Copy of PMD Workday Constants -'!B1954:W2640,22,false)</f>
        <v>#N/A</v>
      </c>
      <c r="N1955" s="1" t="s">
        <v>32</v>
      </c>
      <c r="O1955" s="1" t="s">
        <v>33</v>
      </c>
      <c r="P1955" s="1" t="s">
        <v>34</v>
      </c>
      <c r="Q1955" s="1" t="s">
        <v>34</v>
      </c>
      <c r="R1955" s="1" t="s">
        <v>35</v>
      </c>
      <c r="S1955" s="1" t="s">
        <v>126</v>
      </c>
      <c r="T1955" s="1">
        <v>1.00587434E8</v>
      </c>
      <c r="W1955" s="1" t="s">
        <v>74</v>
      </c>
      <c r="X1955" s="1" t="s">
        <v>1380</v>
      </c>
    </row>
    <row r="1956">
      <c r="A1956" s="1" t="s">
        <v>6263</v>
      </c>
      <c r="B1956" s="1" t="s">
        <v>2333</v>
      </c>
      <c r="C1956" s="1" t="s">
        <v>6264</v>
      </c>
      <c r="D1956" s="1" t="s">
        <v>103</v>
      </c>
      <c r="E1956" s="1" t="s">
        <v>29</v>
      </c>
      <c r="F1956" s="5">
        <v>500000.0</v>
      </c>
      <c r="G1956" s="1" t="s">
        <v>3964</v>
      </c>
      <c r="H1956" s="1" t="s">
        <v>2290</v>
      </c>
      <c r="I1956" s="1" t="s">
        <v>810</v>
      </c>
      <c r="K1956" s="1">
        <v>0.0</v>
      </c>
      <c r="L1956" s="1" t="s">
        <v>2339</v>
      </c>
      <c r="M1956" s="1" t="str">
        <f>VLOOKUP(L1956,'Copy of PMD Workday Constants -'!B1955:W2641,22,false)</f>
        <v>#N/A</v>
      </c>
      <c r="N1956" s="1" t="s">
        <v>32</v>
      </c>
      <c r="O1956" s="1" t="s">
        <v>33</v>
      </c>
      <c r="P1956" s="1" t="s">
        <v>210</v>
      </c>
      <c r="Q1956" s="1" t="s">
        <v>210</v>
      </c>
      <c r="R1956" s="1" t="s">
        <v>211</v>
      </c>
      <c r="S1956" s="1" t="s">
        <v>297</v>
      </c>
      <c r="T1956" s="1">
        <v>1.00647488E8</v>
      </c>
      <c r="W1956" s="1" t="s">
        <v>258</v>
      </c>
      <c r="X1956" s="1" t="s">
        <v>370</v>
      </c>
    </row>
    <row r="1957">
      <c r="A1957" s="1" t="s">
        <v>6265</v>
      </c>
      <c r="B1957" s="1" t="s">
        <v>3542</v>
      </c>
      <c r="C1957" s="1" t="s">
        <v>6266</v>
      </c>
      <c r="D1957" s="1" t="s">
        <v>28</v>
      </c>
      <c r="E1957" s="1" t="s">
        <v>29</v>
      </c>
      <c r="F1957" s="5">
        <v>500000.0</v>
      </c>
      <c r="G1957" s="1" t="s">
        <v>3964</v>
      </c>
      <c r="H1957" s="1" t="s">
        <v>4570</v>
      </c>
      <c r="I1957" s="4">
        <v>44569.0</v>
      </c>
      <c r="K1957" s="1">
        <v>0.0</v>
      </c>
      <c r="L1957" s="1" t="s">
        <v>1549</v>
      </c>
      <c r="M1957" s="1" t="str">
        <f>VLOOKUP(L1957,'Copy of PMD Workday Constants -'!B1956:W2642,22,false)</f>
        <v>#N/A</v>
      </c>
      <c r="N1957" s="1" t="s">
        <v>32</v>
      </c>
      <c r="O1957" s="1" t="s">
        <v>33</v>
      </c>
      <c r="P1957" s="1" t="s">
        <v>173</v>
      </c>
      <c r="Q1957" s="1" t="s">
        <v>173</v>
      </c>
      <c r="R1957" s="1" t="s">
        <v>174</v>
      </c>
      <c r="T1957" s="1">
        <v>1.00646908E8</v>
      </c>
      <c r="W1957" s="1" t="s">
        <v>947</v>
      </c>
      <c r="X1957" s="1" t="s">
        <v>4942</v>
      </c>
    </row>
    <row r="1958">
      <c r="A1958" s="1" t="s">
        <v>6267</v>
      </c>
      <c r="B1958" s="1" t="s">
        <v>4547</v>
      </c>
      <c r="C1958" s="1" t="s">
        <v>6268</v>
      </c>
      <c r="D1958" s="1" t="s">
        <v>28</v>
      </c>
      <c r="E1958" s="1" t="s">
        <v>29</v>
      </c>
      <c r="F1958" s="5">
        <v>500000.0</v>
      </c>
      <c r="G1958" s="1" t="s">
        <v>3964</v>
      </c>
      <c r="H1958" s="1" t="s">
        <v>2724</v>
      </c>
      <c r="I1958" s="1" t="s">
        <v>96</v>
      </c>
      <c r="K1958" s="1">
        <v>0.0</v>
      </c>
      <c r="L1958" s="1" t="s">
        <v>1120</v>
      </c>
      <c r="M1958" s="1" t="str">
        <f>VLOOKUP(L1958,'Copy of PMD Workday Constants -'!B1957:W2643,22,false)</f>
        <v>#N/A</v>
      </c>
      <c r="N1958" s="1" t="s">
        <v>32</v>
      </c>
      <c r="O1958" s="1" t="s">
        <v>33</v>
      </c>
      <c r="P1958" s="1" t="s">
        <v>82</v>
      </c>
      <c r="Q1958" s="1" t="s">
        <v>82</v>
      </c>
      <c r="R1958" s="1" t="s">
        <v>83</v>
      </c>
      <c r="S1958" s="1" t="s">
        <v>180</v>
      </c>
      <c r="T1958" s="1">
        <v>1.00603613E8</v>
      </c>
      <c r="W1958" s="1" t="s">
        <v>74</v>
      </c>
      <c r="X1958" s="1" t="s">
        <v>4549</v>
      </c>
    </row>
    <row r="1959">
      <c r="A1959" s="1" t="s">
        <v>6269</v>
      </c>
      <c r="B1959" s="1" t="s">
        <v>863</v>
      </c>
      <c r="C1959" s="1" t="s">
        <v>6270</v>
      </c>
      <c r="D1959" s="1" t="s">
        <v>51</v>
      </c>
      <c r="E1959" s="1" t="s">
        <v>29</v>
      </c>
      <c r="F1959" s="5">
        <v>500000.0</v>
      </c>
      <c r="G1959" s="1" t="s">
        <v>3964</v>
      </c>
      <c r="H1959" s="4">
        <v>44481.0</v>
      </c>
      <c r="I1959" s="4">
        <v>44572.0</v>
      </c>
      <c r="K1959" s="1">
        <v>0.0</v>
      </c>
      <c r="L1959" s="1" t="s">
        <v>6271</v>
      </c>
      <c r="M1959" s="1" t="str">
        <f>VLOOKUP(L1959,'Copy of PMD Workday Constants -'!B1958:W2644,22,false)</f>
        <v>#N/A</v>
      </c>
      <c r="N1959" s="1" t="s">
        <v>32</v>
      </c>
      <c r="O1959" s="1" t="s">
        <v>33</v>
      </c>
      <c r="P1959" s="1" t="s">
        <v>173</v>
      </c>
      <c r="Q1959" s="1" t="s">
        <v>173</v>
      </c>
      <c r="R1959" s="1" t="s">
        <v>174</v>
      </c>
      <c r="S1959" s="1" t="s">
        <v>153</v>
      </c>
      <c r="T1959" s="1">
        <v>1.00634003E8</v>
      </c>
      <c r="W1959" s="1" t="s">
        <v>85</v>
      </c>
      <c r="X1959" s="1" t="s">
        <v>6271</v>
      </c>
    </row>
    <row r="1960">
      <c r="A1960" s="1" t="s">
        <v>6272</v>
      </c>
      <c r="B1960" s="1" t="s">
        <v>219</v>
      </c>
      <c r="C1960" s="1" t="s">
        <v>6273</v>
      </c>
      <c r="D1960" s="1" t="s">
        <v>28</v>
      </c>
      <c r="E1960" s="1" t="s">
        <v>29</v>
      </c>
      <c r="F1960" s="5">
        <v>500000.0</v>
      </c>
      <c r="G1960" s="1" t="s">
        <v>3964</v>
      </c>
      <c r="H1960" s="1" t="s">
        <v>2622</v>
      </c>
      <c r="I1960" s="1" t="s">
        <v>104</v>
      </c>
      <c r="K1960" s="1">
        <v>0.0</v>
      </c>
      <c r="L1960" s="1" t="s">
        <v>221</v>
      </c>
      <c r="M1960" s="1" t="str">
        <f>VLOOKUP(L1960,'Copy of PMD Workday Constants -'!B1959:W2645,22,false)</f>
        <v>#N/A</v>
      </c>
      <c r="N1960" s="1" t="s">
        <v>32</v>
      </c>
      <c r="O1960" s="1" t="s">
        <v>33</v>
      </c>
      <c r="P1960" s="1" t="s">
        <v>222</v>
      </c>
      <c r="Q1960" s="1" t="s">
        <v>222</v>
      </c>
      <c r="R1960" s="1" t="s">
        <v>223</v>
      </c>
      <c r="T1960" s="1">
        <v>1.00660017E8</v>
      </c>
      <c r="W1960" s="1" t="s">
        <v>91</v>
      </c>
      <c r="X1960" s="1" t="s">
        <v>221</v>
      </c>
    </row>
    <row r="1961">
      <c r="A1961" s="1" t="s">
        <v>6274</v>
      </c>
      <c r="B1961" s="1" t="s">
        <v>931</v>
      </c>
      <c r="C1961" s="1" t="s">
        <v>6275</v>
      </c>
      <c r="D1961" s="1" t="s">
        <v>28</v>
      </c>
      <c r="E1961" s="1" t="s">
        <v>29</v>
      </c>
      <c r="F1961" s="5">
        <v>500000.0</v>
      </c>
      <c r="G1961" s="1" t="s">
        <v>3964</v>
      </c>
      <c r="H1961" s="4">
        <v>44203.0</v>
      </c>
      <c r="I1961" s="1" t="s">
        <v>80</v>
      </c>
      <c r="K1961" s="1">
        <v>0.0</v>
      </c>
      <c r="L1961" s="1" t="s">
        <v>4682</v>
      </c>
      <c r="M1961" s="1" t="str">
        <f>VLOOKUP(L1961,'Copy of PMD Workday Constants -'!B1960:W2646,22,false)</f>
        <v>#N/A</v>
      </c>
      <c r="N1961" s="1" t="s">
        <v>32</v>
      </c>
      <c r="O1961" s="1" t="s">
        <v>33</v>
      </c>
      <c r="P1961" s="1" t="s">
        <v>173</v>
      </c>
      <c r="Q1961" s="1" t="s">
        <v>173</v>
      </c>
      <c r="R1961" s="1" t="s">
        <v>174</v>
      </c>
      <c r="S1961" s="1" t="s">
        <v>153</v>
      </c>
      <c r="T1961" s="1">
        <v>1.0064746E8</v>
      </c>
      <c r="W1961" s="1" t="s">
        <v>85</v>
      </c>
      <c r="X1961" s="1" t="s">
        <v>4682</v>
      </c>
    </row>
    <row r="1962">
      <c r="A1962" s="1" t="s">
        <v>6276</v>
      </c>
      <c r="B1962" s="1" t="s">
        <v>3355</v>
      </c>
      <c r="C1962" s="1" t="s">
        <v>6277</v>
      </c>
      <c r="D1962" s="1" t="s">
        <v>51</v>
      </c>
      <c r="E1962" s="1" t="s">
        <v>29</v>
      </c>
      <c r="F1962" s="5">
        <v>500000.0</v>
      </c>
      <c r="G1962" s="1" t="s">
        <v>3964</v>
      </c>
      <c r="H1962" s="4">
        <v>44567.0</v>
      </c>
      <c r="I1962" s="1" t="s">
        <v>80</v>
      </c>
      <c r="K1962" s="1">
        <v>0.0</v>
      </c>
      <c r="L1962" s="1" t="s">
        <v>618</v>
      </c>
      <c r="M1962" s="1" t="str">
        <f>VLOOKUP(L1962,'Copy of PMD Workday Constants -'!B1961:W2647,22,false)</f>
        <v>#N/A</v>
      </c>
      <c r="N1962" s="1" t="s">
        <v>32</v>
      </c>
      <c r="O1962" s="1" t="s">
        <v>33</v>
      </c>
      <c r="P1962" s="1" t="s">
        <v>173</v>
      </c>
      <c r="Q1962" s="1" t="s">
        <v>173</v>
      </c>
      <c r="R1962" s="1" t="s">
        <v>174</v>
      </c>
      <c r="T1962" s="1">
        <v>1.00591141E8</v>
      </c>
      <c r="W1962" s="1" t="s">
        <v>74</v>
      </c>
      <c r="X1962" s="1" t="s">
        <v>3357</v>
      </c>
    </row>
    <row r="1963">
      <c r="A1963" s="1" t="s">
        <v>6278</v>
      </c>
      <c r="B1963" s="1" t="s">
        <v>1112</v>
      </c>
      <c r="C1963" s="1" t="s">
        <v>6279</v>
      </c>
      <c r="D1963" s="1" t="s">
        <v>28</v>
      </c>
      <c r="E1963" s="1" t="s">
        <v>29</v>
      </c>
      <c r="F1963" s="5">
        <v>500000.0</v>
      </c>
      <c r="G1963" s="1" t="s">
        <v>3964</v>
      </c>
      <c r="H1963" s="4">
        <v>44419.0</v>
      </c>
      <c r="I1963" s="1" t="s">
        <v>80</v>
      </c>
      <c r="K1963" s="1">
        <v>0.0</v>
      </c>
      <c r="L1963" s="1" t="s">
        <v>1739</v>
      </c>
      <c r="M1963" s="1" t="str">
        <f>VLOOKUP(L1963,'Copy of PMD Workday Constants -'!B1962:W2648,22,false)</f>
        <v>#N/A</v>
      </c>
      <c r="N1963" s="1" t="s">
        <v>32</v>
      </c>
      <c r="O1963" s="1" t="s">
        <v>33</v>
      </c>
      <c r="P1963" s="1" t="s">
        <v>210</v>
      </c>
      <c r="Q1963" s="1" t="s">
        <v>210</v>
      </c>
      <c r="R1963" s="1" t="s">
        <v>211</v>
      </c>
      <c r="S1963" s="1" t="s">
        <v>416</v>
      </c>
      <c r="T1963" s="1">
        <v>1.00964362E8</v>
      </c>
      <c r="W1963" s="1" t="s">
        <v>56</v>
      </c>
      <c r="X1963" s="1" t="s">
        <v>6280</v>
      </c>
    </row>
    <row r="1964">
      <c r="A1964" s="1" t="s">
        <v>6281</v>
      </c>
      <c r="B1964" s="1" t="s">
        <v>5369</v>
      </c>
      <c r="C1964" s="1" t="s">
        <v>6282</v>
      </c>
      <c r="D1964" s="1" t="s">
        <v>103</v>
      </c>
      <c r="E1964" s="1" t="s">
        <v>29</v>
      </c>
      <c r="F1964" s="5">
        <v>500000.0</v>
      </c>
      <c r="G1964" s="1" t="s">
        <v>3964</v>
      </c>
      <c r="H1964" s="1" t="s">
        <v>706</v>
      </c>
      <c r="I1964" s="1" t="s">
        <v>302</v>
      </c>
      <c r="K1964" s="1">
        <v>0.0</v>
      </c>
      <c r="L1964" s="1" t="s">
        <v>3727</v>
      </c>
      <c r="M1964" s="1" t="str">
        <f>VLOOKUP(L1964,'Copy of PMD Workday Constants -'!B1963:W2649,22,false)</f>
        <v>#N/A</v>
      </c>
      <c r="N1964" s="1" t="s">
        <v>32</v>
      </c>
      <c r="O1964" s="1" t="s">
        <v>33</v>
      </c>
      <c r="P1964" s="1" t="s">
        <v>222</v>
      </c>
      <c r="Q1964" s="1" t="s">
        <v>222</v>
      </c>
      <c r="R1964" s="1" t="s">
        <v>223</v>
      </c>
      <c r="S1964" s="1" t="s">
        <v>482</v>
      </c>
      <c r="T1964" s="1">
        <v>1.00611158E8</v>
      </c>
      <c r="W1964" s="1" t="s">
        <v>74</v>
      </c>
      <c r="X1964" s="1" t="s">
        <v>6283</v>
      </c>
    </row>
    <row r="1965">
      <c r="A1965" s="1" t="s">
        <v>6284</v>
      </c>
      <c r="B1965" s="1" t="s">
        <v>4174</v>
      </c>
      <c r="C1965" s="1" t="s">
        <v>6285</v>
      </c>
      <c r="D1965" s="1" t="s">
        <v>28</v>
      </c>
      <c r="E1965" s="1" t="s">
        <v>29</v>
      </c>
      <c r="F1965" s="5">
        <v>500000.0</v>
      </c>
      <c r="G1965" s="1" t="s">
        <v>3964</v>
      </c>
      <c r="H1965" s="1" t="s">
        <v>920</v>
      </c>
      <c r="I1965" s="1" t="s">
        <v>80</v>
      </c>
      <c r="K1965" s="1">
        <v>0.0</v>
      </c>
      <c r="L1965" s="1" t="s">
        <v>461</v>
      </c>
      <c r="M1965" s="1" t="str">
        <f>VLOOKUP(L1965,'Copy of PMD Workday Constants -'!B1964:W2650,22,false)</f>
        <v>#N/A</v>
      </c>
      <c r="N1965" s="1" t="s">
        <v>32</v>
      </c>
      <c r="O1965" s="1" t="s">
        <v>33</v>
      </c>
      <c r="P1965" s="1" t="s">
        <v>210</v>
      </c>
      <c r="Q1965" s="1" t="s">
        <v>210</v>
      </c>
      <c r="R1965" s="1" t="s">
        <v>211</v>
      </c>
      <c r="T1965" s="1">
        <v>1.00652846E8</v>
      </c>
      <c r="W1965" s="1" t="s">
        <v>56</v>
      </c>
      <c r="X1965" s="1" t="s">
        <v>921</v>
      </c>
    </row>
    <row r="1966">
      <c r="A1966" s="1" t="s">
        <v>6286</v>
      </c>
      <c r="B1966" s="1" t="s">
        <v>6287</v>
      </c>
      <c r="C1966" s="1" t="s">
        <v>6288</v>
      </c>
      <c r="D1966" s="1" t="s">
        <v>28</v>
      </c>
      <c r="E1966" s="1" t="s">
        <v>29</v>
      </c>
      <c r="F1966" s="5">
        <v>500000.0</v>
      </c>
      <c r="G1966" s="1" t="s">
        <v>3964</v>
      </c>
      <c r="H1966" s="4">
        <v>44567.0</v>
      </c>
      <c r="I1966" s="1" t="s">
        <v>302</v>
      </c>
      <c r="K1966" s="1">
        <v>0.0</v>
      </c>
      <c r="L1966" s="1" t="s">
        <v>618</v>
      </c>
      <c r="M1966" s="1" t="str">
        <f>VLOOKUP(L1966,'Copy of PMD Workday Constants -'!B1965:W2651,22,false)</f>
        <v>#N/A</v>
      </c>
      <c r="N1966" s="1" t="s">
        <v>32</v>
      </c>
      <c r="O1966" s="1" t="s">
        <v>33</v>
      </c>
      <c r="P1966" s="1" t="s">
        <v>173</v>
      </c>
      <c r="Q1966" s="1" t="s">
        <v>173</v>
      </c>
      <c r="R1966" s="1" t="s">
        <v>174</v>
      </c>
      <c r="T1966" s="1">
        <v>1.00591141E8</v>
      </c>
      <c r="W1966" s="1" t="s">
        <v>74</v>
      </c>
      <c r="X1966" s="1" t="s">
        <v>3357</v>
      </c>
    </row>
    <row r="1967">
      <c r="A1967" s="1" t="s">
        <v>6289</v>
      </c>
      <c r="B1967" s="1" t="s">
        <v>1009</v>
      </c>
      <c r="C1967" s="1" t="s">
        <v>6290</v>
      </c>
      <c r="D1967" s="1" t="s">
        <v>103</v>
      </c>
      <c r="E1967" s="1" t="s">
        <v>29</v>
      </c>
      <c r="F1967" s="5">
        <v>500000.0</v>
      </c>
      <c r="G1967" s="1" t="s">
        <v>3964</v>
      </c>
      <c r="H1967" s="1" t="s">
        <v>6291</v>
      </c>
      <c r="I1967" s="4">
        <v>44718.0</v>
      </c>
      <c r="K1967" s="1">
        <v>0.0</v>
      </c>
      <c r="L1967" s="1" t="s">
        <v>3735</v>
      </c>
      <c r="M1967" s="1" t="str">
        <f>VLOOKUP(L1967,'Copy of PMD Workday Constants -'!B1966:W2652,22,false)</f>
        <v>#N/A</v>
      </c>
      <c r="N1967" s="1" t="s">
        <v>32</v>
      </c>
      <c r="O1967" s="1" t="s">
        <v>33</v>
      </c>
      <c r="P1967" s="1" t="s">
        <v>173</v>
      </c>
      <c r="Q1967" s="1" t="s">
        <v>173</v>
      </c>
      <c r="R1967" s="1" t="s">
        <v>174</v>
      </c>
      <c r="T1967" s="1">
        <v>1.00644305E8</v>
      </c>
      <c r="W1967" s="1" t="s">
        <v>74</v>
      </c>
      <c r="X1967" s="1" t="s">
        <v>6292</v>
      </c>
    </row>
    <row r="1968">
      <c r="A1968" s="1" t="s">
        <v>6293</v>
      </c>
      <c r="B1968" s="1" t="s">
        <v>863</v>
      </c>
      <c r="C1968" s="1" t="s">
        <v>6294</v>
      </c>
      <c r="D1968" s="1" t="s">
        <v>51</v>
      </c>
      <c r="E1968" s="1" t="s">
        <v>29</v>
      </c>
      <c r="F1968" s="5">
        <v>500000.0</v>
      </c>
      <c r="G1968" s="1" t="s">
        <v>3964</v>
      </c>
      <c r="H1968" s="1" t="s">
        <v>1469</v>
      </c>
      <c r="I1968" s="4">
        <v>44569.0</v>
      </c>
      <c r="K1968" s="1">
        <v>0.0</v>
      </c>
      <c r="L1968" s="1" t="s">
        <v>6271</v>
      </c>
      <c r="M1968" s="1" t="str">
        <f>VLOOKUP(L1968,'Copy of PMD Workday Constants -'!B1967:W2653,22,false)</f>
        <v>#N/A</v>
      </c>
      <c r="N1968" s="1" t="s">
        <v>32</v>
      </c>
      <c r="O1968" s="1" t="s">
        <v>33</v>
      </c>
      <c r="P1968" s="1" t="s">
        <v>173</v>
      </c>
      <c r="Q1968" s="1" t="s">
        <v>173</v>
      </c>
      <c r="R1968" s="1" t="s">
        <v>174</v>
      </c>
      <c r="S1968" s="1" t="s">
        <v>153</v>
      </c>
      <c r="T1968" s="1">
        <v>1.00634003E8</v>
      </c>
      <c r="W1968" s="1" t="s">
        <v>85</v>
      </c>
      <c r="X1968" s="1" t="s">
        <v>6271</v>
      </c>
    </row>
    <row r="1969">
      <c r="A1969" s="1" t="s">
        <v>6295</v>
      </c>
      <c r="B1969" s="1" t="s">
        <v>143</v>
      </c>
      <c r="C1969" s="1" t="s">
        <v>6296</v>
      </c>
      <c r="D1969" s="1" t="s">
        <v>51</v>
      </c>
      <c r="E1969" s="1" t="s">
        <v>29</v>
      </c>
      <c r="F1969" s="5">
        <v>500000.0</v>
      </c>
      <c r="G1969" s="1" t="s">
        <v>3964</v>
      </c>
      <c r="H1969" s="4">
        <v>44744.0</v>
      </c>
      <c r="I1969" s="1" t="s">
        <v>302</v>
      </c>
      <c r="K1969" s="1">
        <v>0.0</v>
      </c>
      <c r="L1969" s="1" t="s">
        <v>2133</v>
      </c>
      <c r="M1969" s="1" t="str">
        <f>VLOOKUP(L1969,'Copy of PMD Workday Constants -'!B1968:W2654,22,false)</f>
        <v>#N/A</v>
      </c>
      <c r="N1969" s="1" t="s">
        <v>32</v>
      </c>
      <c r="O1969" s="1" t="s">
        <v>33</v>
      </c>
      <c r="P1969" s="1" t="s">
        <v>64</v>
      </c>
      <c r="Q1969" s="1" t="s">
        <v>64</v>
      </c>
      <c r="R1969" s="1" t="s">
        <v>65</v>
      </c>
      <c r="S1969" s="1" t="s">
        <v>612</v>
      </c>
      <c r="T1969" s="1">
        <v>1.00653977E8</v>
      </c>
      <c r="W1969" s="1" t="s">
        <v>147</v>
      </c>
      <c r="X1969" s="1" t="s">
        <v>2133</v>
      </c>
    </row>
    <row r="1970">
      <c r="A1970" s="1" t="s">
        <v>6297</v>
      </c>
      <c r="B1970" s="1" t="s">
        <v>1402</v>
      </c>
      <c r="C1970" s="1" t="s">
        <v>6298</v>
      </c>
      <c r="D1970" s="1" t="s">
        <v>51</v>
      </c>
      <c r="E1970" s="1" t="s">
        <v>29</v>
      </c>
      <c r="F1970" s="5">
        <v>500000.0</v>
      </c>
      <c r="G1970" s="1" t="s">
        <v>3964</v>
      </c>
      <c r="H1970" s="1" t="s">
        <v>6299</v>
      </c>
      <c r="I1970" s="1" t="s">
        <v>264</v>
      </c>
      <c r="K1970" s="1">
        <v>0.0</v>
      </c>
      <c r="L1970" s="1" t="s">
        <v>2269</v>
      </c>
      <c r="M1970" s="1" t="str">
        <f>VLOOKUP(L1970,'Copy of PMD Workday Constants -'!B1969:W2655,22,false)</f>
        <v>#N/A</v>
      </c>
      <c r="N1970" s="1" t="s">
        <v>32</v>
      </c>
      <c r="O1970" s="1" t="s">
        <v>33</v>
      </c>
      <c r="P1970" s="1" t="s">
        <v>54</v>
      </c>
      <c r="Q1970" s="1" t="s">
        <v>54</v>
      </c>
      <c r="R1970" s="1" t="s">
        <v>55</v>
      </c>
      <c r="S1970" s="1" t="s">
        <v>180</v>
      </c>
      <c r="T1970" s="1">
        <v>1.00635485E8</v>
      </c>
      <c r="W1970" s="1" t="s">
        <v>85</v>
      </c>
      <c r="X1970" s="1" t="s">
        <v>2269</v>
      </c>
    </row>
    <row r="1971">
      <c r="A1971" s="1" t="s">
        <v>6300</v>
      </c>
      <c r="B1971" s="1" t="s">
        <v>507</v>
      </c>
      <c r="C1971" s="1" t="s">
        <v>6301</v>
      </c>
      <c r="D1971" s="1" t="s">
        <v>28</v>
      </c>
      <c r="E1971" s="1" t="s">
        <v>29</v>
      </c>
      <c r="F1971" s="5">
        <v>500000.0</v>
      </c>
      <c r="G1971" s="1" t="s">
        <v>3964</v>
      </c>
      <c r="H1971" s="4">
        <v>44357.0</v>
      </c>
      <c r="I1971" s="1" t="s">
        <v>80</v>
      </c>
      <c r="K1971" s="1">
        <v>0.0</v>
      </c>
      <c r="L1971" s="1" t="s">
        <v>454</v>
      </c>
      <c r="M1971" s="1" t="str">
        <f>VLOOKUP(L1971,'Copy of PMD Workday Constants -'!B1970:W2656,22,false)</f>
        <v>#N/A</v>
      </c>
      <c r="N1971" s="1" t="s">
        <v>32</v>
      </c>
      <c r="O1971" s="1" t="s">
        <v>33</v>
      </c>
      <c r="P1971" s="1" t="s">
        <v>112</v>
      </c>
      <c r="Q1971" s="1" t="s">
        <v>112</v>
      </c>
      <c r="R1971" s="1" t="s">
        <v>113</v>
      </c>
      <c r="S1971" s="1" t="s">
        <v>455</v>
      </c>
      <c r="T1971" s="1">
        <v>1.00611486E8</v>
      </c>
      <c r="W1971" s="1" t="s">
        <v>456</v>
      </c>
      <c r="X1971" s="1" t="s">
        <v>2740</v>
      </c>
    </row>
    <row r="1972">
      <c r="A1972" s="1" t="s">
        <v>6302</v>
      </c>
      <c r="B1972" s="1" t="s">
        <v>993</v>
      </c>
      <c r="C1972" s="1" t="s">
        <v>6303</v>
      </c>
      <c r="D1972" s="1" t="s">
        <v>28</v>
      </c>
      <c r="E1972" s="1" t="s">
        <v>29</v>
      </c>
      <c r="F1972" s="5">
        <v>500000.0</v>
      </c>
      <c r="G1972" s="1" t="s">
        <v>3964</v>
      </c>
      <c r="H1972" s="1" t="s">
        <v>2318</v>
      </c>
      <c r="I1972" s="1" t="s">
        <v>575</v>
      </c>
      <c r="K1972" s="1">
        <v>0.0</v>
      </c>
      <c r="L1972" s="1" t="s">
        <v>1760</v>
      </c>
      <c r="M1972" s="1" t="str">
        <f>VLOOKUP(L1972,'Copy of PMD Workday Constants -'!B1971:W2657,22,false)</f>
        <v>#N/A</v>
      </c>
      <c r="N1972" s="1" t="s">
        <v>32</v>
      </c>
      <c r="O1972" s="1" t="s">
        <v>33</v>
      </c>
      <c r="P1972" s="1" t="s">
        <v>112</v>
      </c>
      <c r="Q1972" s="1" t="s">
        <v>112</v>
      </c>
      <c r="R1972" s="1" t="s">
        <v>113</v>
      </c>
      <c r="T1972" s="1">
        <v>1.00610489E8</v>
      </c>
      <c r="W1972" s="1" t="s">
        <v>74</v>
      </c>
      <c r="X1972" s="1" t="s">
        <v>6304</v>
      </c>
    </row>
    <row r="1973">
      <c r="A1973" s="1" t="s">
        <v>6305</v>
      </c>
      <c r="B1973" s="1" t="s">
        <v>6306</v>
      </c>
      <c r="C1973" s="1" t="s">
        <v>6307</v>
      </c>
      <c r="D1973" s="1" t="s">
        <v>51</v>
      </c>
      <c r="E1973" s="1" t="s">
        <v>29</v>
      </c>
      <c r="F1973" s="5">
        <v>500000.0</v>
      </c>
      <c r="G1973" s="1" t="s">
        <v>3964</v>
      </c>
      <c r="H1973" s="1" t="s">
        <v>2724</v>
      </c>
      <c r="I1973" s="4">
        <v>44601.0</v>
      </c>
      <c r="K1973" s="1">
        <v>0.0</v>
      </c>
      <c r="L1973" s="1" t="s">
        <v>2143</v>
      </c>
      <c r="M1973" s="1" t="str">
        <f>VLOOKUP(L1973,'Copy of PMD Workday Constants -'!B1972:W2658,22,false)</f>
        <v>#N/A</v>
      </c>
      <c r="N1973" s="1" t="s">
        <v>32</v>
      </c>
      <c r="O1973" s="1" t="s">
        <v>33</v>
      </c>
      <c r="P1973" s="1" t="s">
        <v>82</v>
      </c>
      <c r="Q1973" s="1" t="s">
        <v>82</v>
      </c>
      <c r="R1973" s="1" t="s">
        <v>83</v>
      </c>
      <c r="S1973" s="1" t="s">
        <v>84</v>
      </c>
      <c r="T1973" s="1">
        <v>1.00612395E8</v>
      </c>
      <c r="W1973" s="1" t="s">
        <v>85</v>
      </c>
      <c r="X1973" s="1" t="s">
        <v>6308</v>
      </c>
    </row>
    <row r="1974">
      <c r="A1974" s="1" t="s">
        <v>6309</v>
      </c>
      <c r="B1974" s="1" t="s">
        <v>348</v>
      </c>
      <c r="C1974" s="1" t="s">
        <v>6310</v>
      </c>
      <c r="D1974" s="1" t="s">
        <v>28</v>
      </c>
      <c r="E1974" s="1" t="s">
        <v>29</v>
      </c>
      <c r="F1974" s="5">
        <v>500000.0</v>
      </c>
      <c r="G1974" s="1" t="s">
        <v>3964</v>
      </c>
      <c r="H1974" s="1" t="s">
        <v>3740</v>
      </c>
      <c r="I1974" s="1" t="s">
        <v>152</v>
      </c>
      <c r="K1974" s="1">
        <v>0.0</v>
      </c>
      <c r="L1974" s="1" t="s">
        <v>350</v>
      </c>
      <c r="M1974" s="1" t="str">
        <f>VLOOKUP(L1974,'Copy of PMD Workday Constants -'!B1973:W2659,22,false)</f>
        <v>#N/A</v>
      </c>
      <c r="N1974" s="1" t="s">
        <v>32</v>
      </c>
      <c r="O1974" s="1" t="s">
        <v>33</v>
      </c>
      <c r="P1974" s="1" t="s">
        <v>82</v>
      </c>
      <c r="Q1974" s="1" t="s">
        <v>82</v>
      </c>
      <c r="R1974" s="1" t="s">
        <v>83</v>
      </c>
      <c r="S1974" s="1" t="s">
        <v>180</v>
      </c>
      <c r="T1974" s="1">
        <v>1.00582847E8</v>
      </c>
      <c r="W1974" s="1" t="s">
        <v>85</v>
      </c>
      <c r="X1974" s="1" t="s">
        <v>1692</v>
      </c>
    </row>
    <row r="1975">
      <c r="A1975" s="1" t="s">
        <v>6311</v>
      </c>
      <c r="B1975" s="1" t="s">
        <v>6312</v>
      </c>
      <c r="C1975" s="1" t="s">
        <v>6313</v>
      </c>
      <c r="D1975" s="1" t="s">
        <v>103</v>
      </c>
      <c r="E1975" s="1" t="s">
        <v>29</v>
      </c>
      <c r="F1975" s="5">
        <v>500000.0</v>
      </c>
      <c r="G1975" s="1" t="s">
        <v>3964</v>
      </c>
      <c r="H1975" s="4">
        <v>44810.0</v>
      </c>
      <c r="I1975" s="1" t="s">
        <v>96</v>
      </c>
      <c r="K1975" s="1">
        <v>0.0</v>
      </c>
      <c r="L1975" s="1" t="s">
        <v>461</v>
      </c>
      <c r="M1975" s="1" t="str">
        <f>VLOOKUP(L1975,'Copy of PMD Workday Constants -'!B1974:W2660,22,false)</f>
        <v>#N/A</v>
      </c>
      <c r="N1975" s="1" t="s">
        <v>32</v>
      </c>
      <c r="O1975" s="1" t="s">
        <v>33</v>
      </c>
      <c r="P1975" s="1" t="s">
        <v>210</v>
      </c>
      <c r="Q1975" s="1" t="s">
        <v>210</v>
      </c>
      <c r="R1975" s="1" t="s">
        <v>211</v>
      </c>
      <c r="T1975" s="1">
        <v>1.00652846E8</v>
      </c>
      <c r="W1975" s="1" t="s">
        <v>115</v>
      </c>
      <c r="X1975" s="1" t="s">
        <v>6314</v>
      </c>
    </row>
    <row r="1976">
      <c r="A1976" s="1" t="s">
        <v>6315</v>
      </c>
      <c r="B1976" s="1" t="s">
        <v>489</v>
      </c>
      <c r="C1976" s="1" t="s">
        <v>6316</v>
      </c>
      <c r="D1976" s="1" t="s">
        <v>28</v>
      </c>
      <c r="E1976" s="1" t="s">
        <v>29</v>
      </c>
      <c r="F1976" s="5">
        <v>500000.0</v>
      </c>
      <c r="G1976" s="1" t="s">
        <v>3964</v>
      </c>
      <c r="H1976" s="4">
        <v>44870.0</v>
      </c>
      <c r="I1976" s="1" t="s">
        <v>166</v>
      </c>
      <c r="K1976" s="1">
        <v>0.0</v>
      </c>
      <c r="L1976" s="1" t="s">
        <v>2522</v>
      </c>
      <c r="M1976" s="1" t="str">
        <f>VLOOKUP(L1976,'Copy of PMD Workday Constants -'!B1975:W2661,22,false)</f>
        <v>#N/A</v>
      </c>
      <c r="N1976" s="1" t="s">
        <v>32</v>
      </c>
      <c r="O1976" s="1" t="s">
        <v>33</v>
      </c>
      <c r="P1976" s="1" t="s">
        <v>173</v>
      </c>
      <c r="Q1976" s="1" t="s">
        <v>173</v>
      </c>
      <c r="R1976" s="1" t="s">
        <v>174</v>
      </c>
      <c r="T1976" s="1">
        <v>1.00590772E8</v>
      </c>
      <c r="W1976" s="1" t="s">
        <v>493</v>
      </c>
      <c r="X1976" s="1" t="s">
        <v>2034</v>
      </c>
    </row>
    <row r="1977">
      <c r="A1977" s="1" t="s">
        <v>6317</v>
      </c>
      <c r="B1977" s="1" t="s">
        <v>913</v>
      </c>
      <c r="C1977" s="1" t="s">
        <v>6318</v>
      </c>
      <c r="D1977" s="1" t="s">
        <v>28</v>
      </c>
      <c r="E1977" s="1" t="s">
        <v>29</v>
      </c>
      <c r="F1977" s="5">
        <v>500000.0</v>
      </c>
      <c r="G1977" s="1" t="s">
        <v>3964</v>
      </c>
      <c r="H1977" s="1" t="s">
        <v>545</v>
      </c>
      <c r="I1977" s="1" t="s">
        <v>217</v>
      </c>
      <c r="K1977" s="1">
        <v>0.0</v>
      </c>
      <c r="L1977" s="1" t="s">
        <v>2086</v>
      </c>
      <c r="M1977" s="1" t="str">
        <f>VLOOKUP(L1977,'Copy of PMD Workday Constants -'!B1976:W2662,22,false)</f>
        <v>#N/A</v>
      </c>
      <c r="N1977" s="1" t="s">
        <v>32</v>
      </c>
      <c r="O1977" s="1" t="s">
        <v>33</v>
      </c>
      <c r="P1977" s="1" t="s">
        <v>82</v>
      </c>
      <c r="Q1977" s="1" t="s">
        <v>82</v>
      </c>
      <c r="R1977" s="1" t="s">
        <v>83</v>
      </c>
      <c r="S1977" s="1" t="s">
        <v>84</v>
      </c>
      <c r="T1977" s="1">
        <v>1.0061233E8</v>
      </c>
      <c r="W1977" s="1" t="s">
        <v>85</v>
      </c>
      <c r="X1977" s="1" t="s">
        <v>2086</v>
      </c>
    </row>
    <row r="1978">
      <c r="A1978" s="1" t="s">
        <v>6319</v>
      </c>
      <c r="B1978" s="1" t="s">
        <v>756</v>
      </c>
      <c r="C1978" s="1" t="s">
        <v>6320</v>
      </c>
      <c r="D1978" s="1" t="s">
        <v>28</v>
      </c>
      <c r="E1978" s="1" t="s">
        <v>29</v>
      </c>
      <c r="F1978" s="5">
        <v>500000.0</v>
      </c>
      <c r="G1978" s="1" t="s">
        <v>3964</v>
      </c>
      <c r="H1978" s="1" t="s">
        <v>556</v>
      </c>
      <c r="I1978" s="4">
        <v>45078.0</v>
      </c>
      <c r="K1978" s="1">
        <v>0.0</v>
      </c>
      <c r="L1978" s="1" t="s">
        <v>2733</v>
      </c>
      <c r="M1978" s="1" t="str">
        <f>VLOOKUP(L1978,'Copy of PMD Workday Constants -'!B1977:W2663,22,false)</f>
        <v>#N/A</v>
      </c>
      <c r="N1978" s="1" t="s">
        <v>32</v>
      </c>
      <c r="O1978" s="1" t="s">
        <v>33</v>
      </c>
      <c r="P1978" s="1" t="s">
        <v>222</v>
      </c>
      <c r="Q1978" s="1" t="s">
        <v>222</v>
      </c>
      <c r="R1978" s="1" t="s">
        <v>223</v>
      </c>
      <c r="S1978" s="1" t="s">
        <v>701</v>
      </c>
      <c r="T1978" s="1">
        <v>1.006376E8</v>
      </c>
      <c r="U1978" s="1" t="s">
        <v>1678</v>
      </c>
      <c r="V1978" s="1" t="s">
        <v>346</v>
      </c>
      <c r="W1978" s="1" t="s">
        <v>74</v>
      </c>
      <c r="X1978" s="1" t="s">
        <v>2734</v>
      </c>
    </row>
    <row r="1979">
      <c r="A1979" s="1" t="s">
        <v>6321</v>
      </c>
      <c r="B1979" s="1" t="s">
        <v>507</v>
      </c>
      <c r="C1979" s="1" t="s">
        <v>6322</v>
      </c>
      <c r="D1979" s="1" t="s">
        <v>79</v>
      </c>
      <c r="E1979" s="1" t="s">
        <v>29</v>
      </c>
      <c r="F1979" s="5">
        <v>500000.0</v>
      </c>
      <c r="G1979" s="1" t="s">
        <v>3964</v>
      </c>
      <c r="H1979" s="4">
        <v>44230.0</v>
      </c>
      <c r="I1979" s="1" t="s">
        <v>80</v>
      </c>
      <c r="K1979" s="1">
        <v>0.0</v>
      </c>
      <c r="L1979" s="1" t="s">
        <v>2762</v>
      </c>
      <c r="M1979" s="1" t="str">
        <f>VLOOKUP(L1979,'Copy of PMD Workday Constants -'!B1978:W2664,22,false)</f>
        <v>#N/A</v>
      </c>
      <c r="N1979" s="1" t="s">
        <v>32</v>
      </c>
      <c r="O1979" s="1" t="s">
        <v>33</v>
      </c>
      <c r="P1979" s="1" t="s">
        <v>82</v>
      </c>
      <c r="Q1979" s="1" t="s">
        <v>82</v>
      </c>
      <c r="R1979" s="1" t="s">
        <v>83</v>
      </c>
      <c r="S1979" s="1" t="s">
        <v>583</v>
      </c>
      <c r="T1979" s="1">
        <v>1.00637221E8</v>
      </c>
      <c r="V1979" s="1" t="s">
        <v>422</v>
      </c>
      <c r="W1979" s="1" t="s">
        <v>456</v>
      </c>
      <c r="X1979" s="1" t="s">
        <v>2762</v>
      </c>
    </row>
    <row r="1980">
      <c r="A1980" s="1" t="s">
        <v>6323</v>
      </c>
      <c r="B1980" s="1" t="s">
        <v>2108</v>
      </c>
      <c r="C1980" s="1" t="s">
        <v>6324</v>
      </c>
      <c r="D1980" s="1" t="s">
        <v>28</v>
      </c>
      <c r="E1980" s="1" t="s">
        <v>29</v>
      </c>
      <c r="F1980" s="5">
        <v>500000.0</v>
      </c>
      <c r="G1980" s="1" t="s">
        <v>3964</v>
      </c>
      <c r="H1980" s="1" t="s">
        <v>1474</v>
      </c>
      <c r="I1980" s="1" t="s">
        <v>302</v>
      </c>
      <c r="K1980" s="1">
        <v>0.0</v>
      </c>
      <c r="L1980" s="1" t="s">
        <v>6325</v>
      </c>
      <c r="M1980" s="1" t="str">
        <f>VLOOKUP(L1980,'Copy of PMD Workday Constants -'!B1979:W2665,22,false)</f>
        <v>#N/A</v>
      </c>
      <c r="N1980" s="1" t="s">
        <v>32</v>
      </c>
      <c r="O1980" s="1" t="s">
        <v>33</v>
      </c>
      <c r="P1980" s="1" t="s">
        <v>34</v>
      </c>
      <c r="Q1980" s="1" t="s">
        <v>34</v>
      </c>
      <c r="R1980" s="1" t="s">
        <v>35</v>
      </c>
      <c r="S1980" s="1" t="s">
        <v>1166</v>
      </c>
      <c r="T1980" s="1">
        <v>1.01210545E8</v>
      </c>
      <c r="W1980" s="1" t="s">
        <v>456</v>
      </c>
      <c r="X1980" s="1" t="s">
        <v>6325</v>
      </c>
    </row>
    <row r="1981">
      <c r="A1981" s="1" t="s">
        <v>6326</v>
      </c>
      <c r="B1981" s="1" t="s">
        <v>1631</v>
      </c>
      <c r="C1981" s="1" t="s">
        <v>6327</v>
      </c>
      <c r="D1981" s="1" t="s">
        <v>28</v>
      </c>
      <c r="E1981" s="1" t="s">
        <v>29</v>
      </c>
      <c r="F1981" s="5">
        <v>500000.0</v>
      </c>
      <c r="G1981" s="1" t="s">
        <v>3964</v>
      </c>
      <c r="H1981" s="1" t="s">
        <v>3399</v>
      </c>
      <c r="I1981" s="1" t="s">
        <v>302</v>
      </c>
      <c r="K1981" s="1">
        <v>0.0</v>
      </c>
      <c r="L1981" s="1" t="s">
        <v>3345</v>
      </c>
      <c r="M1981" s="1" t="str">
        <f>VLOOKUP(L1981,'Copy of PMD Workday Constants -'!B1980:W2666,22,false)</f>
        <v>#N/A</v>
      </c>
      <c r="N1981" s="1" t="s">
        <v>32</v>
      </c>
      <c r="O1981" s="1" t="s">
        <v>33</v>
      </c>
      <c r="P1981" s="1" t="s">
        <v>64</v>
      </c>
      <c r="Q1981" s="1" t="s">
        <v>64</v>
      </c>
      <c r="R1981" s="1" t="s">
        <v>65</v>
      </c>
      <c r="S1981" s="1" t="s">
        <v>791</v>
      </c>
      <c r="T1981" s="1">
        <v>1.0105484E8</v>
      </c>
      <c r="U1981" s="1" t="s">
        <v>6328</v>
      </c>
      <c r="V1981" s="1" t="s">
        <v>46</v>
      </c>
      <c r="W1981" s="1" t="s">
        <v>456</v>
      </c>
      <c r="X1981" s="1" t="s">
        <v>3345</v>
      </c>
    </row>
    <row r="1982">
      <c r="A1982" s="1" t="s">
        <v>6329</v>
      </c>
      <c r="B1982" s="1" t="s">
        <v>1778</v>
      </c>
      <c r="C1982" s="1" t="s">
        <v>6330</v>
      </c>
      <c r="D1982" s="1" t="s">
        <v>28</v>
      </c>
      <c r="E1982" s="1" t="s">
        <v>29</v>
      </c>
      <c r="F1982" s="5">
        <v>500000.0</v>
      </c>
      <c r="G1982" s="1" t="s">
        <v>3964</v>
      </c>
      <c r="H1982" s="1" t="s">
        <v>1474</v>
      </c>
      <c r="I1982" s="1" t="s">
        <v>217</v>
      </c>
      <c r="K1982" s="1">
        <v>0.0</v>
      </c>
      <c r="L1982" s="1" t="s">
        <v>6325</v>
      </c>
      <c r="M1982" s="1" t="str">
        <f>VLOOKUP(L1982,'Copy of PMD Workday Constants -'!B1981:W2667,22,false)</f>
        <v>#N/A</v>
      </c>
      <c r="N1982" s="1" t="s">
        <v>32</v>
      </c>
      <c r="O1982" s="1" t="s">
        <v>33</v>
      </c>
      <c r="P1982" s="1" t="s">
        <v>34</v>
      </c>
      <c r="Q1982" s="1" t="s">
        <v>34</v>
      </c>
      <c r="R1982" s="1" t="s">
        <v>35</v>
      </c>
      <c r="S1982" s="1" t="s">
        <v>1166</v>
      </c>
      <c r="T1982" s="1">
        <v>1.01210545E8</v>
      </c>
      <c r="W1982" s="1" t="s">
        <v>456</v>
      </c>
      <c r="X1982" s="1" t="s">
        <v>6325</v>
      </c>
    </row>
    <row r="1983">
      <c r="A1983" s="1" t="s">
        <v>6331</v>
      </c>
      <c r="B1983" s="1" t="s">
        <v>4155</v>
      </c>
      <c r="C1983" s="1" t="s">
        <v>6332</v>
      </c>
      <c r="D1983" s="1" t="s">
        <v>28</v>
      </c>
      <c r="E1983" s="1" t="s">
        <v>29</v>
      </c>
      <c r="F1983" s="5">
        <v>500000.0</v>
      </c>
      <c r="G1983" s="1" t="s">
        <v>3964</v>
      </c>
      <c r="H1983" s="4">
        <v>44538.0</v>
      </c>
      <c r="I1983" s="1" t="s">
        <v>302</v>
      </c>
      <c r="K1983" s="1">
        <v>0.0</v>
      </c>
      <c r="L1983" s="1" t="s">
        <v>2086</v>
      </c>
      <c r="M1983" s="1" t="str">
        <f>VLOOKUP(L1983,'Copy of PMD Workday Constants -'!B1982:W2668,22,false)</f>
        <v>#N/A</v>
      </c>
      <c r="N1983" s="1" t="s">
        <v>32</v>
      </c>
      <c r="O1983" s="1" t="s">
        <v>33</v>
      </c>
      <c r="P1983" s="1" t="s">
        <v>82</v>
      </c>
      <c r="Q1983" s="1" t="s">
        <v>82</v>
      </c>
      <c r="R1983" s="1" t="s">
        <v>83</v>
      </c>
      <c r="S1983" s="1" t="s">
        <v>84</v>
      </c>
      <c r="T1983" s="1">
        <v>1.0061233E8</v>
      </c>
      <c r="W1983" s="1" t="s">
        <v>85</v>
      </c>
      <c r="X1983" s="1" t="s">
        <v>2086</v>
      </c>
    </row>
    <row r="1984">
      <c r="A1984" s="1" t="s">
        <v>6333</v>
      </c>
      <c r="B1984" s="1" t="s">
        <v>2549</v>
      </c>
      <c r="C1984" s="1" t="s">
        <v>6334</v>
      </c>
      <c r="D1984" s="1" t="s">
        <v>28</v>
      </c>
      <c r="E1984" s="1" t="s">
        <v>29</v>
      </c>
      <c r="F1984" s="5">
        <v>500000.0</v>
      </c>
      <c r="G1984" s="1" t="s">
        <v>3964</v>
      </c>
      <c r="H1984" s="1" t="s">
        <v>865</v>
      </c>
      <c r="I1984" s="1" t="s">
        <v>191</v>
      </c>
      <c r="K1984" s="1">
        <v>0.0</v>
      </c>
      <c r="L1984" s="1" t="s">
        <v>1549</v>
      </c>
      <c r="M1984" s="1" t="str">
        <f>VLOOKUP(L1984,'Copy of PMD Workday Constants -'!B1983:W2669,22,false)</f>
        <v>#N/A</v>
      </c>
      <c r="N1984" s="1" t="s">
        <v>32</v>
      </c>
      <c r="O1984" s="1" t="s">
        <v>33</v>
      </c>
      <c r="P1984" s="1" t="s">
        <v>173</v>
      </c>
      <c r="Q1984" s="1" t="s">
        <v>173</v>
      </c>
      <c r="R1984" s="1" t="s">
        <v>174</v>
      </c>
      <c r="S1984" s="1" t="s">
        <v>612</v>
      </c>
      <c r="T1984" s="1">
        <v>1.00646908E8</v>
      </c>
      <c r="W1984" s="1" t="s">
        <v>1303</v>
      </c>
      <c r="X1984" s="1" t="s">
        <v>3795</v>
      </c>
    </row>
    <row r="1985">
      <c r="A1985" s="1" t="s">
        <v>6335</v>
      </c>
      <c r="B1985" s="1" t="s">
        <v>3542</v>
      </c>
      <c r="C1985" s="1" t="s">
        <v>6336</v>
      </c>
      <c r="D1985" s="1" t="s">
        <v>28</v>
      </c>
      <c r="E1985" s="1" t="s">
        <v>29</v>
      </c>
      <c r="F1985" s="5">
        <v>500000.0</v>
      </c>
      <c r="G1985" s="1" t="s">
        <v>3964</v>
      </c>
      <c r="H1985" s="1" t="s">
        <v>6337</v>
      </c>
      <c r="I1985" s="1" t="s">
        <v>414</v>
      </c>
      <c r="K1985" s="1">
        <v>0.0</v>
      </c>
      <c r="L1985" s="1" t="s">
        <v>3559</v>
      </c>
      <c r="M1985" s="1" t="str">
        <f>VLOOKUP(L1985,'Copy of PMD Workday Constants -'!B1984:W2670,22,false)</f>
        <v>#N/A</v>
      </c>
      <c r="N1985" s="1" t="s">
        <v>32</v>
      </c>
      <c r="O1985" s="1" t="s">
        <v>33</v>
      </c>
      <c r="P1985" s="1" t="s">
        <v>34</v>
      </c>
      <c r="Q1985" s="1" t="s">
        <v>34</v>
      </c>
      <c r="R1985" s="1" t="s">
        <v>35</v>
      </c>
      <c r="S1985" s="1" t="s">
        <v>383</v>
      </c>
      <c r="T1985" s="1">
        <v>1.00586786E8</v>
      </c>
      <c r="W1985" s="1" t="s">
        <v>947</v>
      </c>
      <c r="X1985" s="1" t="s">
        <v>3559</v>
      </c>
    </row>
    <row r="1986">
      <c r="A1986" s="1" t="s">
        <v>6338</v>
      </c>
      <c r="B1986" s="1" t="s">
        <v>776</v>
      </c>
      <c r="C1986" s="1" t="s">
        <v>6339</v>
      </c>
      <c r="D1986" s="1" t="s">
        <v>79</v>
      </c>
      <c r="E1986" s="1" t="s">
        <v>29</v>
      </c>
      <c r="F1986" s="5">
        <v>500000.0</v>
      </c>
      <c r="G1986" s="1" t="s">
        <v>3964</v>
      </c>
      <c r="H1986" s="1" t="s">
        <v>2318</v>
      </c>
      <c r="I1986" s="4">
        <v>44780.0</v>
      </c>
      <c r="K1986" s="1">
        <v>0.0</v>
      </c>
      <c r="L1986" s="1" t="s">
        <v>1549</v>
      </c>
      <c r="M1986" s="1" t="str">
        <f>VLOOKUP(L1986,'Copy of PMD Workday Constants -'!B1985:W2671,22,false)</f>
        <v>#N/A</v>
      </c>
      <c r="N1986" s="1" t="s">
        <v>32</v>
      </c>
      <c r="O1986" s="1" t="s">
        <v>33</v>
      </c>
      <c r="P1986" s="1" t="s">
        <v>173</v>
      </c>
      <c r="Q1986" s="1" t="s">
        <v>173</v>
      </c>
      <c r="R1986" s="1" t="s">
        <v>174</v>
      </c>
      <c r="S1986" s="1" t="s">
        <v>612</v>
      </c>
      <c r="T1986" s="1">
        <v>1.00646908E8</v>
      </c>
      <c r="W1986" s="1" t="s">
        <v>74</v>
      </c>
      <c r="X1986" s="1" t="s">
        <v>6340</v>
      </c>
    </row>
    <row r="1987">
      <c r="A1987" s="1" t="s">
        <v>6341</v>
      </c>
      <c r="B1987" s="1" t="s">
        <v>3518</v>
      </c>
      <c r="C1987" s="1" t="s">
        <v>6342</v>
      </c>
      <c r="D1987" s="1" t="s">
        <v>51</v>
      </c>
      <c r="E1987" s="1" t="s">
        <v>29</v>
      </c>
      <c r="F1987" s="5">
        <v>500000.0</v>
      </c>
      <c r="G1987" s="1" t="s">
        <v>3964</v>
      </c>
      <c r="H1987" s="1" t="s">
        <v>644</v>
      </c>
      <c r="I1987" s="1" t="s">
        <v>152</v>
      </c>
      <c r="K1987" s="1">
        <v>0.0</v>
      </c>
      <c r="L1987" s="1" t="s">
        <v>382</v>
      </c>
      <c r="M1987" s="1" t="str">
        <f>VLOOKUP(L1987,'Copy of PMD Workday Constants -'!B1986:W2672,22,false)</f>
        <v>#N/A</v>
      </c>
      <c r="N1987" s="1" t="s">
        <v>32</v>
      </c>
      <c r="O1987" s="1" t="s">
        <v>33</v>
      </c>
      <c r="P1987" s="1" t="s">
        <v>34</v>
      </c>
      <c r="Q1987" s="1" t="s">
        <v>34</v>
      </c>
      <c r="R1987" s="1" t="s">
        <v>35</v>
      </c>
      <c r="S1987" s="1" t="s">
        <v>383</v>
      </c>
      <c r="T1987" s="1">
        <v>1.0059112E8</v>
      </c>
      <c r="W1987" s="1" t="s">
        <v>140</v>
      </c>
      <c r="X1987" s="1" t="s">
        <v>2519</v>
      </c>
    </row>
    <row r="1988">
      <c r="A1988" s="1" t="s">
        <v>6343</v>
      </c>
      <c r="B1988" s="1" t="s">
        <v>6344</v>
      </c>
      <c r="C1988" s="1" t="s">
        <v>6345</v>
      </c>
      <c r="D1988" s="1" t="s">
        <v>28</v>
      </c>
      <c r="E1988" s="1" t="s">
        <v>29</v>
      </c>
      <c r="F1988" s="5">
        <v>500000.0</v>
      </c>
      <c r="G1988" s="1" t="s">
        <v>3964</v>
      </c>
      <c r="H1988" s="4">
        <v>44775.0</v>
      </c>
      <c r="I1988" s="1" t="s">
        <v>80</v>
      </c>
      <c r="K1988" s="1">
        <v>0.0</v>
      </c>
      <c r="L1988" s="1" t="s">
        <v>428</v>
      </c>
      <c r="M1988" s="1" t="str">
        <f>VLOOKUP(L1988,'Copy of PMD Workday Constants -'!B1987:W2673,22,false)</f>
        <v>#N/A</v>
      </c>
      <c r="N1988" s="1" t="s">
        <v>32</v>
      </c>
      <c r="O1988" s="1" t="s">
        <v>33</v>
      </c>
      <c r="P1988" s="1" t="s">
        <v>173</v>
      </c>
      <c r="Q1988" s="1" t="s">
        <v>173</v>
      </c>
      <c r="R1988" s="1" t="s">
        <v>174</v>
      </c>
      <c r="T1988" s="1">
        <v>1.00654085E8</v>
      </c>
      <c r="W1988" s="1" t="s">
        <v>85</v>
      </c>
      <c r="X1988" s="1" t="s">
        <v>3714</v>
      </c>
    </row>
    <row r="1989">
      <c r="A1989" s="1" t="s">
        <v>6346</v>
      </c>
      <c r="B1989" s="1" t="s">
        <v>1163</v>
      </c>
      <c r="C1989" s="1" t="s">
        <v>6347</v>
      </c>
      <c r="D1989" s="1" t="s">
        <v>28</v>
      </c>
      <c r="E1989" s="1" t="s">
        <v>29</v>
      </c>
      <c r="F1989" s="5">
        <v>500000.0</v>
      </c>
      <c r="G1989" s="1" t="s">
        <v>3964</v>
      </c>
      <c r="H1989" s="4">
        <v>44779.0</v>
      </c>
      <c r="I1989" s="1" t="s">
        <v>593</v>
      </c>
      <c r="K1989" s="1">
        <v>0.0</v>
      </c>
      <c r="L1989" s="1" t="s">
        <v>3891</v>
      </c>
      <c r="M1989" s="1" t="str">
        <f>VLOOKUP(L1989,'Copy of PMD Workday Constants -'!B1988:W2674,22,false)</f>
        <v>#N/A</v>
      </c>
      <c r="N1989" s="1" t="s">
        <v>32</v>
      </c>
      <c r="O1989" s="1" t="s">
        <v>33</v>
      </c>
      <c r="P1989" s="1" t="s">
        <v>112</v>
      </c>
      <c r="Q1989" s="1" t="s">
        <v>112</v>
      </c>
      <c r="R1989" s="1" t="s">
        <v>113</v>
      </c>
      <c r="S1989" s="1" t="s">
        <v>114</v>
      </c>
      <c r="T1989" s="1">
        <v>1.00589299E8</v>
      </c>
      <c r="W1989" s="1" t="s">
        <v>147</v>
      </c>
      <c r="X1989" s="1" t="s">
        <v>2519</v>
      </c>
    </row>
    <row r="1990">
      <c r="A1990" s="1" t="s">
        <v>6348</v>
      </c>
      <c r="B1990" s="1" t="s">
        <v>3343</v>
      </c>
      <c r="C1990" s="1" t="s">
        <v>6349</v>
      </c>
      <c r="D1990" s="1" t="s">
        <v>28</v>
      </c>
      <c r="E1990" s="1" t="s">
        <v>29</v>
      </c>
      <c r="F1990" s="5">
        <v>500000.0</v>
      </c>
      <c r="G1990" s="1" t="s">
        <v>3964</v>
      </c>
      <c r="H1990" s="1" t="s">
        <v>399</v>
      </c>
      <c r="I1990" s="1" t="s">
        <v>302</v>
      </c>
      <c r="J1990" s="1" t="s">
        <v>6350</v>
      </c>
      <c r="K1990" s="1">
        <v>0.0</v>
      </c>
      <c r="L1990" s="1" t="s">
        <v>3345</v>
      </c>
      <c r="M1990" s="1" t="str">
        <f>VLOOKUP(L1990,'Copy of PMD Workday Constants -'!B1989:W2675,22,false)</f>
        <v>#N/A</v>
      </c>
      <c r="N1990" s="1" t="s">
        <v>32</v>
      </c>
      <c r="O1990" s="1" t="s">
        <v>33</v>
      </c>
      <c r="P1990" s="1" t="s">
        <v>64</v>
      </c>
      <c r="Q1990" s="1" t="s">
        <v>64</v>
      </c>
      <c r="R1990" s="1" t="s">
        <v>65</v>
      </c>
      <c r="S1990" s="1" t="s">
        <v>791</v>
      </c>
      <c r="T1990" s="1">
        <v>1.0105484E8</v>
      </c>
      <c r="W1990" s="1" t="s">
        <v>140</v>
      </c>
      <c r="X1990" s="1" t="s">
        <v>3345</v>
      </c>
    </row>
    <row r="1991">
      <c r="A1991" s="1" t="s">
        <v>6351</v>
      </c>
      <c r="B1991" s="1" t="s">
        <v>1184</v>
      </c>
      <c r="C1991" s="1" t="s">
        <v>6352</v>
      </c>
      <c r="D1991" s="1" t="s">
        <v>28</v>
      </c>
      <c r="E1991" s="1" t="s">
        <v>29</v>
      </c>
      <c r="F1991" s="5">
        <v>500000.0</v>
      </c>
      <c r="G1991" s="1" t="s">
        <v>3964</v>
      </c>
      <c r="H1991" s="1" t="s">
        <v>3443</v>
      </c>
      <c r="I1991" s="1" t="s">
        <v>80</v>
      </c>
      <c r="K1991" s="1">
        <v>0.0</v>
      </c>
      <c r="L1991" s="1" t="s">
        <v>314</v>
      </c>
      <c r="M1991" s="1" t="str">
        <f>VLOOKUP(L1991,'Copy of PMD Workday Constants -'!B1990:W2676,22,false)</f>
        <v>#N/A</v>
      </c>
      <c r="N1991" s="1" t="s">
        <v>32</v>
      </c>
      <c r="O1991" s="1" t="s">
        <v>33</v>
      </c>
      <c r="P1991" s="1" t="s">
        <v>64</v>
      </c>
      <c r="Q1991" s="1" t="s">
        <v>64</v>
      </c>
      <c r="R1991" s="1" t="s">
        <v>65</v>
      </c>
      <c r="S1991" s="1" t="s">
        <v>416</v>
      </c>
      <c r="T1991" s="1">
        <v>1.00651094E8</v>
      </c>
      <c r="W1991" s="1" t="s">
        <v>56</v>
      </c>
      <c r="X1991" s="1" t="s">
        <v>6353</v>
      </c>
    </row>
    <row r="1992">
      <c r="A1992" s="1" t="s">
        <v>6354</v>
      </c>
      <c r="B1992" s="1" t="s">
        <v>4476</v>
      </c>
      <c r="C1992" s="1" t="s">
        <v>6355</v>
      </c>
      <c r="D1992" s="1" t="s">
        <v>51</v>
      </c>
      <c r="E1992" s="1" t="s">
        <v>29</v>
      </c>
      <c r="F1992" s="5">
        <v>500000.0</v>
      </c>
      <c r="G1992" s="1" t="s">
        <v>3964</v>
      </c>
      <c r="H1992" s="1" t="s">
        <v>1785</v>
      </c>
      <c r="I1992" s="1" t="s">
        <v>80</v>
      </c>
      <c r="K1992" s="1">
        <v>0.0</v>
      </c>
      <c r="L1992" s="1" t="s">
        <v>5161</v>
      </c>
      <c r="M1992" s="1" t="str">
        <f>VLOOKUP(L1992,'Copy of PMD Workday Constants -'!B1991:W2677,22,false)</f>
        <v>#N/A</v>
      </c>
      <c r="N1992" s="1" t="s">
        <v>32</v>
      </c>
      <c r="O1992" s="1" t="s">
        <v>33</v>
      </c>
      <c r="P1992" s="1" t="s">
        <v>112</v>
      </c>
      <c r="Q1992" s="1" t="s">
        <v>112</v>
      </c>
      <c r="R1992" s="1" t="s">
        <v>113</v>
      </c>
      <c r="S1992" s="1" t="s">
        <v>114</v>
      </c>
      <c r="T1992" s="1">
        <v>1.00591654E8</v>
      </c>
      <c r="W1992" s="1" t="s">
        <v>1303</v>
      </c>
      <c r="X1992" s="1" t="s">
        <v>4210</v>
      </c>
    </row>
    <row r="1993">
      <c r="A1993" s="1" t="s">
        <v>6356</v>
      </c>
      <c r="B1993" s="1" t="s">
        <v>6357</v>
      </c>
      <c r="C1993" s="1" t="s">
        <v>6358</v>
      </c>
      <c r="D1993" s="1" t="s">
        <v>51</v>
      </c>
      <c r="E1993" s="1" t="s">
        <v>29</v>
      </c>
      <c r="F1993" s="5">
        <v>500000.0</v>
      </c>
      <c r="G1993" s="1" t="s">
        <v>3964</v>
      </c>
      <c r="H1993" s="4">
        <v>44203.0</v>
      </c>
      <c r="I1993" s="1" t="s">
        <v>313</v>
      </c>
      <c r="K1993" s="1">
        <v>0.0</v>
      </c>
      <c r="L1993" s="1" t="s">
        <v>737</v>
      </c>
      <c r="M1993" s="1" t="str">
        <f>VLOOKUP(L1993,'Copy of PMD Workday Constants -'!B1992:W2678,22,false)</f>
        <v>#N/A</v>
      </c>
      <c r="N1993" s="1" t="s">
        <v>32</v>
      </c>
      <c r="O1993" s="1" t="s">
        <v>33</v>
      </c>
      <c r="P1993" s="1" t="s">
        <v>112</v>
      </c>
      <c r="Q1993" s="1" t="s">
        <v>112</v>
      </c>
      <c r="R1993" s="1" t="s">
        <v>113</v>
      </c>
      <c r="S1993" s="1" t="s">
        <v>455</v>
      </c>
      <c r="T1993" s="1">
        <v>1.00629729E8</v>
      </c>
      <c r="W1993" s="1" t="s">
        <v>456</v>
      </c>
      <c r="X1993" s="1" t="s">
        <v>6359</v>
      </c>
    </row>
    <row r="1994">
      <c r="A1994" s="1" t="s">
        <v>6360</v>
      </c>
      <c r="B1994" s="1" t="s">
        <v>521</v>
      </c>
      <c r="C1994" s="1" t="s">
        <v>6361</v>
      </c>
      <c r="D1994" s="1" t="s">
        <v>51</v>
      </c>
      <c r="E1994" s="1" t="s">
        <v>29</v>
      </c>
      <c r="F1994" s="5">
        <v>500000.0</v>
      </c>
      <c r="G1994" s="1" t="s">
        <v>3964</v>
      </c>
      <c r="H1994" s="4">
        <v>44779.0</v>
      </c>
      <c r="I1994" s="1" t="s">
        <v>132</v>
      </c>
      <c r="K1994" s="1">
        <v>0.0</v>
      </c>
      <c r="L1994" s="1" t="s">
        <v>3575</v>
      </c>
      <c r="M1994" s="1" t="str">
        <f>VLOOKUP(L1994,'Copy of PMD Workday Constants -'!B1993:W2679,22,false)</f>
        <v>#N/A</v>
      </c>
      <c r="N1994" s="1" t="s">
        <v>32</v>
      </c>
      <c r="O1994" s="1" t="s">
        <v>33</v>
      </c>
      <c r="P1994" s="1" t="s">
        <v>64</v>
      </c>
      <c r="Q1994" s="1" t="s">
        <v>64</v>
      </c>
      <c r="R1994" s="1" t="s">
        <v>65</v>
      </c>
      <c r="S1994" s="1" t="s">
        <v>229</v>
      </c>
      <c r="T1994" s="1">
        <v>1.00652666E8</v>
      </c>
      <c r="W1994" s="1" t="s">
        <v>85</v>
      </c>
      <c r="X1994" s="1" t="s">
        <v>3575</v>
      </c>
    </row>
    <row r="1995">
      <c r="A1995" s="1" t="s">
        <v>6362</v>
      </c>
      <c r="B1995" s="1" t="s">
        <v>665</v>
      </c>
      <c r="C1995" s="1" t="s">
        <v>6363</v>
      </c>
      <c r="D1995" s="1" t="s">
        <v>28</v>
      </c>
      <c r="E1995" s="1" t="s">
        <v>29</v>
      </c>
      <c r="F1995" s="5">
        <v>500000.0</v>
      </c>
      <c r="G1995" s="1" t="s">
        <v>3964</v>
      </c>
      <c r="H1995" s="4">
        <v>44778.0</v>
      </c>
      <c r="I1995" s="1" t="s">
        <v>538</v>
      </c>
      <c r="K1995" s="1">
        <v>0.0</v>
      </c>
      <c r="L1995" s="1" t="s">
        <v>667</v>
      </c>
      <c r="M1995" s="1" t="str">
        <f>VLOOKUP(L1995,'Copy of PMD Workday Constants -'!B1994:W2680,22,false)</f>
        <v>#N/A</v>
      </c>
      <c r="N1995" s="1" t="s">
        <v>32</v>
      </c>
      <c r="O1995" s="1" t="s">
        <v>33</v>
      </c>
      <c r="P1995" s="1" t="s">
        <v>112</v>
      </c>
      <c r="Q1995" s="1" t="s">
        <v>112</v>
      </c>
      <c r="R1995" s="1" t="s">
        <v>113</v>
      </c>
      <c r="S1995" s="1" t="s">
        <v>307</v>
      </c>
      <c r="T1995" s="1">
        <v>1.00616804E8</v>
      </c>
      <c r="W1995" s="1" t="s">
        <v>115</v>
      </c>
      <c r="X1995" s="1" t="s">
        <v>667</v>
      </c>
    </row>
    <row r="1996">
      <c r="A1996" s="1" t="s">
        <v>6364</v>
      </c>
      <c r="B1996" s="1" t="s">
        <v>665</v>
      </c>
      <c r="C1996" s="1" t="s">
        <v>6365</v>
      </c>
      <c r="D1996" s="1" t="s">
        <v>28</v>
      </c>
      <c r="E1996" s="1" t="s">
        <v>29</v>
      </c>
      <c r="F1996" s="5">
        <v>500000.0</v>
      </c>
      <c r="G1996" s="1" t="s">
        <v>3964</v>
      </c>
      <c r="H1996" s="4">
        <v>44778.0</v>
      </c>
      <c r="I1996" s="4">
        <v>44927.0</v>
      </c>
      <c r="K1996" s="1">
        <v>0.0</v>
      </c>
      <c r="L1996" s="1" t="s">
        <v>667</v>
      </c>
      <c r="M1996" s="1" t="str">
        <f>VLOOKUP(L1996,'Copy of PMD Workday Constants -'!B1995:W2681,22,false)</f>
        <v>#N/A</v>
      </c>
      <c r="N1996" s="1" t="s">
        <v>32</v>
      </c>
      <c r="O1996" s="1" t="s">
        <v>33</v>
      </c>
      <c r="P1996" s="1" t="s">
        <v>112</v>
      </c>
      <c r="Q1996" s="1" t="s">
        <v>112</v>
      </c>
      <c r="R1996" s="1" t="s">
        <v>113</v>
      </c>
      <c r="S1996" s="1" t="s">
        <v>307</v>
      </c>
      <c r="T1996" s="1">
        <v>1.00616804E8</v>
      </c>
      <c r="W1996" s="1" t="s">
        <v>115</v>
      </c>
      <c r="X1996" s="1" t="s">
        <v>667</v>
      </c>
    </row>
    <row r="1997">
      <c r="A1997" s="1" t="s">
        <v>6366</v>
      </c>
      <c r="B1997" s="1" t="s">
        <v>143</v>
      </c>
      <c r="C1997" s="1" t="s">
        <v>6367</v>
      </c>
      <c r="D1997" s="1" t="s">
        <v>28</v>
      </c>
      <c r="E1997" s="1" t="s">
        <v>29</v>
      </c>
      <c r="F1997" s="5">
        <v>500000.0</v>
      </c>
      <c r="G1997" s="1" t="s">
        <v>3964</v>
      </c>
      <c r="H1997" s="1" t="s">
        <v>1134</v>
      </c>
      <c r="I1997" s="1" t="s">
        <v>104</v>
      </c>
      <c r="K1997" s="1">
        <v>0.0</v>
      </c>
      <c r="L1997" s="1" t="s">
        <v>1170</v>
      </c>
      <c r="M1997" s="1" t="str">
        <f>VLOOKUP(L1997,'Copy of PMD Workday Constants -'!B1996:W2682,22,false)</f>
        <v>#N/A</v>
      </c>
      <c r="N1997" s="1" t="s">
        <v>32</v>
      </c>
      <c r="O1997" s="1" t="s">
        <v>33</v>
      </c>
      <c r="P1997" s="1" t="s">
        <v>112</v>
      </c>
      <c r="Q1997" s="1" t="s">
        <v>112</v>
      </c>
      <c r="R1997" s="1" t="s">
        <v>113</v>
      </c>
      <c r="S1997" s="1" t="s">
        <v>1336</v>
      </c>
      <c r="T1997" s="1">
        <v>1.00595231E8</v>
      </c>
      <c r="W1997" s="1" t="s">
        <v>147</v>
      </c>
      <c r="X1997" s="1" t="s">
        <v>1982</v>
      </c>
    </row>
    <row r="1998">
      <c r="A1998" s="1" t="s">
        <v>6368</v>
      </c>
      <c r="B1998" s="1" t="s">
        <v>108</v>
      </c>
      <c r="C1998" s="1" t="s">
        <v>6369</v>
      </c>
      <c r="D1998" s="1" t="s">
        <v>51</v>
      </c>
      <c r="E1998" s="1" t="s">
        <v>29</v>
      </c>
      <c r="F1998" s="5">
        <v>500000.0</v>
      </c>
      <c r="G1998" s="1" t="s">
        <v>3964</v>
      </c>
      <c r="H1998" s="1" t="s">
        <v>110</v>
      </c>
      <c r="I1998" s="1" t="s">
        <v>152</v>
      </c>
      <c r="K1998" s="1">
        <v>0.0</v>
      </c>
      <c r="L1998" s="1" t="s">
        <v>111</v>
      </c>
      <c r="M1998" s="1" t="str">
        <f>VLOOKUP(L1998,'Copy of PMD Workday Constants -'!B1997:W2683,22,false)</f>
        <v>#N/A</v>
      </c>
      <c r="N1998" s="1" t="s">
        <v>32</v>
      </c>
      <c r="O1998" s="1" t="s">
        <v>33</v>
      </c>
      <c r="P1998" s="1" t="s">
        <v>112</v>
      </c>
      <c r="Q1998" s="1" t="s">
        <v>112</v>
      </c>
      <c r="R1998" s="1" t="s">
        <v>113</v>
      </c>
      <c r="S1998" s="1" t="s">
        <v>134</v>
      </c>
      <c r="T1998" s="1">
        <v>1.00596941E8</v>
      </c>
      <c r="W1998" s="1" t="s">
        <v>115</v>
      </c>
      <c r="X1998" s="1" t="s">
        <v>111</v>
      </c>
    </row>
    <row r="1999">
      <c r="A1999" s="1" t="s">
        <v>6370</v>
      </c>
      <c r="B1999" s="1" t="s">
        <v>3055</v>
      </c>
      <c r="C1999" s="1" t="s">
        <v>6371</v>
      </c>
      <c r="D1999" s="1" t="s">
        <v>28</v>
      </c>
      <c r="E1999" s="1" t="s">
        <v>29</v>
      </c>
      <c r="F1999" s="5">
        <v>500000.0</v>
      </c>
      <c r="G1999" s="1" t="s">
        <v>3964</v>
      </c>
      <c r="H1999" s="4">
        <v>44809.0</v>
      </c>
      <c r="I1999" s="4">
        <v>44570.0</v>
      </c>
      <c r="K1999" s="1">
        <v>0.0</v>
      </c>
      <c r="L1999" s="1" t="s">
        <v>667</v>
      </c>
      <c r="M1999" s="1" t="str">
        <f>VLOOKUP(L1999,'Copy of PMD Workday Constants -'!B1998:W2684,22,false)</f>
        <v>#N/A</v>
      </c>
      <c r="N1999" s="1" t="s">
        <v>32</v>
      </c>
      <c r="O1999" s="1" t="s">
        <v>33</v>
      </c>
      <c r="P1999" s="1" t="s">
        <v>112</v>
      </c>
      <c r="Q1999" s="1" t="s">
        <v>112</v>
      </c>
      <c r="R1999" s="1" t="s">
        <v>113</v>
      </c>
      <c r="S1999" s="1" t="s">
        <v>307</v>
      </c>
      <c r="T1999" s="1">
        <v>1.00616804E8</v>
      </c>
      <c r="W1999" s="1" t="s">
        <v>533</v>
      </c>
      <c r="X1999" s="1" t="s">
        <v>667</v>
      </c>
    </row>
    <row r="2000">
      <c r="A2000" s="1" t="s">
        <v>6372</v>
      </c>
      <c r="B2000" s="1" t="s">
        <v>3055</v>
      </c>
      <c r="C2000" s="1" t="s">
        <v>6373</v>
      </c>
      <c r="D2000" s="1" t="s">
        <v>28</v>
      </c>
      <c r="E2000" s="1" t="s">
        <v>29</v>
      </c>
      <c r="F2000" s="5">
        <v>500000.0</v>
      </c>
      <c r="G2000" s="1" t="s">
        <v>3964</v>
      </c>
      <c r="H2000" s="4">
        <v>44809.0</v>
      </c>
      <c r="I2000" s="4">
        <v>44571.0</v>
      </c>
      <c r="K2000" s="1">
        <v>0.0</v>
      </c>
      <c r="L2000" s="1" t="s">
        <v>667</v>
      </c>
      <c r="M2000" s="1" t="str">
        <f>VLOOKUP(L2000,'Copy of PMD Workday Constants -'!B1999:W2685,22,false)</f>
        <v>#N/A</v>
      </c>
      <c r="N2000" s="1" t="s">
        <v>32</v>
      </c>
      <c r="O2000" s="1" t="s">
        <v>33</v>
      </c>
      <c r="P2000" s="1" t="s">
        <v>112</v>
      </c>
      <c r="Q2000" s="1" t="s">
        <v>112</v>
      </c>
      <c r="R2000" s="1" t="s">
        <v>113</v>
      </c>
      <c r="S2000" s="1" t="s">
        <v>307</v>
      </c>
      <c r="T2000" s="1">
        <v>1.00616804E8</v>
      </c>
      <c r="W2000" s="1" t="s">
        <v>533</v>
      </c>
      <c r="X2000" s="1" t="s">
        <v>667</v>
      </c>
    </row>
    <row r="2001">
      <c r="A2001" s="1" t="s">
        <v>6374</v>
      </c>
      <c r="B2001" s="1" t="s">
        <v>3055</v>
      </c>
      <c r="C2001" s="1" t="s">
        <v>6375</v>
      </c>
      <c r="D2001" s="1" t="s">
        <v>28</v>
      </c>
      <c r="E2001" s="1" t="s">
        <v>29</v>
      </c>
      <c r="F2001" s="5">
        <v>500000.0</v>
      </c>
      <c r="G2001" s="1" t="s">
        <v>3964</v>
      </c>
      <c r="H2001" s="4">
        <v>44809.0</v>
      </c>
      <c r="I2001" s="4">
        <v>44571.0</v>
      </c>
      <c r="K2001" s="1">
        <v>0.0</v>
      </c>
      <c r="L2001" s="1" t="s">
        <v>667</v>
      </c>
      <c r="M2001" s="1" t="str">
        <f>VLOOKUP(L2001,'Copy of PMD Workday Constants -'!B2000:W2686,22,false)</f>
        <v>#N/A</v>
      </c>
      <c r="N2001" s="1" t="s">
        <v>32</v>
      </c>
      <c r="O2001" s="1" t="s">
        <v>33</v>
      </c>
      <c r="P2001" s="1" t="s">
        <v>112</v>
      </c>
      <c r="Q2001" s="1" t="s">
        <v>112</v>
      </c>
      <c r="R2001" s="1" t="s">
        <v>113</v>
      </c>
      <c r="S2001" s="1" t="s">
        <v>307</v>
      </c>
      <c r="T2001" s="1">
        <v>1.00616804E8</v>
      </c>
      <c r="W2001" s="1" t="s">
        <v>533</v>
      </c>
      <c r="X2001" s="1" t="s">
        <v>667</v>
      </c>
    </row>
    <row r="2002">
      <c r="A2002" s="1" t="s">
        <v>6376</v>
      </c>
      <c r="B2002" s="1" t="s">
        <v>6377</v>
      </c>
      <c r="C2002" s="1" t="s">
        <v>6378</v>
      </c>
      <c r="D2002" s="1" t="s">
        <v>28</v>
      </c>
      <c r="E2002" s="1" t="s">
        <v>29</v>
      </c>
      <c r="F2002" s="5">
        <v>500000.0</v>
      </c>
      <c r="G2002" s="1" t="s">
        <v>3964</v>
      </c>
      <c r="H2002" s="1" t="s">
        <v>480</v>
      </c>
      <c r="I2002" s="1" t="s">
        <v>217</v>
      </c>
      <c r="K2002" s="1">
        <v>0.0</v>
      </c>
      <c r="L2002" s="1" t="s">
        <v>1622</v>
      </c>
      <c r="M2002" s="1" t="str">
        <f>VLOOKUP(L2002,'Copy of PMD Workday Constants -'!B2001:W2687,22,false)</f>
        <v>#N/A</v>
      </c>
      <c r="N2002" s="1" t="s">
        <v>32</v>
      </c>
      <c r="O2002" s="1" t="s">
        <v>33</v>
      </c>
      <c r="P2002" s="1" t="s">
        <v>173</v>
      </c>
      <c r="Q2002" s="1" t="s">
        <v>173</v>
      </c>
      <c r="R2002" s="1" t="s">
        <v>174</v>
      </c>
      <c r="S2002" s="1" t="s">
        <v>153</v>
      </c>
      <c r="T2002" s="1">
        <v>1.00643454E8</v>
      </c>
      <c r="U2002" s="1" t="s">
        <v>6379</v>
      </c>
      <c r="V2002" s="1" t="s">
        <v>46</v>
      </c>
      <c r="W2002" s="1" t="s">
        <v>456</v>
      </c>
      <c r="X2002" s="1" t="s">
        <v>6380</v>
      </c>
    </row>
    <row r="2003">
      <c r="A2003" s="1" t="s">
        <v>6381</v>
      </c>
      <c r="B2003" s="1" t="s">
        <v>993</v>
      </c>
      <c r="C2003" s="1" t="s">
        <v>6382</v>
      </c>
      <c r="D2003" s="1" t="s">
        <v>28</v>
      </c>
      <c r="E2003" s="1" t="s">
        <v>29</v>
      </c>
      <c r="F2003" s="5">
        <v>500000.0</v>
      </c>
      <c r="G2003" s="1" t="s">
        <v>3964</v>
      </c>
      <c r="H2003" s="4">
        <v>44867.0</v>
      </c>
      <c r="I2003" s="1" t="s">
        <v>152</v>
      </c>
      <c r="K2003" s="1">
        <v>0.0</v>
      </c>
      <c r="L2003" s="1" t="s">
        <v>1760</v>
      </c>
      <c r="M2003" s="1" t="str">
        <f>VLOOKUP(L2003,'Copy of PMD Workday Constants -'!B2002:W2688,22,false)</f>
        <v>#N/A</v>
      </c>
      <c r="N2003" s="1" t="s">
        <v>32</v>
      </c>
      <c r="O2003" s="1" t="s">
        <v>33</v>
      </c>
      <c r="P2003" s="1" t="s">
        <v>112</v>
      </c>
      <c r="Q2003" s="1" t="s">
        <v>112</v>
      </c>
      <c r="R2003" s="1" t="s">
        <v>113</v>
      </c>
      <c r="S2003" s="1" t="s">
        <v>601</v>
      </c>
      <c r="T2003" s="1">
        <v>1.00610489E8</v>
      </c>
      <c r="W2003" s="1" t="s">
        <v>74</v>
      </c>
      <c r="X2003" s="1" t="s">
        <v>1760</v>
      </c>
    </row>
    <row r="2004">
      <c r="A2004" s="1" t="s">
        <v>6383</v>
      </c>
      <c r="B2004" s="1" t="s">
        <v>585</v>
      </c>
      <c r="C2004" s="1" t="s">
        <v>6384</v>
      </c>
      <c r="D2004" s="1" t="s">
        <v>28</v>
      </c>
      <c r="E2004" s="1" t="s">
        <v>29</v>
      </c>
      <c r="F2004" s="5">
        <v>500000.0</v>
      </c>
      <c r="G2004" s="1" t="s">
        <v>3964</v>
      </c>
      <c r="H2004" s="1" t="s">
        <v>698</v>
      </c>
      <c r="I2004" s="4">
        <v>45080.0</v>
      </c>
      <c r="K2004" s="1">
        <v>0.0</v>
      </c>
      <c r="L2004" s="1" t="s">
        <v>89</v>
      </c>
      <c r="M2004" s="1" t="str">
        <f>VLOOKUP(L2004,'Copy of PMD Workday Constants -'!B2003:W2689,22,false)</f>
        <v>#N/A</v>
      </c>
      <c r="N2004" s="1" t="s">
        <v>32</v>
      </c>
      <c r="O2004" s="1" t="s">
        <v>33</v>
      </c>
      <c r="P2004" s="1" t="s">
        <v>34</v>
      </c>
      <c r="Q2004" s="1" t="s">
        <v>34</v>
      </c>
      <c r="R2004" s="1" t="s">
        <v>35</v>
      </c>
      <c r="S2004" s="1" t="s">
        <v>36</v>
      </c>
      <c r="T2004" s="1">
        <v>1.00609569E8</v>
      </c>
      <c r="W2004" s="1" t="s">
        <v>91</v>
      </c>
      <c r="X2004" s="1" t="s">
        <v>1879</v>
      </c>
    </row>
    <row r="2005">
      <c r="A2005" s="1" t="s">
        <v>6385</v>
      </c>
      <c r="B2005" s="1" t="s">
        <v>373</v>
      </c>
      <c r="C2005" s="1" t="s">
        <v>6386</v>
      </c>
      <c r="D2005" s="1" t="s">
        <v>28</v>
      </c>
      <c r="E2005" s="1" t="s">
        <v>29</v>
      </c>
      <c r="F2005" s="5">
        <v>500000.0</v>
      </c>
      <c r="G2005" s="1" t="s">
        <v>3964</v>
      </c>
      <c r="H2005" s="4">
        <v>44683.0</v>
      </c>
      <c r="I2005" s="1" t="s">
        <v>406</v>
      </c>
      <c r="K2005" s="1">
        <v>0.0</v>
      </c>
      <c r="L2005" s="1" t="s">
        <v>5384</v>
      </c>
      <c r="M2005" s="1" t="str">
        <f>VLOOKUP(L2005,'Copy of PMD Workday Constants -'!B2004:W2690,22,false)</f>
        <v>#N/A</v>
      </c>
      <c r="N2005" s="1" t="s">
        <v>32</v>
      </c>
      <c r="O2005" s="1" t="s">
        <v>33</v>
      </c>
      <c r="P2005" s="1" t="s">
        <v>112</v>
      </c>
      <c r="Q2005" s="1" t="s">
        <v>112</v>
      </c>
      <c r="R2005" s="1" t="s">
        <v>113</v>
      </c>
      <c r="T2005" s="1">
        <v>1.00615309E8</v>
      </c>
      <c r="W2005" s="1" t="s">
        <v>258</v>
      </c>
      <c r="X2005" s="1" t="s">
        <v>5384</v>
      </c>
    </row>
    <row r="2006">
      <c r="A2006" s="1" t="s">
        <v>6387</v>
      </c>
      <c r="B2006" s="1" t="s">
        <v>1387</v>
      </c>
      <c r="C2006" s="1" t="s">
        <v>6388</v>
      </c>
      <c r="D2006" s="1" t="s">
        <v>28</v>
      </c>
      <c r="E2006" s="1" t="s">
        <v>29</v>
      </c>
      <c r="F2006" s="5">
        <v>500000.0</v>
      </c>
      <c r="G2006" s="1" t="s">
        <v>3964</v>
      </c>
      <c r="H2006" s="1" t="s">
        <v>2622</v>
      </c>
      <c r="I2006" s="1" t="s">
        <v>152</v>
      </c>
      <c r="K2006" s="1">
        <v>0.0</v>
      </c>
      <c r="L2006" s="1" t="s">
        <v>1389</v>
      </c>
      <c r="M2006" s="1" t="str">
        <f>VLOOKUP(L2006,'Copy of PMD Workday Constants -'!B2005:W2691,22,false)</f>
        <v>#N/A</v>
      </c>
      <c r="N2006" s="1" t="s">
        <v>32</v>
      </c>
      <c r="O2006" s="1" t="s">
        <v>33</v>
      </c>
      <c r="P2006" s="1" t="s">
        <v>64</v>
      </c>
      <c r="Q2006" s="1" t="s">
        <v>64</v>
      </c>
      <c r="R2006" s="1" t="s">
        <v>65</v>
      </c>
      <c r="S2006" s="1" t="s">
        <v>1336</v>
      </c>
      <c r="T2006" s="1">
        <v>1.00610014E8</v>
      </c>
      <c r="W2006" s="1" t="s">
        <v>91</v>
      </c>
      <c r="X2006" s="1" t="s">
        <v>4022</v>
      </c>
    </row>
    <row r="2007">
      <c r="A2007" s="1" t="s">
        <v>6389</v>
      </c>
      <c r="B2007" s="1" t="s">
        <v>225</v>
      </c>
      <c r="C2007" s="1" t="s">
        <v>6390</v>
      </c>
      <c r="D2007" s="1" t="s">
        <v>28</v>
      </c>
      <c r="E2007" s="1" t="s">
        <v>29</v>
      </c>
      <c r="F2007" s="5">
        <v>500000.0</v>
      </c>
      <c r="G2007" s="1" t="s">
        <v>3964</v>
      </c>
      <c r="H2007" s="1" t="s">
        <v>399</v>
      </c>
      <c r="I2007" s="1" t="s">
        <v>80</v>
      </c>
      <c r="K2007" s="1">
        <v>0.0</v>
      </c>
      <c r="L2007" s="1" t="s">
        <v>517</v>
      </c>
      <c r="M2007" s="1" t="str">
        <f>VLOOKUP(L2007,'Copy of PMD Workday Constants -'!B2006:W2692,22,false)</f>
        <v>#N/A</v>
      </c>
      <c r="N2007" s="1" t="s">
        <v>32</v>
      </c>
      <c r="O2007" s="1" t="s">
        <v>33</v>
      </c>
      <c r="P2007" s="1" t="s">
        <v>64</v>
      </c>
      <c r="Q2007" s="1" t="s">
        <v>64</v>
      </c>
      <c r="R2007" s="1" t="s">
        <v>65</v>
      </c>
      <c r="S2007" s="1" t="s">
        <v>229</v>
      </c>
      <c r="T2007" s="1">
        <v>1.01001596E8</v>
      </c>
      <c r="W2007" s="1" t="s">
        <v>85</v>
      </c>
      <c r="X2007" s="1" t="s">
        <v>517</v>
      </c>
    </row>
    <row r="2008">
      <c r="A2008" s="1" t="s">
        <v>6391</v>
      </c>
      <c r="B2008" s="1" t="s">
        <v>450</v>
      </c>
      <c r="C2008" s="1" t="s">
        <v>6392</v>
      </c>
      <c r="D2008" s="1" t="s">
        <v>28</v>
      </c>
      <c r="E2008" s="1" t="s">
        <v>29</v>
      </c>
      <c r="F2008" s="5">
        <v>500000.0</v>
      </c>
      <c r="G2008" s="1" t="s">
        <v>3964</v>
      </c>
      <c r="H2008" s="1" t="s">
        <v>975</v>
      </c>
      <c r="I2008" s="4">
        <v>44568.0</v>
      </c>
      <c r="K2008" s="1">
        <v>0.0</v>
      </c>
      <c r="L2008" s="1" t="s">
        <v>454</v>
      </c>
      <c r="M2008" s="1" t="str">
        <f>VLOOKUP(L2008,'Copy of PMD Workday Constants -'!B2007:W2693,22,false)</f>
        <v>#N/A</v>
      </c>
      <c r="N2008" s="1" t="s">
        <v>32</v>
      </c>
      <c r="O2008" s="1" t="s">
        <v>33</v>
      </c>
      <c r="P2008" s="1" t="s">
        <v>112</v>
      </c>
      <c r="Q2008" s="1" t="s">
        <v>112</v>
      </c>
      <c r="R2008" s="1" t="s">
        <v>113</v>
      </c>
      <c r="S2008" s="1" t="s">
        <v>455</v>
      </c>
      <c r="T2008" s="1">
        <v>1.00611486E8</v>
      </c>
      <c r="W2008" s="1" t="s">
        <v>456</v>
      </c>
      <c r="X2008" s="1" t="s">
        <v>6393</v>
      </c>
    </row>
    <row r="2009">
      <c r="A2009" s="1" t="s">
        <v>6394</v>
      </c>
      <c r="B2009" s="1" t="s">
        <v>143</v>
      </c>
      <c r="C2009" s="1" t="s">
        <v>6395</v>
      </c>
      <c r="D2009" s="1" t="s">
        <v>103</v>
      </c>
      <c r="E2009" s="1" t="s">
        <v>29</v>
      </c>
      <c r="F2009" s="5">
        <v>500000.0</v>
      </c>
      <c r="G2009" s="1" t="s">
        <v>3964</v>
      </c>
      <c r="H2009" s="1" t="s">
        <v>1708</v>
      </c>
      <c r="I2009" s="1" t="s">
        <v>104</v>
      </c>
      <c r="K2009" s="1">
        <v>0.0</v>
      </c>
      <c r="L2009" s="1" t="s">
        <v>3727</v>
      </c>
      <c r="M2009" s="1" t="str">
        <f>VLOOKUP(L2009,'Copy of PMD Workday Constants -'!B2008:W2694,22,false)</f>
        <v>#N/A</v>
      </c>
      <c r="N2009" s="1" t="s">
        <v>32</v>
      </c>
      <c r="O2009" s="1" t="s">
        <v>33</v>
      </c>
      <c r="P2009" s="1" t="s">
        <v>222</v>
      </c>
      <c r="Q2009" s="1" t="s">
        <v>222</v>
      </c>
      <c r="R2009" s="1" t="s">
        <v>223</v>
      </c>
      <c r="S2009" s="1" t="s">
        <v>482</v>
      </c>
      <c r="T2009" s="1">
        <v>1.00611158E8</v>
      </c>
      <c r="W2009" s="1" t="s">
        <v>147</v>
      </c>
      <c r="X2009" s="1" t="s">
        <v>3727</v>
      </c>
    </row>
    <row r="2010">
      <c r="A2010" s="1" t="s">
        <v>6396</v>
      </c>
      <c r="B2010" s="1" t="s">
        <v>3270</v>
      </c>
      <c r="C2010" s="1" t="s">
        <v>6397</v>
      </c>
      <c r="D2010" s="1" t="s">
        <v>51</v>
      </c>
      <c r="E2010" s="1" t="s">
        <v>29</v>
      </c>
      <c r="F2010" s="5">
        <v>500000.0</v>
      </c>
      <c r="G2010" s="1" t="s">
        <v>3964</v>
      </c>
      <c r="H2010" s="4">
        <v>44147.0</v>
      </c>
      <c r="I2010" s="1" t="s">
        <v>510</v>
      </c>
      <c r="K2010" s="1">
        <v>0.0</v>
      </c>
      <c r="L2010" s="1" t="s">
        <v>1278</v>
      </c>
      <c r="M2010" s="1" t="str">
        <f>VLOOKUP(L2010,'Copy of PMD Workday Constants -'!B2009:W2695,22,false)</f>
        <v>#N/A</v>
      </c>
      <c r="N2010" s="1" t="s">
        <v>32</v>
      </c>
      <c r="O2010" s="1" t="s">
        <v>33</v>
      </c>
      <c r="P2010" s="1" t="s">
        <v>112</v>
      </c>
      <c r="Q2010" s="1" t="s">
        <v>112</v>
      </c>
      <c r="R2010" s="1" t="s">
        <v>113</v>
      </c>
      <c r="S2010" s="1" t="s">
        <v>134</v>
      </c>
      <c r="T2010" s="1">
        <v>1.00626753E8</v>
      </c>
      <c r="W2010" s="1" t="s">
        <v>74</v>
      </c>
      <c r="X2010" s="1" t="s">
        <v>1278</v>
      </c>
    </row>
    <row r="2011">
      <c r="A2011" s="1" t="s">
        <v>6398</v>
      </c>
      <c r="B2011" s="1" t="s">
        <v>1744</v>
      </c>
      <c r="C2011" s="1" t="s">
        <v>6399</v>
      </c>
      <c r="D2011" s="1" t="s">
        <v>51</v>
      </c>
      <c r="E2011" s="1" t="s">
        <v>29</v>
      </c>
      <c r="F2011" s="5">
        <v>500000.0</v>
      </c>
      <c r="G2011" s="1" t="s">
        <v>3964</v>
      </c>
      <c r="H2011" s="1" t="s">
        <v>1733</v>
      </c>
      <c r="I2011" s="1" t="s">
        <v>80</v>
      </c>
      <c r="K2011" s="1">
        <v>0.0</v>
      </c>
      <c r="L2011" s="1" t="s">
        <v>6400</v>
      </c>
      <c r="M2011" s="1" t="str">
        <f>VLOOKUP(L2011,'Copy of PMD Workday Constants -'!B2010:W2696,22,false)</f>
        <v>#N/A</v>
      </c>
      <c r="N2011" s="1" t="s">
        <v>32</v>
      </c>
      <c r="O2011" s="1" t="s">
        <v>33</v>
      </c>
      <c r="P2011" s="1" t="s">
        <v>222</v>
      </c>
      <c r="Q2011" s="1" t="s">
        <v>222</v>
      </c>
      <c r="R2011" s="1" t="s">
        <v>223</v>
      </c>
      <c r="T2011" s="1">
        <v>1.00643946E8</v>
      </c>
      <c r="W2011" s="1" t="s">
        <v>456</v>
      </c>
      <c r="X2011" s="1" t="s">
        <v>3409</v>
      </c>
    </row>
    <row r="2012">
      <c r="A2012" s="1" t="s">
        <v>6401</v>
      </c>
      <c r="B2012" s="1" t="s">
        <v>2961</v>
      </c>
      <c r="C2012" s="1" t="s">
        <v>6402</v>
      </c>
      <c r="D2012" s="1" t="s">
        <v>28</v>
      </c>
      <c r="E2012" s="1" t="s">
        <v>29</v>
      </c>
      <c r="F2012" s="5">
        <v>500000.0</v>
      </c>
      <c r="G2012" s="1" t="s">
        <v>3964</v>
      </c>
      <c r="H2012" s="4">
        <v>44685.0</v>
      </c>
      <c r="I2012" s="1" t="s">
        <v>104</v>
      </c>
      <c r="K2012" s="1">
        <v>0.0</v>
      </c>
      <c r="L2012" s="1" t="s">
        <v>2058</v>
      </c>
      <c r="M2012" s="1" t="str">
        <f>VLOOKUP(L2012,'Copy of PMD Workday Constants -'!B2011:W2697,22,false)</f>
        <v>#N/A</v>
      </c>
      <c r="N2012" s="1" t="s">
        <v>32</v>
      </c>
      <c r="O2012" s="1" t="s">
        <v>33</v>
      </c>
      <c r="P2012" s="1" t="s">
        <v>34</v>
      </c>
      <c r="Q2012" s="1" t="s">
        <v>34</v>
      </c>
      <c r="R2012" s="1" t="s">
        <v>35</v>
      </c>
      <c r="T2012" s="1">
        <v>1.01076271E8</v>
      </c>
      <c r="W2012" s="1" t="s">
        <v>147</v>
      </c>
      <c r="X2012" s="1" t="s">
        <v>2058</v>
      </c>
    </row>
    <row r="2013">
      <c r="A2013" s="1" t="s">
        <v>6403</v>
      </c>
      <c r="B2013" s="1" t="s">
        <v>6404</v>
      </c>
      <c r="C2013" s="1" t="s">
        <v>6405</v>
      </c>
      <c r="D2013" s="1" t="s">
        <v>51</v>
      </c>
      <c r="E2013" s="1" t="s">
        <v>29</v>
      </c>
      <c r="F2013" s="5">
        <v>500000.0</v>
      </c>
      <c r="G2013" s="1" t="s">
        <v>3964</v>
      </c>
      <c r="H2013" s="4">
        <v>44809.0</v>
      </c>
      <c r="I2013" s="1" t="s">
        <v>80</v>
      </c>
      <c r="K2013" s="1">
        <v>0.0</v>
      </c>
      <c r="L2013" s="1" t="s">
        <v>2612</v>
      </c>
      <c r="M2013" s="1" t="str">
        <f>VLOOKUP(L2013,'Copy of PMD Workday Constants -'!B2012:W2698,22,false)</f>
        <v>#N/A</v>
      </c>
      <c r="N2013" s="1" t="s">
        <v>32</v>
      </c>
      <c r="O2013" s="1" t="s">
        <v>33</v>
      </c>
      <c r="P2013" s="1" t="s">
        <v>173</v>
      </c>
      <c r="Q2013" s="1" t="s">
        <v>173</v>
      </c>
      <c r="R2013" s="1" t="s">
        <v>174</v>
      </c>
      <c r="T2013" s="1">
        <v>1.00609544E8</v>
      </c>
      <c r="W2013" s="1" t="s">
        <v>456</v>
      </c>
      <c r="X2013" s="1" t="s">
        <v>6406</v>
      </c>
    </row>
    <row r="2014">
      <c r="A2014" s="1" t="s">
        <v>6407</v>
      </c>
      <c r="B2014" s="1" t="s">
        <v>445</v>
      </c>
      <c r="C2014" s="1" t="s">
        <v>6408</v>
      </c>
      <c r="D2014" s="1" t="s">
        <v>51</v>
      </c>
      <c r="E2014" s="1" t="s">
        <v>29</v>
      </c>
      <c r="F2014" s="5">
        <v>500000.0</v>
      </c>
      <c r="G2014" s="1" t="s">
        <v>3964</v>
      </c>
      <c r="H2014" s="1" t="s">
        <v>2884</v>
      </c>
      <c r="I2014" s="1" t="s">
        <v>1281</v>
      </c>
      <c r="K2014" s="1">
        <v>0.0</v>
      </c>
      <c r="L2014" s="1" t="s">
        <v>3565</v>
      </c>
      <c r="M2014" s="1" t="str">
        <f>VLOOKUP(L2014,'Copy of PMD Workday Constants -'!B2013:W2699,22,false)</f>
        <v>#N/A</v>
      </c>
      <c r="N2014" s="1" t="s">
        <v>32</v>
      </c>
      <c r="O2014" s="1" t="s">
        <v>33</v>
      </c>
      <c r="P2014" s="1" t="s">
        <v>112</v>
      </c>
      <c r="Q2014" s="1" t="s">
        <v>112</v>
      </c>
      <c r="R2014" s="1" t="s">
        <v>113</v>
      </c>
      <c r="S2014" s="1" t="s">
        <v>126</v>
      </c>
      <c r="T2014" s="1">
        <v>1.00658777E8</v>
      </c>
      <c r="W2014" s="1" t="s">
        <v>308</v>
      </c>
      <c r="X2014" s="1" t="s">
        <v>6409</v>
      </c>
    </row>
    <row r="2015">
      <c r="A2015" s="1" t="s">
        <v>6410</v>
      </c>
      <c r="B2015" s="1" t="s">
        <v>3055</v>
      </c>
      <c r="C2015" s="1" t="s">
        <v>6411</v>
      </c>
      <c r="D2015" s="1" t="s">
        <v>51</v>
      </c>
      <c r="E2015" s="1" t="s">
        <v>29</v>
      </c>
      <c r="F2015" s="5">
        <v>500000.0</v>
      </c>
      <c r="G2015" s="1" t="s">
        <v>3964</v>
      </c>
      <c r="H2015" s="1" t="s">
        <v>1708</v>
      </c>
      <c r="I2015" s="4">
        <v>44752.0</v>
      </c>
      <c r="K2015" s="1">
        <v>0.0</v>
      </c>
      <c r="L2015" s="1" t="s">
        <v>6412</v>
      </c>
      <c r="M2015" s="1" t="str">
        <f>VLOOKUP(L2015,'Copy of PMD Workday Constants -'!B2014:W2700,22,false)</f>
        <v>#N/A</v>
      </c>
      <c r="N2015" s="1" t="s">
        <v>32</v>
      </c>
      <c r="O2015" s="1" t="s">
        <v>33</v>
      </c>
      <c r="P2015" s="1" t="s">
        <v>54</v>
      </c>
      <c r="Q2015" s="1" t="s">
        <v>54</v>
      </c>
      <c r="R2015" s="1" t="s">
        <v>55</v>
      </c>
      <c r="T2015" s="1">
        <v>1.00591972E8</v>
      </c>
      <c r="W2015" s="1" t="s">
        <v>533</v>
      </c>
      <c r="X2015" s="1" t="s">
        <v>857</v>
      </c>
    </row>
    <row r="2016">
      <c r="A2016" s="1" t="s">
        <v>6413</v>
      </c>
      <c r="B2016" s="1" t="s">
        <v>6414</v>
      </c>
      <c r="C2016" s="1" t="s">
        <v>6415</v>
      </c>
      <c r="D2016" s="1" t="s">
        <v>28</v>
      </c>
      <c r="E2016" s="1" t="s">
        <v>29</v>
      </c>
      <c r="F2016" s="5">
        <v>500000.0</v>
      </c>
      <c r="G2016" s="1" t="s">
        <v>3964</v>
      </c>
      <c r="H2016" s="1" t="s">
        <v>2515</v>
      </c>
      <c r="I2016" s="1" t="s">
        <v>43</v>
      </c>
      <c r="K2016" s="1">
        <v>0.0</v>
      </c>
      <c r="L2016" s="1" t="s">
        <v>63</v>
      </c>
      <c r="M2016" s="1" t="str">
        <f>VLOOKUP(L2016,'Copy of PMD Workday Constants -'!B2015:W2701,22,false)</f>
        <v>#N/A</v>
      </c>
      <c r="N2016" s="1" t="s">
        <v>32</v>
      </c>
      <c r="O2016" s="1" t="s">
        <v>33</v>
      </c>
      <c r="P2016" s="1" t="s">
        <v>64</v>
      </c>
      <c r="Q2016" s="1" t="s">
        <v>64</v>
      </c>
      <c r="R2016" s="1" t="s">
        <v>65</v>
      </c>
      <c r="S2016" s="1" t="s">
        <v>66</v>
      </c>
      <c r="T2016" s="1">
        <v>1.01059432E8</v>
      </c>
      <c r="W2016" s="1" t="s">
        <v>308</v>
      </c>
      <c r="X2016" s="1" t="s">
        <v>6060</v>
      </c>
    </row>
    <row r="2017">
      <c r="A2017" s="1" t="s">
        <v>6416</v>
      </c>
      <c r="B2017" s="1" t="s">
        <v>6417</v>
      </c>
      <c r="C2017" s="1" t="s">
        <v>5781</v>
      </c>
      <c r="D2017" s="1" t="s">
        <v>28</v>
      </c>
      <c r="E2017" s="1" t="s">
        <v>29</v>
      </c>
      <c r="F2017" s="5">
        <v>500000.0</v>
      </c>
      <c r="G2017" s="1" t="s">
        <v>3964</v>
      </c>
      <c r="H2017" s="1" t="s">
        <v>399</v>
      </c>
      <c r="I2017" s="1" t="s">
        <v>302</v>
      </c>
      <c r="K2017" s="1">
        <v>0.0</v>
      </c>
      <c r="L2017" s="1" t="s">
        <v>517</v>
      </c>
      <c r="M2017" s="1" t="str">
        <f>VLOOKUP(L2017,'Copy of PMD Workday Constants -'!B2016:W2702,22,false)</f>
        <v>#N/A</v>
      </c>
      <c r="N2017" s="1" t="s">
        <v>32</v>
      </c>
      <c r="O2017" s="1" t="s">
        <v>33</v>
      </c>
      <c r="P2017" s="1" t="s">
        <v>64</v>
      </c>
      <c r="Q2017" s="1" t="s">
        <v>64</v>
      </c>
      <c r="R2017" s="1" t="s">
        <v>65</v>
      </c>
      <c r="S2017" s="1" t="s">
        <v>180</v>
      </c>
      <c r="T2017" s="1">
        <v>1.01001596E8</v>
      </c>
      <c r="W2017" s="1" t="s">
        <v>85</v>
      </c>
      <c r="X2017" s="1" t="s">
        <v>517</v>
      </c>
    </row>
    <row r="2018">
      <c r="A2018" s="1" t="s">
        <v>6418</v>
      </c>
      <c r="B2018" s="1" t="s">
        <v>87</v>
      </c>
      <c r="C2018" s="1" t="s">
        <v>6419</v>
      </c>
      <c r="D2018" s="1" t="s">
        <v>28</v>
      </c>
      <c r="E2018" s="1" t="s">
        <v>29</v>
      </c>
      <c r="F2018" s="5">
        <v>500000.0</v>
      </c>
      <c r="G2018" s="1" t="s">
        <v>3964</v>
      </c>
      <c r="H2018" s="1" t="s">
        <v>2318</v>
      </c>
      <c r="I2018" s="1" t="s">
        <v>104</v>
      </c>
      <c r="K2018" s="1">
        <v>0.0</v>
      </c>
      <c r="L2018" s="1" t="s">
        <v>89</v>
      </c>
      <c r="M2018" s="1" t="str">
        <f>VLOOKUP(L2018,'Copy of PMD Workday Constants -'!B2017:W2703,22,false)</f>
        <v>#N/A</v>
      </c>
      <c r="N2018" s="1" t="s">
        <v>32</v>
      </c>
      <c r="O2018" s="1" t="s">
        <v>33</v>
      </c>
      <c r="P2018" s="1" t="s">
        <v>34</v>
      </c>
      <c r="Q2018" s="1" t="s">
        <v>34</v>
      </c>
      <c r="R2018" s="1" t="s">
        <v>35</v>
      </c>
      <c r="T2018" s="1">
        <v>1.00609569E8</v>
      </c>
      <c r="W2018" s="1" t="s">
        <v>91</v>
      </c>
      <c r="X2018" s="1" t="s">
        <v>89</v>
      </c>
    </row>
    <row r="2019">
      <c r="A2019" s="1" t="s">
        <v>6420</v>
      </c>
      <c r="B2019" s="1" t="s">
        <v>1132</v>
      </c>
      <c r="C2019" s="1" t="s">
        <v>6421</v>
      </c>
      <c r="D2019" s="1" t="s">
        <v>28</v>
      </c>
      <c r="E2019" s="1" t="s">
        <v>29</v>
      </c>
      <c r="F2019" s="5">
        <v>500000.0</v>
      </c>
      <c r="G2019" s="1" t="s">
        <v>3964</v>
      </c>
      <c r="H2019" s="4">
        <v>44897.0</v>
      </c>
      <c r="I2019" s="1" t="s">
        <v>301</v>
      </c>
      <c r="K2019" s="1">
        <v>0.0</v>
      </c>
      <c r="L2019" s="1" t="s">
        <v>314</v>
      </c>
      <c r="M2019" s="1" t="str">
        <f>VLOOKUP(L2019,'Copy of PMD Workday Constants -'!B2018:W2704,22,false)</f>
        <v>#N/A</v>
      </c>
      <c r="N2019" s="1" t="s">
        <v>32</v>
      </c>
      <c r="O2019" s="1" t="s">
        <v>33</v>
      </c>
      <c r="P2019" s="1" t="s">
        <v>64</v>
      </c>
      <c r="Q2019" s="1" t="s">
        <v>64</v>
      </c>
      <c r="R2019" s="1" t="s">
        <v>65</v>
      </c>
      <c r="S2019" s="1" t="s">
        <v>98</v>
      </c>
      <c r="T2019" s="1">
        <v>1.00651094E8</v>
      </c>
      <c r="W2019" s="1" t="s">
        <v>56</v>
      </c>
      <c r="X2019" s="1" t="s">
        <v>1101</v>
      </c>
    </row>
    <row r="2020">
      <c r="A2020" s="1" t="s">
        <v>6422</v>
      </c>
      <c r="B2020" s="1" t="s">
        <v>2095</v>
      </c>
      <c r="C2020" s="1" t="s">
        <v>6423</v>
      </c>
      <c r="D2020" s="1" t="s">
        <v>28</v>
      </c>
      <c r="E2020" s="1" t="s">
        <v>29</v>
      </c>
      <c r="F2020" s="5">
        <v>500000.0</v>
      </c>
      <c r="G2020" s="1" t="s">
        <v>3964</v>
      </c>
      <c r="H2020" s="4">
        <v>44626.0</v>
      </c>
      <c r="I2020" s="4">
        <v>44931.0</v>
      </c>
      <c r="K2020" s="1">
        <v>0.0</v>
      </c>
      <c r="L2020" s="1" t="s">
        <v>3917</v>
      </c>
      <c r="M2020" s="1" t="str">
        <f>VLOOKUP(L2020,'Copy of PMD Workday Constants -'!B2019:W2705,22,false)</f>
        <v>#N/A</v>
      </c>
      <c r="N2020" s="1" t="s">
        <v>32</v>
      </c>
      <c r="O2020" s="1" t="s">
        <v>33</v>
      </c>
      <c r="P2020" s="1" t="s">
        <v>82</v>
      </c>
      <c r="Q2020" s="1" t="s">
        <v>82</v>
      </c>
      <c r="R2020" s="1" t="s">
        <v>83</v>
      </c>
      <c r="S2020" s="1" t="s">
        <v>180</v>
      </c>
      <c r="T2020" s="1">
        <v>1.00611547E8</v>
      </c>
      <c r="W2020" s="1" t="s">
        <v>2098</v>
      </c>
      <c r="X2020" s="1" t="s">
        <v>2099</v>
      </c>
    </row>
    <row r="2021">
      <c r="A2021" s="1" t="s">
        <v>6424</v>
      </c>
      <c r="B2021" s="1" t="s">
        <v>3684</v>
      </c>
      <c r="C2021" s="1" t="s">
        <v>6425</v>
      </c>
      <c r="D2021" s="1" t="s">
        <v>51</v>
      </c>
      <c r="E2021" s="1" t="s">
        <v>29</v>
      </c>
      <c r="F2021" s="5">
        <v>500000.0</v>
      </c>
      <c r="G2021" s="1" t="s">
        <v>3964</v>
      </c>
      <c r="H2021" s="4">
        <v>44105.0</v>
      </c>
      <c r="I2021" s="1" t="s">
        <v>104</v>
      </c>
      <c r="K2021" s="1">
        <v>0.0</v>
      </c>
      <c r="L2021" s="1" t="s">
        <v>3686</v>
      </c>
      <c r="M2021" s="1" t="str">
        <f>VLOOKUP(L2021,'Copy of PMD Workday Constants -'!B2020:W2706,22,false)</f>
        <v>#N/A</v>
      </c>
      <c r="N2021" s="1" t="s">
        <v>32</v>
      </c>
      <c r="O2021" s="1" t="s">
        <v>33</v>
      </c>
      <c r="P2021" s="1" t="s">
        <v>54</v>
      </c>
      <c r="Q2021" s="1" t="s">
        <v>54</v>
      </c>
      <c r="R2021" s="1" t="s">
        <v>55</v>
      </c>
      <c r="S2021" s="1" t="s">
        <v>601</v>
      </c>
      <c r="T2021" s="1">
        <v>1.00598931E8</v>
      </c>
      <c r="W2021" s="1" t="s">
        <v>250</v>
      </c>
      <c r="X2021" s="1" t="s">
        <v>3686</v>
      </c>
    </row>
    <row r="2022">
      <c r="A2022" s="1" t="s">
        <v>6426</v>
      </c>
      <c r="B2022" s="1" t="s">
        <v>6427</v>
      </c>
      <c r="C2022" s="1" t="s">
        <v>6428</v>
      </c>
      <c r="D2022" s="1" t="s">
        <v>28</v>
      </c>
      <c r="E2022" s="1" t="s">
        <v>29</v>
      </c>
      <c r="F2022" s="5">
        <v>500000.0</v>
      </c>
      <c r="G2022" s="1" t="s">
        <v>3964</v>
      </c>
      <c r="H2022" s="1" t="s">
        <v>698</v>
      </c>
      <c r="I2022" s="1" t="s">
        <v>80</v>
      </c>
      <c r="K2022" s="1">
        <v>0.0</v>
      </c>
      <c r="L2022" s="1" t="s">
        <v>6429</v>
      </c>
      <c r="M2022" s="1" t="str">
        <f>VLOOKUP(L2022,'Copy of PMD Workday Constants -'!B2021:W2707,22,false)</f>
        <v>#N/A</v>
      </c>
      <c r="N2022" s="1" t="s">
        <v>32</v>
      </c>
      <c r="O2022" s="1" t="s">
        <v>33</v>
      </c>
      <c r="P2022" s="1" t="s">
        <v>210</v>
      </c>
      <c r="Q2022" s="1" t="s">
        <v>210</v>
      </c>
      <c r="R2022" s="1" t="s">
        <v>211</v>
      </c>
      <c r="T2022" s="1">
        <v>1.01161608E8</v>
      </c>
      <c r="W2022" s="1" t="s">
        <v>258</v>
      </c>
      <c r="X2022" s="1" t="s">
        <v>6430</v>
      </c>
    </row>
    <row r="2023">
      <c r="A2023" s="1" t="s">
        <v>6431</v>
      </c>
      <c r="B2023" s="1" t="s">
        <v>1539</v>
      </c>
      <c r="C2023" s="1" t="s">
        <v>6432</v>
      </c>
      <c r="D2023" s="1" t="s">
        <v>28</v>
      </c>
      <c r="E2023" s="1" t="s">
        <v>29</v>
      </c>
      <c r="F2023" s="5">
        <v>500000.0</v>
      </c>
      <c r="G2023" s="1" t="s">
        <v>3964</v>
      </c>
      <c r="H2023" s="1" t="s">
        <v>6433</v>
      </c>
      <c r="I2023" s="1" t="s">
        <v>191</v>
      </c>
      <c r="K2023" s="1">
        <v>0.0</v>
      </c>
      <c r="L2023" s="1" t="s">
        <v>1525</v>
      </c>
      <c r="M2023" s="1" t="str">
        <f>VLOOKUP(L2023,'Copy of PMD Workday Constants -'!B2022:W2708,22,false)</f>
        <v>#N/A</v>
      </c>
      <c r="N2023" s="1" t="s">
        <v>32</v>
      </c>
      <c r="O2023" s="1" t="s">
        <v>33</v>
      </c>
      <c r="P2023" s="1" t="s">
        <v>34</v>
      </c>
      <c r="Q2023" s="1" t="s">
        <v>34</v>
      </c>
      <c r="R2023" s="1" t="s">
        <v>35</v>
      </c>
      <c r="S2023" s="1" t="s">
        <v>1166</v>
      </c>
      <c r="T2023" s="1">
        <v>1.00637597E8</v>
      </c>
      <c r="U2023" s="1" t="s">
        <v>6434</v>
      </c>
      <c r="V2023" s="1" t="s">
        <v>187</v>
      </c>
      <c r="W2023" s="1" t="s">
        <v>456</v>
      </c>
      <c r="X2023" s="1" t="s">
        <v>1525</v>
      </c>
    </row>
    <row r="2024">
      <c r="A2024" s="1" t="s">
        <v>6435</v>
      </c>
      <c r="B2024" s="1" t="s">
        <v>289</v>
      </c>
      <c r="C2024" s="1" t="s">
        <v>6436</v>
      </c>
      <c r="D2024" s="1" t="s">
        <v>28</v>
      </c>
      <c r="E2024" s="1" t="s">
        <v>29</v>
      </c>
      <c r="F2024" s="5">
        <v>500000.0</v>
      </c>
      <c r="G2024" s="1" t="s">
        <v>3964</v>
      </c>
      <c r="H2024" s="1" t="s">
        <v>283</v>
      </c>
      <c r="I2024" s="1" t="s">
        <v>810</v>
      </c>
      <c r="K2024" s="1">
        <v>0.0</v>
      </c>
      <c r="L2024" s="1" t="s">
        <v>3784</v>
      </c>
      <c r="M2024" s="1" t="str">
        <f>VLOOKUP(L2024,'Copy of PMD Workday Constants -'!B2023:W2709,22,false)</f>
        <v>#N/A</v>
      </c>
      <c r="N2024" s="1" t="s">
        <v>32</v>
      </c>
      <c r="O2024" s="1" t="s">
        <v>33</v>
      </c>
      <c r="P2024" s="1" t="s">
        <v>210</v>
      </c>
      <c r="Q2024" s="1" t="s">
        <v>210</v>
      </c>
      <c r="R2024" s="1" t="s">
        <v>211</v>
      </c>
      <c r="S2024" s="1" t="s">
        <v>416</v>
      </c>
      <c r="T2024" s="1">
        <v>1.00637651E8</v>
      </c>
      <c r="W2024" s="1" t="s">
        <v>74</v>
      </c>
      <c r="X2024" s="1" t="s">
        <v>852</v>
      </c>
    </row>
    <row r="2025">
      <c r="A2025" s="1" t="s">
        <v>6437</v>
      </c>
      <c r="B2025" s="1" t="s">
        <v>6438</v>
      </c>
      <c r="C2025" s="1" t="s">
        <v>6439</v>
      </c>
      <c r="D2025" s="1" t="s">
        <v>28</v>
      </c>
      <c r="E2025" s="1" t="s">
        <v>29</v>
      </c>
      <c r="F2025" s="5">
        <v>500000.0</v>
      </c>
      <c r="G2025" s="1" t="s">
        <v>3964</v>
      </c>
      <c r="H2025" s="4">
        <v>44899.0</v>
      </c>
      <c r="I2025" s="1" t="s">
        <v>6440</v>
      </c>
      <c r="K2025" s="1">
        <v>0.0</v>
      </c>
      <c r="L2025" s="1" t="s">
        <v>866</v>
      </c>
      <c r="M2025" s="1" t="str">
        <f>VLOOKUP(L2025,'Copy of PMD Workday Constants -'!B2024:W2710,22,false)</f>
        <v>#N/A</v>
      </c>
      <c r="N2025" s="1" t="s">
        <v>32</v>
      </c>
      <c r="O2025" s="1" t="s">
        <v>33</v>
      </c>
      <c r="P2025" s="1" t="s">
        <v>82</v>
      </c>
      <c r="Q2025" s="1" t="s">
        <v>82</v>
      </c>
      <c r="R2025" s="1" t="s">
        <v>83</v>
      </c>
      <c r="S2025" s="1" t="s">
        <v>84</v>
      </c>
      <c r="T2025" s="1">
        <v>1.00941744E8</v>
      </c>
      <c r="X2025" s="1" t="s">
        <v>866</v>
      </c>
    </row>
    <row r="2026">
      <c r="A2026" s="1" t="s">
        <v>6441</v>
      </c>
      <c r="B2026" s="1" t="s">
        <v>4825</v>
      </c>
      <c r="C2026" s="1" t="s">
        <v>6442</v>
      </c>
      <c r="D2026" s="1" t="s">
        <v>28</v>
      </c>
      <c r="E2026" s="1" t="s">
        <v>29</v>
      </c>
      <c r="F2026" s="5">
        <v>500000.0</v>
      </c>
      <c r="G2026" s="1" t="s">
        <v>3964</v>
      </c>
      <c r="H2026" s="4">
        <v>44747.0</v>
      </c>
      <c r="I2026" s="1" t="s">
        <v>104</v>
      </c>
      <c r="K2026" s="1">
        <v>0.0</v>
      </c>
      <c r="L2026" s="1" t="s">
        <v>162</v>
      </c>
      <c r="M2026" s="1" t="str">
        <f>VLOOKUP(L2026,'Copy of PMD Workday Constants -'!B2025:W2711,22,false)</f>
        <v>#N/A</v>
      </c>
      <c r="N2026" s="1" t="s">
        <v>32</v>
      </c>
      <c r="O2026" s="1" t="s">
        <v>33</v>
      </c>
      <c r="P2026" s="1" t="s">
        <v>64</v>
      </c>
      <c r="Q2026" s="1" t="s">
        <v>64</v>
      </c>
      <c r="R2026" s="1" t="s">
        <v>65</v>
      </c>
      <c r="T2026" s="1">
        <v>1.00652489E8</v>
      </c>
      <c r="W2026" s="1" t="s">
        <v>56</v>
      </c>
      <c r="X2026" s="1" t="s">
        <v>162</v>
      </c>
    </row>
    <row r="2027">
      <c r="A2027" s="1" t="s">
        <v>6443</v>
      </c>
      <c r="B2027" s="1" t="s">
        <v>776</v>
      </c>
      <c r="C2027" s="1" t="s">
        <v>6444</v>
      </c>
      <c r="D2027" s="1" t="s">
        <v>28</v>
      </c>
      <c r="E2027" s="1" t="s">
        <v>29</v>
      </c>
      <c r="F2027" s="5">
        <v>500000.0</v>
      </c>
      <c r="G2027" s="1" t="s">
        <v>3964</v>
      </c>
      <c r="H2027" s="1" t="s">
        <v>1919</v>
      </c>
      <c r="I2027" s="1" t="s">
        <v>80</v>
      </c>
      <c r="K2027" s="1">
        <v>0.0</v>
      </c>
      <c r="L2027" s="1" t="s">
        <v>5851</v>
      </c>
      <c r="M2027" s="1" t="str">
        <f>VLOOKUP(L2027,'Copy of PMD Workday Constants -'!B2026:W2712,22,false)</f>
        <v>#N/A</v>
      </c>
      <c r="N2027" s="1" t="s">
        <v>32</v>
      </c>
      <c r="O2027" s="1" t="s">
        <v>33</v>
      </c>
      <c r="P2027" s="1" t="s">
        <v>222</v>
      </c>
      <c r="Q2027" s="1" t="s">
        <v>222</v>
      </c>
      <c r="R2027" s="1" t="s">
        <v>223</v>
      </c>
      <c r="S2027" s="1" t="s">
        <v>601</v>
      </c>
      <c r="T2027" s="1">
        <v>1.00607287E8</v>
      </c>
      <c r="W2027" s="1" t="s">
        <v>74</v>
      </c>
      <c r="X2027" s="1" t="s">
        <v>5851</v>
      </c>
    </row>
    <row r="2028">
      <c r="A2028" s="1" t="s">
        <v>6445</v>
      </c>
      <c r="B2028" s="1" t="s">
        <v>6446</v>
      </c>
      <c r="C2028" s="1" t="s">
        <v>6447</v>
      </c>
      <c r="D2028" s="1" t="s">
        <v>28</v>
      </c>
      <c r="E2028" s="1" t="s">
        <v>29</v>
      </c>
      <c r="F2028" s="5">
        <v>500000.0</v>
      </c>
      <c r="G2028" s="1" t="s">
        <v>3964</v>
      </c>
      <c r="H2028" s="1" t="s">
        <v>4892</v>
      </c>
      <c r="I2028" s="1" t="s">
        <v>661</v>
      </c>
      <c r="K2028" s="1">
        <v>0.0</v>
      </c>
      <c r="L2028" s="1" t="s">
        <v>1902</v>
      </c>
      <c r="M2028" s="1" t="str">
        <f>VLOOKUP(L2028,'Copy of PMD Workday Constants -'!B2027:W2713,22,false)</f>
        <v>#N/A</v>
      </c>
      <c r="N2028" s="1" t="s">
        <v>32</v>
      </c>
      <c r="O2028" s="1" t="s">
        <v>33</v>
      </c>
      <c r="P2028" s="1" t="s">
        <v>173</v>
      </c>
      <c r="Q2028" s="1" t="s">
        <v>173</v>
      </c>
      <c r="R2028" s="1" t="s">
        <v>174</v>
      </c>
      <c r="T2028" s="1">
        <v>1.00956516E8</v>
      </c>
      <c r="W2028" s="1" t="s">
        <v>258</v>
      </c>
      <c r="X2028" s="1" t="s">
        <v>6448</v>
      </c>
    </row>
    <row r="2029">
      <c r="A2029" s="1" t="s">
        <v>6449</v>
      </c>
      <c r="B2029" s="1" t="s">
        <v>6450</v>
      </c>
      <c r="C2029" s="1" t="s">
        <v>6451</v>
      </c>
      <c r="D2029" s="1" t="s">
        <v>79</v>
      </c>
      <c r="E2029" s="1" t="s">
        <v>29</v>
      </c>
      <c r="F2029" s="5">
        <v>500000.0</v>
      </c>
      <c r="G2029" s="1" t="s">
        <v>3964</v>
      </c>
      <c r="H2029" s="4">
        <v>44324.0</v>
      </c>
      <c r="I2029" s="1" t="s">
        <v>152</v>
      </c>
      <c r="K2029" s="1">
        <v>0.0</v>
      </c>
      <c r="L2029" s="1" t="s">
        <v>198</v>
      </c>
      <c r="M2029" s="1" t="str">
        <f>VLOOKUP(L2029,'Copy of PMD Workday Constants -'!B2028:W2714,22,false)</f>
        <v>#N/A</v>
      </c>
      <c r="N2029" s="1" t="s">
        <v>32</v>
      </c>
      <c r="O2029" s="1" t="s">
        <v>33</v>
      </c>
      <c r="P2029" s="1" t="s">
        <v>82</v>
      </c>
      <c r="Q2029" s="1" t="s">
        <v>82</v>
      </c>
      <c r="R2029" s="1" t="s">
        <v>83</v>
      </c>
      <c r="S2029" s="1" t="s">
        <v>180</v>
      </c>
      <c r="T2029" s="1">
        <v>1.00590896E8</v>
      </c>
      <c r="W2029" s="1" t="s">
        <v>85</v>
      </c>
      <c r="X2029" s="1" t="s">
        <v>1142</v>
      </c>
    </row>
    <row r="2030">
      <c r="A2030" s="1" t="s">
        <v>6452</v>
      </c>
      <c r="B2030" s="1" t="s">
        <v>6453</v>
      </c>
      <c r="C2030" s="1" t="s">
        <v>6454</v>
      </c>
      <c r="D2030" s="1" t="s">
        <v>28</v>
      </c>
      <c r="E2030" s="1" t="s">
        <v>29</v>
      </c>
      <c r="F2030" s="5">
        <v>500000.0</v>
      </c>
      <c r="G2030" s="1" t="s">
        <v>3964</v>
      </c>
      <c r="H2030" s="4">
        <v>44239.0</v>
      </c>
      <c r="I2030" s="1" t="s">
        <v>217</v>
      </c>
      <c r="K2030" s="1">
        <v>0.0</v>
      </c>
      <c r="L2030" s="1" t="s">
        <v>2547</v>
      </c>
      <c r="M2030" s="1" t="str">
        <f>VLOOKUP(L2030,'Copy of PMD Workday Constants -'!B2029:W2715,22,false)</f>
        <v>#N/A</v>
      </c>
      <c r="N2030" s="1" t="s">
        <v>32</v>
      </c>
      <c r="O2030" s="1" t="s">
        <v>33</v>
      </c>
      <c r="P2030" s="1" t="s">
        <v>64</v>
      </c>
      <c r="Q2030" s="1" t="s">
        <v>64</v>
      </c>
      <c r="R2030" s="1" t="s">
        <v>65</v>
      </c>
      <c r="S2030" s="1" t="s">
        <v>185</v>
      </c>
      <c r="T2030" s="1">
        <v>1.00592932E8</v>
      </c>
      <c r="W2030" s="1" t="s">
        <v>250</v>
      </c>
      <c r="X2030" s="1" t="s">
        <v>1381</v>
      </c>
    </row>
    <row r="2031">
      <c r="A2031" s="1" t="s">
        <v>6455</v>
      </c>
      <c r="B2031" s="1" t="s">
        <v>2152</v>
      </c>
      <c r="C2031" s="1" t="s">
        <v>6456</v>
      </c>
      <c r="D2031" s="1" t="s">
        <v>28</v>
      </c>
      <c r="E2031" s="1" t="s">
        <v>29</v>
      </c>
      <c r="F2031" s="5">
        <v>500000.0</v>
      </c>
      <c r="G2031" s="1" t="s">
        <v>3964</v>
      </c>
      <c r="H2031" s="1" t="s">
        <v>1915</v>
      </c>
      <c r="I2031" s="1" t="s">
        <v>80</v>
      </c>
      <c r="K2031" s="1">
        <v>0.0</v>
      </c>
      <c r="L2031" s="1" t="s">
        <v>2154</v>
      </c>
      <c r="M2031" s="1" t="str">
        <f>VLOOKUP(L2031,'Copy of PMD Workday Constants -'!B2030:W2716,22,false)</f>
        <v>#N/A</v>
      </c>
      <c r="N2031" s="1" t="s">
        <v>32</v>
      </c>
      <c r="O2031" s="1" t="s">
        <v>33</v>
      </c>
      <c r="P2031" s="1" t="s">
        <v>173</v>
      </c>
      <c r="Q2031" s="1" t="s">
        <v>173</v>
      </c>
      <c r="R2031" s="1" t="s">
        <v>174</v>
      </c>
      <c r="S2031" s="1" t="s">
        <v>612</v>
      </c>
      <c r="T2031" s="1">
        <v>1.00639477E8</v>
      </c>
      <c r="W2031" s="1" t="s">
        <v>456</v>
      </c>
      <c r="X2031" s="1" t="s">
        <v>2155</v>
      </c>
    </row>
    <row r="2032">
      <c r="A2032" s="1" t="s">
        <v>6457</v>
      </c>
      <c r="B2032" s="1" t="s">
        <v>1204</v>
      </c>
      <c r="C2032" s="1" t="s">
        <v>6458</v>
      </c>
      <c r="D2032" s="1" t="s">
        <v>51</v>
      </c>
      <c r="E2032" s="1" t="s">
        <v>29</v>
      </c>
      <c r="F2032" s="5">
        <v>500000.0</v>
      </c>
      <c r="G2032" s="1" t="s">
        <v>3964</v>
      </c>
      <c r="H2032" s="1" t="s">
        <v>1134</v>
      </c>
      <c r="I2032" s="1" t="s">
        <v>104</v>
      </c>
      <c r="K2032" s="1">
        <v>0.0</v>
      </c>
      <c r="L2032" s="1" t="s">
        <v>909</v>
      </c>
      <c r="M2032" s="1" t="str">
        <f>VLOOKUP(L2032,'Copy of PMD Workday Constants -'!B2031:W2717,22,false)</f>
        <v>#N/A</v>
      </c>
      <c r="N2032" s="1" t="s">
        <v>32</v>
      </c>
      <c r="O2032" s="1" t="s">
        <v>33</v>
      </c>
      <c r="P2032" s="1" t="s">
        <v>82</v>
      </c>
      <c r="Q2032" s="1" t="s">
        <v>82</v>
      </c>
      <c r="R2032" s="1" t="s">
        <v>83</v>
      </c>
      <c r="S2032" s="1" t="s">
        <v>84</v>
      </c>
      <c r="T2032" s="1">
        <v>1.00649698E8</v>
      </c>
      <c r="W2032" s="1" t="s">
        <v>85</v>
      </c>
      <c r="X2032" s="1" t="s">
        <v>909</v>
      </c>
    </row>
    <row r="2033">
      <c r="A2033" s="1" t="s">
        <v>6459</v>
      </c>
      <c r="B2033" s="1" t="s">
        <v>6460</v>
      </c>
      <c r="C2033" s="1" t="s">
        <v>6461</v>
      </c>
      <c r="D2033" s="1" t="s">
        <v>103</v>
      </c>
      <c r="E2033" s="1" t="s">
        <v>29</v>
      </c>
      <c r="F2033" s="5">
        <v>500000.0</v>
      </c>
      <c r="G2033" s="1" t="s">
        <v>3964</v>
      </c>
      <c r="H2033" s="4">
        <v>44321.0</v>
      </c>
      <c r="I2033" s="1" t="s">
        <v>43</v>
      </c>
      <c r="K2033" s="1">
        <v>0.0</v>
      </c>
      <c r="L2033" s="1" t="s">
        <v>2655</v>
      </c>
      <c r="M2033" s="1" t="str">
        <f>VLOOKUP(L2033,'Copy of PMD Workday Constants -'!B2032:W2718,22,false)</f>
        <v>#N/A</v>
      </c>
      <c r="N2033" s="1" t="s">
        <v>32</v>
      </c>
      <c r="O2033" s="1" t="s">
        <v>33</v>
      </c>
      <c r="P2033" s="1" t="s">
        <v>210</v>
      </c>
      <c r="Q2033" s="1" t="s">
        <v>210</v>
      </c>
      <c r="R2033" s="1" t="s">
        <v>211</v>
      </c>
      <c r="S2033" s="1" t="s">
        <v>1385</v>
      </c>
      <c r="T2033" s="1">
        <v>1.0062606E8</v>
      </c>
      <c r="W2033" s="1" t="s">
        <v>287</v>
      </c>
      <c r="X2033" s="1" t="s">
        <v>6462</v>
      </c>
    </row>
    <row r="2034">
      <c r="A2034" s="1" t="s">
        <v>6463</v>
      </c>
      <c r="B2034" s="1" t="s">
        <v>1768</v>
      </c>
      <c r="C2034" s="1" t="s">
        <v>6464</v>
      </c>
      <c r="D2034" s="1" t="s">
        <v>51</v>
      </c>
      <c r="E2034" s="1" t="s">
        <v>29</v>
      </c>
      <c r="F2034" s="5">
        <v>500000.0</v>
      </c>
      <c r="G2034" s="1" t="s">
        <v>3964</v>
      </c>
      <c r="H2034" s="1" t="s">
        <v>273</v>
      </c>
      <c r="I2034" s="1" t="s">
        <v>104</v>
      </c>
      <c r="K2034" s="1">
        <v>0.0</v>
      </c>
      <c r="L2034" s="1" t="s">
        <v>1770</v>
      </c>
      <c r="M2034" s="1" t="str">
        <f>VLOOKUP(L2034,'Copy of PMD Workday Constants -'!B2033:W2719,22,false)</f>
        <v>#N/A</v>
      </c>
      <c r="N2034" s="1" t="s">
        <v>32</v>
      </c>
      <c r="O2034" s="1" t="s">
        <v>33</v>
      </c>
      <c r="P2034" s="1" t="s">
        <v>210</v>
      </c>
      <c r="Q2034" s="1" t="s">
        <v>210</v>
      </c>
      <c r="R2034" s="1" t="s">
        <v>211</v>
      </c>
      <c r="S2034" s="1" t="s">
        <v>1313</v>
      </c>
      <c r="T2034" s="1">
        <v>1.00593918E8</v>
      </c>
      <c r="W2034" s="1" t="s">
        <v>436</v>
      </c>
      <c r="X2034" s="1" t="s">
        <v>1771</v>
      </c>
    </row>
    <row r="2035">
      <c r="A2035" s="1" t="s">
        <v>6465</v>
      </c>
      <c r="B2035" s="1" t="s">
        <v>6466</v>
      </c>
      <c r="C2035" s="1" t="s">
        <v>6467</v>
      </c>
      <c r="D2035" s="1" t="s">
        <v>51</v>
      </c>
      <c r="E2035" s="1" t="s">
        <v>29</v>
      </c>
      <c r="F2035" s="5">
        <v>500000.0</v>
      </c>
      <c r="G2035" s="1" t="s">
        <v>3964</v>
      </c>
      <c r="H2035" s="1" t="s">
        <v>3443</v>
      </c>
      <c r="I2035" s="1" t="s">
        <v>96</v>
      </c>
      <c r="K2035" s="1">
        <v>0.0</v>
      </c>
      <c r="L2035" s="1" t="s">
        <v>355</v>
      </c>
      <c r="M2035" s="1" t="str">
        <f>VLOOKUP(L2035,'Copy of PMD Workday Constants -'!B2034:W2720,22,false)</f>
        <v>#N/A</v>
      </c>
      <c r="N2035" s="1" t="s">
        <v>32</v>
      </c>
      <c r="O2035" s="1" t="s">
        <v>33</v>
      </c>
      <c r="P2035" s="1" t="s">
        <v>210</v>
      </c>
      <c r="Q2035" s="1" t="s">
        <v>210</v>
      </c>
      <c r="R2035" s="1" t="s">
        <v>211</v>
      </c>
      <c r="T2035" s="1">
        <v>1.00588753E8</v>
      </c>
      <c r="W2035" s="1" t="s">
        <v>74</v>
      </c>
      <c r="X2035" s="1" t="s">
        <v>355</v>
      </c>
    </row>
    <row r="2036">
      <c r="A2036" s="1" t="s">
        <v>6468</v>
      </c>
      <c r="B2036" s="1" t="s">
        <v>4817</v>
      </c>
      <c r="C2036" s="1" t="s">
        <v>6469</v>
      </c>
      <c r="D2036" s="1" t="s">
        <v>28</v>
      </c>
      <c r="E2036" s="1" t="s">
        <v>29</v>
      </c>
      <c r="F2036" s="5">
        <v>500000.0</v>
      </c>
      <c r="G2036" s="1" t="s">
        <v>3964</v>
      </c>
      <c r="H2036" s="4">
        <v>44899.0</v>
      </c>
      <c r="I2036" s="4">
        <v>44567.0</v>
      </c>
      <c r="K2036" s="1">
        <v>0.0</v>
      </c>
      <c r="L2036" s="1" t="s">
        <v>866</v>
      </c>
      <c r="M2036" s="1" t="str">
        <f>VLOOKUP(L2036,'Copy of PMD Workday Constants -'!B2035:W2721,22,false)</f>
        <v>#N/A</v>
      </c>
      <c r="N2036" s="1" t="s">
        <v>32</v>
      </c>
      <c r="O2036" s="1" t="s">
        <v>33</v>
      </c>
      <c r="P2036" s="1" t="s">
        <v>82</v>
      </c>
      <c r="Q2036" s="1" t="s">
        <v>82</v>
      </c>
      <c r="R2036" s="1" t="s">
        <v>83</v>
      </c>
      <c r="S2036" s="1" t="s">
        <v>84</v>
      </c>
      <c r="T2036" s="1">
        <v>1.00941744E8</v>
      </c>
      <c r="W2036" s="1" t="s">
        <v>85</v>
      </c>
      <c r="X2036" s="1" t="s">
        <v>6470</v>
      </c>
    </row>
    <row r="2037">
      <c r="A2037" s="1" t="s">
        <v>6471</v>
      </c>
      <c r="B2037" s="1" t="s">
        <v>6472</v>
      </c>
      <c r="C2037" s="1" t="s">
        <v>6473</v>
      </c>
      <c r="D2037" s="1" t="s">
        <v>103</v>
      </c>
      <c r="E2037" s="1" t="s">
        <v>29</v>
      </c>
      <c r="F2037" s="5">
        <v>500000.0</v>
      </c>
      <c r="G2037" s="1" t="s">
        <v>3964</v>
      </c>
      <c r="H2037" s="1" t="s">
        <v>2290</v>
      </c>
      <c r="I2037" s="1" t="s">
        <v>104</v>
      </c>
      <c r="K2037" s="1">
        <v>0.0</v>
      </c>
      <c r="L2037" s="1" t="s">
        <v>3771</v>
      </c>
      <c r="M2037" s="1" t="str">
        <f>VLOOKUP(L2037,'Copy of PMD Workday Constants -'!B2036:W2722,22,false)</f>
        <v>#N/A</v>
      </c>
      <c r="N2037" s="1" t="s">
        <v>32</v>
      </c>
      <c r="O2037" s="1" t="s">
        <v>33</v>
      </c>
      <c r="P2037" s="1" t="s">
        <v>34</v>
      </c>
      <c r="Q2037" s="1" t="s">
        <v>34</v>
      </c>
      <c r="R2037" s="1" t="s">
        <v>35</v>
      </c>
      <c r="S2037" s="1" t="s">
        <v>1166</v>
      </c>
      <c r="T2037" s="1">
        <v>1.00651998E8</v>
      </c>
      <c r="W2037" s="1" t="s">
        <v>456</v>
      </c>
      <c r="X2037" s="1" t="s">
        <v>2631</v>
      </c>
    </row>
    <row r="2038">
      <c r="A2038" s="1" t="s">
        <v>6474</v>
      </c>
      <c r="B2038" s="1" t="s">
        <v>5750</v>
      </c>
      <c r="C2038" s="1" t="s">
        <v>6475</v>
      </c>
      <c r="D2038" s="1" t="s">
        <v>103</v>
      </c>
      <c r="E2038" s="1" t="s">
        <v>29</v>
      </c>
      <c r="F2038" s="5">
        <v>500000.0</v>
      </c>
      <c r="G2038" s="1" t="s">
        <v>3964</v>
      </c>
      <c r="H2038" s="1" t="s">
        <v>1514</v>
      </c>
      <c r="I2038" s="1" t="s">
        <v>80</v>
      </c>
      <c r="K2038" s="1">
        <v>0.0</v>
      </c>
      <c r="L2038" s="1" t="s">
        <v>2507</v>
      </c>
      <c r="M2038" s="1" t="str">
        <f>VLOOKUP(L2038,'Copy of PMD Workday Constants -'!B2037:W2723,22,false)</f>
        <v>#N/A</v>
      </c>
      <c r="N2038" s="1" t="s">
        <v>32</v>
      </c>
      <c r="O2038" s="1" t="s">
        <v>33</v>
      </c>
      <c r="P2038" s="1" t="s">
        <v>222</v>
      </c>
      <c r="Q2038" s="1" t="s">
        <v>222</v>
      </c>
      <c r="R2038" s="1" t="s">
        <v>223</v>
      </c>
      <c r="S2038" s="1" t="s">
        <v>482</v>
      </c>
      <c r="T2038" s="1">
        <v>1.00659458E8</v>
      </c>
      <c r="W2038" s="1" t="s">
        <v>115</v>
      </c>
      <c r="X2038" s="1" t="s">
        <v>5295</v>
      </c>
    </row>
    <row r="2039">
      <c r="A2039" s="1" t="s">
        <v>6476</v>
      </c>
      <c r="B2039" s="1" t="s">
        <v>4294</v>
      </c>
      <c r="C2039" s="1" t="s">
        <v>6477</v>
      </c>
      <c r="D2039" s="1" t="s">
        <v>28</v>
      </c>
      <c r="E2039" s="1" t="s">
        <v>29</v>
      </c>
      <c r="F2039" s="5">
        <v>500000.0</v>
      </c>
      <c r="G2039" s="1" t="s">
        <v>3964</v>
      </c>
      <c r="H2039" s="1" t="s">
        <v>2484</v>
      </c>
      <c r="I2039" s="4">
        <v>44567.0</v>
      </c>
      <c r="K2039" s="1">
        <v>0.0</v>
      </c>
      <c r="L2039" s="1" t="s">
        <v>1023</v>
      </c>
      <c r="M2039" s="1" t="str">
        <f>VLOOKUP(L2039,'Copy of PMD Workday Constants -'!B2038:W2724,22,false)</f>
        <v>#N/A</v>
      </c>
      <c r="N2039" s="1" t="s">
        <v>32</v>
      </c>
      <c r="O2039" s="1" t="s">
        <v>33</v>
      </c>
      <c r="P2039" s="1" t="s">
        <v>82</v>
      </c>
      <c r="Q2039" s="1" t="s">
        <v>82</v>
      </c>
      <c r="R2039" s="1" t="s">
        <v>83</v>
      </c>
      <c r="S2039" s="1" t="s">
        <v>84</v>
      </c>
      <c r="T2039" s="1">
        <v>1.00619899E8</v>
      </c>
      <c r="W2039" s="1" t="s">
        <v>85</v>
      </c>
      <c r="X2039" s="1" t="s">
        <v>6478</v>
      </c>
    </row>
    <row r="2040">
      <c r="A2040" s="1" t="s">
        <v>6479</v>
      </c>
      <c r="B2040" s="1" t="s">
        <v>1721</v>
      </c>
      <c r="C2040" s="1" t="s">
        <v>6480</v>
      </c>
      <c r="D2040" s="1" t="s">
        <v>51</v>
      </c>
      <c r="E2040" s="1" t="s">
        <v>29</v>
      </c>
      <c r="F2040" s="5">
        <v>500000.0</v>
      </c>
      <c r="G2040" s="1" t="s">
        <v>3964</v>
      </c>
      <c r="H2040" s="1" t="s">
        <v>6481</v>
      </c>
      <c r="I2040" s="1" t="s">
        <v>80</v>
      </c>
      <c r="K2040" s="1">
        <v>0.0</v>
      </c>
      <c r="L2040" s="1" t="s">
        <v>2154</v>
      </c>
      <c r="M2040" s="1" t="str">
        <f>VLOOKUP(L2040,'Copy of PMD Workday Constants -'!B2039:W2725,22,false)</f>
        <v>#N/A</v>
      </c>
      <c r="N2040" s="1" t="s">
        <v>32</v>
      </c>
      <c r="O2040" s="1" t="s">
        <v>33</v>
      </c>
      <c r="P2040" s="1" t="s">
        <v>173</v>
      </c>
      <c r="Q2040" s="1" t="s">
        <v>173</v>
      </c>
      <c r="R2040" s="1" t="s">
        <v>174</v>
      </c>
      <c r="S2040" s="1" t="s">
        <v>612</v>
      </c>
      <c r="T2040" s="1">
        <v>1.00639477E8</v>
      </c>
      <c r="W2040" s="1" t="s">
        <v>391</v>
      </c>
      <c r="X2040" s="1" t="s">
        <v>6482</v>
      </c>
    </row>
    <row r="2041">
      <c r="A2041" s="1" t="s">
        <v>6483</v>
      </c>
      <c r="B2041" s="1" t="s">
        <v>1685</v>
      </c>
      <c r="C2041" s="1" t="s">
        <v>2755</v>
      </c>
      <c r="D2041" s="1" t="s">
        <v>51</v>
      </c>
      <c r="E2041" s="1" t="s">
        <v>29</v>
      </c>
      <c r="F2041" s="5">
        <v>500000.0</v>
      </c>
      <c r="G2041" s="1" t="s">
        <v>3964</v>
      </c>
      <c r="H2041" s="1" t="s">
        <v>1134</v>
      </c>
      <c r="I2041" s="1" t="s">
        <v>80</v>
      </c>
      <c r="K2041" s="1">
        <v>0.0</v>
      </c>
      <c r="L2041" s="1" t="s">
        <v>499</v>
      </c>
      <c r="M2041" s="1" t="str">
        <f>VLOOKUP(L2041,'Copy of PMD Workday Constants -'!B2040:W2726,22,false)</f>
        <v>#N/A</v>
      </c>
      <c r="N2041" s="1" t="s">
        <v>32</v>
      </c>
      <c r="O2041" s="1" t="s">
        <v>33</v>
      </c>
      <c r="P2041" s="1" t="s">
        <v>34</v>
      </c>
      <c r="Q2041" s="1" t="s">
        <v>34</v>
      </c>
      <c r="R2041" s="1" t="s">
        <v>35</v>
      </c>
      <c r="S2041" s="1" t="s">
        <v>2754</v>
      </c>
      <c r="T2041" s="1">
        <v>1.00627768E8</v>
      </c>
      <c r="V2041" s="1" t="s">
        <v>67</v>
      </c>
      <c r="W2041" s="1" t="s">
        <v>147</v>
      </c>
      <c r="X2041" s="1" t="s">
        <v>499</v>
      </c>
    </row>
    <row r="2042">
      <c r="A2042" s="1" t="s">
        <v>6484</v>
      </c>
      <c r="B2042" s="1" t="s">
        <v>6485</v>
      </c>
      <c r="C2042" s="1" t="s">
        <v>6486</v>
      </c>
      <c r="D2042" s="1" t="s">
        <v>28</v>
      </c>
      <c r="E2042" s="1" t="s">
        <v>29</v>
      </c>
      <c r="F2042" s="5">
        <v>500000.0</v>
      </c>
      <c r="G2042" s="1" t="s">
        <v>3964</v>
      </c>
      <c r="H2042" s="1" t="s">
        <v>3513</v>
      </c>
      <c r="I2042" s="1" t="s">
        <v>152</v>
      </c>
      <c r="K2042" s="1">
        <v>0.0</v>
      </c>
      <c r="L2042" s="1" t="s">
        <v>1198</v>
      </c>
      <c r="M2042" s="1" t="str">
        <f>VLOOKUP(L2042,'Copy of PMD Workday Constants -'!B2041:W2727,22,false)</f>
        <v>#N/A</v>
      </c>
      <c r="N2042" s="1" t="s">
        <v>32</v>
      </c>
      <c r="O2042" s="1" t="s">
        <v>33</v>
      </c>
      <c r="P2042" s="1" t="s">
        <v>64</v>
      </c>
      <c r="Q2042" s="1" t="s">
        <v>64</v>
      </c>
      <c r="R2042" s="1" t="s">
        <v>65</v>
      </c>
      <c r="T2042" s="1">
        <v>1.01127868E8</v>
      </c>
      <c r="W2042" s="1" t="s">
        <v>308</v>
      </c>
      <c r="X2042" s="1" t="s">
        <v>4552</v>
      </c>
    </row>
    <row r="2043">
      <c r="A2043" s="1" t="s">
        <v>6487</v>
      </c>
      <c r="B2043" s="1" t="s">
        <v>6488</v>
      </c>
      <c r="C2043" s="1" t="s">
        <v>6489</v>
      </c>
      <c r="D2043" s="1" t="s">
        <v>103</v>
      </c>
      <c r="E2043" s="1" t="s">
        <v>29</v>
      </c>
      <c r="F2043" s="5">
        <v>500000.0</v>
      </c>
      <c r="G2043" s="1" t="s">
        <v>3964</v>
      </c>
      <c r="H2043" s="4">
        <v>44747.0</v>
      </c>
      <c r="I2043" s="1" t="s">
        <v>104</v>
      </c>
      <c r="K2043" s="1">
        <v>0.0</v>
      </c>
      <c r="L2043" s="1" t="s">
        <v>5199</v>
      </c>
      <c r="M2043" s="1" t="str">
        <f>VLOOKUP(L2043,'Copy of PMD Workday Constants -'!B2042:W2728,22,false)</f>
        <v>#N/A</v>
      </c>
      <c r="N2043" s="1" t="s">
        <v>32</v>
      </c>
      <c r="O2043" s="1" t="s">
        <v>33</v>
      </c>
      <c r="P2043" s="1" t="s">
        <v>173</v>
      </c>
      <c r="Q2043" s="1" t="s">
        <v>173</v>
      </c>
      <c r="R2043" s="1" t="s">
        <v>174</v>
      </c>
      <c r="T2043" s="1">
        <v>1.00659846E8</v>
      </c>
      <c r="W2043" s="1" t="s">
        <v>74</v>
      </c>
      <c r="X2043" s="1" t="s">
        <v>6490</v>
      </c>
    </row>
    <row r="2044">
      <c r="A2044" s="1" t="s">
        <v>6491</v>
      </c>
      <c r="B2044" s="1" t="s">
        <v>1402</v>
      </c>
      <c r="C2044" s="1" t="s">
        <v>6492</v>
      </c>
      <c r="D2044" s="1" t="s">
        <v>28</v>
      </c>
      <c r="E2044" s="1" t="s">
        <v>29</v>
      </c>
      <c r="F2044" s="5">
        <v>500000.0</v>
      </c>
      <c r="G2044" s="1" t="s">
        <v>3964</v>
      </c>
      <c r="H2044" s="1" t="s">
        <v>1287</v>
      </c>
      <c r="I2044" s="1" t="s">
        <v>302</v>
      </c>
      <c r="K2044" s="1">
        <v>0.0</v>
      </c>
      <c r="L2044" s="1" t="s">
        <v>428</v>
      </c>
      <c r="M2044" s="1" t="str">
        <f>VLOOKUP(L2044,'Copy of PMD Workday Constants -'!B2043:W2729,22,false)</f>
        <v>#N/A</v>
      </c>
      <c r="N2044" s="1" t="s">
        <v>32</v>
      </c>
      <c r="O2044" s="1" t="s">
        <v>33</v>
      </c>
      <c r="P2044" s="1" t="s">
        <v>173</v>
      </c>
      <c r="Q2044" s="1" t="s">
        <v>173</v>
      </c>
      <c r="R2044" s="1" t="s">
        <v>174</v>
      </c>
      <c r="T2044" s="1">
        <v>1.00654085E8</v>
      </c>
      <c r="W2044" s="1" t="s">
        <v>85</v>
      </c>
      <c r="X2044" s="1" t="s">
        <v>3714</v>
      </c>
    </row>
    <row r="2045">
      <c r="A2045" s="1" t="s">
        <v>6493</v>
      </c>
      <c r="B2045" s="1" t="s">
        <v>776</v>
      </c>
      <c r="C2045" s="1" t="s">
        <v>6494</v>
      </c>
      <c r="D2045" s="1" t="s">
        <v>51</v>
      </c>
      <c r="E2045" s="1" t="s">
        <v>29</v>
      </c>
      <c r="F2045" s="5">
        <v>500000.0</v>
      </c>
      <c r="G2045" s="1" t="s">
        <v>3964</v>
      </c>
      <c r="H2045" s="1" t="s">
        <v>2069</v>
      </c>
      <c r="I2045" s="1" t="s">
        <v>80</v>
      </c>
      <c r="K2045" s="1">
        <v>0.0</v>
      </c>
      <c r="L2045" s="1" t="s">
        <v>779</v>
      </c>
      <c r="M2045" s="1" t="str">
        <f>VLOOKUP(L2045,'Copy of PMD Workday Constants -'!B2044:W2730,22,false)</f>
        <v>#N/A</v>
      </c>
      <c r="N2045" s="1" t="s">
        <v>32</v>
      </c>
      <c r="O2045" s="1" t="s">
        <v>33</v>
      </c>
      <c r="P2045" s="1" t="s">
        <v>222</v>
      </c>
      <c r="Q2045" s="1" t="s">
        <v>222</v>
      </c>
      <c r="R2045" s="1" t="s">
        <v>223</v>
      </c>
      <c r="S2045" s="1" t="s">
        <v>601</v>
      </c>
      <c r="T2045" s="1">
        <v>1.0061139E8</v>
      </c>
      <c r="W2045" s="1" t="s">
        <v>74</v>
      </c>
      <c r="X2045" s="1" t="s">
        <v>4184</v>
      </c>
    </row>
    <row r="2046">
      <c r="A2046" s="1" t="s">
        <v>6495</v>
      </c>
      <c r="B2046" s="1" t="s">
        <v>3126</v>
      </c>
      <c r="C2046" s="1" t="s">
        <v>6496</v>
      </c>
      <c r="D2046" s="1" t="s">
        <v>51</v>
      </c>
      <c r="E2046" s="1" t="s">
        <v>29</v>
      </c>
      <c r="F2046" s="5">
        <v>500000.0</v>
      </c>
      <c r="G2046" s="1" t="s">
        <v>3964</v>
      </c>
      <c r="H2046" s="1" t="s">
        <v>569</v>
      </c>
      <c r="I2046" s="1" t="s">
        <v>104</v>
      </c>
      <c r="K2046" s="1">
        <v>0.0</v>
      </c>
      <c r="L2046" s="1" t="s">
        <v>893</v>
      </c>
      <c r="M2046" s="1" t="str">
        <f>VLOOKUP(L2046,'Copy of PMD Workday Constants -'!B2045:W2731,22,false)</f>
        <v>#N/A</v>
      </c>
      <c r="N2046" s="1" t="s">
        <v>32</v>
      </c>
      <c r="O2046" s="1" t="s">
        <v>33</v>
      </c>
      <c r="P2046" s="1" t="s">
        <v>82</v>
      </c>
      <c r="Q2046" s="1" t="s">
        <v>82</v>
      </c>
      <c r="R2046" s="1" t="s">
        <v>83</v>
      </c>
      <c r="S2046" s="1" t="s">
        <v>180</v>
      </c>
      <c r="T2046" s="1">
        <v>1.0112897E8</v>
      </c>
      <c r="W2046" s="1" t="s">
        <v>85</v>
      </c>
      <c r="X2046" s="1" t="s">
        <v>6497</v>
      </c>
    </row>
    <row r="2047">
      <c r="A2047" s="1" t="s">
        <v>6498</v>
      </c>
      <c r="B2047" s="1" t="s">
        <v>2785</v>
      </c>
      <c r="C2047" s="1" t="s">
        <v>6499</v>
      </c>
      <c r="D2047" s="1" t="s">
        <v>103</v>
      </c>
      <c r="E2047" s="1" t="s">
        <v>29</v>
      </c>
      <c r="F2047" s="5">
        <v>500000.0</v>
      </c>
      <c r="G2047" s="1" t="s">
        <v>3964</v>
      </c>
      <c r="H2047" s="1" t="s">
        <v>6500</v>
      </c>
      <c r="I2047" s="1" t="s">
        <v>302</v>
      </c>
      <c r="K2047" s="1">
        <v>0.0</v>
      </c>
      <c r="L2047" s="1" t="s">
        <v>428</v>
      </c>
      <c r="M2047" s="1" t="str">
        <f>VLOOKUP(L2047,'Copy of PMD Workday Constants -'!B2046:W2732,22,false)</f>
        <v>#N/A</v>
      </c>
      <c r="N2047" s="1" t="s">
        <v>32</v>
      </c>
      <c r="O2047" s="1" t="s">
        <v>33</v>
      </c>
      <c r="P2047" s="1" t="s">
        <v>173</v>
      </c>
      <c r="Q2047" s="1" t="s">
        <v>173</v>
      </c>
      <c r="R2047" s="1" t="s">
        <v>174</v>
      </c>
      <c r="S2047" s="1" t="s">
        <v>153</v>
      </c>
      <c r="T2047" s="1">
        <v>1.00654085E8</v>
      </c>
      <c r="W2047" s="1" t="s">
        <v>85</v>
      </c>
      <c r="X2047" s="1" t="s">
        <v>3220</v>
      </c>
    </row>
    <row r="2048">
      <c r="A2048" s="1" t="s">
        <v>6501</v>
      </c>
      <c r="B2048" s="1" t="s">
        <v>751</v>
      </c>
      <c r="C2048" s="1" t="s">
        <v>6502</v>
      </c>
      <c r="D2048" s="1" t="s">
        <v>28</v>
      </c>
      <c r="E2048" s="1" t="s">
        <v>29</v>
      </c>
      <c r="F2048" s="5">
        <v>500000.0</v>
      </c>
      <c r="G2048" s="1" t="s">
        <v>3964</v>
      </c>
      <c r="H2048" s="4">
        <v>44748.0</v>
      </c>
      <c r="I2048" s="4">
        <v>44927.0</v>
      </c>
      <c r="K2048" s="1">
        <v>0.0</v>
      </c>
      <c r="L2048" s="1" t="s">
        <v>6503</v>
      </c>
      <c r="M2048" s="1" t="str">
        <f>VLOOKUP(L2048,'Copy of PMD Workday Constants -'!B2047:W2733,22,false)</f>
        <v>#N/A</v>
      </c>
      <c r="N2048" s="1" t="s">
        <v>32</v>
      </c>
      <c r="O2048" s="1" t="s">
        <v>33</v>
      </c>
      <c r="P2048" s="1" t="s">
        <v>82</v>
      </c>
      <c r="Q2048" s="1" t="s">
        <v>82</v>
      </c>
      <c r="R2048" s="1" t="s">
        <v>83</v>
      </c>
      <c r="S2048" s="1" t="s">
        <v>180</v>
      </c>
      <c r="T2048" s="1">
        <v>1.00593964E8</v>
      </c>
      <c r="U2048" s="1" t="s">
        <v>6504</v>
      </c>
      <c r="V2048" s="1" t="s">
        <v>781</v>
      </c>
      <c r="W2048" s="1" t="s">
        <v>85</v>
      </c>
      <c r="X2048" s="1" t="s">
        <v>6505</v>
      </c>
    </row>
    <row r="2049">
      <c r="A2049" s="1" t="s">
        <v>6506</v>
      </c>
      <c r="B2049" s="1" t="s">
        <v>3055</v>
      </c>
      <c r="C2049" s="1" t="s">
        <v>6507</v>
      </c>
      <c r="D2049" s="1" t="s">
        <v>51</v>
      </c>
      <c r="E2049" s="1" t="s">
        <v>29</v>
      </c>
      <c r="F2049" s="5">
        <v>500000.0</v>
      </c>
      <c r="G2049" s="1" t="s">
        <v>3964</v>
      </c>
      <c r="H2049" s="1" t="s">
        <v>1708</v>
      </c>
      <c r="I2049" s="4">
        <v>44752.0</v>
      </c>
      <c r="K2049" s="1">
        <v>0.0</v>
      </c>
      <c r="L2049" s="1" t="s">
        <v>6400</v>
      </c>
      <c r="M2049" s="1" t="str">
        <f>VLOOKUP(L2049,'Copy of PMD Workday Constants -'!B2048:W2734,22,false)</f>
        <v>#N/A</v>
      </c>
      <c r="N2049" s="1" t="s">
        <v>32</v>
      </c>
      <c r="O2049" s="1" t="s">
        <v>33</v>
      </c>
      <c r="P2049" s="1" t="s">
        <v>222</v>
      </c>
      <c r="Q2049" s="1" t="s">
        <v>222</v>
      </c>
      <c r="R2049" s="1" t="s">
        <v>223</v>
      </c>
      <c r="S2049" s="1" t="s">
        <v>285</v>
      </c>
      <c r="T2049" s="1">
        <v>1.00643946E8</v>
      </c>
      <c r="W2049" s="1" t="s">
        <v>533</v>
      </c>
      <c r="X2049" s="1" t="s">
        <v>857</v>
      </c>
    </row>
    <row r="2050">
      <c r="A2050" s="1" t="s">
        <v>6508</v>
      </c>
      <c r="B2050" s="1" t="s">
        <v>1373</v>
      </c>
      <c r="C2050" s="1" t="s">
        <v>6509</v>
      </c>
      <c r="D2050" s="1" t="s">
        <v>51</v>
      </c>
      <c r="E2050" s="1" t="s">
        <v>29</v>
      </c>
      <c r="F2050" s="5">
        <v>500000.0</v>
      </c>
      <c r="G2050" s="1" t="s">
        <v>3964</v>
      </c>
      <c r="H2050" s="1" t="s">
        <v>273</v>
      </c>
      <c r="I2050" s="1" t="s">
        <v>43</v>
      </c>
      <c r="K2050" s="1">
        <v>0.0</v>
      </c>
      <c r="L2050" s="1" t="s">
        <v>3630</v>
      </c>
      <c r="M2050" s="1" t="str">
        <f>VLOOKUP(L2050,'Copy of PMD Workday Constants -'!B2049:W2735,22,false)</f>
        <v>#N/A</v>
      </c>
      <c r="N2050" s="1" t="s">
        <v>32</v>
      </c>
      <c r="O2050" s="1" t="s">
        <v>33</v>
      </c>
      <c r="P2050" s="1" t="s">
        <v>64</v>
      </c>
      <c r="Q2050" s="1" t="s">
        <v>64</v>
      </c>
      <c r="R2050" s="1" t="s">
        <v>65</v>
      </c>
      <c r="S2050" s="1" t="s">
        <v>1336</v>
      </c>
      <c r="T2050" s="1">
        <v>1.00650382E8</v>
      </c>
      <c r="W2050" s="1" t="s">
        <v>74</v>
      </c>
      <c r="X2050" s="1" t="s">
        <v>3630</v>
      </c>
    </row>
    <row r="2051">
      <c r="A2051" s="1" t="s">
        <v>6510</v>
      </c>
      <c r="B2051" s="1" t="s">
        <v>3055</v>
      </c>
      <c r="C2051" s="1" t="s">
        <v>6511</v>
      </c>
      <c r="D2051" s="1" t="s">
        <v>51</v>
      </c>
      <c r="E2051" s="1" t="s">
        <v>29</v>
      </c>
      <c r="F2051" s="5">
        <v>500000.0</v>
      </c>
      <c r="G2051" s="1" t="s">
        <v>3964</v>
      </c>
      <c r="H2051" s="1" t="s">
        <v>1708</v>
      </c>
      <c r="I2051" s="4">
        <v>44752.0</v>
      </c>
      <c r="K2051" s="1">
        <v>0.0</v>
      </c>
      <c r="L2051" s="1" t="s">
        <v>284</v>
      </c>
      <c r="M2051" s="1" t="str">
        <f>VLOOKUP(L2051,'Copy of PMD Workday Constants -'!B2050:W2736,22,false)</f>
        <v>#N/A</v>
      </c>
      <c r="N2051" s="1" t="s">
        <v>32</v>
      </c>
      <c r="O2051" s="1" t="s">
        <v>33</v>
      </c>
      <c r="P2051" s="1" t="s">
        <v>54</v>
      </c>
      <c r="Q2051" s="1" t="s">
        <v>54</v>
      </c>
      <c r="R2051" s="1" t="s">
        <v>55</v>
      </c>
      <c r="S2051" s="1" t="s">
        <v>285</v>
      </c>
      <c r="T2051" s="1">
        <v>1.00613095E8</v>
      </c>
      <c r="W2051" s="1" t="s">
        <v>533</v>
      </c>
      <c r="X2051" s="1" t="s">
        <v>857</v>
      </c>
    </row>
    <row r="2052">
      <c r="A2052" s="1" t="s">
        <v>6512</v>
      </c>
      <c r="B2052" s="1" t="s">
        <v>3055</v>
      </c>
      <c r="C2052" s="1" t="s">
        <v>6513</v>
      </c>
      <c r="D2052" s="1" t="s">
        <v>28</v>
      </c>
      <c r="E2052" s="1" t="s">
        <v>29</v>
      </c>
      <c r="F2052" s="5">
        <v>500000.0</v>
      </c>
      <c r="G2052" s="1" t="s">
        <v>3964</v>
      </c>
      <c r="H2052" s="1" t="s">
        <v>1708</v>
      </c>
      <c r="I2052" s="4">
        <v>44752.0</v>
      </c>
      <c r="K2052" s="1">
        <v>0.0</v>
      </c>
      <c r="L2052" s="1" t="s">
        <v>1331</v>
      </c>
      <c r="M2052" s="1" t="str">
        <f>VLOOKUP(L2052,'Copy of PMD Workday Constants -'!B2051:W2737,22,false)</f>
        <v>#N/A</v>
      </c>
      <c r="N2052" s="1" t="s">
        <v>32</v>
      </c>
      <c r="O2052" s="1" t="s">
        <v>33</v>
      </c>
      <c r="P2052" s="1" t="s">
        <v>222</v>
      </c>
      <c r="Q2052" s="1" t="s">
        <v>222</v>
      </c>
      <c r="R2052" s="1" t="s">
        <v>223</v>
      </c>
      <c r="S2052" s="1" t="s">
        <v>285</v>
      </c>
      <c r="T2052" s="1">
        <v>1.00631257E8</v>
      </c>
      <c r="W2052" s="1" t="s">
        <v>533</v>
      </c>
      <c r="X2052" s="1" t="s">
        <v>857</v>
      </c>
    </row>
    <row r="2053">
      <c r="A2053" s="1" t="s">
        <v>6514</v>
      </c>
      <c r="B2053" s="1" t="s">
        <v>40</v>
      </c>
      <c r="C2053" s="1" t="s">
        <v>6515</v>
      </c>
      <c r="D2053" s="1" t="s">
        <v>51</v>
      </c>
      <c r="E2053" s="1" t="s">
        <v>29</v>
      </c>
      <c r="F2053" s="5">
        <v>500000.0</v>
      </c>
      <c r="G2053" s="1" t="s">
        <v>3964</v>
      </c>
      <c r="H2053" s="1" t="s">
        <v>1849</v>
      </c>
      <c r="I2053" s="1" t="s">
        <v>80</v>
      </c>
      <c r="K2053" s="1">
        <v>0.0</v>
      </c>
      <c r="L2053" s="1" t="s">
        <v>275</v>
      </c>
      <c r="M2053" s="1" t="str">
        <f>VLOOKUP(L2053,'Copy of PMD Workday Constants -'!B2052:W2738,22,false)</f>
        <v>#N/A</v>
      </c>
      <c r="N2053" s="1" t="s">
        <v>32</v>
      </c>
      <c r="O2053" s="1" t="s">
        <v>33</v>
      </c>
      <c r="P2053" s="1" t="s">
        <v>34</v>
      </c>
      <c r="Q2053" s="1" t="s">
        <v>34</v>
      </c>
      <c r="R2053" s="1" t="s">
        <v>35</v>
      </c>
      <c r="S2053" s="1" t="s">
        <v>126</v>
      </c>
      <c r="T2053" s="1">
        <v>1.00608828E8</v>
      </c>
      <c r="W2053" s="1" t="s">
        <v>47</v>
      </c>
      <c r="X2053" s="1" t="s">
        <v>718</v>
      </c>
    </row>
    <row r="2054">
      <c r="A2054" s="1" t="s">
        <v>6516</v>
      </c>
      <c r="B2054" s="1" t="s">
        <v>6517</v>
      </c>
      <c r="C2054" s="1" t="s">
        <v>6518</v>
      </c>
      <c r="D2054" s="1" t="s">
        <v>51</v>
      </c>
      <c r="E2054" s="1" t="s">
        <v>29</v>
      </c>
      <c r="F2054" s="5">
        <v>500000.0</v>
      </c>
      <c r="G2054" s="1" t="s">
        <v>3964</v>
      </c>
      <c r="H2054" s="4">
        <v>44146.0</v>
      </c>
      <c r="I2054" s="1" t="s">
        <v>301</v>
      </c>
      <c r="K2054" s="1">
        <v>0.0</v>
      </c>
      <c r="L2054" s="1" t="s">
        <v>331</v>
      </c>
      <c r="M2054" s="1" t="str">
        <f>VLOOKUP(L2054,'Copy of PMD Workday Constants -'!B2053:W2739,22,false)</f>
        <v>#N/A</v>
      </c>
      <c r="N2054" s="1" t="s">
        <v>32</v>
      </c>
      <c r="O2054" s="1" t="s">
        <v>33</v>
      </c>
      <c r="P2054" s="1" t="s">
        <v>54</v>
      </c>
      <c r="Q2054" s="1" t="s">
        <v>54</v>
      </c>
      <c r="R2054" s="1" t="s">
        <v>55</v>
      </c>
      <c r="S2054" s="1" t="s">
        <v>66</v>
      </c>
      <c r="T2054" s="1">
        <v>1.00599669E8</v>
      </c>
      <c r="W2054" s="1" t="s">
        <v>74</v>
      </c>
      <c r="X2054" s="1" t="s">
        <v>5225</v>
      </c>
    </row>
    <row r="2055">
      <c r="A2055" s="1" t="s">
        <v>6519</v>
      </c>
      <c r="B2055" s="1" t="s">
        <v>445</v>
      </c>
      <c r="C2055" s="1" t="s">
        <v>6520</v>
      </c>
      <c r="D2055" s="1" t="s">
        <v>28</v>
      </c>
      <c r="E2055" s="1" t="s">
        <v>29</v>
      </c>
      <c r="F2055" s="5">
        <v>500000.0</v>
      </c>
      <c r="G2055" s="1" t="s">
        <v>3964</v>
      </c>
      <c r="H2055" s="1" t="s">
        <v>2077</v>
      </c>
      <c r="I2055" s="1" t="s">
        <v>152</v>
      </c>
      <c r="K2055" s="1">
        <v>0.0</v>
      </c>
      <c r="L2055" s="1" t="s">
        <v>2093</v>
      </c>
      <c r="M2055" s="1" t="str">
        <f>VLOOKUP(L2055,'Copy of PMD Workday Constants -'!B2054:W2740,22,false)</f>
        <v>#N/A</v>
      </c>
      <c r="N2055" s="1" t="s">
        <v>32</v>
      </c>
      <c r="O2055" s="1" t="s">
        <v>33</v>
      </c>
      <c r="P2055" s="1" t="s">
        <v>222</v>
      </c>
      <c r="Q2055" s="1" t="s">
        <v>222</v>
      </c>
      <c r="R2055" s="1" t="s">
        <v>223</v>
      </c>
      <c r="S2055" s="1" t="s">
        <v>646</v>
      </c>
      <c r="T2055" s="1">
        <v>1.00612055E8</v>
      </c>
      <c r="W2055" s="1" t="s">
        <v>308</v>
      </c>
      <c r="X2055" s="1" t="s">
        <v>6521</v>
      </c>
    </row>
    <row r="2056">
      <c r="A2056" s="1" t="s">
        <v>6522</v>
      </c>
      <c r="B2056" s="1" t="s">
        <v>756</v>
      </c>
      <c r="C2056" s="1" t="s">
        <v>6523</v>
      </c>
      <c r="D2056" s="1" t="s">
        <v>51</v>
      </c>
      <c r="E2056" s="1" t="s">
        <v>29</v>
      </c>
      <c r="F2056" s="5">
        <v>500000.0</v>
      </c>
      <c r="G2056" s="1" t="s">
        <v>3964</v>
      </c>
      <c r="H2056" s="4">
        <v>44748.0</v>
      </c>
      <c r="I2056" s="1" t="s">
        <v>414</v>
      </c>
      <c r="K2056" s="1">
        <v>0.0</v>
      </c>
      <c r="L2056" s="1" t="s">
        <v>3249</v>
      </c>
      <c r="M2056" s="1" t="str">
        <f>VLOOKUP(L2056,'Copy of PMD Workday Constants -'!B2055:W2741,22,false)</f>
        <v>#N/A</v>
      </c>
      <c r="N2056" s="1" t="s">
        <v>32</v>
      </c>
      <c r="O2056" s="1" t="s">
        <v>33</v>
      </c>
      <c r="P2056" s="1" t="s">
        <v>173</v>
      </c>
      <c r="Q2056" s="1" t="s">
        <v>173</v>
      </c>
      <c r="R2056" s="1" t="s">
        <v>174</v>
      </c>
      <c r="T2056" s="1">
        <v>1.00633763E8</v>
      </c>
      <c r="W2056" s="1" t="s">
        <v>74</v>
      </c>
      <c r="X2056" s="1" t="s">
        <v>3357</v>
      </c>
    </row>
    <row r="2057">
      <c r="A2057" s="1" t="s">
        <v>6524</v>
      </c>
      <c r="B2057" s="1" t="s">
        <v>143</v>
      </c>
      <c r="C2057" s="1" t="s">
        <v>6525</v>
      </c>
      <c r="D2057" s="1" t="s">
        <v>51</v>
      </c>
      <c r="E2057" s="1" t="s">
        <v>29</v>
      </c>
      <c r="F2057" s="5">
        <v>500000.0</v>
      </c>
      <c r="G2057" s="1" t="s">
        <v>3964</v>
      </c>
      <c r="H2057" s="1" t="s">
        <v>1915</v>
      </c>
      <c r="I2057" s="1" t="s">
        <v>414</v>
      </c>
      <c r="K2057" s="1">
        <v>0.0</v>
      </c>
      <c r="L2057" s="1" t="s">
        <v>806</v>
      </c>
      <c r="M2057" s="1" t="str">
        <f>VLOOKUP(L2057,'Copy of PMD Workday Constants -'!B2056:W2742,22,false)</f>
        <v>#N/A</v>
      </c>
      <c r="N2057" s="1" t="s">
        <v>32</v>
      </c>
      <c r="O2057" s="1" t="s">
        <v>33</v>
      </c>
      <c r="P2057" s="1" t="s">
        <v>173</v>
      </c>
      <c r="Q2057" s="1" t="s">
        <v>173</v>
      </c>
      <c r="R2057" s="1" t="s">
        <v>174</v>
      </c>
      <c r="S2057" s="1" t="s">
        <v>612</v>
      </c>
      <c r="T2057" s="1">
        <v>1.00581784E8</v>
      </c>
      <c r="W2057" s="1" t="s">
        <v>147</v>
      </c>
      <c r="X2057" s="1" t="s">
        <v>806</v>
      </c>
    </row>
    <row r="2058">
      <c r="A2058" s="1" t="s">
        <v>6526</v>
      </c>
      <c r="B2058" s="1" t="s">
        <v>1085</v>
      </c>
      <c r="C2058" s="1" t="s">
        <v>6527</v>
      </c>
      <c r="D2058" s="1" t="s">
        <v>51</v>
      </c>
      <c r="E2058" s="1" t="s">
        <v>29</v>
      </c>
      <c r="F2058" s="5">
        <v>500000.0</v>
      </c>
      <c r="G2058" s="1" t="s">
        <v>3964</v>
      </c>
      <c r="H2058" s="1" t="s">
        <v>1541</v>
      </c>
      <c r="I2058" s="1" t="s">
        <v>302</v>
      </c>
      <c r="K2058" s="1">
        <v>0.0</v>
      </c>
      <c r="L2058" s="1" t="s">
        <v>1087</v>
      </c>
      <c r="M2058" s="1" t="str">
        <f>VLOOKUP(L2058,'Copy of PMD Workday Constants -'!B2057:W2743,22,false)</f>
        <v>#N/A</v>
      </c>
      <c r="N2058" s="1" t="s">
        <v>32</v>
      </c>
      <c r="O2058" s="1" t="s">
        <v>33</v>
      </c>
      <c r="P2058" s="1" t="s">
        <v>112</v>
      </c>
      <c r="Q2058" s="1" t="s">
        <v>112</v>
      </c>
      <c r="R2058" s="1" t="s">
        <v>113</v>
      </c>
      <c r="S2058" s="1" t="s">
        <v>307</v>
      </c>
      <c r="T2058" s="1">
        <v>1.00634994E8</v>
      </c>
      <c r="W2058" s="1" t="s">
        <v>308</v>
      </c>
      <c r="X2058" s="1" t="s">
        <v>1087</v>
      </c>
    </row>
    <row r="2059">
      <c r="A2059" s="1" t="s">
        <v>6528</v>
      </c>
      <c r="B2059" s="1" t="s">
        <v>6529</v>
      </c>
      <c r="C2059" s="1" t="s">
        <v>6530</v>
      </c>
      <c r="D2059" s="1" t="s">
        <v>28</v>
      </c>
      <c r="E2059" s="1" t="s">
        <v>29</v>
      </c>
      <c r="F2059" s="5">
        <v>500000.0</v>
      </c>
      <c r="G2059" s="1" t="s">
        <v>3964</v>
      </c>
      <c r="H2059" s="1" t="s">
        <v>3496</v>
      </c>
      <c r="I2059" s="1" t="s">
        <v>104</v>
      </c>
      <c r="K2059" s="1">
        <v>0.0</v>
      </c>
      <c r="L2059" s="1" t="s">
        <v>1389</v>
      </c>
      <c r="M2059" s="1" t="str">
        <f>VLOOKUP(L2059,'Copy of PMD Workday Constants -'!B2058:W2744,22,false)</f>
        <v>#N/A</v>
      </c>
      <c r="N2059" s="1" t="s">
        <v>32</v>
      </c>
      <c r="O2059" s="1" t="s">
        <v>33</v>
      </c>
      <c r="P2059" s="1" t="s">
        <v>64</v>
      </c>
      <c r="Q2059" s="1" t="s">
        <v>64</v>
      </c>
      <c r="R2059" s="1" t="s">
        <v>65</v>
      </c>
      <c r="S2059" s="1" t="s">
        <v>1336</v>
      </c>
      <c r="T2059" s="1">
        <v>1.00610014E8</v>
      </c>
      <c r="W2059" s="1" t="s">
        <v>91</v>
      </c>
      <c r="X2059" s="1" t="s">
        <v>1587</v>
      </c>
    </row>
    <row r="2060">
      <c r="A2060" s="1" t="s">
        <v>6531</v>
      </c>
      <c r="B2060" s="1" t="s">
        <v>615</v>
      </c>
      <c r="C2060" s="1" t="s">
        <v>6532</v>
      </c>
      <c r="D2060" s="1" t="s">
        <v>51</v>
      </c>
      <c r="E2060" s="1" t="s">
        <v>29</v>
      </c>
      <c r="F2060" s="5">
        <v>500000.0</v>
      </c>
      <c r="G2060" s="1" t="s">
        <v>3964</v>
      </c>
      <c r="H2060" s="4">
        <v>44538.0</v>
      </c>
      <c r="I2060" s="1" t="s">
        <v>302</v>
      </c>
      <c r="K2060" s="1">
        <v>0.0</v>
      </c>
      <c r="L2060" s="1" t="s">
        <v>618</v>
      </c>
      <c r="M2060" s="1" t="str">
        <f>VLOOKUP(L2060,'Copy of PMD Workday Constants -'!B2059:W2745,22,false)</f>
        <v>#N/A</v>
      </c>
      <c r="N2060" s="1" t="s">
        <v>32</v>
      </c>
      <c r="O2060" s="1" t="s">
        <v>33</v>
      </c>
      <c r="P2060" s="1" t="s">
        <v>173</v>
      </c>
      <c r="Q2060" s="1" t="s">
        <v>173</v>
      </c>
      <c r="R2060" s="1" t="s">
        <v>174</v>
      </c>
      <c r="S2060" s="1" t="s">
        <v>540</v>
      </c>
      <c r="T2060" s="1">
        <v>1.00591141E8</v>
      </c>
      <c r="W2060" s="1" t="s">
        <v>74</v>
      </c>
      <c r="X2060" s="1" t="s">
        <v>1381</v>
      </c>
    </row>
    <row r="2061">
      <c r="A2061" s="1" t="s">
        <v>6533</v>
      </c>
      <c r="B2061" s="1" t="s">
        <v>5871</v>
      </c>
      <c r="C2061" s="1" t="s">
        <v>6534</v>
      </c>
      <c r="D2061" s="1" t="s">
        <v>28</v>
      </c>
      <c r="E2061" s="1" t="s">
        <v>29</v>
      </c>
      <c r="F2061" s="5">
        <v>500000.0</v>
      </c>
      <c r="G2061" s="1" t="s">
        <v>3964</v>
      </c>
      <c r="H2061" s="4">
        <v>44775.0</v>
      </c>
      <c r="I2061" s="1" t="s">
        <v>302</v>
      </c>
      <c r="K2061" s="1">
        <v>0.0</v>
      </c>
      <c r="L2061" s="1" t="s">
        <v>2205</v>
      </c>
      <c r="M2061" s="1" t="str">
        <f>VLOOKUP(L2061,'Copy of PMD Workday Constants -'!B2060:W2746,22,false)</f>
        <v>#N/A</v>
      </c>
      <c r="N2061" s="1" t="s">
        <v>32</v>
      </c>
      <c r="O2061" s="1" t="s">
        <v>33</v>
      </c>
      <c r="P2061" s="1" t="s">
        <v>112</v>
      </c>
      <c r="Q2061" s="1" t="s">
        <v>112</v>
      </c>
      <c r="R2061" s="1" t="s">
        <v>113</v>
      </c>
      <c r="S2061" s="1" t="s">
        <v>307</v>
      </c>
      <c r="T2061" s="1">
        <v>1.0059365E8</v>
      </c>
      <c r="W2061" s="1" t="s">
        <v>47</v>
      </c>
      <c r="X2061" s="1" t="s">
        <v>2205</v>
      </c>
    </row>
    <row r="2062">
      <c r="A2062" s="1" t="s">
        <v>6535</v>
      </c>
      <c r="B2062" s="1" t="s">
        <v>6536</v>
      </c>
      <c r="C2062" s="1" t="s">
        <v>6537</v>
      </c>
      <c r="D2062" s="1" t="s">
        <v>103</v>
      </c>
      <c r="E2062" s="1" t="s">
        <v>29</v>
      </c>
      <c r="F2062" s="5">
        <v>500000.0</v>
      </c>
      <c r="G2062" s="1" t="s">
        <v>3964</v>
      </c>
      <c r="H2062" s="1" t="s">
        <v>6538</v>
      </c>
      <c r="I2062" s="1" t="s">
        <v>80</v>
      </c>
      <c r="K2062" s="1">
        <v>0.0</v>
      </c>
      <c r="L2062" s="1" t="s">
        <v>428</v>
      </c>
      <c r="M2062" s="1" t="str">
        <f>VLOOKUP(L2062,'Copy of PMD Workday Constants -'!B2061:W2747,22,false)</f>
        <v>#N/A</v>
      </c>
      <c r="N2062" s="1" t="s">
        <v>32</v>
      </c>
      <c r="O2062" s="1" t="s">
        <v>33</v>
      </c>
      <c r="P2062" s="1" t="s">
        <v>173</v>
      </c>
      <c r="Q2062" s="1" t="s">
        <v>173</v>
      </c>
      <c r="R2062" s="1" t="s">
        <v>174</v>
      </c>
      <c r="S2062" s="1" t="s">
        <v>6539</v>
      </c>
      <c r="T2062" s="1">
        <v>1.00654085E8</v>
      </c>
      <c r="W2062" s="1" t="s">
        <v>85</v>
      </c>
      <c r="X2062" s="1" t="s">
        <v>428</v>
      </c>
    </row>
    <row r="2063">
      <c r="A2063" s="1" t="s">
        <v>6540</v>
      </c>
      <c r="B2063" s="1" t="s">
        <v>373</v>
      </c>
      <c r="C2063" s="1" t="s">
        <v>6541</v>
      </c>
      <c r="D2063" s="1" t="s">
        <v>51</v>
      </c>
      <c r="E2063" s="1" t="s">
        <v>29</v>
      </c>
      <c r="F2063" s="5">
        <v>500000.0</v>
      </c>
      <c r="G2063" s="1" t="s">
        <v>3964</v>
      </c>
      <c r="H2063" s="1" t="s">
        <v>3777</v>
      </c>
      <c r="I2063" s="1" t="s">
        <v>152</v>
      </c>
      <c r="K2063" s="1">
        <v>0.0</v>
      </c>
      <c r="L2063" s="1" t="s">
        <v>1902</v>
      </c>
      <c r="M2063" s="1" t="str">
        <f>VLOOKUP(L2063,'Copy of PMD Workday Constants -'!B2062:W2748,22,false)</f>
        <v>#N/A</v>
      </c>
      <c r="N2063" s="1" t="s">
        <v>32</v>
      </c>
      <c r="O2063" s="1" t="s">
        <v>33</v>
      </c>
      <c r="P2063" s="1" t="s">
        <v>173</v>
      </c>
      <c r="Q2063" s="1" t="s">
        <v>173</v>
      </c>
      <c r="R2063" s="1" t="s">
        <v>174</v>
      </c>
      <c r="T2063" s="1">
        <v>1.00956516E8</v>
      </c>
      <c r="W2063" s="1" t="s">
        <v>258</v>
      </c>
      <c r="X2063" s="1" t="s">
        <v>6542</v>
      </c>
    </row>
    <row r="2064">
      <c r="A2064" s="1" t="s">
        <v>6543</v>
      </c>
      <c r="B2064" s="1" t="s">
        <v>6544</v>
      </c>
      <c r="C2064" s="1" t="s">
        <v>6545</v>
      </c>
      <c r="D2064" s="1" t="s">
        <v>51</v>
      </c>
      <c r="E2064" s="1" t="s">
        <v>29</v>
      </c>
      <c r="F2064" s="5">
        <v>500000.0</v>
      </c>
      <c r="G2064" s="1" t="s">
        <v>3964</v>
      </c>
      <c r="H2064" s="1" t="s">
        <v>6546</v>
      </c>
      <c r="I2064" s="1" t="s">
        <v>191</v>
      </c>
      <c r="K2064" s="1">
        <v>0.0</v>
      </c>
      <c r="L2064" s="1" t="s">
        <v>5734</v>
      </c>
      <c r="M2064" s="1" t="str">
        <f>VLOOKUP(L2064,'Copy of PMD Workday Constants -'!B2063:W2749,22,false)</f>
        <v>#N/A</v>
      </c>
      <c r="N2064" s="1" t="s">
        <v>32</v>
      </c>
      <c r="O2064" s="1" t="s">
        <v>33</v>
      </c>
      <c r="P2064" s="1" t="s">
        <v>173</v>
      </c>
      <c r="Q2064" s="1" t="s">
        <v>173</v>
      </c>
      <c r="R2064" s="1" t="s">
        <v>174</v>
      </c>
      <c r="S2064" s="1" t="s">
        <v>153</v>
      </c>
      <c r="T2064" s="1">
        <v>1.00648324E8</v>
      </c>
      <c r="W2064" s="1" t="s">
        <v>74</v>
      </c>
      <c r="X2064" s="1" t="s">
        <v>4352</v>
      </c>
    </row>
    <row r="2065">
      <c r="A2065" s="1" t="s">
        <v>6547</v>
      </c>
      <c r="B2065" s="1" t="s">
        <v>1305</v>
      </c>
      <c r="C2065" s="1" t="s">
        <v>6548</v>
      </c>
      <c r="D2065" s="1" t="s">
        <v>51</v>
      </c>
      <c r="E2065" s="1" t="s">
        <v>29</v>
      </c>
      <c r="F2065" s="5">
        <v>500000.0</v>
      </c>
      <c r="G2065" s="1" t="s">
        <v>3964</v>
      </c>
      <c r="H2065" s="4">
        <v>44512.0</v>
      </c>
      <c r="I2065" s="1" t="s">
        <v>104</v>
      </c>
      <c r="K2065" s="1">
        <v>0.0</v>
      </c>
      <c r="L2065" s="1" t="s">
        <v>1486</v>
      </c>
      <c r="M2065" s="1" t="str">
        <f>VLOOKUP(L2065,'Copy of PMD Workday Constants -'!B2064:W2750,22,false)</f>
        <v>#N/A</v>
      </c>
      <c r="N2065" s="1" t="s">
        <v>32</v>
      </c>
      <c r="O2065" s="1" t="s">
        <v>33</v>
      </c>
      <c r="P2065" s="1" t="s">
        <v>82</v>
      </c>
      <c r="Q2065" s="1" t="s">
        <v>82</v>
      </c>
      <c r="R2065" s="1" t="s">
        <v>83</v>
      </c>
      <c r="S2065" s="1" t="s">
        <v>583</v>
      </c>
      <c r="T2065" s="1">
        <v>1.006324E8</v>
      </c>
      <c r="W2065" s="1" t="s">
        <v>456</v>
      </c>
      <c r="X2065" s="1" t="s">
        <v>1486</v>
      </c>
    </row>
    <row r="2066">
      <c r="A2066" s="1" t="s">
        <v>6549</v>
      </c>
      <c r="B2066" s="1" t="s">
        <v>4817</v>
      </c>
      <c r="C2066" s="1" t="s">
        <v>6550</v>
      </c>
      <c r="D2066" s="1" t="s">
        <v>28</v>
      </c>
      <c r="E2066" s="1" t="s">
        <v>29</v>
      </c>
      <c r="F2066" s="5">
        <v>500000.0</v>
      </c>
      <c r="G2066" s="1" t="s">
        <v>3964</v>
      </c>
      <c r="H2066" s="4">
        <v>44510.0</v>
      </c>
      <c r="I2066" s="1" t="s">
        <v>43</v>
      </c>
      <c r="K2066" s="1">
        <v>0.0</v>
      </c>
      <c r="L2066" s="1" t="s">
        <v>546</v>
      </c>
      <c r="M2066" s="1" t="str">
        <f>VLOOKUP(L2066,'Copy of PMD Workday Constants -'!B2065:W2751,22,false)</f>
        <v>#N/A</v>
      </c>
      <c r="N2066" s="1" t="s">
        <v>32</v>
      </c>
      <c r="O2066" s="1" t="s">
        <v>33</v>
      </c>
      <c r="P2066" s="1" t="s">
        <v>64</v>
      </c>
      <c r="Q2066" s="1" t="s">
        <v>64</v>
      </c>
      <c r="R2066" s="1" t="s">
        <v>65</v>
      </c>
      <c r="S2066" s="1" t="s">
        <v>84</v>
      </c>
      <c r="T2066" s="1">
        <v>1.00579505E8</v>
      </c>
      <c r="W2066" s="1" t="s">
        <v>85</v>
      </c>
      <c r="X2066" s="1" t="s">
        <v>546</v>
      </c>
    </row>
    <row r="2067">
      <c r="A2067" s="1" t="s">
        <v>6551</v>
      </c>
      <c r="B2067" s="1" t="s">
        <v>149</v>
      </c>
      <c r="C2067" s="1" t="s">
        <v>6552</v>
      </c>
      <c r="D2067" s="1" t="s">
        <v>28</v>
      </c>
      <c r="E2067" s="1" t="s">
        <v>29</v>
      </c>
      <c r="F2067" s="5">
        <v>500000.0</v>
      </c>
      <c r="G2067" s="1" t="s">
        <v>3964</v>
      </c>
      <c r="H2067" s="1" t="s">
        <v>452</v>
      </c>
      <c r="I2067" s="4">
        <v>44568.0</v>
      </c>
      <c r="K2067" s="1">
        <v>0.0</v>
      </c>
      <c r="L2067" s="1" t="s">
        <v>338</v>
      </c>
      <c r="M2067" s="1" t="str">
        <f>VLOOKUP(L2067,'Copy of PMD Workday Constants -'!B2066:W2752,22,false)</f>
        <v>#N/A</v>
      </c>
      <c r="N2067" s="1" t="s">
        <v>32</v>
      </c>
      <c r="O2067" s="1" t="s">
        <v>33</v>
      </c>
      <c r="P2067" s="1" t="s">
        <v>34</v>
      </c>
      <c r="Q2067" s="1" t="s">
        <v>34</v>
      </c>
      <c r="R2067" s="1" t="s">
        <v>35</v>
      </c>
      <c r="S2067" s="1" t="s">
        <v>36</v>
      </c>
      <c r="T2067" s="1">
        <v>1.00619817E8</v>
      </c>
      <c r="W2067" s="1" t="s">
        <v>91</v>
      </c>
      <c r="X2067" s="1" t="s">
        <v>338</v>
      </c>
    </row>
    <row r="2068">
      <c r="A2068" s="1" t="s">
        <v>6553</v>
      </c>
      <c r="B2068" s="1" t="s">
        <v>507</v>
      </c>
      <c r="C2068" s="1" t="s">
        <v>6554</v>
      </c>
      <c r="D2068" s="1" t="s">
        <v>28</v>
      </c>
      <c r="E2068" s="1" t="s">
        <v>29</v>
      </c>
      <c r="F2068" s="5">
        <v>500000.0</v>
      </c>
      <c r="G2068" s="1" t="s">
        <v>3964</v>
      </c>
      <c r="H2068" s="4">
        <v>44839.0</v>
      </c>
      <c r="I2068" s="4">
        <v>45087.0</v>
      </c>
      <c r="K2068" s="1">
        <v>0.0</v>
      </c>
      <c r="L2068" s="1" t="s">
        <v>2762</v>
      </c>
      <c r="M2068" s="1" t="str">
        <f>VLOOKUP(L2068,'Copy of PMD Workday Constants -'!B2067:W2753,22,false)</f>
        <v>#N/A</v>
      </c>
      <c r="N2068" s="1" t="s">
        <v>32</v>
      </c>
      <c r="O2068" s="1" t="s">
        <v>33</v>
      </c>
      <c r="P2068" s="1" t="s">
        <v>82</v>
      </c>
      <c r="Q2068" s="1" t="s">
        <v>82</v>
      </c>
      <c r="R2068" s="1" t="s">
        <v>83</v>
      </c>
      <c r="S2068" s="1" t="s">
        <v>583</v>
      </c>
      <c r="T2068" s="1">
        <v>1.00637221E8</v>
      </c>
      <c r="W2068" s="1" t="s">
        <v>456</v>
      </c>
      <c r="X2068" s="1" t="s">
        <v>2763</v>
      </c>
    </row>
    <row r="2069">
      <c r="A2069" s="1" t="s">
        <v>6555</v>
      </c>
      <c r="B2069" s="1" t="s">
        <v>1234</v>
      </c>
      <c r="C2069" s="1" t="s">
        <v>6556</v>
      </c>
      <c r="D2069" s="1" t="s">
        <v>28</v>
      </c>
      <c r="E2069" s="1" t="s">
        <v>29</v>
      </c>
      <c r="F2069" s="5">
        <v>500000.0</v>
      </c>
      <c r="G2069" s="1" t="s">
        <v>3964</v>
      </c>
      <c r="H2069" s="1" t="s">
        <v>375</v>
      </c>
      <c r="I2069" s="1" t="s">
        <v>96</v>
      </c>
      <c r="K2069" s="1">
        <v>0.0</v>
      </c>
      <c r="L2069" s="1" t="s">
        <v>6557</v>
      </c>
      <c r="M2069" s="1" t="str">
        <f>VLOOKUP(L2069,'Copy of PMD Workday Constants -'!B2068:W2754,22,false)</f>
        <v>#N/A</v>
      </c>
      <c r="N2069" s="1" t="s">
        <v>32</v>
      </c>
      <c r="O2069" s="1" t="s">
        <v>33</v>
      </c>
      <c r="P2069" s="1" t="s">
        <v>82</v>
      </c>
      <c r="Q2069" s="1" t="s">
        <v>82</v>
      </c>
      <c r="R2069" s="1" t="s">
        <v>83</v>
      </c>
      <c r="S2069" s="1" t="s">
        <v>180</v>
      </c>
      <c r="T2069" s="1">
        <v>1.01152256E8</v>
      </c>
      <c r="W2069" s="1" t="s">
        <v>85</v>
      </c>
      <c r="X2069" s="1" t="s">
        <v>1692</v>
      </c>
    </row>
    <row r="2070">
      <c r="A2070" s="1" t="s">
        <v>6558</v>
      </c>
      <c r="B2070" s="1" t="s">
        <v>4606</v>
      </c>
      <c r="C2070" s="1" t="s">
        <v>6559</v>
      </c>
      <c r="D2070" s="1" t="s">
        <v>51</v>
      </c>
      <c r="E2070" s="1" t="s">
        <v>29</v>
      </c>
      <c r="F2070" s="5">
        <v>500000.0</v>
      </c>
      <c r="G2070" s="1" t="s">
        <v>3964</v>
      </c>
      <c r="H2070" s="4">
        <v>44779.0</v>
      </c>
      <c r="I2070" s="1" t="s">
        <v>302</v>
      </c>
      <c r="K2070" s="1">
        <v>0.0</v>
      </c>
      <c r="L2070" s="1" t="s">
        <v>4608</v>
      </c>
      <c r="M2070" s="1" t="str">
        <f>VLOOKUP(L2070,'Copy of PMD Workday Constants -'!B2069:W2755,22,false)</f>
        <v>#N/A</v>
      </c>
      <c r="N2070" s="1" t="s">
        <v>32</v>
      </c>
      <c r="O2070" s="1" t="s">
        <v>33</v>
      </c>
      <c r="P2070" s="1" t="s">
        <v>222</v>
      </c>
      <c r="Q2070" s="1" t="s">
        <v>222</v>
      </c>
      <c r="R2070" s="1" t="s">
        <v>223</v>
      </c>
      <c r="S2070" s="1" t="s">
        <v>482</v>
      </c>
      <c r="T2070" s="1">
        <v>1.00592715E8</v>
      </c>
      <c r="W2070" s="1" t="s">
        <v>115</v>
      </c>
      <c r="X2070" s="1" t="s">
        <v>4608</v>
      </c>
    </row>
    <row r="2071">
      <c r="A2071" s="1" t="s">
        <v>6560</v>
      </c>
      <c r="B2071" s="1" t="s">
        <v>765</v>
      </c>
      <c r="C2071" s="1" t="s">
        <v>6561</v>
      </c>
      <c r="D2071" s="1" t="s">
        <v>103</v>
      </c>
      <c r="E2071" s="1" t="s">
        <v>29</v>
      </c>
      <c r="F2071" s="5">
        <v>500000.0</v>
      </c>
      <c r="G2071" s="1" t="s">
        <v>3964</v>
      </c>
      <c r="H2071" s="1" t="s">
        <v>110</v>
      </c>
      <c r="I2071" s="1" t="s">
        <v>264</v>
      </c>
      <c r="K2071" s="1">
        <v>0.0</v>
      </c>
      <c r="L2071" s="1" t="s">
        <v>5087</v>
      </c>
      <c r="M2071" s="1" t="str">
        <f>VLOOKUP(L2071,'Copy of PMD Workday Constants -'!B2070:W2756,22,false)</f>
        <v>#N/A</v>
      </c>
      <c r="N2071" s="1" t="s">
        <v>32</v>
      </c>
      <c r="O2071" s="1" t="s">
        <v>33</v>
      </c>
      <c r="P2071" s="1" t="s">
        <v>64</v>
      </c>
      <c r="Q2071" s="1" t="s">
        <v>64</v>
      </c>
      <c r="R2071" s="1" t="s">
        <v>65</v>
      </c>
      <c r="S2071" s="1" t="s">
        <v>791</v>
      </c>
      <c r="T2071" s="1">
        <v>1.00610826E8</v>
      </c>
      <c r="W2071" s="1" t="s">
        <v>456</v>
      </c>
      <c r="X2071" s="1" t="s">
        <v>6562</v>
      </c>
    </row>
    <row r="2072">
      <c r="A2072" s="1" t="s">
        <v>6563</v>
      </c>
      <c r="B2072" s="1" t="s">
        <v>507</v>
      </c>
      <c r="C2072" s="1" t="s">
        <v>6564</v>
      </c>
      <c r="D2072" s="1" t="s">
        <v>28</v>
      </c>
      <c r="E2072" s="1" t="s">
        <v>29</v>
      </c>
      <c r="F2072" s="5">
        <v>500000.0</v>
      </c>
      <c r="G2072" s="1" t="s">
        <v>3964</v>
      </c>
      <c r="H2072" s="4">
        <v>44839.0</v>
      </c>
      <c r="I2072" s="4">
        <v>44967.0</v>
      </c>
      <c r="K2072" s="1">
        <v>0.0</v>
      </c>
      <c r="L2072" s="1" t="s">
        <v>2762</v>
      </c>
      <c r="M2072" s="1" t="str">
        <f>VLOOKUP(L2072,'Copy of PMD Workday Constants -'!B2071:W2757,22,false)</f>
        <v>#N/A</v>
      </c>
      <c r="N2072" s="1" t="s">
        <v>32</v>
      </c>
      <c r="O2072" s="1" t="s">
        <v>33</v>
      </c>
      <c r="P2072" s="1" t="s">
        <v>82</v>
      </c>
      <c r="Q2072" s="1" t="s">
        <v>82</v>
      </c>
      <c r="R2072" s="1" t="s">
        <v>83</v>
      </c>
      <c r="S2072" s="1" t="s">
        <v>583</v>
      </c>
      <c r="T2072" s="1">
        <v>1.00637221E8</v>
      </c>
      <c r="W2072" s="1" t="s">
        <v>456</v>
      </c>
      <c r="X2072" s="1" t="s">
        <v>2763</v>
      </c>
    </row>
    <row r="2073">
      <c r="A2073" s="1" t="s">
        <v>6565</v>
      </c>
      <c r="B2073" s="1" t="s">
        <v>6566</v>
      </c>
      <c r="C2073" s="1" t="s">
        <v>6567</v>
      </c>
      <c r="D2073" s="1" t="s">
        <v>28</v>
      </c>
      <c r="E2073" s="1" t="s">
        <v>29</v>
      </c>
      <c r="F2073" s="5">
        <v>500000.0</v>
      </c>
      <c r="G2073" s="1" t="s">
        <v>3964</v>
      </c>
      <c r="H2073" s="4">
        <v>44296.0</v>
      </c>
      <c r="I2073" s="1" t="s">
        <v>43</v>
      </c>
      <c r="K2073" s="1">
        <v>0.0</v>
      </c>
      <c r="L2073" s="1" t="s">
        <v>350</v>
      </c>
      <c r="M2073" s="1" t="str">
        <f>VLOOKUP(L2073,'Copy of PMD Workday Constants -'!B2072:W2758,22,false)</f>
        <v>#N/A</v>
      </c>
      <c r="N2073" s="1" t="s">
        <v>32</v>
      </c>
      <c r="O2073" s="1" t="s">
        <v>33</v>
      </c>
      <c r="P2073" s="1" t="s">
        <v>82</v>
      </c>
      <c r="Q2073" s="1" t="s">
        <v>82</v>
      </c>
      <c r="R2073" s="1" t="s">
        <v>83</v>
      </c>
      <c r="S2073" s="1" t="s">
        <v>180</v>
      </c>
      <c r="T2073" s="1">
        <v>1.00582847E8</v>
      </c>
      <c r="W2073" s="1" t="s">
        <v>85</v>
      </c>
      <c r="X2073" s="1" t="s">
        <v>350</v>
      </c>
    </row>
    <row r="2074">
      <c r="A2074" s="1" t="s">
        <v>6568</v>
      </c>
      <c r="B2074" s="1" t="s">
        <v>3267</v>
      </c>
      <c r="C2074" s="1" t="s">
        <v>6569</v>
      </c>
      <c r="D2074" s="1" t="s">
        <v>51</v>
      </c>
      <c r="E2074" s="1" t="s">
        <v>29</v>
      </c>
      <c r="F2074" s="5">
        <v>500000.0</v>
      </c>
      <c r="G2074" s="1" t="s">
        <v>3964</v>
      </c>
      <c r="H2074" s="4">
        <v>44809.0</v>
      </c>
      <c r="I2074" s="4">
        <v>44781.0</v>
      </c>
      <c r="K2074" s="1">
        <v>0.0</v>
      </c>
      <c r="L2074" s="1" t="s">
        <v>1902</v>
      </c>
      <c r="M2074" s="1" t="str">
        <f>VLOOKUP(L2074,'Copy of PMD Workday Constants -'!B2073:W2759,22,false)</f>
        <v>#N/A</v>
      </c>
      <c r="N2074" s="1" t="s">
        <v>32</v>
      </c>
      <c r="O2074" s="1" t="s">
        <v>33</v>
      </c>
      <c r="P2074" s="1" t="s">
        <v>173</v>
      </c>
      <c r="Q2074" s="1" t="s">
        <v>173</v>
      </c>
      <c r="R2074" s="1" t="s">
        <v>174</v>
      </c>
      <c r="T2074" s="1">
        <v>1.00956516E8</v>
      </c>
      <c r="W2074" s="1" t="s">
        <v>258</v>
      </c>
      <c r="X2074" s="1" t="s">
        <v>2202</v>
      </c>
    </row>
    <row r="2075">
      <c r="A2075" s="1" t="s">
        <v>6570</v>
      </c>
      <c r="B2075" s="1" t="s">
        <v>993</v>
      </c>
      <c r="C2075" s="1" t="s">
        <v>6571</v>
      </c>
      <c r="D2075" s="1" t="s">
        <v>28</v>
      </c>
      <c r="E2075" s="1" t="s">
        <v>29</v>
      </c>
      <c r="F2075" s="5">
        <v>500000.0</v>
      </c>
      <c r="G2075" s="1" t="s">
        <v>3964</v>
      </c>
      <c r="H2075" s="4">
        <v>44510.0</v>
      </c>
      <c r="I2075" s="1" t="s">
        <v>152</v>
      </c>
      <c r="K2075" s="1">
        <v>0.0</v>
      </c>
      <c r="L2075" s="1" t="s">
        <v>4634</v>
      </c>
      <c r="M2075" s="1" t="str">
        <f>VLOOKUP(L2075,'Copy of PMD Workday Constants -'!B2074:W2760,22,false)</f>
        <v>#N/A</v>
      </c>
      <c r="N2075" s="1" t="s">
        <v>32</v>
      </c>
      <c r="O2075" s="1" t="s">
        <v>33</v>
      </c>
      <c r="P2075" s="1" t="s">
        <v>112</v>
      </c>
      <c r="Q2075" s="1" t="s">
        <v>112</v>
      </c>
      <c r="R2075" s="1" t="s">
        <v>113</v>
      </c>
      <c r="S2075" s="1" t="s">
        <v>6572</v>
      </c>
      <c r="T2075" s="1">
        <v>1.00585718E8</v>
      </c>
      <c r="W2075" s="1" t="s">
        <v>74</v>
      </c>
      <c r="X2075" s="1" t="s">
        <v>6304</v>
      </c>
    </row>
    <row r="2076">
      <c r="A2076" s="1" t="s">
        <v>6573</v>
      </c>
      <c r="B2076" s="1" t="s">
        <v>931</v>
      </c>
      <c r="C2076" s="1" t="s">
        <v>6574</v>
      </c>
      <c r="D2076" s="1" t="s">
        <v>28</v>
      </c>
      <c r="E2076" s="1" t="s">
        <v>29</v>
      </c>
      <c r="F2076" s="5">
        <v>500000.0</v>
      </c>
      <c r="G2076" s="1" t="s">
        <v>3964</v>
      </c>
      <c r="H2076" s="4">
        <v>44199.0</v>
      </c>
      <c r="I2076" s="1" t="s">
        <v>80</v>
      </c>
      <c r="K2076" s="1">
        <v>0.0</v>
      </c>
      <c r="L2076" s="1" t="s">
        <v>6575</v>
      </c>
      <c r="M2076" s="1" t="str">
        <f>VLOOKUP(L2076,'Copy of PMD Workday Constants -'!B2075:W2761,22,false)</f>
        <v>#N/A</v>
      </c>
      <c r="N2076" s="1" t="s">
        <v>32</v>
      </c>
      <c r="O2076" s="1" t="s">
        <v>33</v>
      </c>
      <c r="P2076" s="1" t="s">
        <v>82</v>
      </c>
      <c r="Q2076" s="1" t="s">
        <v>82</v>
      </c>
      <c r="R2076" s="1" t="s">
        <v>83</v>
      </c>
      <c r="S2076" s="1" t="s">
        <v>84</v>
      </c>
      <c r="T2076" s="1">
        <v>1.00878565E8</v>
      </c>
      <c r="W2076" s="1" t="s">
        <v>85</v>
      </c>
      <c r="X2076" s="1" t="s">
        <v>6575</v>
      </c>
    </row>
    <row r="2077">
      <c r="A2077" s="1" t="s">
        <v>6576</v>
      </c>
      <c r="B2077" s="1" t="s">
        <v>489</v>
      </c>
      <c r="C2077" s="1" t="s">
        <v>6577</v>
      </c>
      <c r="D2077" s="1" t="s">
        <v>103</v>
      </c>
      <c r="E2077" s="1" t="s">
        <v>29</v>
      </c>
      <c r="F2077" s="5">
        <v>500000.0</v>
      </c>
      <c r="G2077" s="1" t="s">
        <v>3964</v>
      </c>
      <c r="H2077" s="1" t="s">
        <v>509</v>
      </c>
      <c r="I2077" s="1" t="s">
        <v>152</v>
      </c>
      <c r="K2077" s="1">
        <v>0.0</v>
      </c>
      <c r="L2077" s="1" t="s">
        <v>6578</v>
      </c>
      <c r="M2077" s="1" t="str">
        <f>VLOOKUP(L2077,'Copy of PMD Workday Constants -'!B2076:W2762,22,false)</f>
        <v>#N/A</v>
      </c>
      <c r="N2077" s="1" t="s">
        <v>32</v>
      </c>
      <c r="O2077" s="1" t="s">
        <v>33</v>
      </c>
      <c r="P2077" s="1" t="s">
        <v>222</v>
      </c>
      <c r="Q2077" s="1" t="s">
        <v>222</v>
      </c>
      <c r="R2077" s="1" t="s">
        <v>223</v>
      </c>
      <c r="S2077" s="1" t="s">
        <v>482</v>
      </c>
      <c r="T2077" s="1">
        <v>1.00597339E8</v>
      </c>
      <c r="W2077" s="1" t="s">
        <v>115</v>
      </c>
      <c r="X2077" s="1" t="s">
        <v>6579</v>
      </c>
    </row>
    <row r="2078">
      <c r="A2078" s="1" t="s">
        <v>6580</v>
      </c>
      <c r="B2078" s="1" t="s">
        <v>6581</v>
      </c>
      <c r="C2078" s="1" t="s">
        <v>6582</v>
      </c>
      <c r="D2078" s="1" t="s">
        <v>103</v>
      </c>
      <c r="E2078" s="1" t="s">
        <v>29</v>
      </c>
      <c r="F2078" s="5">
        <v>500000.0</v>
      </c>
      <c r="G2078" s="1" t="s">
        <v>3964</v>
      </c>
      <c r="H2078" s="1" t="s">
        <v>2884</v>
      </c>
      <c r="I2078" s="1" t="s">
        <v>810</v>
      </c>
      <c r="K2078" s="1">
        <v>0.0</v>
      </c>
      <c r="L2078" s="1" t="s">
        <v>3404</v>
      </c>
      <c r="M2078" s="1" t="str">
        <f>VLOOKUP(L2078,'Copy of PMD Workday Constants -'!B2077:W2763,22,false)</f>
        <v>#N/A</v>
      </c>
      <c r="N2078" s="1" t="s">
        <v>32</v>
      </c>
      <c r="O2078" s="1" t="s">
        <v>33</v>
      </c>
      <c r="P2078" s="1" t="s">
        <v>222</v>
      </c>
      <c r="Q2078" s="1" t="s">
        <v>222</v>
      </c>
      <c r="R2078" s="1" t="s">
        <v>223</v>
      </c>
      <c r="S2078" s="1" t="s">
        <v>601</v>
      </c>
      <c r="T2078" s="1">
        <v>1.00655073E8</v>
      </c>
      <c r="W2078" s="1" t="s">
        <v>436</v>
      </c>
      <c r="X2078" s="1" t="s">
        <v>6583</v>
      </c>
    </row>
    <row r="2079">
      <c r="A2079" s="1" t="s">
        <v>6584</v>
      </c>
      <c r="B2079" s="1" t="s">
        <v>1402</v>
      </c>
      <c r="C2079" s="1" t="s">
        <v>6585</v>
      </c>
      <c r="D2079" s="1" t="s">
        <v>28</v>
      </c>
      <c r="E2079" s="1" t="s">
        <v>29</v>
      </c>
      <c r="F2079" s="5">
        <v>500000.0</v>
      </c>
      <c r="G2079" s="1" t="s">
        <v>3964</v>
      </c>
      <c r="H2079" s="1" t="s">
        <v>509</v>
      </c>
      <c r="I2079" s="1" t="s">
        <v>152</v>
      </c>
      <c r="K2079" s="1">
        <v>0.0</v>
      </c>
      <c r="L2079" s="1" t="s">
        <v>517</v>
      </c>
      <c r="M2079" s="1" t="str">
        <f>VLOOKUP(L2079,'Copy of PMD Workday Constants -'!B2078:W2764,22,false)</f>
        <v>#N/A</v>
      </c>
      <c r="N2079" s="1" t="s">
        <v>32</v>
      </c>
      <c r="O2079" s="1" t="s">
        <v>33</v>
      </c>
      <c r="P2079" s="1" t="s">
        <v>64</v>
      </c>
      <c r="Q2079" s="1" t="s">
        <v>64</v>
      </c>
      <c r="R2079" s="1" t="s">
        <v>65</v>
      </c>
      <c r="S2079" s="1" t="s">
        <v>1457</v>
      </c>
      <c r="T2079" s="1">
        <v>1.01001596E8</v>
      </c>
      <c r="U2079" s="1" t="s">
        <v>6586</v>
      </c>
      <c r="V2079" s="1" t="s">
        <v>187</v>
      </c>
      <c r="W2079" s="1" t="s">
        <v>85</v>
      </c>
      <c r="X2079" s="1" t="s">
        <v>517</v>
      </c>
    </row>
    <row r="2080">
      <c r="A2080" s="1" t="s">
        <v>6587</v>
      </c>
      <c r="B2080" s="1" t="s">
        <v>1257</v>
      </c>
      <c r="C2080" s="1" t="s">
        <v>6588</v>
      </c>
      <c r="D2080" s="1" t="s">
        <v>103</v>
      </c>
      <c r="E2080" s="1" t="s">
        <v>29</v>
      </c>
      <c r="F2080" s="5">
        <v>500000.0</v>
      </c>
      <c r="G2080" s="1" t="s">
        <v>3964</v>
      </c>
      <c r="H2080" s="4">
        <v>44839.0</v>
      </c>
      <c r="I2080" s="1" t="s">
        <v>248</v>
      </c>
      <c r="K2080" s="1">
        <v>0.0</v>
      </c>
      <c r="L2080" s="1" t="s">
        <v>6589</v>
      </c>
      <c r="M2080" s="1" t="str">
        <f>VLOOKUP(L2080,'Copy of PMD Workday Constants -'!B2079:W2765,22,false)</f>
        <v>#N/A</v>
      </c>
      <c r="N2080" s="1" t="s">
        <v>32</v>
      </c>
      <c r="O2080" s="1" t="s">
        <v>33</v>
      </c>
      <c r="P2080" s="1" t="s">
        <v>222</v>
      </c>
      <c r="Q2080" s="1" t="s">
        <v>222</v>
      </c>
      <c r="R2080" s="1" t="s">
        <v>223</v>
      </c>
      <c r="T2080" s="1">
        <v>1.00692189E8</v>
      </c>
      <c r="W2080" s="1" t="s">
        <v>56</v>
      </c>
      <c r="X2080" s="1" t="s">
        <v>6589</v>
      </c>
    </row>
    <row r="2081">
      <c r="A2081" s="1" t="s">
        <v>6590</v>
      </c>
      <c r="B2081" s="1" t="s">
        <v>6591</v>
      </c>
      <c r="C2081" s="1" t="s">
        <v>6592</v>
      </c>
      <c r="D2081" s="1" t="s">
        <v>51</v>
      </c>
      <c r="E2081" s="1" t="s">
        <v>29</v>
      </c>
      <c r="F2081" s="5">
        <v>500000.0</v>
      </c>
      <c r="G2081" s="1" t="s">
        <v>3964</v>
      </c>
      <c r="H2081" s="4">
        <v>44451.0</v>
      </c>
      <c r="I2081" s="4">
        <v>44626.0</v>
      </c>
      <c r="K2081" s="1">
        <v>0.0</v>
      </c>
      <c r="L2081" s="1" t="s">
        <v>6593</v>
      </c>
      <c r="M2081" s="1" t="str">
        <f>VLOOKUP(L2081,'Copy of PMD Workday Constants -'!B2080:W2766,22,false)</f>
        <v>#N/A</v>
      </c>
      <c r="N2081" s="1" t="s">
        <v>32</v>
      </c>
      <c r="O2081" s="1" t="s">
        <v>33</v>
      </c>
      <c r="P2081" s="1" t="s">
        <v>34</v>
      </c>
      <c r="Q2081" s="1" t="s">
        <v>34</v>
      </c>
      <c r="R2081" s="1" t="s">
        <v>35</v>
      </c>
      <c r="S2081" s="1" t="s">
        <v>1166</v>
      </c>
      <c r="T2081" s="1">
        <v>1.00599962E8</v>
      </c>
      <c r="W2081" s="1" t="s">
        <v>456</v>
      </c>
      <c r="X2081" s="1" t="s">
        <v>6593</v>
      </c>
    </row>
    <row r="2082">
      <c r="A2082" s="1" t="s">
        <v>6594</v>
      </c>
      <c r="B2082" s="1" t="s">
        <v>1631</v>
      </c>
      <c r="C2082" s="1" t="s">
        <v>6595</v>
      </c>
      <c r="D2082" s="1" t="s">
        <v>51</v>
      </c>
      <c r="E2082" s="1" t="s">
        <v>29</v>
      </c>
      <c r="F2082" s="5">
        <v>500000.0</v>
      </c>
      <c r="G2082" s="1" t="s">
        <v>3964</v>
      </c>
      <c r="H2082" s="4">
        <v>44809.0</v>
      </c>
      <c r="I2082" s="1" t="s">
        <v>6596</v>
      </c>
      <c r="K2082" s="1">
        <v>0.0</v>
      </c>
      <c r="L2082" s="1" t="s">
        <v>2630</v>
      </c>
      <c r="M2082" s="1" t="str">
        <f>VLOOKUP(L2082,'Copy of PMD Workday Constants -'!B2081:W2767,22,false)</f>
        <v>#N/A</v>
      </c>
      <c r="N2082" s="1" t="s">
        <v>32</v>
      </c>
      <c r="O2082" s="1" t="s">
        <v>33</v>
      </c>
      <c r="P2082" s="1" t="s">
        <v>34</v>
      </c>
      <c r="Q2082" s="1" t="s">
        <v>34</v>
      </c>
      <c r="R2082" s="1" t="s">
        <v>35</v>
      </c>
      <c r="S2082" s="1" t="s">
        <v>1166</v>
      </c>
      <c r="T2082" s="1">
        <v>1.00606975E8</v>
      </c>
      <c r="W2082" s="1" t="s">
        <v>456</v>
      </c>
      <c r="X2082" s="1" t="s">
        <v>6597</v>
      </c>
    </row>
    <row r="2083">
      <c r="A2083" s="1" t="s">
        <v>6598</v>
      </c>
      <c r="B2083" s="1" t="s">
        <v>4968</v>
      </c>
      <c r="C2083" s="1" t="s">
        <v>6599</v>
      </c>
      <c r="D2083" s="1" t="s">
        <v>28</v>
      </c>
      <c r="E2083" s="1" t="s">
        <v>29</v>
      </c>
      <c r="F2083" s="5">
        <v>500000.0</v>
      </c>
      <c r="G2083" s="1" t="s">
        <v>3964</v>
      </c>
      <c r="H2083" s="1" t="s">
        <v>434</v>
      </c>
      <c r="I2083" s="1" t="s">
        <v>152</v>
      </c>
      <c r="K2083" s="1">
        <v>0.0</v>
      </c>
      <c r="L2083" s="1" t="s">
        <v>2417</v>
      </c>
      <c r="M2083" s="1" t="str">
        <f>VLOOKUP(L2083,'Copy of PMD Workday Constants -'!B2082:W2768,22,false)</f>
        <v>#N/A</v>
      </c>
      <c r="N2083" s="1" t="s">
        <v>32</v>
      </c>
      <c r="O2083" s="1" t="s">
        <v>33</v>
      </c>
      <c r="P2083" s="1" t="s">
        <v>34</v>
      </c>
      <c r="Q2083" s="1" t="s">
        <v>34</v>
      </c>
      <c r="R2083" s="1" t="s">
        <v>35</v>
      </c>
      <c r="T2083" s="1">
        <v>1.00642238E8</v>
      </c>
      <c r="W2083" s="1" t="s">
        <v>456</v>
      </c>
      <c r="X2083" s="1" t="s">
        <v>3112</v>
      </c>
    </row>
    <row r="2084">
      <c r="A2084" s="1" t="s">
        <v>6600</v>
      </c>
      <c r="B2084" s="1" t="s">
        <v>776</v>
      </c>
      <c r="C2084" s="1" t="s">
        <v>6601</v>
      </c>
      <c r="D2084" s="1" t="s">
        <v>28</v>
      </c>
      <c r="E2084" s="1" t="s">
        <v>29</v>
      </c>
      <c r="F2084" s="5">
        <v>500000.0</v>
      </c>
      <c r="G2084" s="1" t="s">
        <v>3964</v>
      </c>
      <c r="H2084" s="4">
        <v>44624.0</v>
      </c>
      <c r="I2084" s="1" t="s">
        <v>302</v>
      </c>
      <c r="K2084" s="1">
        <v>0.0</v>
      </c>
      <c r="L2084" s="1" t="s">
        <v>2547</v>
      </c>
      <c r="M2084" s="1" t="str">
        <f>VLOOKUP(L2084,'Copy of PMD Workday Constants -'!B2083:W2769,22,false)</f>
        <v>#N/A</v>
      </c>
      <c r="N2084" s="1" t="s">
        <v>32</v>
      </c>
      <c r="O2084" s="1" t="s">
        <v>33</v>
      </c>
      <c r="P2084" s="1" t="s">
        <v>64</v>
      </c>
      <c r="Q2084" s="1" t="s">
        <v>64</v>
      </c>
      <c r="R2084" s="1" t="s">
        <v>65</v>
      </c>
      <c r="T2084" s="1">
        <v>1.00592932E8</v>
      </c>
      <c r="W2084" s="1" t="s">
        <v>74</v>
      </c>
      <c r="X2084" s="1" t="s">
        <v>2547</v>
      </c>
    </row>
    <row r="2085">
      <c r="A2085" s="1" t="s">
        <v>6602</v>
      </c>
      <c r="B2085" s="1" t="s">
        <v>87</v>
      </c>
      <c r="C2085" s="1" t="s">
        <v>6603</v>
      </c>
      <c r="D2085" s="1" t="s">
        <v>28</v>
      </c>
      <c r="E2085" s="1" t="s">
        <v>29</v>
      </c>
      <c r="F2085" s="5">
        <v>500000.0</v>
      </c>
      <c r="G2085" s="1" t="s">
        <v>3964</v>
      </c>
      <c r="H2085" s="1" t="s">
        <v>3399</v>
      </c>
      <c r="I2085" s="1" t="s">
        <v>2349</v>
      </c>
      <c r="K2085" s="1">
        <v>0.0</v>
      </c>
      <c r="L2085" s="1" t="s">
        <v>89</v>
      </c>
      <c r="M2085" s="1" t="str">
        <f>VLOOKUP(L2085,'Copy of PMD Workday Constants -'!B2084:W2770,22,false)</f>
        <v>#N/A</v>
      </c>
      <c r="N2085" s="1" t="s">
        <v>32</v>
      </c>
      <c r="O2085" s="1" t="s">
        <v>33</v>
      </c>
      <c r="P2085" s="1" t="s">
        <v>34</v>
      </c>
      <c r="Q2085" s="1" t="s">
        <v>34</v>
      </c>
      <c r="R2085" s="1" t="s">
        <v>35</v>
      </c>
      <c r="S2085" s="1" t="s">
        <v>36</v>
      </c>
      <c r="T2085" s="1">
        <v>1.00609569E8</v>
      </c>
      <c r="W2085" s="1" t="s">
        <v>91</v>
      </c>
      <c r="X2085" s="1" t="s">
        <v>89</v>
      </c>
    </row>
    <row r="2086">
      <c r="A2086" s="1" t="s">
        <v>6604</v>
      </c>
      <c r="B2086" s="1" t="s">
        <v>521</v>
      </c>
      <c r="C2086" s="1" t="s">
        <v>6605</v>
      </c>
      <c r="D2086" s="1" t="s">
        <v>28</v>
      </c>
      <c r="E2086" s="1" t="s">
        <v>29</v>
      </c>
      <c r="F2086" s="5">
        <v>500000.0</v>
      </c>
      <c r="G2086" s="1" t="s">
        <v>3964</v>
      </c>
      <c r="H2086" s="1" t="s">
        <v>434</v>
      </c>
      <c r="I2086" s="1" t="s">
        <v>152</v>
      </c>
      <c r="K2086" s="1">
        <v>0.0</v>
      </c>
      <c r="L2086" s="1" t="s">
        <v>2417</v>
      </c>
      <c r="M2086" s="1" t="str">
        <f>VLOOKUP(L2086,'Copy of PMD Workday Constants -'!B2085:W2771,22,false)</f>
        <v>#N/A</v>
      </c>
      <c r="N2086" s="1" t="s">
        <v>32</v>
      </c>
      <c r="O2086" s="1" t="s">
        <v>33</v>
      </c>
      <c r="P2086" s="1" t="s">
        <v>34</v>
      </c>
      <c r="Q2086" s="1" t="s">
        <v>34</v>
      </c>
      <c r="R2086" s="1" t="s">
        <v>35</v>
      </c>
      <c r="T2086" s="1">
        <v>1.00642238E8</v>
      </c>
      <c r="W2086" s="1" t="s">
        <v>85</v>
      </c>
      <c r="X2086" s="1" t="s">
        <v>3112</v>
      </c>
    </row>
    <row r="2087">
      <c r="A2087" s="1" t="s">
        <v>6606</v>
      </c>
      <c r="B2087" s="1" t="s">
        <v>77</v>
      </c>
      <c r="C2087" s="1" t="s">
        <v>6607</v>
      </c>
      <c r="D2087" s="1" t="s">
        <v>28</v>
      </c>
      <c r="E2087" s="1" t="s">
        <v>29</v>
      </c>
      <c r="F2087" s="5">
        <v>500000.0</v>
      </c>
      <c r="G2087" s="1" t="s">
        <v>3964</v>
      </c>
      <c r="H2087" s="1" t="s">
        <v>592</v>
      </c>
      <c r="I2087" s="1" t="s">
        <v>80</v>
      </c>
      <c r="K2087" s="1">
        <v>0.0</v>
      </c>
      <c r="L2087" s="1" t="s">
        <v>81</v>
      </c>
      <c r="M2087" s="1" t="str">
        <f>VLOOKUP(L2087,'Copy of PMD Workday Constants -'!B2086:W2772,22,false)</f>
        <v>#N/A</v>
      </c>
      <c r="N2087" s="1" t="s">
        <v>32</v>
      </c>
      <c r="O2087" s="1" t="s">
        <v>33</v>
      </c>
      <c r="P2087" s="1" t="s">
        <v>82</v>
      </c>
      <c r="Q2087" s="1" t="s">
        <v>82</v>
      </c>
      <c r="R2087" s="1" t="s">
        <v>83</v>
      </c>
      <c r="S2087" s="1" t="s">
        <v>84</v>
      </c>
      <c r="T2087" s="1">
        <v>1.00640331E8</v>
      </c>
      <c r="W2087" s="1" t="s">
        <v>85</v>
      </c>
      <c r="X2087" s="1" t="s">
        <v>6608</v>
      </c>
    </row>
    <row r="2088">
      <c r="A2088" s="1" t="s">
        <v>6609</v>
      </c>
      <c r="B2088" s="1" t="s">
        <v>4820</v>
      </c>
      <c r="C2088" s="1" t="s">
        <v>6610</v>
      </c>
      <c r="D2088" s="1" t="s">
        <v>103</v>
      </c>
      <c r="E2088" s="1" t="s">
        <v>29</v>
      </c>
      <c r="F2088" s="5">
        <v>500000.0</v>
      </c>
      <c r="G2088" s="1" t="s">
        <v>3964</v>
      </c>
      <c r="H2088" s="1" t="s">
        <v>278</v>
      </c>
      <c r="I2088" s="1" t="s">
        <v>1349</v>
      </c>
      <c r="K2088" s="1">
        <v>0.0</v>
      </c>
      <c r="L2088" s="1" t="s">
        <v>5981</v>
      </c>
      <c r="M2088" s="1" t="str">
        <f>VLOOKUP(L2088,'Copy of PMD Workday Constants -'!B2087:W2773,22,false)</f>
        <v>#N/A</v>
      </c>
      <c r="N2088" s="1" t="s">
        <v>32</v>
      </c>
      <c r="O2088" s="1" t="s">
        <v>33</v>
      </c>
      <c r="P2088" s="1" t="s">
        <v>173</v>
      </c>
      <c r="Q2088" s="1" t="s">
        <v>173</v>
      </c>
      <c r="R2088" s="1" t="s">
        <v>174</v>
      </c>
      <c r="T2088" s="1">
        <v>1.00694303E8</v>
      </c>
      <c r="W2088" s="1" t="s">
        <v>74</v>
      </c>
      <c r="X2088" s="1" t="s">
        <v>6611</v>
      </c>
    </row>
    <row r="2089">
      <c r="A2089" s="1" t="s">
        <v>6612</v>
      </c>
      <c r="B2089" s="1" t="s">
        <v>6404</v>
      </c>
      <c r="C2089" s="1" t="s">
        <v>6613</v>
      </c>
      <c r="D2089" s="1" t="s">
        <v>51</v>
      </c>
      <c r="E2089" s="1" t="s">
        <v>29</v>
      </c>
      <c r="F2089" s="5">
        <v>500000.0</v>
      </c>
      <c r="G2089" s="1" t="s">
        <v>3964</v>
      </c>
      <c r="H2089" s="1" t="s">
        <v>1785</v>
      </c>
      <c r="I2089" s="1" t="s">
        <v>104</v>
      </c>
      <c r="K2089" s="1">
        <v>0.0</v>
      </c>
      <c r="L2089" s="1" t="s">
        <v>2970</v>
      </c>
      <c r="M2089" s="1" t="str">
        <f>VLOOKUP(L2089,'Copy of PMD Workday Constants -'!B2088:W2774,22,false)</f>
        <v>#N/A</v>
      </c>
      <c r="N2089" s="1" t="s">
        <v>32</v>
      </c>
      <c r="O2089" s="1" t="s">
        <v>33</v>
      </c>
      <c r="P2089" s="1" t="s">
        <v>173</v>
      </c>
      <c r="Q2089" s="1" t="s">
        <v>173</v>
      </c>
      <c r="R2089" s="1" t="s">
        <v>174</v>
      </c>
      <c r="T2089" s="1">
        <v>1.00616377E8</v>
      </c>
      <c r="W2089" s="1" t="s">
        <v>456</v>
      </c>
      <c r="X2089" s="1" t="s">
        <v>6614</v>
      </c>
    </row>
    <row r="2090">
      <c r="A2090" s="1" t="s">
        <v>6615</v>
      </c>
      <c r="B2090" s="1" t="s">
        <v>6616</v>
      </c>
      <c r="C2090" s="1" t="s">
        <v>6617</v>
      </c>
      <c r="D2090" s="1" t="s">
        <v>51</v>
      </c>
      <c r="E2090" s="1" t="s">
        <v>29</v>
      </c>
      <c r="F2090" s="5">
        <v>500000.0</v>
      </c>
      <c r="G2090" s="1" t="s">
        <v>3964</v>
      </c>
      <c r="H2090" s="1" t="s">
        <v>3443</v>
      </c>
      <c r="I2090" s="1" t="s">
        <v>96</v>
      </c>
      <c r="K2090" s="1">
        <v>0.0</v>
      </c>
      <c r="L2090" s="1" t="s">
        <v>5167</v>
      </c>
      <c r="M2090" s="1" t="str">
        <f>VLOOKUP(L2090,'Copy of PMD Workday Constants -'!B2089:W2775,22,false)</f>
        <v>#N/A</v>
      </c>
      <c r="N2090" s="1" t="s">
        <v>32</v>
      </c>
      <c r="O2090" s="1" t="s">
        <v>33</v>
      </c>
      <c r="P2090" s="1" t="s">
        <v>173</v>
      </c>
      <c r="Q2090" s="1" t="s">
        <v>173</v>
      </c>
      <c r="R2090" s="1" t="s">
        <v>174</v>
      </c>
      <c r="T2090" s="1">
        <v>1.00641485E8</v>
      </c>
      <c r="W2090" s="1" t="s">
        <v>250</v>
      </c>
      <c r="X2090" s="1" t="s">
        <v>5167</v>
      </c>
    </row>
    <row r="2091">
      <c r="A2091" s="1" t="s">
        <v>6618</v>
      </c>
      <c r="B2091" s="1" t="s">
        <v>973</v>
      </c>
      <c r="C2091" s="1" t="s">
        <v>6619</v>
      </c>
      <c r="D2091" s="1" t="s">
        <v>28</v>
      </c>
      <c r="E2091" s="1" t="s">
        <v>29</v>
      </c>
      <c r="F2091" s="5">
        <v>500000.0</v>
      </c>
      <c r="G2091" s="1" t="s">
        <v>3964</v>
      </c>
      <c r="H2091" s="4">
        <v>44717.0</v>
      </c>
      <c r="I2091" s="1" t="s">
        <v>302</v>
      </c>
      <c r="K2091" s="1">
        <v>0.0</v>
      </c>
      <c r="L2091" s="1" t="s">
        <v>3499</v>
      </c>
      <c r="M2091" s="1" t="str">
        <f>VLOOKUP(L2091,'Copy of PMD Workday Constants -'!B2090:W2776,22,false)</f>
        <v>#N/A</v>
      </c>
      <c r="N2091" s="1" t="s">
        <v>32</v>
      </c>
      <c r="O2091" s="1" t="s">
        <v>33</v>
      </c>
      <c r="P2091" s="1" t="s">
        <v>222</v>
      </c>
      <c r="Q2091" s="1" t="s">
        <v>222</v>
      </c>
      <c r="R2091" s="1" t="s">
        <v>223</v>
      </c>
      <c r="S2091" s="1" t="s">
        <v>1166</v>
      </c>
      <c r="T2091" s="1">
        <v>1.00662113E8</v>
      </c>
      <c r="W2091" s="1" t="s">
        <v>456</v>
      </c>
      <c r="X2091" s="1" t="s">
        <v>977</v>
      </c>
    </row>
    <row r="2092">
      <c r="A2092" s="1" t="s">
        <v>6620</v>
      </c>
      <c r="B2092" s="1" t="s">
        <v>1721</v>
      </c>
      <c r="C2092" s="1" t="s">
        <v>6621</v>
      </c>
      <c r="D2092" s="1" t="s">
        <v>28</v>
      </c>
      <c r="E2092" s="1" t="s">
        <v>29</v>
      </c>
      <c r="F2092" s="5">
        <v>500000.0</v>
      </c>
      <c r="G2092" s="1" t="s">
        <v>3964</v>
      </c>
      <c r="H2092" s="1" t="s">
        <v>6622</v>
      </c>
      <c r="I2092" s="1" t="s">
        <v>80</v>
      </c>
      <c r="K2092" s="1">
        <v>0.0</v>
      </c>
      <c r="L2092" s="1" t="s">
        <v>3201</v>
      </c>
      <c r="M2092" s="1" t="str">
        <f>VLOOKUP(L2092,'Copy of PMD Workday Constants -'!B2091:W2777,22,false)</f>
        <v>#N/A</v>
      </c>
      <c r="N2092" s="1" t="s">
        <v>32</v>
      </c>
      <c r="O2092" s="1" t="s">
        <v>33</v>
      </c>
      <c r="P2092" s="1" t="s">
        <v>34</v>
      </c>
      <c r="Q2092" s="1" t="s">
        <v>34</v>
      </c>
      <c r="R2092" s="1" t="s">
        <v>35</v>
      </c>
      <c r="S2092" s="1" t="s">
        <v>66</v>
      </c>
      <c r="T2092" s="1">
        <v>1.00651946E8</v>
      </c>
      <c r="W2092" s="1" t="s">
        <v>391</v>
      </c>
      <c r="X2092" s="1" t="s">
        <v>3201</v>
      </c>
    </row>
    <row r="2093">
      <c r="A2093" s="1" t="s">
        <v>6623</v>
      </c>
      <c r="B2093" s="1" t="s">
        <v>1997</v>
      </c>
      <c r="C2093" s="1" t="s">
        <v>6624</v>
      </c>
      <c r="D2093" s="1" t="s">
        <v>103</v>
      </c>
      <c r="E2093" s="1" t="s">
        <v>29</v>
      </c>
      <c r="F2093" s="5">
        <v>500000.0</v>
      </c>
      <c r="G2093" s="1" t="s">
        <v>3964</v>
      </c>
      <c r="H2093" s="1" t="s">
        <v>1134</v>
      </c>
      <c r="I2093" s="1" t="s">
        <v>96</v>
      </c>
      <c r="K2093" s="1">
        <v>0.0</v>
      </c>
      <c r="L2093" s="1" t="s">
        <v>4365</v>
      </c>
      <c r="M2093" s="1" t="str">
        <f>VLOOKUP(L2093,'Copy of PMD Workday Constants -'!B2092:W2778,22,false)</f>
        <v>#N/A</v>
      </c>
      <c r="N2093" s="1" t="s">
        <v>32</v>
      </c>
      <c r="O2093" s="1" t="s">
        <v>33</v>
      </c>
      <c r="P2093" s="1" t="s">
        <v>173</v>
      </c>
      <c r="Q2093" s="1" t="s">
        <v>173</v>
      </c>
      <c r="R2093" s="1" t="s">
        <v>174</v>
      </c>
      <c r="T2093" s="1">
        <v>1.0066064E8</v>
      </c>
      <c r="W2093" s="1" t="s">
        <v>947</v>
      </c>
      <c r="X2093" s="1" t="s">
        <v>4708</v>
      </c>
    </row>
    <row r="2094">
      <c r="A2094" s="1" t="s">
        <v>6625</v>
      </c>
      <c r="B2094" s="1" t="s">
        <v>3270</v>
      </c>
      <c r="C2094" s="1" t="s">
        <v>6626</v>
      </c>
      <c r="D2094" s="1" t="s">
        <v>51</v>
      </c>
      <c r="E2094" s="1" t="s">
        <v>29</v>
      </c>
      <c r="F2094" s="5">
        <v>500000.0</v>
      </c>
      <c r="G2094" s="1" t="s">
        <v>3964</v>
      </c>
      <c r="H2094" s="1" t="s">
        <v>592</v>
      </c>
      <c r="I2094" s="1" t="s">
        <v>104</v>
      </c>
      <c r="K2094" s="1">
        <v>0.0</v>
      </c>
      <c r="L2094" s="1" t="s">
        <v>2703</v>
      </c>
      <c r="M2094" s="1" t="str">
        <f>VLOOKUP(L2094,'Copy of PMD Workday Constants -'!B2093:W2779,22,false)</f>
        <v>#N/A</v>
      </c>
      <c r="N2094" s="1" t="s">
        <v>32</v>
      </c>
      <c r="O2094" s="1" t="s">
        <v>33</v>
      </c>
      <c r="P2094" s="1" t="s">
        <v>34</v>
      </c>
      <c r="Q2094" s="1" t="s">
        <v>34</v>
      </c>
      <c r="R2094" s="1" t="s">
        <v>35</v>
      </c>
      <c r="T2094" s="1">
        <v>1.00866856E8</v>
      </c>
      <c r="W2094" s="1" t="s">
        <v>74</v>
      </c>
      <c r="X2094" s="1" t="s">
        <v>3862</v>
      </c>
    </row>
    <row r="2095">
      <c r="A2095" s="1" t="s">
        <v>6627</v>
      </c>
      <c r="B2095" s="1" t="s">
        <v>6628</v>
      </c>
      <c r="C2095" s="1" t="s">
        <v>6629</v>
      </c>
      <c r="D2095" s="1" t="s">
        <v>28</v>
      </c>
      <c r="E2095" s="1" t="s">
        <v>29</v>
      </c>
      <c r="F2095" s="5">
        <v>500000.0</v>
      </c>
      <c r="G2095" s="1" t="s">
        <v>3964</v>
      </c>
      <c r="H2095" s="4">
        <v>44385.0</v>
      </c>
      <c r="I2095" s="1" t="s">
        <v>80</v>
      </c>
      <c r="K2095" s="1">
        <v>0.0</v>
      </c>
      <c r="L2095" s="1" t="s">
        <v>1380</v>
      </c>
      <c r="M2095" s="1" t="str">
        <f>VLOOKUP(L2095,'Copy of PMD Workday Constants -'!B2094:W2780,22,false)</f>
        <v>#N/A</v>
      </c>
      <c r="N2095" s="1" t="s">
        <v>32</v>
      </c>
      <c r="O2095" s="1" t="s">
        <v>33</v>
      </c>
      <c r="P2095" s="1" t="s">
        <v>34</v>
      </c>
      <c r="Q2095" s="1" t="s">
        <v>34</v>
      </c>
      <c r="R2095" s="1" t="s">
        <v>35</v>
      </c>
      <c r="S2095" s="1" t="s">
        <v>126</v>
      </c>
      <c r="T2095" s="1">
        <v>1.00587434E8</v>
      </c>
      <c r="W2095" s="1" t="s">
        <v>74</v>
      </c>
      <c r="X2095" s="1" t="s">
        <v>3038</v>
      </c>
    </row>
    <row r="2096">
      <c r="A2096" s="1" t="s">
        <v>6630</v>
      </c>
      <c r="B2096" s="1" t="s">
        <v>973</v>
      </c>
      <c r="C2096" s="1" t="s">
        <v>6631</v>
      </c>
      <c r="D2096" s="1" t="s">
        <v>28</v>
      </c>
      <c r="E2096" s="1" t="s">
        <v>29</v>
      </c>
      <c r="F2096" s="5">
        <v>500000.0</v>
      </c>
      <c r="G2096" s="1" t="s">
        <v>3964</v>
      </c>
      <c r="H2096" s="4">
        <v>44717.0</v>
      </c>
      <c r="I2096" s="1" t="s">
        <v>237</v>
      </c>
      <c r="K2096" s="1">
        <v>0.0</v>
      </c>
      <c r="L2096" s="1" t="s">
        <v>976</v>
      </c>
      <c r="M2096" s="1" t="str">
        <f>VLOOKUP(L2096,'Copy of PMD Workday Constants -'!B2095:W2781,22,false)</f>
        <v>#N/A</v>
      </c>
      <c r="N2096" s="1" t="s">
        <v>32</v>
      </c>
      <c r="O2096" s="1" t="s">
        <v>33</v>
      </c>
      <c r="P2096" s="1" t="s">
        <v>173</v>
      </c>
      <c r="Q2096" s="1" t="s">
        <v>173</v>
      </c>
      <c r="R2096" s="1" t="s">
        <v>174</v>
      </c>
      <c r="T2096" s="1">
        <v>1.00611358E8</v>
      </c>
      <c r="W2096" s="1" t="s">
        <v>456</v>
      </c>
      <c r="X2096" s="1" t="s">
        <v>977</v>
      </c>
    </row>
    <row r="2097">
      <c r="A2097" s="1" t="s">
        <v>6632</v>
      </c>
      <c r="B2097" s="1" t="s">
        <v>3369</v>
      </c>
      <c r="C2097" s="1" t="s">
        <v>6633</v>
      </c>
      <c r="D2097" s="1" t="s">
        <v>51</v>
      </c>
      <c r="E2097" s="1" t="s">
        <v>29</v>
      </c>
      <c r="F2097" s="5">
        <v>500000.0</v>
      </c>
      <c r="G2097" s="1" t="s">
        <v>3964</v>
      </c>
      <c r="H2097" s="1" t="s">
        <v>343</v>
      </c>
      <c r="I2097" s="1" t="s">
        <v>3052</v>
      </c>
      <c r="K2097" s="1">
        <v>0.0</v>
      </c>
      <c r="L2097" s="1" t="s">
        <v>2154</v>
      </c>
      <c r="M2097" s="1" t="str">
        <f>VLOOKUP(L2097,'Copy of PMD Workday Constants -'!B2096:W2782,22,false)</f>
        <v>#N/A</v>
      </c>
      <c r="N2097" s="1" t="s">
        <v>32</v>
      </c>
      <c r="O2097" s="1" t="s">
        <v>33</v>
      </c>
      <c r="P2097" s="1" t="s">
        <v>173</v>
      </c>
      <c r="Q2097" s="1" t="s">
        <v>173</v>
      </c>
      <c r="R2097" s="1" t="s">
        <v>174</v>
      </c>
      <c r="S2097" s="1" t="s">
        <v>612</v>
      </c>
      <c r="T2097" s="1">
        <v>1.00639477E8</v>
      </c>
      <c r="W2097" s="1" t="s">
        <v>115</v>
      </c>
      <c r="X2097" s="1" t="s">
        <v>3371</v>
      </c>
    </row>
    <row r="2098">
      <c r="A2098" s="1" t="s">
        <v>6634</v>
      </c>
      <c r="B2098" s="1" t="s">
        <v>1096</v>
      </c>
      <c r="C2098" s="1" t="s">
        <v>6635</v>
      </c>
      <c r="D2098" s="1" t="s">
        <v>28</v>
      </c>
      <c r="E2098" s="1" t="s">
        <v>29</v>
      </c>
      <c r="F2098" s="5">
        <v>500000.0</v>
      </c>
      <c r="G2098" s="1" t="s">
        <v>3964</v>
      </c>
      <c r="H2098" s="1" t="s">
        <v>1134</v>
      </c>
      <c r="I2098" s="1" t="s">
        <v>302</v>
      </c>
      <c r="K2098" s="1">
        <v>0.0</v>
      </c>
      <c r="L2098" s="1" t="s">
        <v>983</v>
      </c>
      <c r="M2098" s="1" t="str">
        <f>VLOOKUP(L2098,'Copy of PMD Workday Constants -'!B2097:W2783,22,false)</f>
        <v>#N/A</v>
      </c>
      <c r="N2098" s="1" t="s">
        <v>32</v>
      </c>
      <c r="O2098" s="1" t="s">
        <v>33</v>
      </c>
      <c r="P2098" s="1" t="s">
        <v>112</v>
      </c>
      <c r="Q2098" s="1" t="s">
        <v>112</v>
      </c>
      <c r="R2098" s="1" t="s">
        <v>113</v>
      </c>
      <c r="S2098" s="1" t="s">
        <v>455</v>
      </c>
      <c r="T2098" s="1">
        <v>1.00607644E8</v>
      </c>
      <c r="W2098" s="1" t="s">
        <v>456</v>
      </c>
      <c r="X2098" s="1" t="s">
        <v>983</v>
      </c>
    </row>
    <row r="2099">
      <c r="A2099" s="1" t="s">
        <v>6636</v>
      </c>
      <c r="B2099" s="1" t="s">
        <v>756</v>
      </c>
      <c r="C2099" s="1" t="s">
        <v>6637</v>
      </c>
      <c r="D2099" s="1" t="s">
        <v>28</v>
      </c>
      <c r="E2099" s="1" t="s">
        <v>29</v>
      </c>
      <c r="F2099" s="5">
        <v>500000.0</v>
      </c>
      <c r="G2099" s="1" t="s">
        <v>3964</v>
      </c>
      <c r="H2099" s="1" t="s">
        <v>61</v>
      </c>
      <c r="I2099" s="4">
        <v>44568.0</v>
      </c>
      <c r="K2099" s="1">
        <v>0.0</v>
      </c>
      <c r="L2099" s="1" t="s">
        <v>1711</v>
      </c>
      <c r="M2099" s="1" t="str">
        <f>VLOOKUP(L2099,'Copy of PMD Workday Constants -'!B2098:W2784,22,false)</f>
        <v>#N/A</v>
      </c>
      <c r="N2099" s="1" t="s">
        <v>32</v>
      </c>
      <c r="O2099" s="1" t="s">
        <v>33</v>
      </c>
      <c r="P2099" s="1" t="s">
        <v>112</v>
      </c>
      <c r="Q2099" s="1" t="s">
        <v>112</v>
      </c>
      <c r="R2099" s="1" t="s">
        <v>113</v>
      </c>
      <c r="S2099" s="1" t="s">
        <v>134</v>
      </c>
      <c r="T2099" s="1">
        <v>1.00639641E8</v>
      </c>
      <c r="W2099" s="1" t="s">
        <v>74</v>
      </c>
      <c r="X2099" s="1" t="s">
        <v>1711</v>
      </c>
    </row>
    <row r="2100">
      <c r="A2100" s="1" t="s">
        <v>6638</v>
      </c>
      <c r="B2100" s="1" t="s">
        <v>5073</v>
      </c>
      <c r="C2100" s="1" t="s">
        <v>6639</v>
      </c>
      <c r="D2100" s="1" t="s">
        <v>103</v>
      </c>
      <c r="E2100" s="1" t="s">
        <v>29</v>
      </c>
      <c r="F2100" s="5">
        <v>500000.0</v>
      </c>
      <c r="G2100" s="1" t="s">
        <v>3964</v>
      </c>
      <c r="H2100" s="1" t="s">
        <v>6433</v>
      </c>
      <c r="I2100" s="1" t="s">
        <v>152</v>
      </c>
      <c r="K2100" s="1">
        <v>0.0</v>
      </c>
      <c r="L2100" s="1" t="s">
        <v>2788</v>
      </c>
      <c r="M2100" s="1" t="str">
        <f>VLOOKUP(L2100,'Copy of PMD Workday Constants -'!B2099:W2785,22,false)</f>
        <v>#N/A</v>
      </c>
      <c r="N2100" s="1" t="s">
        <v>32</v>
      </c>
      <c r="O2100" s="1" t="s">
        <v>33</v>
      </c>
      <c r="P2100" s="1" t="s">
        <v>54</v>
      </c>
      <c r="Q2100" s="1" t="s">
        <v>54</v>
      </c>
      <c r="R2100" s="1" t="s">
        <v>55</v>
      </c>
      <c r="S2100" s="1" t="s">
        <v>1457</v>
      </c>
      <c r="T2100" s="1">
        <v>1.0059132E8</v>
      </c>
      <c r="W2100" s="1" t="s">
        <v>85</v>
      </c>
      <c r="X2100" s="1" t="s">
        <v>2788</v>
      </c>
    </row>
    <row r="2101">
      <c r="A2101" s="1" t="s">
        <v>6640</v>
      </c>
      <c r="B2101" s="1" t="s">
        <v>6641</v>
      </c>
      <c r="C2101" s="1" t="s">
        <v>6642</v>
      </c>
      <c r="D2101" s="1" t="s">
        <v>28</v>
      </c>
      <c r="E2101" s="1" t="s">
        <v>29</v>
      </c>
      <c r="F2101" s="5">
        <v>500000.0</v>
      </c>
      <c r="G2101" s="1" t="s">
        <v>3964</v>
      </c>
      <c r="H2101" s="1" t="s">
        <v>6643</v>
      </c>
      <c r="I2101" s="1" t="s">
        <v>43</v>
      </c>
      <c r="K2101" s="1">
        <v>0.0</v>
      </c>
      <c r="L2101" s="1" t="s">
        <v>2602</v>
      </c>
      <c r="M2101" s="1" t="str">
        <f>VLOOKUP(L2101,'Copy of PMD Workday Constants -'!B2100:W2786,22,false)</f>
        <v>#N/A</v>
      </c>
      <c r="N2101" s="1" t="s">
        <v>32</v>
      </c>
      <c r="O2101" s="1" t="s">
        <v>33</v>
      </c>
      <c r="P2101" s="1" t="s">
        <v>173</v>
      </c>
      <c r="Q2101" s="1" t="s">
        <v>173</v>
      </c>
      <c r="R2101" s="1" t="s">
        <v>174</v>
      </c>
      <c r="S2101" s="1" t="s">
        <v>383</v>
      </c>
      <c r="T2101" s="1">
        <v>1.00611351E8</v>
      </c>
      <c r="W2101" s="1" t="s">
        <v>1303</v>
      </c>
      <c r="X2101" s="1" t="s">
        <v>2914</v>
      </c>
    </row>
    <row r="2102">
      <c r="A2102" s="1" t="s">
        <v>6644</v>
      </c>
      <c r="B2102" s="1" t="s">
        <v>573</v>
      </c>
      <c r="C2102" s="1" t="s">
        <v>6645</v>
      </c>
      <c r="D2102" s="1" t="s">
        <v>51</v>
      </c>
      <c r="E2102" s="1" t="s">
        <v>29</v>
      </c>
      <c r="F2102" s="5">
        <v>500000.0</v>
      </c>
      <c r="G2102" s="1" t="s">
        <v>3964</v>
      </c>
      <c r="H2102" s="1" t="s">
        <v>208</v>
      </c>
      <c r="I2102" s="1" t="s">
        <v>302</v>
      </c>
      <c r="K2102" s="1">
        <v>0.0</v>
      </c>
      <c r="L2102" s="1" t="s">
        <v>5143</v>
      </c>
      <c r="M2102" s="1" t="str">
        <f>VLOOKUP(L2102,'Copy of PMD Workday Constants -'!B2101:W2787,22,false)</f>
        <v>#N/A</v>
      </c>
      <c r="N2102" s="1" t="s">
        <v>32</v>
      </c>
      <c r="O2102" s="1" t="s">
        <v>33</v>
      </c>
      <c r="P2102" s="1" t="s">
        <v>112</v>
      </c>
      <c r="Q2102" s="1" t="s">
        <v>112</v>
      </c>
      <c r="R2102" s="1" t="s">
        <v>113</v>
      </c>
      <c r="T2102" s="1">
        <v>1.0061246E8</v>
      </c>
      <c r="W2102" s="1" t="s">
        <v>74</v>
      </c>
      <c r="X2102" s="1" t="s">
        <v>5143</v>
      </c>
    </row>
    <row r="2103">
      <c r="A2103" s="1" t="s">
        <v>6646</v>
      </c>
      <c r="B2103" s="1" t="s">
        <v>485</v>
      </c>
      <c r="C2103" s="1" t="s">
        <v>6647</v>
      </c>
      <c r="D2103" s="1" t="s">
        <v>51</v>
      </c>
      <c r="E2103" s="1" t="s">
        <v>29</v>
      </c>
      <c r="F2103" s="5">
        <v>500000.0</v>
      </c>
      <c r="G2103" s="1" t="s">
        <v>3964</v>
      </c>
      <c r="H2103" s="4">
        <v>44717.0</v>
      </c>
      <c r="I2103" s="4">
        <v>44840.0</v>
      </c>
      <c r="K2103" s="1">
        <v>0.0</v>
      </c>
      <c r="L2103" s="1" t="s">
        <v>428</v>
      </c>
      <c r="M2103" s="1" t="str">
        <f>VLOOKUP(L2103,'Copy of PMD Workday Constants -'!B2102:W2788,22,false)</f>
        <v>#N/A</v>
      </c>
      <c r="N2103" s="1" t="s">
        <v>32</v>
      </c>
      <c r="O2103" s="1" t="s">
        <v>33</v>
      </c>
      <c r="P2103" s="1" t="s">
        <v>173</v>
      </c>
      <c r="Q2103" s="1" t="s">
        <v>173</v>
      </c>
      <c r="R2103" s="1" t="s">
        <v>174</v>
      </c>
      <c r="T2103" s="1">
        <v>1.00654085E8</v>
      </c>
      <c r="V2103" s="1" t="s">
        <v>422</v>
      </c>
      <c r="W2103" s="1" t="s">
        <v>85</v>
      </c>
      <c r="X2103" s="1" t="s">
        <v>428</v>
      </c>
    </row>
    <row r="2104">
      <c r="A2104" s="1" t="s">
        <v>6648</v>
      </c>
      <c r="B2104" s="1" t="s">
        <v>6649</v>
      </c>
      <c r="C2104" s="1" t="s">
        <v>6650</v>
      </c>
      <c r="D2104" s="1" t="s">
        <v>28</v>
      </c>
      <c r="E2104" s="1" t="s">
        <v>29</v>
      </c>
      <c r="F2104" s="5">
        <v>500000.0</v>
      </c>
      <c r="G2104" s="1" t="s">
        <v>3964</v>
      </c>
      <c r="H2104" s="1" t="s">
        <v>375</v>
      </c>
      <c r="I2104" s="1" t="s">
        <v>43</v>
      </c>
      <c r="K2104" s="1">
        <v>0.0</v>
      </c>
      <c r="L2104" s="1" t="s">
        <v>3848</v>
      </c>
      <c r="M2104" s="1" t="str">
        <f>VLOOKUP(L2104,'Copy of PMD Workday Constants -'!B2103:W2789,22,false)</f>
        <v>#N/A</v>
      </c>
      <c r="N2104" s="1" t="s">
        <v>32</v>
      </c>
      <c r="O2104" s="1" t="s">
        <v>33</v>
      </c>
      <c r="P2104" s="1" t="s">
        <v>173</v>
      </c>
      <c r="Q2104" s="1" t="s">
        <v>173</v>
      </c>
      <c r="R2104" s="1" t="s">
        <v>174</v>
      </c>
      <c r="S2104" s="1" t="s">
        <v>612</v>
      </c>
      <c r="T2104" s="1">
        <v>1.00654914E8</v>
      </c>
      <c r="W2104" s="1" t="s">
        <v>147</v>
      </c>
      <c r="X2104" s="1" t="s">
        <v>3849</v>
      </c>
    </row>
    <row r="2105">
      <c r="A2105" s="1" t="s">
        <v>6651</v>
      </c>
      <c r="B2105" s="1" t="s">
        <v>751</v>
      </c>
      <c r="C2105" s="1" t="s">
        <v>6652</v>
      </c>
      <c r="D2105" s="1" t="s">
        <v>28</v>
      </c>
      <c r="E2105" s="1" t="s">
        <v>29</v>
      </c>
      <c r="F2105" s="5">
        <v>500000.0</v>
      </c>
      <c r="G2105" s="1" t="s">
        <v>3964</v>
      </c>
      <c r="H2105" s="4">
        <v>44717.0</v>
      </c>
      <c r="I2105" s="1" t="s">
        <v>313</v>
      </c>
      <c r="K2105" s="1">
        <v>0.0</v>
      </c>
      <c r="L2105" s="1" t="s">
        <v>6653</v>
      </c>
      <c r="M2105" s="1" t="str">
        <f>VLOOKUP(L2105,'Copy of PMD Workday Constants -'!B2104:W2790,22,false)</f>
        <v>#N/A</v>
      </c>
      <c r="N2105" s="1" t="s">
        <v>32</v>
      </c>
      <c r="O2105" s="1" t="s">
        <v>33</v>
      </c>
      <c r="P2105" s="1" t="s">
        <v>82</v>
      </c>
      <c r="Q2105" s="1" t="s">
        <v>82</v>
      </c>
      <c r="R2105" s="1" t="s">
        <v>83</v>
      </c>
      <c r="S2105" s="1" t="s">
        <v>180</v>
      </c>
      <c r="T2105" s="1">
        <v>1.00609525E8</v>
      </c>
      <c r="W2105" s="1" t="s">
        <v>85</v>
      </c>
      <c r="X2105" s="1" t="s">
        <v>6503</v>
      </c>
    </row>
    <row r="2106">
      <c r="A2106" s="1" t="s">
        <v>6654</v>
      </c>
      <c r="B2106" s="1" t="s">
        <v>6152</v>
      </c>
      <c r="C2106" s="1" t="s">
        <v>6655</v>
      </c>
      <c r="D2106" s="1" t="s">
        <v>28</v>
      </c>
      <c r="E2106" s="1" t="s">
        <v>29</v>
      </c>
      <c r="F2106" s="5">
        <v>500000.0</v>
      </c>
      <c r="G2106" s="1" t="s">
        <v>3964</v>
      </c>
      <c r="H2106" s="4">
        <v>44896.0</v>
      </c>
      <c r="I2106" s="1" t="s">
        <v>132</v>
      </c>
      <c r="K2106" s="1">
        <v>0.0</v>
      </c>
      <c r="L2106" s="1" t="s">
        <v>2086</v>
      </c>
      <c r="M2106" s="1" t="str">
        <f>VLOOKUP(L2106,'Copy of PMD Workday Constants -'!B2105:W2791,22,false)</f>
        <v>#N/A</v>
      </c>
      <c r="N2106" s="1" t="s">
        <v>32</v>
      </c>
      <c r="O2106" s="1" t="s">
        <v>33</v>
      </c>
      <c r="P2106" s="1" t="s">
        <v>82</v>
      </c>
      <c r="Q2106" s="1" t="s">
        <v>82</v>
      </c>
      <c r="R2106" s="1" t="s">
        <v>83</v>
      </c>
      <c r="S2106" s="1" t="s">
        <v>84</v>
      </c>
      <c r="T2106" s="1">
        <v>1.0061233E8</v>
      </c>
      <c r="W2106" s="1" t="s">
        <v>85</v>
      </c>
      <c r="X2106" s="1" t="s">
        <v>2086</v>
      </c>
    </row>
    <row r="2107">
      <c r="A2107" s="1" t="s">
        <v>6656</v>
      </c>
      <c r="B2107" s="1" t="s">
        <v>2790</v>
      </c>
      <c r="C2107" s="1" t="s">
        <v>6657</v>
      </c>
      <c r="D2107" s="1" t="s">
        <v>28</v>
      </c>
      <c r="E2107" s="1" t="s">
        <v>29</v>
      </c>
      <c r="F2107" s="5">
        <v>500000.0</v>
      </c>
      <c r="G2107" s="1" t="s">
        <v>3964</v>
      </c>
      <c r="H2107" s="4">
        <v>44480.0</v>
      </c>
      <c r="I2107" s="1" t="s">
        <v>80</v>
      </c>
      <c r="K2107" s="1">
        <v>0.0</v>
      </c>
      <c r="L2107" s="1" t="s">
        <v>1023</v>
      </c>
      <c r="M2107" s="1" t="str">
        <f>VLOOKUP(L2107,'Copy of PMD Workday Constants -'!B2106:W2792,22,false)</f>
        <v>#N/A</v>
      </c>
      <c r="N2107" s="1" t="s">
        <v>32</v>
      </c>
      <c r="O2107" s="1" t="s">
        <v>33</v>
      </c>
      <c r="P2107" s="1" t="s">
        <v>82</v>
      </c>
      <c r="Q2107" s="1" t="s">
        <v>82</v>
      </c>
      <c r="R2107" s="1" t="s">
        <v>83</v>
      </c>
      <c r="S2107" s="1" t="s">
        <v>1385</v>
      </c>
      <c r="T2107" s="1">
        <v>1.00619899E8</v>
      </c>
      <c r="W2107" s="1" t="s">
        <v>85</v>
      </c>
      <c r="X2107" s="1" t="s">
        <v>2792</v>
      </c>
    </row>
    <row r="2108">
      <c r="A2108" s="1" t="s">
        <v>6658</v>
      </c>
      <c r="B2108" s="1" t="s">
        <v>3270</v>
      </c>
      <c r="C2108" s="1" t="s">
        <v>6659</v>
      </c>
      <c r="D2108" s="1" t="s">
        <v>51</v>
      </c>
      <c r="E2108" s="1" t="s">
        <v>29</v>
      </c>
      <c r="F2108" s="5">
        <v>500000.0</v>
      </c>
      <c r="G2108" s="1" t="s">
        <v>3964</v>
      </c>
      <c r="H2108" s="1" t="s">
        <v>301</v>
      </c>
      <c r="I2108" s="1" t="s">
        <v>80</v>
      </c>
      <c r="K2108" s="1">
        <v>0.0</v>
      </c>
      <c r="L2108" s="1" t="s">
        <v>5199</v>
      </c>
      <c r="M2108" s="1" t="str">
        <f>VLOOKUP(L2108,'Copy of PMD Workday Constants -'!B2107:W2793,22,false)</f>
        <v>#N/A</v>
      </c>
      <c r="N2108" s="1" t="s">
        <v>32</v>
      </c>
      <c r="O2108" s="1" t="s">
        <v>33</v>
      </c>
      <c r="P2108" s="1" t="s">
        <v>173</v>
      </c>
      <c r="Q2108" s="1" t="s">
        <v>173</v>
      </c>
      <c r="R2108" s="1" t="s">
        <v>174</v>
      </c>
      <c r="T2108" s="1">
        <v>1.00659846E8</v>
      </c>
      <c r="W2108" s="1" t="s">
        <v>74</v>
      </c>
      <c r="X2108" s="1" t="s">
        <v>5199</v>
      </c>
    </row>
    <row r="2109">
      <c r="A2109" s="1" t="s">
        <v>6660</v>
      </c>
      <c r="B2109" s="1" t="s">
        <v>430</v>
      </c>
      <c r="C2109" s="1" t="s">
        <v>6661</v>
      </c>
      <c r="D2109" s="1" t="s">
        <v>28</v>
      </c>
      <c r="E2109" s="1" t="s">
        <v>29</v>
      </c>
      <c r="F2109" s="5">
        <v>500000.0</v>
      </c>
      <c r="G2109" s="1" t="s">
        <v>3964</v>
      </c>
      <c r="H2109" s="1" t="s">
        <v>6662</v>
      </c>
      <c r="I2109" s="1" t="s">
        <v>80</v>
      </c>
      <c r="K2109" s="1">
        <v>0.0</v>
      </c>
      <c r="L2109" s="1" t="s">
        <v>3137</v>
      </c>
      <c r="M2109" s="1" t="str">
        <f>VLOOKUP(L2109,'Copy of PMD Workday Constants -'!B2108:W2794,22,false)</f>
        <v>#N/A</v>
      </c>
      <c r="N2109" s="1" t="s">
        <v>32</v>
      </c>
      <c r="O2109" s="1" t="s">
        <v>33</v>
      </c>
      <c r="P2109" s="1" t="s">
        <v>82</v>
      </c>
      <c r="Q2109" s="1" t="s">
        <v>82</v>
      </c>
      <c r="R2109" s="1" t="s">
        <v>83</v>
      </c>
      <c r="S2109" s="1" t="s">
        <v>180</v>
      </c>
      <c r="T2109" s="1">
        <v>1.00586452E8</v>
      </c>
      <c r="W2109" s="1" t="s">
        <v>85</v>
      </c>
      <c r="X2109" s="1" t="s">
        <v>6663</v>
      </c>
    </row>
    <row r="2110">
      <c r="A2110" s="1" t="s">
        <v>6664</v>
      </c>
      <c r="B2110" s="1" t="s">
        <v>40</v>
      </c>
      <c r="C2110" s="1" t="s">
        <v>6665</v>
      </c>
      <c r="D2110" s="1" t="s">
        <v>28</v>
      </c>
      <c r="E2110" s="1" t="s">
        <v>29</v>
      </c>
      <c r="F2110" s="5">
        <v>500000.0</v>
      </c>
      <c r="G2110" s="1" t="s">
        <v>3964</v>
      </c>
      <c r="H2110" s="1" t="s">
        <v>2424</v>
      </c>
      <c r="I2110" s="1" t="s">
        <v>80</v>
      </c>
      <c r="K2110" s="1">
        <v>0.0</v>
      </c>
      <c r="L2110" s="1" t="s">
        <v>44</v>
      </c>
      <c r="M2110" s="1" t="str">
        <f>VLOOKUP(L2110,'Copy of PMD Workday Constants -'!B2109:W2795,22,false)</f>
        <v>#N/A</v>
      </c>
      <c r="N2110" s="1" t="s">
        <v>32</v>
      </c>
      <c r="O2110" s="1" t="s">
        <v>33</v>
      </c>
      <c r="P2110" s="1" t="s">
        <v>34</v>
      </c>
      <c r="Q2110" s="1" t="s">
        <v>34</v>
      </c>
      <c r="R2110" s="1" t="s">
        <v>35</v>
      </c>
      <c r="S2110" s="1" t="s">
        <v>126</v>
      </c>
      <c r="T2110" s="1">
        <v>1.00587944E8</v>
      </c>
      <c r="W2110" s="1" t="s">
        <v>47</v>
      </c>
      <c r="X2110" s="1" t="s">
        <v>127</v>
      </c>
    </row>
    <row r="2111">
      <c r="A2111" s="1" t="s">
        <v>6666</v>
      </c>
      <c r="B2111" s="1" t="s">
        <v>3911</v>
      </c>
      <c r="C2111" s="1" t="s">
        <v>6667</v>
      </c>
      <c r="D2111" s="1" t="s">
        <v>51</v>
      </c>
      <c r="E2111" s="1" t="s">
        <v>29</v>
      </c>
      <c r="F2111" s="5">
        <v>500000.0</v>
      </c>
      <c r="G2111" s="1" t="s">
        <v>3964</v>
      </c>
      <c r="H2111" s="4">
        <v>44899.0</v>
      </c>
      <c r="I2111" s="1" t="s">
        <v>248</v>
      </c>
      <c r="K2111" s="1">
        <v>0.0</v>
      </c>
      <c r="L2111" s="1" t="s">
        <v>866</v>
      </c>
      <c r="M2111" s="1" t="str">
        <f>VLOOKUP(L2111,'Copy of PMD Workday Constants -'!B2110:W2796,22,false)</f>
        <v>#N/A</v>
      </c>
      <c r="N2111" s="1" t="s">
        <v>32</v>
      </c>
      <c r="O2111" s="1" t="s">
        <v>33</v>
      </c>
      <c r="P2111" s="1" t="s">
        <v>82</v>
      </c>
      <c r="Q2111" s="1" t="s">
        <v>82</v>
      </c>
      <c r="R2111" s="1" t="s">
        <v>83</v>
      </c>
      <c r="S2111" s="1" t="s">
        <v>84</v>
      </c>
      <c r="T2111" s="1">
        <v>1.00941744E8</v>
      </c>
      <c r="W2111" s="1" t="s">
        <v>258</v>
      </c>
      <c r="X2111" s="1" t="s">
        <v>866</v>
      </c>
    </row>
    <row r="2112">
      <c r="A2112" s="1" t="s">
        <v>6668</v>
      </c>
      <c r="B2112" s="1" t="s">
        <v>669</v>
      </c>
      <c r="C2112" s="1" t="s">
        <v>6669</v>
      </c>
      <c r="D2112" s="1" t="s">
        <v>28</v>
      </c>
      <c r="E2112" s="1" t="s">
        <v>29</v>
      </c>
      <c r="F2112" s="5">
        <v>500000.0</v>
      </c>
      <c r="G2112" s="1" t="s">
        <v>3964</v>
      </c>
      <c r="H2112" s="1" t="s">
        <v>1140</v>
      </c>
      <c r="I2112" s="1" t="s">
        <v>217</v>
      </c>
      <c r="K2112" s="1">
        <v>0.0</v>
      </c>
      <c r="L2112" s="1" t="s">
        <v>564</v>
      </c>
      <c r="M2112" s="1" t="str">
        <f>VLOOKUP(L2112,'Copy of PMD Workday Constants -'!B2111:W2797,22,false)</f>
        <v>#N/A</v>
      </c>
      <c r="N2112" s="1" t="s">
        <v>32</v>
      </c>
      <c r="O2112" s="1" t="s">
        <v>33</v>
      </c>
      <c r="P2112" s="1" t="s">
        <v>112</v>
      </c>
      <c r="Q2112" s="1" t="s">
        <v>112</v>
      </c>
      <c r="R2112" s="1" t="s">
        <v>113</v>
      </c>
      <c r="S2112" s="1" t="s">
        <v>204</v>
      </c>
      <c r="T2112" s="1">
        <v>1.005886E8</v>
      </c>
      <c r="W2112" s="1" t="s">
        <v>37</v>
      </c>
      <c r="X2112" s="1" t="s">
        <v>564</v>
      </c>
    </row>
    <row r="2113">
      <c r="A2113" s="1" t="s">
        <v>6670</v>
      </c>
      <c r="B2113" s="1" t="s">
        <v>430</v>
      </c>
      <c r="C2113" s="1" t="s">
        <v>6671</v>
      </c>
      <c r="D2113" s="1" t="s">
        <v>28</v>
      </c>
      <c r="E2113" s="1" t="s">
        <v>29</v>
      </c>
      <c r="F2113" s="5">
        <v>500000.0</v>
      </c>
      <c r="G2113" s="1" t="s">
        <v>3964</v>
      </c>
      <c r="H2113" s="1" t="s">
        <v>273</v>
      </c>
      <c r="I2113" s="1" t="s">
        <v>692</v>
      </c>
      <c r="K2113" s="1">
        <v>0.0</v>
      </c>
      <c r="L2113" s="1" t="s">
        <v>428</v>
      </c>
      <c r="M2113" s="1" t="str">
        <f>VLOOKUP(L2113,'Copy of PMD Workday Constants -'!B2112:W2798,22,false)</f>
        <v>#N/A</v>
      </c>
      <c r="N2113" s="1" t="s">
        <v>32</v>
      </c>
      <c r="O2113" s="1" t="s">
        <v>33</v>
      </c>
      <c r="P2113" s="1" t="s">
        <v>173</v>
      </c>
      <c r="Q2113" s="1" t="s">
        <v>173</v>
      </c>
      <c r="R2113" s="1" t="s">
        <v>174</v>
      </c>
      <c r="S2113" s="1" t="s">
        <v>6672</v>
      </c>
      <c r="T2113" s="1">
        <v>1.00654085E8</v>
      </c>
      <c r="W2113" s="1" t="s">
        <v>85</v>
      </c>
      <c r="X2113" s="1" t="s">
        <v>3714</v>
      </c>
    </row>
    <row r="2114">
      <c r="A2114" s="1" t="s">
        <v>6673</v>
      </c>
      <c r="B2114" s="1" t="s">
        <v>2212</v>
      </c>
      <c r="C2114" s="1" t="s">
        <v>6674</v>
      </c>
      <c r="D2114" s="1" t="s">
        <v>28</v>
      </c>
      <c r="E2114" s="1" t="s">
        <v>29</v>
      </c>
      <c r="F2114" s="5">
        <v>500000.0</v>
      </c>
      <c r="G2114" s="1" t="s">
        <v>3964</v>
      </c>
      <c r="H2114" s="4">
        <v>44420.0</v>
      </c>
      <c r="I2114" s="1" t="s">
        <v>80</v>
      </c>
      <c r="K2114" s="1">
        <v>0.0</v>
      </c>
      <c r="L2114" s="1" t="s">
        <v>934</v>
      </c>
      <c r="M2114" s="1" t="str">
        <f>VLOOKUP(L2114,'Copy of PMD Workday Constants -'!B2113:W2799,22,false)</f>
        <v>#N/A</v>
      </c>
      <c r="N2114" s="1" t="s">
        <v>32</v>
      </c>
      <c r="O2114" s="1" t="s">
        <v>33</v>
      </c>
      <c r="P2114" s="1" t="s">
        <v>173</v>
      </c>
      <c r="Q2114" s="1" t="s">
        <v>173</v>
      </c>
      <c r="R2114" s="1" t="s">
        <v>174</v>
      </c>
      <c r="S2114" s="1" t="s">
        <v>1385</v>
      </c>
      <c r="T2114" s="1">
        <v>1.00653269E8</v>
      </c>
      <c r="W2114" s="1" t="s">
        <v>85</v>
      </c>
      <c r="X2114" s="1" t="s">
        <v>6675</v>
      </c>
    </row>
    <row r="2115">
      <c r="A2115" s="1" t="s">
        <v>6676</v>
      </c>
      <c r="B2115" s="1" t="s">
        <v>317</v>
      </c>
      <c r="C2115" s="1" t="s">
        <v>6677</v>
      </c>
      <c r="D2115" s="1" t="s">
        <v>28</v>
      </c>
      <c r="E2115" s="1" t="s">
        <v>29</v>
      </c>
      <c r="F2115" s="5">
        <v>500000.0</v>
      </c>
      <c r="G2115" s="1" t="s">
        <v>3964</v>
      </c>
      <c r="H2115" s="1" t="s">
        <v>2210</v>
      </c>
      <c r="I2115" s="1" t="s">
        <v>80</v>
      </c>
      <c r="K2115" s="1">
        <v>0.0</v>
      </c>
      <c r="L2115" s="1" t="s">
        <v>2143</v>
      </c>
      <c r="M2115" s="1" t="str">
        <f>VLOOKUP(L2115,'Copy of PMD Workday Constants -'!B2114:W2800,22,false)</f>
        <v>#N/A</v>
      </c>
      <c r="N2115" s="1" t="s">
        <v>32</v>
      </c>
      <c r="O2115" s="1" t="s">
        <v>33</v>
      </c>
      <c r="P2115" s="1" t="s">
        <v>82</v>
      </c>
      <c r="Q2115" s="1" t="s">
        <v>82</v>
      </c>
      <c r="R2115" s="1" t="s">
        <v>83</v>
      </c>
      <c r="S2115" s="1" t="s">
        <v>84</v>
      </c>
      <c r="T2115" s="1">
        <v>1.00612395E8</v>
      </c>
      <c r="W2115" s="1" t="s">
        <v>85</v>
      </c>
      <c r="X2115" s="1" t="s">
        <v>1697</v>
      </c>
    </row>
    <row r="2116">
      <c r="A2116" s="1" t="s">
        <v>6678</v>
      </c>
      <c r="B2116" s="1" t="s">
        <v>4473</v>
      </c>
      <c r="C2116" s="1" t="s">
        <v>6679</v>
      </c>
      <c r="D2116" s="1" t="s">
        <v>103</v>
      </c>
      <c r="E2116" s="1" t="s">
        <v>29</v>
      </c>
      <c r="F2116" s="5">
        <v>500000.0</v>
      </c>
      <c r="G2116" s="1" t="s">
        <v>3964</v>
      </c>
      <c r="H2116" s="4">
        <v>44717.0</v>
      </c>
      <c r="I2116" s="1" t="s">
        <v>132</v>
      </c>
      <c r="K2116" s="1">
        <v>0.0</v>
      </c>
      <c r="L2116" s="1" t="s">
        <v>1770</v>
      </c>
      <c r="M2116" s="1" t="str">
        <f>VLOOKUP(L2116,'Copy of PMD Workday Constants -'!B2115:W2801,22,false)</f>
        <v>#N/A</v>
      </c>
      <c r="N2116" s="1" t="s">
        <v>32</v>
      </c>
      <c r="O2116" s="1" t="s">
        <v>33</v>
      </c>
      <c r="P2116" s="1" t="s">
        <v>210</v>
      </c>
      <c r="Q2116" s="1" t="s">
        <v>210</v>
      </c>
      <c r="R2116" s="1" t="s">
        <v>211</v>
      </c>
      <c r="S2116" s="1" t="s">
        <v>1313</v>
      </c>
      <c r="T2116" s="1">
        <v>1.00593918E8</v>
      </c>
      <c r="W2116" s="1" t="s">
        <v>436</v>
      </c>
      <c r="X2116" s="1" t="s">
        <v>1314</v>
      </c>
    </row>
    <row r="2117">
      <c r="A2117" s="1" t="s">
        <v>6680</v>
      </c>
      <c r="B2117" s="1" t="s">
        <v>6681</v>
      </c>
      <c r="C2117" s="1" t="s">
        <v>6682</v>
      </c>
      <c r="D2117" s="1" t="s">
        <v>28</v>
      </c>
      <c r="E2117" s="1" t="s">
        <v>29</v>
      </c>
      <c r="F2117" s="5">
        <v>500000.0</v>
      </c>
      <c r="G2117" s="1" t="s">
        <v>3964</v>
      </c>
      <c r="H2117" s="1" t="s">
        <v>6683</v>
      </c>
      <c r="I2117" s="1" t="s">
        <v>302</v>
      </c>
      <c r="K2117" s="1">
        <v>0.0</v>
      </c>
      <c r="L2117" s="1" t="s">
        <v>1031</v>
      </c>
      <c r="M2117" s="1" t="str">
        <f>VLOOKUP(L2117,'Copy of PMD Workday Constants -'!B2116:W2802,22,false)</f>
        <v>#N/A</v>
      </c>
      <c r="N2117" s="1" t="s">
        <v>32</v>
      </c>
      <c r="O2117" s="1" t="s">
        <v>33</v>
      </c>
      <c r="P2117" s="1" t="s">
        <v>64</v>
      </c>
      <c r="Q2117" s="1" t="s">
        <v>64</v>
      </c>
      <c r="R2117" s="1" t="s">
        <v>65</v>
      </c>
      <c r="S2117" s="1" t="s">
        <v>229</v>
      </c>
      <c r="T2117" s="1">
        <v>1.00879751E8</v>
      </c>
      <c r="W2117" s="1" t="s">
        <v>115</v>
      </c>
      <c r="X2117" s="1" t="s">
        <v>1031</v>
      </c>
    </row>
    <row r="2118">
      <c r="A2118" s="1" t="s">
        <v>6684</v>
      </c>
      <c r="B2118" s="1" t="s">
        <v>219</v>
      </c>
      <c r="C2118" s="1" t="s">
        <v>6685</v>
      </c>
      <c r="D2118" s="1" t="s">
        <v>28</v>
      </c>
      <c r="E2118" s="1" t="s">
        <v>29</v>
      </c>
      <c r="F2118" s="5">
        <v>500000.0</v>
      </c>
      <c r="G2118" s="1" t="s">
        <v>3964</v>
      </c>
      <c r="H2118" s="1" t="s">
        <v>509</v>
      </c>
      <c r="I2118" s="1" t="s">
        <v>152</v>
      </c>
      <c r="K2118" s="1">
        <v>0.0</v>
      </c>
      <c r="L2118" s="1" t="s">
        <v>157</v>
      </c>
      <c r="M2118" s="1" t="str">
        <f>VLOOKUP(L2118,'Copy of PMD Workday Constants -'!B2117:W2803,22,false)</f>
        <v>#N/A</v>
      </c>
      <c r="N2118" s="1" t="s">
        <v>32</v>
      </c>
      <c r="O2118" s="1" t="s">
        <v>33</v>
      </c>
      <c r="P2118" s="1" t="s">
        <v>112</v>
      </c>
      <c r="Q2118" s="1" t="s">
        <v>112</v>
      </c>
      <c r="R2118" s="1" t="s">
        <v>113</v>
      </c>
      <c r="S2118" s="1" t="s">
        <v>204</v>
      </c>
      <c r="T2118" s="1">
        <v>1.00658522E8</v>
      </c>
      <c r="W2118" s="1" t="s">
        <v>91</v>
      </c>
      <c r="X2118" s="1" t="s">
        <v>2166</v>
      </c>
    </row>
    <row r="2119">
      <c r="A2119" s="1" t="s">
        <v>6686</v>
      </c>
      <c r="B2119" s="1" t="s">
        <v>6687</v>
      </c>
      <c r="C2119" s="1" t="s">
        <v>6688</v>
      </c>
      <c r="D2119" s="1" t="s">
        <v>51</v>
      </c>
      <c r="E2119" s="1" t="s">
        <v>29</v>
      </c>
      <c r="F2119" s="5">
        <v>500000.0</v>
      </c>
      <c r="G2119" s="1" t="s">
        <v>3964</v>
      </c>
      <c r="H2119" s="4">
        <v>44594.0</v>
      </c>
      <c r="I2119" s="4">
        <v>44601.0</v>
      </c>
      <c r="K2119" s="1">
        <v>0.0</v>
      </c>
      <c r="L2119" s="1" t="s">
        <v>89</v>
      </c>
      <c r="M2119" s="1" t="str">
        <f>VLOOKUP(L2119,'Copy of PMD Workday Constants -'!B2118:W2804,22,false)</f>
        <v>#N/A</v>
      </c>
      <c r="N2119" s="1" t="s">
        <v>32</v>
      </c>
      <c r="O2119" s="1" t="s">
        <v>33</v>
      </c>
      <c r="P2119" s="1" t="s">
        <v>34</v>
      </c>
      <c r="Q2119" s="1" t="s">
        <v>34</v>
      </c>
      <c r="R2119" s="1" t="s">
        <v>35</v>
      </c>
      <c r="T2119" s="1">
        <v>1.00609569E8</v>
      </c>
      <c r="W2119" s="1" t="s">
        <v>37</v>
      </c>
      <c r="X2119" s="1" t="s">
        <v>6689</v>
      </c>
    </row>
    <row r="2120">
      <c r="A2120" s="1" t="s">
        <v>6690</v>
      </c>
      <c r="B2120" s="1" t="s">
        <v>485</v>
      </c>
      <c r="C2120" s="1" t="s">
        <v>6691</v>
      </c>
      <c r="D2120" s="1" t="s">
        <v>28</v>
      </c>
      <c r="E2120" s="1" t="s">
        <v>29</v>
      </c>
      <c r="F2120" s="5">
        <v>500000.0</v>
      </c>
      <c r="G2120" s="1" t="s">
        <v>3964</v>
      </c>
      <c r="H2120" s="1" t="s">
        <v>509</v>
      </c>
      <c r="I2120" s="1" t="s">
        <v>80</v>
      </c>
      <c r="K2120" s="1">
        <v>0.0</v>
      </c>
      <c r="L2120" s="1" t="s">
        <v>517</v>
      </c>
      <c r="M2120" s="1" t="str">
        <f>VLOOKUP(L2120,'Copy of PMD Workday Constants -'!B2119:W2805,22,false)</f>
        <v>#N/A</v>
      </c>
      <c r="N2120" s="1" t="s">
        <v>32</v>
      </c>
      <c r="O2120" s="1" t="s">
        <v>33</v>
      </c>
      <c r="P2120" s="1" t="s">
        <v>64</v>
      </c>
      <c r="Q2120" s="1" t="s">
        <v>64</v>
      </c>
      <c r="R2120" s="1" t="s">
        <v>65</v>
      </c>
      <c r="S2120" s="1" t="s">
        <v>229</v>
      </c>
      <c r="T2120" s="1">
        <v>1.01001596E8</v>
      </c>
      <c r="U2120" s="1" t="s">
        <v>6647</v>
      </c>
      <c r="V2120" s="1" t="s">
        <v>46</v>
      </c>
      <c r="W2120" s="1" t="s">
        <v>85</v>
      </c>
      <c r="X2120" s="1" t="s">
        <v>517</v>
      </c>
    </row>
    <row r="2121">
      <c r="A2121" s="1" t="s">
        <v>6692</v>
      </c>
      <c r="B2121" s="1" t="s">
        <v>5830</v>
      </c>
      <c r="C2121" s="1" t="s">
        <v>6693</v>
      </c>
      <c r="D2121" s="1" t="s">
        <v>51</v>
      </c>
      <c r="E2121" s="1" t="s">
        <v>29</v>
      </c>
      <c r="F2121" s="5">
        <v>500000.0</v>
      </c>
      <c r="G2121" s="1" t="s">
        <v>3964</v>
      </c>
      <c r="H2121" s="4">
        <v>44420.0</v>
      </c>
      <c r="I2121" s="1" t="s">
        <v>302</v>
      </c>
      <c r="K2121" s="1">
        <v>0.0</v>
      </c>
      <c r="L2121" s="1" t="s">
        <v>5832</v>
      </c>
      <c r="M2121" s="1" t="str">
        <f>VLOOKUP(L2121,'Copy of PMD Workday Constants -'!B2120:W2806,22,false)</f>
        <v>#N/A</v>
      </c>
      <c r="N2121" s="1" t="s">
        <v>32</v>
      </c>
      <c r="O2121" s="1" t="s">
        <v>33</v>
      </c>
      <c r="P2121" s="1" t="s">
        <v>64</v>
      </c>
      <c r="Q2121" s="1" t="s">
        <v>64</v>
      </c>
      <c r="R2121" s="1" t="s">
        <v>65</v>
      </c>
      <c r="S2121" s="1" t="s">
        <v>1496</v>
      </c>
      <c r="T2121" s="1">
        <v>1.00609257E8</v>
      </c>
      <c r="W2121" s="1" t="s">
        <v>258</v>
      </c>
      <c r="X2121" s="1" t="s">
        <v>5833</v>
      </c>
    </row>
    <row r="2122">
      <c r="A2122" s="1" t="s">
        <v>6694</v>
      </c>
      <c r="B2122" s="1" t="s">
        <v>5374</v>
      </c>
      <c r="C2122" s="1" t="s">
        <v>6695</v>
      </c>
      <c r="D2122" s="1" t="s">
        <v>28</v>
      </c>
      <c r="E2122" s="1" t="s">
        <v>29</v>
      </c>
      <c r="F2122" s="5">
        <v>500000.0</v>
      </c>
      <c r="G2122" s="1" t="s">
        <v>3964</v>
      </c>
      <c r="H2122" s="1" t="s">
        <v>509</v>
      </c>
      <c r="I2122" s="1" t="s">
        <v>80</v>
      </c>
      <c r="K2122" s="1">
        <v>0.0</v>
      </c>
      <c r="L2122" s="1" t="s">
        <v>517</v>
      </c>
      <c r="M2122" s="1" t="str">
        <f>VLOOKUP(L2122,'Copy of PMD Workday Constants -'!B2121:W2807,22,false)</f>
        <v>#N/A</v>
      </c>
      <c r="N2122" s="1" t="s">
        <v>32</v>
      </c>
      <c r="O2122" s="1" t="s">
        <v>33</v>
      </c>
      <c r="P2122" s="1" t="s">
        <v>64</v>
      </c>
      <c r="Q2122" s="1" t="s">
        <v>64</v>
      </c>
      <c r="R2122" s="1" t="s">
        <v>65</v>
      </c>
      <c r="S2122" s="1" t="s">
        <v>229</v>
      </c>
      <c r="T2122" s="1">
        <v>1.01001596E8</v>
      </c>
      <c r="W2122" s="1" t="s">
        <v>85</v>
      </c>
      <c r="X2122" s="1" t="s">
        <v>517</v>
      </c>
    </row>
    <row r="2123">
      <c r="A2123" s="1" t="s">
        <v>6696</v>
      </c>
      <c r="B2123" s="1" t="s">
        <v>756</v>
      </c>
      <c r="C2123" s="1" t="s">
        <v>6697</v>
      </c>
      <c r="D2123" s="1" t="s">
        <v>28</v>
      </c>
      <c r="E2123" s="1" t="s">
        <v>29</v>
      </c>
      <c r="F2123" s="5">
        <v>500000.0</v>
      </c>
      <c r="G2123" s="1" t="s">
        <v>3964</v>
      </c>
      <c r="H2123" s="1" t="s">
        <v>375</v>
      </c>
      <c r="I2123" s="1" t="s">
        <v>80</v>
      </c>
      <c r="K2123" s="1">
        <v>0.0</v>
      </c>
      <c r="L2123" s="1" t="s">
        <v>539</v>
      </c>
      <c r="M2123" s="1" t="str">
        <f>VLOOKUP(L2123,'Copy of PMD Workday Constants -'!B2122:W2808,22,false)</f>
        <v>#N/A</v>
      </c>
      <c r="N2123" s="1" t="s">
        <v>32</v>
      </c>
      <c r="O2123" s="1" t="s">
        <v>33</v>
      </c>
      <c r="P2123" s="1" t="s">
        <v>173</v>
      </c>
      <c r="Q2123" s="1" t="s">
        <v>173</v>
      </c>
      <c r="R2123" s="1" t="s">
        <v>174</v>
      </c>
      <c r="T2123" s="1">
        <v>1.00586314E8</v>
      </c>
      <c r="W2123" s="1" t="s">
        <v>74</v>
      </c>
      <c r="X2123" s="1" t="s">
        <v>6698</v>
      </c>
    </row>
    <row r="2124">
      <c r="A2124" s="1" t="s">
        <v>6699</v>
      </c>
      <c r="B2124" s="1" t="s">
        <v>907</v>
      </c>
      <c r="C2124" s="1" t="s">
        <v>6700</v>
      </c>
      <c r="D2124" s="1" t="s">
        <v>51</v>
      </c>
      <c r="E2124" s="1" t="s">
        <v>29</v>
      </c>
      <c r="F2124" s="5">
        <v>500000.0</v>
      </c>
      <c r="G2124" s="1" t="s">
        <v>3964</v>
      </c>
      <c r="H2124" s="4">
        <v>44717.0</v>
      </c>
      <c r="I2124" s="1" t="s">
        <v>96</v>
      </c>
      <c r="K2124" s="1">
        <v>0.0</v>
      </c>
      <c r="L2124" s="1" t="s">
        <v>4323</v>
      </c>
      <c r="M2124" s="1" t="str">
        <f>VLOOKUP(L2124,'Copy of PMD Workday Constants -'!B2123:W2809,22,false)</f>
        <v>#N/A</v>
      </c>
      <c r="N2124" s="1" t="s">
        <v>32</v>
      </c>
      <c r="O2124" s="1" t="s">
        <v>33</v>
      </c>
      <c r="P2124" s="1" t="s">
        <v>112</v>
      </c>
      <c r="Q2124" s="1" t="s">
        <v>112</v>
      </c>
      <c r="R2124" s="1" t="s">
        <v>113</v>
      </c>
      <c r="S2124" s="1" t="s">
        <v>114</v>
      </c>
      <c r="T2124" s="1">
        <v>1.0062141E8</v>
      </c>
      <c r="W2124" s="1" t="s">
        <v>140</v>
      </c>
      <c r="X2124" s="1" t="s">
        <v>6701</v>
      </c>
    </row>
    <row r="2125">
      <c r="A2125" s="1" t="s">
        <v>6702</v>
      </c>
      <c r="B2125" s="1" t="s">
        <v>2694</v>
      </c>
      <c r="C2125" s="1" t="s">
        <v>6703</v>
      </c>
      <c r="D2125" s="1" t="s">
        <v>103</v>
      </c>
      <c r="E2125" s="1" t="s">
        <v>29</v>
      </c>
      <c r="F2125" s="5">
        <v>500000.0</v>
      </c>
      <c r="G2125" s="1" t="s">
        <v>3964</v>
      </c>
      <c r="H2125" s="4">
        <v>44541.0</v>
      </c>
      <c r="I2125" s="1" t="s">
        <v>104</v>
      </c>
      <c r="K2125" s="1">
        <v>0.0</v>
      </c>
      <c r="L2125" s="1" t="s">
        <v>938</v>
      </c>
      <c r="M2125" s="1" t="str">
        <f>VLOOKUP(L2125,'Copy of PMD Workday Constants -'!B2124:W2810,22,false)</f>
        <v>#N/A</v>
      </c>
      <c r="N2125" s="1" t="s">
        <v>32</v>
      </c>
      <c r="O2125" s="1" t="s">
        <v>33</v>
      </c>
      <c r="P2125" s="1" t="s">
        <v>82</v>
      </c>
      <c r="Q2125" s="1" t="s">
        <v>82</v>
      </c>
      <c r="R2125" s="1" t="s">
        <v>83</v>
      </c>
      <c r="S2125" s="1" t="s">
        <v>84</v>
      </c>
      <c r="T2125" s="1">
        <v>1.00653499E8</v>
      </c>
      <c r="W2125" s="1" t="s">
        <v>85</v>
      </c>
      <c r="X2125" s="1" t="s">
        <v>3623</v>
      </c>
    </row>
    <row r="2126">
      <c r="A2126" s="1" t="s">
        <v>6704</v>
      </c>
      <c r="B2126" s="1" t="s">
        <v>521</v>
      </c>
      <c r="C2126" s="1" t="s">
        <v>6705</v>
      </c>
      <c r="D2126" s="1" t="s">
        <v>28</v>
      </c>
      <c r="E2126" s="1" t="s">
        <v>29</v>
      </c>
      <c r="F2126" s="5">
        <v>500000.0</v>
      </c>
      <c r="G2126" s="1" t="s">
        <v>3964</v>
      </c>
      <c r="H2126" s="4">
        <v>44837.0</v>
      </c>
      <c r="I2126" s="1" t="s">
        <v>132</v>
      </c>
      <c r="K2126" s="1">
        <v>0.0</v>
      </c>
      <c r="L2126" s="1" t="s">
        <v>3575</v>
      </c>
      <c r="M2126" s="1" t="str">
        <f>VLOOKUP(L2126,'Copy of PMD Workday Constants -'!B2125:W2811,22,false)</f>
        <v>#N/A</v>
      </c>
      <c r="N2126" s="1" t="s">
        <v>32</v>
      </c>
      <c r="O2126" s="1" t="s">
        <v>33</v>
      </c>
      <c r="P2126" s="1" t="s">
        <v>64</v>
      </c>
      <c r="Q2126" s="1" t="s">
        <v>64</v>
      </c>
      <c r="R2126" s="1" t="s">
        <v>65</v>
      </c>
      <c r="T2126" s="1">
        <v>1.00652666E8</v>
      </c>
      <c r="W2126" s="1" t="s">
        <v>85</v>
      </c>
      <c r="X2126" s="1" t="s">
        <v>2086</v>
      </c>
    </row>
    <row r="2127">
      <c r="A2127" s="1" t="s">
        <v>6706</v>
      </c>
      <c r="B2127" s="1" t="s">
        <v>6707</v>
      </c>
      <c r="C2127" s="1" t="s">
        <v>6708</v>
      </c>
      <c r="D2127" s="1" t="s">
        <v>28</v>
      </c>
      <c r="E2127" s="1" t="s">
        <v>29</v>
      </c>
      <c r="F2127" s="5">
        <v>500000.0</v>
      </c>
      <c r="G2127" s="1" t="s">
        <v>3964</v>
      </c>
      <c r="H2127" s="4">
        <v>44866.0</v>
      </c>
      <c r="I2127" s="1" t="s">
        <v>104</v>
      </c>
      <c r="K2127" s="1">
        <v>0.0</v>
      </c>
      <c r="L2127" s="1" t="s">
        <v>1780</v>
      </c>
      <c r="M2127" s="1" t="str">
        <f>VLOOKUP(L2127,'Copy of PMD Workday Constants -'!B2126:W2812,22,false)</f>
        <v>#N/A</v>
      </c>
      <c r="N2127" s="1" t="s">
        <v>32</v>
      </c>
      <c r="O2127" s="1" t="s">
        <v>33</v>
      </c>
      <c r="P2127" s="1" t="s">
        <v>82</v>
      </c>
      <c r="Q2127" s="1" t="s">
        <v>82</v>
      </c>
      <c r="R2127" s="1" t="s">
        <v>83</v>
      </c>
      <c r="S2127" s="1" t="s">
        <v>583</v>
      </c>
      <c r="T2127" s="1">
        <v>1.00617113E8</v>
      </c>
      <c r="W2127" s="1" t="s">
        <v>456</v>
      </c>
      <c r="X2127" s="1" t="s">
        <v>1780</v>
      </c>
    </row>
    <row r="2128">
      <c r="A2128" s="1" t="s">
        <v>6709</v>
      </c>
      <c r="B2128" s="1" t="s">
        <v>6707</v>
      </c>
      <c r="C2128" s="1" t="s">
        <v>6710</v>
      </c>
      <c r="D2128" s="1" t="s">
        <v>28</v>
      </c>
      <c r="E2128" s="1" t="s">
        <v>29</v>
      </c>
      <c r="F2128" s="5">
        <v>500000.0</v>
      </c>
      <c r="G2128" s="1" t="s">
        <v>3964</v>
      </c>
      <c r="H2128" s="4">
        <v>44866.0</v>
      </c>
      <c r="I2128" s="1" t="s">
        <v>301</v>
      </c>
      <c r="K2128" s="1">
        <v>0.0</v>
      </c>
      <c r="L2128" s="1" t="s">
        <v>1780</v>
      </c>
      <c r="M2128" s="1" t="str">
        <f>VLOOKUP(L2128,'Copy of PMD Workday Constants -'!B2127:W2813,22,false)</f>
        <v>#N/A</v>
      </c>
      <c r="N2128" s="1" t="s">
        <v>32</v>
      </c>
      <c r="O2128" s="1" t="s">
        <v>33</v>
      </c>
      <c r="P2128" s="1" t="s">
        <v>82</v>
      </c>
      <c r="Q2128" s="1" t="s">
        <v>82</v>
      </c>
      <c r="R2128" s="1" t="s">
        <v>83</v>
      </c>
      <c r="S2128" s="1" t="s">
        <v>583</v>
      </c>
      <c r="T2128" s="1">
        <v>1.00617113E8</v>
      </c>
      <c r="W2128" s="1" t="s">
        <v>456</v>
      </c>
      <c r="X2128" s="1" t="s">
        <v>1780</v>
      </c>
    </row>
    <row r="2129">
      <c r="A2129" s="1" t="s">
        <v>6711</v>
      </c>
      <c r="B2129" s="1" t="s">
        <v>6712</v>
      </c>
      <c r="C2129" s="1" t="s">
        <v>6713</v>
      </c>
      <c r="D2129" s="1" t="s">
        <v>28</v>
      </c>
      <c r="E2129" s="1" t="s">
        <v>29</v>
      </c>
      <c r="F2129" s="5">
        <v>500000.0</v>
      </c>
      <c r="G2129" s="1" t="s">
        <v>3964</v>
      </c>
      <c r="H2129" s="1" t="s">
        <v>3574</v>
      </c>
      <c r="I2129" s="4">
        <v>44568.0</v>
      </c>
      <c r="K2129" s="1">
        <v>0.0</v>
      </c>
      <c r="L2129" s="1" t="s">
        <v>6714</v>
      </c>
      <c r="M2129" s="1" t="str">
        <f>VLOOKUP(L2129,'Copy of PMD Workday Constants -'!B2128:W2814,22,false)</f>
        <v>#N/A</v>
      </c>
      <c r="N2129" s="1" t="s">
        <v>32</v>
      </c>
      <c r="O2129" s="1" t="s">
        <v>33</v>
      </c>
      <c r="P2129" s="1" t="s">
        <v>210</v>
      </c>
      <c r="Q2129" s="1" t="s">
        <v>210</v>
      </c>
      <c r="R2129" s="1" t="s">
        <v>211</v>
      </c>
      <c r="T2129" s="1">
        <v>1.00616623E8</v>
      </c>
      <c r="W2129" s="1" t="s">
        <v>56</v>
      </c>
      <c r="X2129" s="1" t="s">
        <v>6192</v>
      </c>
    </row>
    <row r="2130">
      <c r="A2130" s="1" t="s">
        <v>6715</v>
      </c>
      <c r="B2130" s="1" t="s">
        <v>1580</v>
      </c>
      <c r="C2130" s="1" t="s">
        <v>6716</v>
      </c>
      <c r="D2130" s="1" t="s">
        <v>28</v>
      </c>
      <c r="E2130" s="1" t="s">
        <v>29</v>
      </c>
      <c r="F2130" s="5">
        <v>500000.0</v>
      </c>
      <c r="G2130" s="1" t="s">
        <v>3964</v>
      </c>
      <c r="H2130" s="4">
        <v>44565.0</v>
      </c>
      <c r="I2130" s="4">
        <v>44568.0</v>
      </c>
      <c r="K2130" s="1">
        <v>0.0</v>
      </c>
      <c r="L2130" s="1" t="s">
        <v>3348</v>
      </c>
      <c r="M2130" s="1" t="str">
        <f>VLOOKUP(L2130,'Copy of PMD Workday Constants -'!B2129:W2815,22,false)</f>
        <v>#N/A</v>
      </c>
      <c r="N2130" s="1" t="s">
        <v>32</v>
      </c>
      <c r="O2130" s="1" t="s">
        <v>33</v>
      </c>
      <c r="P2130" s="1" t="s">
        <v>64</v>
      </c>
      <c r="Q2130" s="1" t="s">
        <v>64</v>
      </c>
      <c r="R2130" s="1" t="s">
        <v>65</v>
      </c>
      <c r="S2130" s="1" t="s">
        <v>1336</v>
      </c>
      <c r="T2130" s="1">
        <v>1.01213659E8</v>
      </c>
      <c r="W2130" s="1" t="s">
        <v>91</v>
      </c>
      <c r="X2130" s="1" t="s">
        <v>3349</v>
      </c>
    </row>
    <row r="2131">
      <c r="A2131" s="1" t="s">
        <v>6717</v>
      </c>
      <c r="B2131" s="1" t="s">
        <v>561</v>
      </c>
      <c r="C2131" s="1" t="s">
        <v>6718</v>
      </c>
      <c r="D2131" s="1" t="s">
        <v>51</v>
      </c>
      <c r="E2131" s="1" t="s">
        <v>29</v>
      </c>
      <c r="F2131" s="5">
        <v>500000.0</v>
      </c>
      <c r="G2131" s="1" t="s">
        <v>3964</v>
      </c>
      <c r="H2131" s="4">
        <v>44654.0</v>
      </c>
      <c r="I2131" s="4">
        <v>44569.0</v>
      </c>
      <c r="K2131" s="1">
        <v>0.0</v>
      </c>
      <c r="L2131" s="1" t="s">
        <v>1146</v>
      </c>
      <c r="M2131" s="1" t="str">
        <f>VLOOKUP(L2131,'Copy of PMD Workday Constants -'!B2130:W2816,22,false)</f>
        <v>#N/A</v>
      </c>
      <c r="N2131" s="1" t="s">
        <v>32</v>
      </c>
      <c r="O2131" s="1" t="s">
        <v>33</v>
      </c>
      <c r="P2131" s="1" t="s">
        <v>34</v>
      </c>
      <c r="Q2131" s="1" t="s">
        <v>34</v>
      </c>
      <c r="R2131" s="1" t="s">
        <v>35</v>
      </c>
      <c r="T2131" s="1">
        <v>1.01131118E8</v>
      </c>
      <c r="W2131" s="1" t="s">
        <v>37</v>
      </c>
      <c r="X2131" s="1" t="s">
        <v>1147</v>
      </c>
    </row>
    <row r="2132">
      <c r="A2132" s="1" t="s">
        <v>6719</v>
      </c>
      <c r="B2132" s="1" t="s">
        <v>1003</v>
      </c>
      <c r="C2132" s="1" t="s">
        <v>6720</v>
      </c>
      <c r="D2132" s="1" t="s">
        <v>28</v>
      </c>
      <c r="E2132" s="1" t="s">
        <v>29</v>
      </c>
      <c r="F2132" s="5">
        <v>500000.0</v>
      </c>
      <c r="G2132" s="1" t="s">
        <v>3964</v>
      </c>
      <c r="H2132" s="1" t="s">
        <v>2142</v>
      </c>
      <c r="I2132" s="1" t="s">
        <v>104</v>
      </c>
      <c r="K2132" s="1">
        <v>0.0</v>
      </c>
      <c r="L2132" s="1" t="s">
        <v>5184</v>
      </c>
      <c r="M2132" s="1" t="str">
        <f>VLOOKUP(L2132,'Copy of PMD Workday Constants -'!B2131:W2817,22,false)</f>
        <v>#N/A</v>
      </c>
      <c r="N2132" s="1" t="s">
        <v>32</v>
      </c>
      <c r="O2132" s="1" t="s">
        <v>33</v>
      </c>
      <c r="P2132" s="1" t="s">
        <v>64</v>
      </c>
      <c r="Q2132" s="1" t="s">
        <v>64</v>
      </c>
      <c r="R2132" s="1" t="s">
        <v>65</v>
      </c>
      <c r="S2132" s="1" t="s">
        <v>791</v>
      </c>
      <c r="T2132" s="1">
        <v>1.00568413E8</v>
      </c>
      <c r="W2132" s="1" t="s">
        <v>85</v>
      </c>
      <c r="X2132" s="1" t="s">
        <v>5184</v>
      </c>
    </row>
    <row r="2133">
      <c r="A2133" s="1" t="s">
        <v>6721</v>
      </c>
      <c r="B2133" s="1" t="s">
        <v>2375</v>
      </c>
      <c r="C2133" s="1" t="s">
        <v>6722</v>
      </c>
      <c r="D2133" s="1" t="s">
        <v>28</v>
      </c>
      <c r="E2133" s="1" t="s">
        <v>29</v>
      </c>
      <c r="F2133" s="5">
        <v>500000.0</v>
      </c>
      <c r="G2133" s="1" t="s">
        <v>3964</v>
      </c>
      <c r="H2133" s="4">
        <v>44779.0</v>
      </c>
      <c r="I2133" s="1" t="s">
        <v>406</v>
      </c>
      <c r="K2133" s="1">
        <v>0.0</v>
      </c>
      <c r="L2133" s="1" t="s">
        <v>1757</v>
      </c>
      <c r="M2133" s="1" t="str">
        <f>VLOOKUP(L2133,'Copy of PMD Workday Constants -'!B2132:W2818,22,false)</f>
        <v>#N/A</v>
      </c>
      <c r="N2133" s="1" t="s">
        <v>32</v>
      </c>
      <c r="O2133" s="1" t="s">
        <v>33</v>
      </c>
      <c r="P2133" s="1" t="s">
        <v>112</v>
      </c>
      <c r="Q2133" s="1" t="s">
        <v>112</v>
      </c>
      <c r="R2133" s="1" t="s">
        <v>113</v>
      </c>
      <c r="S2133" s="1" t="s">
        <v>256</v>
      </c>
      <c r="T2133" s="1">
        <v>1.00597983E8</v>
      </c>
      <c r="W2133" s="1" t="s">
        <v>258</v>
      </c>
      <c r="X2133" s="1" t="s">
        <v>3024</v>
      </c>
    </row>
    <row r="2134">
      <c r="A2134" s="1" t="s">
        <v>6723</v>
      </c>
      <c r="B2134" s="1" t="s">
        <v>1721</v>
      </c>
      <c r="C2134" s="1" t="s">
        <v>6724</v>
      </c>
      <c r="D2134" s="1" t="s">
        <v>51</v>
      </c>
      <c r="E2134" s="1" t="s">
        <v>29</v>
      </c>
      <c r="F2134" s="5">
        <v>500000.0</v>
      </c>
      <c r="G2134" s="1" t="s">
        <v>3964</v>
      </c>
      <c r="H2134" s="1" t="s">
        <v>6725</v>
      </c>
      <c r="I2134" s="1" t="s">
        <v>80</v>
      </c>
      <c r="K2134" s="1">
        <v>0.0</v>
      </c>
      <c r="L2134" s="1" t="s">
        <v>3201</v>
      </c>
      <c r="M2134" s="1" t="str">
        <f>VLOOKUP(L2134,'Copy of PMD Workday Constants -'!B2133:W2819,22,false)</f>
        <v>#N/A</v>
      </c>
      <c r="N2134" s="1" t="s">
        <v>32</v>
      </c>
      <c r="O2134" s="1" t="s">
        <v>33</v>
      </c>
      <c r="P2134" s="1" t="s">
        <v>34</v>
      </c>
      <c r="Q2134" s="1" t="s">
        <v>34</v>
      </c>
      <c r="R2134" s="1" t="s">
        <v>35</v>
      </c>
      <c r="S2134" s="1" t="s">
        <v>66</v>
      </c>
      <c r="T2134" s="1">
        <v>1.00651946E8</v>
      </c>
      <c r="W2134" s="1" t="s">
        <v>391</v>
      </c>
      <c r="X2134" s="1" t="s">
        <v>6726</v>
      </c>
    </row>
    <row r="2135">
      <c r="A2135" s="1" t="s">
        <v>6727</v>
      </c>
      <c r="B2135" s="1" t="s">
        <v>1109</v>
      </c>
      <c r="C2135" s="1" t="s">
        <v>6728</v>
      </c>
      <c r="D2135" s="1" t="s">
        <v>28</v>
      </c>
      <c r="E2135" s="1" t="s">
        <v>29</v>
      </c>
      <c r="F2135" s="5">
        <v>500000.0</v>
      </c>
      <c r="G2135" s="1" t="s">
        <v>3964</v>
      </c>
      <c r="H2135" s="4">
        <v>44449.0</v>
      </c>
      <c r="I2135" s="1" t="s">
        <v>152</v>
      </c>
      <c r="K2135" s="1">
        <v>0.0</v>
      </c>
      <c r="L2135" s="1" t="s">
        <v>934</v>
      </c>
      <c r="M2135" s="1" t="str">
        <f>VLOOKUP(L2135,'Copy of PMD Workday Constants -'!B2134:W2820,22,false)</f>
        <v>#N/A</v>
      </c>
      <c r="N2135" s="1" t="s">
        <v>32</v>
      </c>
      <c r="O2135" s="1" t="s">
        <v>33</v>
      </c>
      <c r="P2135" s="1" t="s">
        <v>173</v>
      </c>
      <c r="Q2135" s="1" t="s">
        <v>173</v>
      </c>
      <c r="R2135" s="1" t="s">
        <v>174</v>
      </c>
      <c r="S2135" s="1" t="s">
        <v>153</v>
      </c>
      <c r="T2135" s="1">
        <v>1.00653269E8</v>
      </c>
      <c r="W2135" s="1" t="s">
        <v>85</v>
      </c>
      <c r="X2135" s="1" t="s">
        <v>1940</v>
      </c>
    </row>
    <row r="2136">
      <c r="A2136" s="1" t="s">
        <v>6729</v>
      </c>
      <c r="B2136" s="1" t="s">
        <v>665</v>
      </c>
      <c r="C2136" s="1" t="s">
        <v>6730</v>
      </c>
      <c r="D2136" s="1" t="s">
        <v>28</v>
      </c>
      <c r="E2136" s="1" t="s">
        <v>29</v>
      </c>
      <c r="F2136" s="5">
        <v>500000.0</v>
      </c>
      <c r="G2136" s="1" t="s">
        <v>3964</v>
      </c>
      <c r="H2136" s="1" t="s">
        <v>2994</v>
      </c>
      <c r="I2136" s="1" t="s">
        <v>538</v>
      </c>
      <c r="K2136" s="1">
        <v>0.0</v>
      </c>
      <c r="L2136" s="1" t="s">
        <v>667</v>
      </c>
      <c r="M2136" s="1" t="str">
        <f>VLOOKUP(L2136,'Copy of PMD Workday Constants -'!B2135:W2821,22,false)</f>
        <v>#N/A</v>
      </c>
      <c r="N2136" s="1" t="s">
        <v>32</v>
      </c>
      <c r="O2136" s="1" t="s">
        <v>33</v>
      </c>
      <c r="P2136" s="1" t="s">
        <v>112</v>
      </c>
      <c r="Q2136" s="1" t="s">
        <v>112</v>
      </c>
      <c r="R2136" s="1" t="s">
        <v>113</v>
      </c>
      <c r="S2136" s="1" t="s">
        <v>307</v>
      </c>
      <c r="T2136" s="1">
        <v>1.00616804E8</v>
      </c>
      <c r="W2136" s="1" t="s">
        <v>115</v>
      </c>
      <c r="X2136" s="1" t="s">
        <v>667</v>
      </c>
    </row>
    <row r="2137">
      <c r="A2137" s="1" t="s">
        <v>6731</v>
      </c>
      <c r="B2137" s="1" t="s">
        <v>489</v>
      </c>
      <c r="C2137" s="1" t="s">
        <v>6732</v>
      </c>
      <c r="D2137" s="1" t="s">
        <v>51</v>
      </c>
      <c r="E2137" s="1" t="s">
        <v>29</v>
      </c>
      <c r="F2137" s="5">
        <v>500000.0</v>
      </c>
      <c r="G2137" s="1" t="s">
        <v>3964</v>
      </c>
      <c r="H2137" s="1" t="s">
        <v>1015</v>
      </c>
      <c r="I2137" s="1" t="s">
        <v>80</v>
      </c>
      <c r="K2137" s="1">
        <v>0.0</v>
      </c>
      <c r="L2137" s="1" t="s">
        <v>4873</v>
      </c>
      <c r="M2137" s="1" t="str">
        <f>VLOOKUP(L2137,'Copy of PMD Workday Constants -'!B2136:W2822,22,false)</f>
        <v>#N/A</v>
      </c>
      <c r="N2137" s="1" t="s">
        <v>32</v>
      </c>
      <c r="O2137" s="1" t="s">
        <v>33</v>
      </c>
      <c r="P2137" s="1" t="s">
        <v>34</v>
      </c>
      <c r="Q2137" s="1" t="s">
        <v>34</v>
      </c>
      <c r="R2137" s="1" t="s">
        <v>35</v>
      </c>
      <c r="S2137" s="1" t="s">
        <v>134</v>
      </c>
      <c r="T2137" s="1">
        <v>1.00587881E8</v>
      </c>
      <c r="W2137" s="1" t="s">
        <v>493</v>
      </c>
      <c r="X2137" s="1" t="s">
        <v>5719</v>
      </c>
    </row>
    <row r="2138">
      <c r="A2138" s="1" t="s">
        <v>6733</v>
      </c>
      <c r="B2138" s="1" t="s">
        <v>6427</v>
      </c>
      <c r="C2138" s="1" t="s">
        <v>6734</v>
      </c>
      <c r="D2138" s="1" t="s">
        <v>51</v>
      </c>
      <c r="E2138" s="1" t="s">
        <v>29</v>
      </c>
      <c r="F2138" s="5">
        <v>500000.0</v>
      </c>
      <c r="G2138" s="1" t="s">
        <v>3964</v>
      </c>
      <c r="H2138" s="1" t="s">
        <v>6735</v>
      </c>
      <c r="I2138" s="1" t="s">
        <v>152</v>
      </c>
      <c r="K2138" s="1">
        <v>0.0</v>
      </c>
      <c r="L2138" s="1" t="s">
        <v>370</v>
      </c>
      <c r="M2138" s="1" t="str">
        <f>VLOOKUP(L2138,'Copy of PMD Workday Constants -'!B2137:W2823,22,false)</f>
        <v>#N/A</v>
      </c>
      <c r="N2138" s="1" t="s">
        <v>32</v>
      </c>
      <c r="O2138" s="1" t="s">
        <v>33</v>
      </c>
      <c r="P2138" s="1" t="s">
        <v>210</v>
      </c>
      <c r="Q2138" s="1" t="s">
        <v>210</v>
      </c>
      <c r="R2138" s="1" t="s">
        <v>211</v>
      </c>
      <c r="S2138" s="1" t="s">
        <v>297</v>
      </c>
      <c r="T2138" s="1">
        <v>1.00658132E8</v>
      </c>
      <c r="W2138" s="1" t="s">
        <v>258</v>
      </c>
      <c r="X2138" s="1" t="s">
        <v>370</v>
      </c>
    </row>
    <row r="2139">
      <c r="A2139" s="1" t="s">
        <v>6736</v>
      </c>
      <c r="B2139" s="1" t="s">
        <v>1305</v>
      </c>
      <c r="C2139" s="1" t="s">
        <v>6737</v>
      </c>
      <c r="D2139" s="1" t="s">
        <v>103</v>
      </c>
      <c r="E2139" s="1" t="s">
        <v>29</v>
      </c>
      <c r="F2139" s="5">
        <v>500000.0</v>
      </c>
      <c r="G2139" s="1" t="s">
        <v>3964</v>
      </c>
      <c r="H2139" s="1" t="s">
        <v>6738</v>
      </c>
      <c r="I2139" s="1" t="s">
        <v>152</v>
      </c>
      <c r="K2139" s="1">
        <v>0.0</v>
      </c>
      <c r="L2139" s="1" t="s">
        <v>767</v>
      </c>
      <c r="M2139" s="1" t="str">
        <f>VLOOKUP(L2139,'Copy of PMD Workday Constants -'!B2138:W2824,22,false)</f>
        <v>#N/A</v>
      </c>
      <c r="N2139" s="1" t="s">
        <v>32</v>
      </c>
      <c r="O2139" s="1" t="s">
        <v>33</v>
      </c>
      <c r="P2139" s="1" t="s">
        <v>82</v>
      </c>
      <c r="Q2139" s="1" t="s">
        <v>82</v>
      </c>
      <c r="R2139" s="1" t="s">
        <v>83</v>
      </c>
      <c r="S2139" s="1" t="s">
        <v>583</v>
      </c>
      <c r="T2139" s="1">
        <v>1.00589481E8</v>
      </c>
      <c r="W2139" s="1" t="s">
        <v>456</v>
      </c>
      <c r="X2139" s="1" t="s">
        <v>767</v>
      </c>
    </row>
    <row r="2140">
      <c r="A2140" s="1" t="s">
        <v>6739</v>
      </c>
      <c r="B2140" s="1" t="s">
        <v>931</v>
      </c>
      <c r="C2140" s="1" t="s">
        <v>6740</v>
      </c>
      <c r="D2140" s="1" t="s">
        <v>51</v>
      </c>
      <c r="E2140" s="1" t="s">
        <v>29</v>
      </c>
      <c r="F2140" s="5">
        <v>500000.0</v>
      </c>
      <c r="G2140" s="1" t="s">
        <v>3964</v>
      </c>
      <c r="H2140" s="1" t="s">
        <v>6741</v>
      </c>
      <c r="I2140" s="1" t="s">
        <v>80</v>
      </c>
      <c r="K2140" s="1">
        <v>0.0</v>
      </c>
      <c r="L2140" s="1" t="s">
        <v>4682</v>
      </c>
      <c r="M2140" s="1" t="str">
        <f>VLOOKUP(L2140,'Copy of PMD Workday Constants -'!B2139:W2825,22,false)</f>
        <v>#N/A</v>
      </c>
      <c r="N2140" s="1" t="s">
        <v>32</v>
      </c>
      <c r="O2140" s="1" t="s">
        <v>33</v>
      </c>
      <c r="P2140" s="1" t="s">
        <v>173</v>
      </c>
      <c r="Q2140" s="1" t="s">
        <v>173</v>
      </c>
      <c r="R2140" s="1" t="s">
        <v>174</v>
      </c>
      <c r="S2140" s="1" t="s">
        <v>1385</v>
      </c>
      <c r="T2140" s="1">
        <v>1.0064746E8</v>
      </c>
      <c r="W2140" s="1" t="s">
        <v>85</v>
      </c>
      <c r="X2140" s="1" t="s">
        <v>4682</v>
      </c>
    </row>
    <row r="2141">
      <c r="A2141" s="1" t="s">
        <v>6742</v>
      </c>
      <c r="B2141" s="1" t="s">
        <v>756</v>
      </c>
      <c r="C2141" s="1" t="s">
        <v>6743</v>
      </c>
      <c r="D2141" s="1" t="s">
        <v>28</v>
      </c>
      <c r="E2141" s="1" t="s">
        <v>29</v>
      </c>
      <c r="F2141" s="5">
        <v>500000.0</v>
      </c>
      <c r="G2141" s="1" t="s">
        <v>3964</v>
      </c>
      <c r="H2141" s="1" t="s">
        <v>375</v>
      </c>
      <c r="I2141" s="1" t="s">
        <v>1746</v>
      </c>
      <c r="K2141" s="1">
        <v>0.0</v>
      </c>
      <c r="L2141" s="1" t="s">
        <v>6744</v>
      </c>
      <c r="M2141" s="1" t="str">
        <f>VLOOKUP(L2141,'Copy of PMD Workday Constants -'!B2140:W2826,22,false)</f>
        <v>#N/A</v>
      </c>
      <c r="N2141" s="1" t="s">
        <v>32</v>
      </c>
      <c r="O2141" s="1" t="s">
        <v>33</v>
      </c>
      <c r="P2141" s="1" t="s">
        <v>173</v>
      </c>
      <c r="Q2141" s="1" t="s">
        <v>173</v>
      </c>
      <c r="R2141" s="1" t="s">
        <v>174</v>
      </c>
      <c r="T2141" s="1">
        <v>1.00599152E8</v>
      </c>
      <c r="W2141" s="1" t="s">
        <v>74</v>
      </c>
      <c r="X2141" s="1" t="s">
        <v>6698</v>
      </c>
    </row>
    <row r="2142">
      <c r="A2142" s="1" t="s">
        <v>6745</v>
      </c>
      <c r="B2142" s="1" t="s">
        <v>5219</v>
      </c>
      <c r="C2142" s="1" t="s">
        <v>6746</v>
      </c>
      <c r="D2142" s="1" t="s">
        <v>28</v>
      </c>
      <c r="E2142" s="1" t="s">
        <v>29</v>
      </c>
      <c r="F2142" s="5">
        <v>500000.0</v>
      </c>
      <c r="G2142" s="1" t="s">
        <v>3964</v>
      </c>
      <c r="H2142" s="1" t="s">
        <v>6747</v>
      </c>
      <c r="I2142" s="1" t="s">
        <v>80</v>
      </c>
      <c r="K2142" s="1">
        <v>0.0</v>
      </c>
      <c r="L2142" s="1" t="s">
        <v>3137</v>
      </c>
      <c r="M2142" s="1" t="str">
        <f>VLOOKUP(L2142,'Copy of PMD Workday Constants -'!B2141:W2827,22,false)</f>
        <v>#N/A</v>
      </c>
      <c r="N2142" s="1" t="s">
        <v>32</v>
      </c>
      <c r="O2142" s="1" t="s">
        <v>33</v>
      </c>
      <c r="P2142" s="1" t="s">
        <v>82</v>
      </c>
      <c r="Q2142" s="1" t="s">
        <v>82</v>
      </c>
      <c r="R2142" s="1" t="s">
        <v>83</v>
      </c>
      <c r="S2142" s="1" t="s">
        <v>180</v>
      </c>
      <c r="T2142" s="1">
        <v>1.00586452E8</v>
      </c>
      <c r="W2142" s="1" t="s">
        <v>85</v>
      </c>
      <c r="X2142" s="1" t="s">
        <v>6663</v>
      </c>
    </row>
    <row r="2143">
      <c r="A2143" s="1" t="s">
        <v>6748</v>
      </c>
      <c r="B2143" s="1" t="s">
        <v>913</v>
      </c>
      <c r="C2143" s="1" t="s">
        <v>6749</v>
      </c>
      <c r="D2143" s="1" t="s">
        <v>51</v>
      </c>
      <c r="E2143" s="1" t="s">
        <v>29</v>
      </c>
      <c r="F2143" s="5">
        <v>500000.0</v>
      </c>
      <c r="G2143" s="1" t="s">
        <v>3964</v>
      </c>
      <c r="H2143" s="4">
        <v>44837.0</v>
      </c>
      <c r="I2143" s="1" t="s">
        <v>80</v>
      </c>
      <c r="K2143" s="1">
        <v>0.0</v>
      </c>
      <c r="L2143" s="1" t="s">
        <v>81</v>
      </c>
      <c r="M2143" s="1" t="str">
        <f>VLOOKUP(L2143,'Copy of PMD Workday Constants -'!B2142:W2828,22,false)</f>
        <v>#N/A</v>
      </c>
      <c r="N2143" s="1" t="s">
        <v>32</v>
      </c>
      <c r="O2143" s="1" t="s">
        <v>33</v>
      </c>
      <c r="P2143" s="1" t="s">
        <v>82</v>
      </c>
      <c r="Q2143" s="1" t="s">
        <v>82</v>
      </c>
      <c r="R2143" s="1" t="s">
        <v>83</v>
      </c>
      <c r="S2143" s="1" t="s">
        <v>84</v>
      </c>
      <c r="T2143" s="1">
        <v>1.00640331E8</v>
      </c>
      <c r="W2143" s="1" t="s">
        <v>85</v>
      </c>
      <c r="X2143" s="1" t="s">
        <v>81</v>
      </c>
    </row>
    <row r="2144">
      <c r="A2144" s="1" t="s">
        <v>6750</v>
      </c>
      <c r="B2144" s="1" t="s">
        <v>3343</v>
      </c>
      <c r="C2144" s="1" t="s">
        <v>6751</v>
      </c>
      <c r="D2144" s="1" t="s">
        <v>51</v>
      </c>
      <c r="E2144" s="1" t="s">
        <v>29</v>
      </c>
      <c r="F2144" s="5">
        <v>500000.0</v>
      </c>
      <c r="G2144" s="1" t="s">
        <v>3964</v>
      </c>
      <c r="H2144" s="4">
        <v>44839.0</v>
      </c>
      <c r="I2144" s="1" t="s">
        <v>80</v>
      </c>
      <c r="K2144" s="1">
        <v>0.0</v>
      </c>
      <c r="L2144" s="1" t="s">
        <v>2275</v>
      </c>
      <c r="M2144" s="1" t="str">
        <f>VLOOKUP(L2144,'Copy of PMD Workday Constants -'!B2143:W2829,22,false)</f>
        <v>#N/A</v>
      </c>
      <c r="N2144" s="1" t="s">
        <v>32</v>
      </c>
      <c r="O2144" s="1" t="s">
        <v>33</v>
      </c>
      <c r="P2144" s="1" t="s">
        <v>173</v>
      </c>
      <c r="Q2144" s="1" t="s">
        <v>173</v>
      </c>
      <c r="R2144" s="1" t="s">
        <v>174</v>
      </c>
      <c r="S2144" s="1" t="s">
        <v>791</v>
      </c>
      <c r="T2144" s="1">
        <v>1.00650783E8</v>
      </c>
      <c r="W2144" s="1" t="s">
        <v>140</v>
      </c>
      <c r="X2144" s="1" t="s">
        <v>2275</v>
      </c>
    </row>
    <row r="2145">
      <c r="A2145" s="1" t="s">
        <v>6752</v>
      </c>
      <c r="B2145" s="1" t="s">
        <v>913</v>
      </c>
      <c r="C2145" s="1" t="s">
        <v>6753</v>
      </c>
      <c r="D2145" s="1" t="s">
        <v>28</v>
      </c>
      <c r="E2145" s="1" t="s">
        <v>29</v>
      </c>
      <c r="F2145" s="5">
        <v>500000.0</v>
      </c>
      <c r="G2145" s="1" t="s">
        <v>3964</v>
      </c>
      <c r="H2145" s="4">
        <v>44837.0</v>
      </c>
      <c r="I2145" s="1" t="s">
        <v>80</v>
      </c>
      <c r="K2145" s="1">
        <v>0.0</v>
      </c>
      <c r="L2145" s="1" t="s">
        <v>81</v>
      </c>
      <c r="M2145" s="1" t="str">
        <f>VLOOKUP(L2145,'Copy of PMD Workday Constants -'!B2144:W2830,22,false)</f>
        <v>#N/A</v>
      </c>
      <c r="N2145" s="1" t="s">
        <v>32</v>
      </c>
      <c r="O2145" s="1" t="s">
        <v>33</v>
      </c>
      <c r="P2145" s="1" t="s">
        <v>82</v>
      </c>
      <c r="Q2145" s="1" t="s">
        <v>82</v>
      </c>
      <c r="R2145" s="1" t="s">
        <v>83</v>
      </c>
      <c r="S2145" s="1" t="s">
        <v>84</v>
      </c>
      <c r="T2145" s="1">
        <v>1.00640331E8</v>
      </c>
      <c r="W2145" s="1" t="s">
        <v>85</v>
      </c>
      <c r="X2145" s="1" t="s">
        <v>81</v>
      </c>
    </row>
    <row r="2146">
      <c r="A2146" s="1" t="s">
        <v>6754</v>
      </c>
      <c r="B2146" s="1" t="s">
        <v>3521</v>
      </c>
      <c r="C2146" s="1" t="s">
        <v>6755</v>
      </c>
      <c r="D2146" s="1" t="s">
        <v>28</v>
      </c>
      <c r="E2146" s="1" t="s">
        <v>29</v>
      </c>
      <c r="F2146" s="5">
        <v>500000.0</v>
      </c>
      <c r="G2146" s="1" t="s">
        <v>3964</v>
      </c>
      <c r="H2146" s="1" t="s">
        <v>5928</v>
      </c>
      <c r="I2146" s="4">
        <v>44933.0</v>
      </c>
      <c r="K2146" s="1">
        <v>0.0</v>
      </c>
      <c r="L2146" s="1" t="s">
        <v>915</v>
      </c>
      <c r="M2146" s="1" t="str">
        <f>VLOOKUP(L2146,'Copy of PMD Workday Constants -'!B2145:W2831,22,false)</f>
        <v>#N/A</v>
      </c>
      <c r="N2146" s="1" t="s">
        <v>32</v>
      </c>
      <c r="O2146" s="1" t="s">
        <v>33</v>
      </c>
      <c r="P2146" s="1" t="s">
        <v>112</v>
      </c>
      <c r="Q2146" s="1" t="s">
        <v>112</v>
      </c>
      <c r="R2146" s="1" t="s">
        <v>113</v>
      </c>
      <c r="S2146" s="1" t="s">
        <v>153</v>
      </c>
      <c r="T2146" s="1">
        <v>1.00592304E8</v>
      </c>
      <c r="W2146" s="1" t="s">
        <v>85</v>
      </c>
      <c r="X2146" s="1" t="s">
        <v>3523</v>
      </c>
    </row>
    <row r="2147">
      <c r="A2147" s="1" t="s">
        <v>6756</v>
      </c>
      <c r="B2147" s="1" t="s">
        <v>1568</v>
      </c>
      <c r="C2147" s="1" t="s">
        <v>6757</v>
      </c>
      <c r="D2147" s="1" t="s">
        <v>103</v>
      </c>
      <c r="E2147" s="1" t="s">
        <v>29</v>
      </c>
      <c r="F2147" s="5">
        <v>500000.0</v>
      </c>
      <c r="G2147" s="1" t="s">
        <v>3964</v>
      </c>
      <c r="H2147" s="1" t="s">
        <v>1524</v>
      </c>
      <c r="I2147" s="1" t="s">
        <v>732</v>
      </c>
      <c r="K2147" s="1">
        <v>0.0</v>
      </c>
      <c r="L2147" s="1" t="s">
        <v>3422</v>
      </c>
      <c r="M2147" s="1" t="str">
        <f>VLOOKUP(L2147,'Copy of PMD Workday Constants -'!B2146:W2832,22,false)</f>
        <v>#N/A</v>
      </c>
      <c r="N2147" s="1" t="s">
        <v>32</v>
      </c>
      <c r="O2147" s="1" t="s">
        <v>33</v>
      </c>
      <c r="P2147" s="1" t="s">
        <v>173</v>
      </c>
      <c r="Q2147" s="1" t="s">
        <v>173</v>
      </c>
      <c r="R2147" s="1" t="s">
        <v>174</v>
      </c>
      <c r="S2147" s="1" t="s">
        <v>612</v>
      </c>
      <c r="T2147" s="1">
        <v>1.01141463E8</v>
      </c>
      <c r="W2147" s="1" t="s">
        <v>147</v>
      </c>
      <c r="X2147" s="1" t="s">
        <v>4072</v>
      </c>
    </row>
    <row r="2148">
      <c r="A2148" s="1" t="s">
        <v>6758</v>
      </c>
      <c r="B2148" s="1" t="s">
        <v>324</v>
      </c>
      <c r="C2148" s="1" t="s">
        <v>6759</v>
      </c>
      <c r="D2148" s="1" t="s">
        <v>28</v>
      </c>
      <c r="E2148" s="1" t="s">
        <v>29</v>
      </c>
      <c r="F2148" s="5">
        <v>500000.0</v>
      </c>
      <c r="G2148" s="1" t="s">
        <v>3964</v>
      </c>
      <c r="H2148" s="4">
        <v>44623.0</v>
      </c>
      <c r="I2148" s="1" t="s">
        <v>6760</v>
      </c>
      <c r="K2148" s="1">
        <v>0.0</v>
      </c>
      <c r="L2148" s="1" t="s">
        <v>415</v>
      </c>
      <c r="M2148" s="1" t="str">
        <f>VLOOKUP(L2148,'Copy of PMD Workday Constants -'!B2147:W2833,22,false)</f>
        <v>#N/A</v>
      </c>
      <c r="N2148" s="1" t="s">
        <v>32</v>
      </c>
      <c r="O2148" s="1" t="s">
        <v>33</v>
      </c>
      <c r="P2148" s="1" t="s">
        <v>210</v>
      </c>
      <c r="Q2148" s="1" t="s">
        <v>210</v>
      </c>
      <c r="R2148" s="1" t="s">
        <v>211</v>
      </c>
      <c r="S2148" s="1" t="s">
        <v>1313</v>
      </c>
      <c r="T2148" s="1">
        <v>1.00650375E8</v>
      </c>
      <c r="W2148" s="1" t="s">
        <v>56</v>
      </c>
      <c r="X2148" s="1" t="s">
        <v>415</v>
      </c>
    </row>
    <row r="2149">
      <c r="A2149" s="1" t="s">
        <v>6761</v>
      </c>
      <c r="B2149" s="1" t="s">
        <v>776</v>
      </c>
      <c r="C2149" s="1" t="s">
        <v>6762</v>
      </c>
      <c r="D2149" s="1" t="s">
        <v>51</v>
      </c>
      <c r="E2149" s="1" t="s">
        <v>29</v>
      </c>
      <c r="F2149" s="5">
        <v>500000.0</v>
      </c>
      <c r="G2149" s="1" t="s">
        <v>3964</v>
      </c>
      <c r="H2149" s="4">
        <v>44900.0</v>
      </c>
      <c r="I2149" s="1" t="s">
        <v>80</v>
      </c>
      <c r="K2149" s="1">
        <v>0.0</v>
      </c>
      <c r="L2149" s="1" t="s">
        <v>3845</v>
      </c>
      <c r="M2149" s="1" t="str">
        <f>VLOOKUP(L2149,'Copy of PMD Workday Constants -'!B2148:W2834,22,false)</f>
        <v>#N/A</v>
      </c>
      <c r="N2149" s="1" t="s">
        <v>32</v>
      </c>
      <c r="O2149" s="1" t="s">
        <v>33</v>
      </c>
      <c r="P2149" s="1" t="s">
        <v>112</v>
      </c>
      <c r="Q2149" s="1" t="s">
        <v>112</v>
      </c>
      <c r="R2149" s="1" t="s">
        <v>113</v>
      </c>
      <c r="T2149" s="1">
        <v>1.00638855E8</v>
      </c>
      <c r="W2149" s="1" t="s">
        <v>74</v>
      </c>
      <c r="X2149" s="1" t="s">
        <v>2721</v>
      </c>
    </row>
    <row r="2150">
      <c r="A2150" s="1" t="s">
        <v>6763</v>
      </c>
      <c r="B2150" s="1" t="s">
        <v>1144</v>
      </c>
      <c r="C2150" s="1" t="s">
        <v>6764</v>
      </c>
      <c r="D2150" s="1" t="s">
        <v>51</v>
      </c>
      <c r="E2150" s="1" t="s">
        <v>29</v>
      </c>
      <c r="F2150" s="5">
        <v>500000.0</v>
      </c>
      <c r="G2150" s="1" t="s">
        <v>3964</v>
      </c>
      <c r="H2150" s="1" t="s">
        <v>273</v>
      </c>
      <c r="I2150" s="1" t="s">
        <v>313</v>
      </c>
      <c r="K2150" s="1">
        <v>0.0</v>
      </c>
      <c r="L2150" s="1" t="s">
        <v>1611</v>
      </c>
      <c r="M2150" s="1" t="str">
        <f>VLOOKUP(L2150,'Copy of PMD Workday Constants -'!B2149:W2835,22,false)</f>
        <v>#N/A</v>
      </c>
      <c r="N2150" s="1" t="s">
        <v>32</v>
      </c>
      <c r="O2150" s="1" t="s">
        <v>33</v>
      </c>
      <c r="P2150" s="1" t="s">
        <v>34</v>
      </c>
      <c r="Q2150" s="1" t="s">
        <v>34</v>
      </c>
      <c r="R2150" s="1" t="s">
        <v>35</v>
      </c>
      <c r="S2150" s="1" t="s">
        <v>126</v>
      </c>
      <c r="T2150" s="1">
        <v>1.00645852E8</v>
      </c>
      <c r="W2150" s="1" t="s">
        <v>37</v>
      </c>
      <c r="X2150" s="1" t="s">
        <v>6765</v>
      </c>
    </row>
    <row r="2151">
      <c r="A2151" s="1" t="s">
        <v>6766</v>
      </c>
      <c r="B2151" s="1" t="s">
        <v>1516</v>
      </c>
      <c r="C2151" s="1" t="s">
        <v>6767</v>
      </c>
      <c r="D2151" s="1" t="s">
        <v>28</v>
      </c>
      <c r="E2151" s="1" t="s">
        <v>29</v>
      </c>
      <c r="F2151" s="5">
        <v>500000.0</v>
      </c>
      <c r="G2151" s="1" t="s">
        <v>3964</v>
      </c>
      <c r="H2151" s="1" t="s">
        <v>6768</v>
      </c>
      <c r="I2151" s="1" t="s">
        <v>414</v>
      </c>
      <c r="K2151" s="1">
        <v>0.0</v>
      </c>
      <c r="L2151" s="1" t="s">
        <v>1486</v>
      </c>
      <c r="M2151" s="1" t="str">
        <f>VLOOKUP(L2151,'Copy of PMD Workday Constants -'!B2150:W2836,22,false)</f>
        <v>#N/A</v>
      </c>
      <c r="N2151" s="1" t="s">
        <v>32</v>
      </c>
      <c r="O2151" s="1" t="s">
        <v>33</v>
      </c>
      <c r="P2151" s="1" t="s">
        <v>82</v>
      </c>
      <c r="Q2151" s="1" t="s">
        <v>82</v>
      </c>
      <c r="R2151" s="1" t="s">
        <v>83</v>
      </c>
      <c r="S2151" s="1" t="s">
        <v>583</v>
      </c>
      <c r="T2151" s="1">
        <v>1.006324E8</v>
      </c>
      <c r="W2151" s="1" t="s">
        <v>456</v>
      </c>
      <c r="X2151" s="1" t="s">
        <v>1486</v>
      </c>
    </row>
    <row r="2152">
      <c r="A2152" s="1" t="s">
        <v>6769</v>
      </c>
      <c r="B2152" s="1" t="s">
        <v>1516</v>
      </c>
      <c r="C2152" s="1" t="s">
        <v>6770</v>
      </c>
      <c r="D2152" s="1" t="s">
        <v>51</v>
      </c>
      <c r="E2152" s="1" t="s">
        <v>29</v>
      </c>
      <c r="F2152" s="5">
        <v>500000.0</v>
      </c>
      <c r="G2152" s="1" t="s">
        <v>3964</v>
      </c>
      <c r="H2152" s="1" t="s">
        <v>6768</v>
      </c>
      <c r="I2152" s="1" t="s">
        <v>96</v>
      </c>
      <c r="K2152" s="1">
        <v>0.0</v>
      </c>
      <c r="L2152" s="1" t="s">
        <v>1486</v>
      </c>
      <c r="M2152" s="1" t="str">
        <f>VLOOKUP(L2152,'Copy of PMD Workday Constants -'!B2151:W2837,22,false)</f>
        <v>#N/A</v>
      </c>
      <c r="N2152" s="1" t="s">
        <v>32</v>
      </c>
      <c r="O2152" s="1" t="s">
        <v>33</v>
      </c>
      <c r="P2152" s="1" t="s">
        <v>82</v>
      </c>
      <c r="Q2152" s="1" t="s">
        <v>82</v>
      </c>
      <c r="R2152" s="1" t="s">
        <v>83</v>
      </c>
      <c r="S2152" s="1" t="s">
        <v>583</v>
      </c>
      <c r="T2152" s="1">
        <v>1.006324E8</v>
      </c>
      <c r="W2152" s="1" t="s">
        <v>456</v>
      </c>
      <c r="X2152" s="1" t="s">
        <v>1486</v>
      </c>
    </row>
    <row r="2153">
      <c r="A2153" s="1" t="s">
        <v>6771</v>
      </c>
      <c r="B2153" s="1" t="s">
        <v>756</v>
      </c>
      <c r="C2153" s="1" t="s">
        <v>6772</v>
      </c>
      <c r="D2153" s="1" t="s">
        <v>28</v>
      </c>
      <c r="E2153" s="1" t="s">
        <v>29</v>
      </c>
      <c r="F2153" s="5">
        <v>500000.0</v>
      </c>
      <c r="G2153" s="1" t="s">
        <v>3964</v>
      </c>
      <c r="H2153" s="4">
        <v>44900.0</v>
      </c>
      <c r="I2153" s="1" t="s">
        <v>96</v>
      </c>
      <c r="K2153" s="1">
        <v>0.0</v>
      </c>
      <c r="L2153" s="1" t="s">
        <v>6773</v>
      </c>
      <c r="M2153" s="1" t="str">
        <f>VLOOKUP(L2153,'Copy of PMD Workday Constants -'!B2152:W2838,22,false)</f>
        <v>#N/A</v>
      </c>
      <c r="N2153" s="1" t="s">
        <v>32</v>
      </c>
      <c r="O2153" s="1" t="s">
        <v>33</v>
      </c>
      <c r="P2153" s="1" t="s">
        <v>173</v>
      </c>
      <c r="Q2153" s="1" t="s">
        <v>173</v>
      </c>
      <c r="R2153" s="1" t="s">
        <v>174</v>
      </c>
      <c r="T2153" s="1">
        <v>1.00686054E8</v>
      </c>
      <c r="W2153" s="1" t="s">
        <v>74</v>
      </c>
      <c r="X2153" s="1" t="s">
        <v>6773</v>
      </c>
    </row>
    <row r="2154">
      <c r="A2154" s="1" t="s">
        <v>6774</v>
      </c>
      <c r="B2154" s="1" t="s">
        <v>1305</v>
      </c>
      <c r="C2154" s="1" t="s">
        <v>6775</v>
      </c>
      <c r="D2154" s="1" t="s">
        <v>28</v>
      </c>
      <c r="E2154" s="1" t="s">
        <v>29</v>
      </c>
      <c r="F2154" s="5">
        <v>500000.0</v>
      </c>
      <c r="G2154" s="1" t="s">
        <v>3964</v>
      </c>
      <c r="H2154" s="4">
        <v>44623.0</v>
      </c>
      <c r="I2154" s="1" t="s">
        <v>104</v>
      </c>
      <c r="K2154" s="1">
        <v>0.0</v>
      </c>
      <c r="L2154" s="1" t="s">
        <v>3771</v>
      </c>
      <c r="M2154" s="1" t="str">
        <f>VLOOKUP(L2154,'Copy of PMD Workday Constants -'!B2153:W2839,22,false)</f>
        <v>#N/A</v>
      </c>
      <c r="N2154" s="1" t="s">
        <v>32</v>
      </c>
      <c r="O2154" s="1" t="s">
        <v>33</v>
      </c>
      <c r="P2154" s="1" t="s">
        <v>34</v>
      </c>
      <c r="Q2154" s="1" t="s">
        <v>34</v>
      </c>
      <c r="R2154" s="1" t="s">
        <v>35</v>
      </c>
      <c r="S2154" s="1" t="s">
        <v>1166</v>
      </c>
      <c r="T2154" s="1">
        <v>1.00651998E8</v>
      </c>
      <c r="W2154" s="1" t="s">
        <v>456</v>
      </c>
      <c r="X2154" s="1" t="s">
        <v>3771</v>
      </c>
    </row>
    <row r="2155">
      <c r="A2155" s="1" t="s">
        <v>6776</v>
      </c>
      <c r="B2155" s="1" t="s">
        <v>324</v>
      </c>
      <c r="C2155" s="1" t="s">
        <v>6777</v>
      </c>
      <c r="D2155" s="1" t="s">
        <v>51</v>
      </c>
      <c r="E2155" s="1" t="s">
        <v>29</v>
      </c>
      <c r="F2155" s="5">
        <v>500000.0</v>
      </c>
      <c r="G2155" s="1" t="s">
        <v>3964</v>
      </c>
      <c r="H2155" s="4">
        <v>44840.0</v>
      </c>
      <c r="I2155" s="4">
        <v>44601.0</v>
      </c>
      <c r="K2155" s="1">
        <v>0.0</v>
      </c>
      <c r="L2155" s="1" t="s">
        <v>5335</v>
      </c>
      <c r="M2155" s="1" t="str">
        <f>VLOOKUP(L2155,'Copy of PMD Workday Constants -'!B2154:W2840,22,false)</f>
        <v>#N/A</v>
      </c>
      <c r="N2155" s="1" t="s">
        <v>32</v>
      </c>
      <c r="O2155" s="1" t="s">
        <v>33</v>
      </c>
      <c r="P2155" s="1" t="s">
        <v>64</v>
      </c>
      <c r="Q2155" s="1" t="s">
        <v>64</v>
      </c>
      <c r="R2155" s="1" t="s">
        <v>65</v>
      </c>
      <c r="T2155" s="1">
        <v>1.00649463E8</v>
      </c>
      <c r="W2155" s="1" t="s">
        <v>56</v>
      </c>
      <c r="X2155" s="1" t="s">
        <v>4318</v>
      </c>
    </row>
    <row r="2156">
      <c r="A2156" s="1" t="s">
        <v>6778</v>
      </c>
      <c r="B2156" s="1" t="s">
        <v>5064</v>
      </c>
      <c r="C2156" s="1" t="s">
        <v>6779</v>
      </c>
      <c r="D2156" s="1" t="s">
        <v>28</v>
      </c>
      <c r="E2156" s="1" t="s">
        <v>29</v>
      </c>
      <c r="F2156" s="5">
        <v>500000.0</v>
      </c>
      <c r="G2156" s="1" t="s">
        <v>3964</v>
      </c>
      <c r="H2156" s="4">
        <v>44838.0</v>
      </c>
      <c r="I2156" s="4">
        <v>44780.0</v>
      </c>
      <c r="K2156" s="1">
        <v>0.0</v>
      </c>
      <c r="L2156" s="1" t="s">
        <v>1087</v>
      </c>
      <c r="M2156" s="1" t="str">
        <f>VLOOKUP(L2156,'Copy of PMD Workday Constants -'!B2155:W2841,22,false)</f>
        <v>#N/A</v>
      </c>
      <c r="N2156" s="1" t="s">
        <v>32</v>
      </c>
      <c r="O2156" s="1" t="s">
        <v>33</v>
      </c>
      <c r="P2156" s="1" t="s">
        <v>112</v>
      </c>
      <c r="Q2156" s="1" t="s">
        <v>112</v>
      </c>
      <c r="R2156" s="1" t="s">
        <v>113</v>
      </c>
      <c r="S2156" s="1" t="s">
        <v>307</v>
      </c>
      <c r="T2156" s="1">
        <v>1.00634994E8</v>
      </c>
      <c r="X2156" s="1" t="s">
        <v>1087</v>
      </c>
    </row>
    <row r="2157">
      <c r="A2157" s="1" t="s">
        <v>6780</v>
      </c>
      <c r="B2157" s="1" t="s">
        <v>3585</v>
      </c>
      <c r="C2157" s="1" t="s">
        <v>6781</v>
      </c>
      <c r="D2157" s="1" t="s">
        <v>28</v>
      </c>
      <c r="E2157" s="1" t="s">
        <v>29</v>
      </c>
      <c r="F2157" s="5">
        <v>500000.0</v>
      </c>
      <c r="G2157" s="1" t="s">
        <v>3964</v>
      </c>
      <c r="H2157" s="1" t="s">
        <v>61</v>
      </c>
      <c r="I2157" s="1" t="s">
        <v>1528</v>
      </c>
      <c r="K2157" s="1">
        <v>0.0</v>
      </c>
      <c r="L2157" s="1" t="s">
        <v>1151</v>
      </c>
      <c r="M2157" s="1" t="str">
        <f>VLOOKUP(L2157,'Copy of PMD Workday Constants -'!B2156:W2842,22,false)</f>
        <v>#N/A</v>
      </c>
      <c r="N2157" s="1" t="s">
        <v>32</v>
      </c>
      <c r="O2157" s="1" t="s">
        <v>33</v>
      </c>
      <c r="P2157" s="1" t="s">
        <v>173</v>
      </c>
      <c r="Q2157" s="1" t="s">
        <v>173</v>
      </c>
      <c r="R2157" s="1" t="s">
        <v>174</v>
      </c>
      <c r="S2157" s="1" t="s">
        <v>612</v>
      </c>
      <c r="T2157" s="1">
        <v>1.00654991E8</v>
      </c>
      <c r="X2157" s="1" t="s">
        <v>4072</v>
      </c>
    </row>
    <row r="2158">
      <c r="A2158" s="1" t="s">
        <v>6782</v>
      </c>
      <c r="B2158" s="1" t="s">
        <v>225</v>
      </c>
      <c r="C2158" s="1" t="s">
        <v>6783</v>
      </c>
      <c r="D2158" s="1" t="s">
        <v>28</v>
      </c>
      <c r="E2158" s="1" t="s">
        <v>29</v>
      </c>
      <c r="F2158" s="5">
        <v>500000.0</v>
      </c>
      <c r="G2158" s="1" t="s">
        <v>3964</v>
      </c>
      <c r="H2158" s="4">
        <v>44717.0</v>
      </c>
      <c r="I2158" s="1" t="s">
        <v>523</v>
      </c>
      <c r="K2158" s="1">
        <v>0.0</v>
      </c>
      <c r="L2158" s="1" t="s">
        <v>1747</v>
      </c>
      <c r="M2158" s="1" t="str">
        <f>VLOOKUP(L2158,'Copy of PMD Workday Constants -'!B2157:W2843,22,false)</f>
        <v>#N/A</v>
      </c>
      <c r="N2158" s="1" t="s">
        <v>32</v>
      </c>
      <c r="O2158" s="1" t="s">
        <v>33</v>
      </c>
      <c r="P2158" s="1" t="s">
        <v>173</v>
      </c>
      <c r="Q2158" s="1" t="s">
        <v>173</v>
      </c>
      <c r="R2158" s="1" t="s">
        <v>174</v>
      </c>
      <c r="T2158" s="1">
        <v>1.00639495E8</v>
      </c>
      <c r="W2158" s="1" t="s">
        <v>85</v>
      </c>
      <c r="X2158" s="1" t="s">
        <v>4406</v>
      </c>
    </row>
    <row r="2159">
      <c r="A2159" s="1" t="s">
        <v>6784</v>
      </c>
      <c r="B2159" s="1" t="s">
        <v>1163</v>
      </c>
      <c r="C2159" s="1" t="s">
        <v>6785</v>
      </c>
      <c r="D2159" s="1" t="s">
        <v>28</v>
      </c>
      <c r="E2159" s="1" t="s">
        <v>29</v>
      </c>
      <c r="F2159" s="5">
        <v>500000.0</v>
      </c>
      <c r="G2159" s="1" t="s">
        <v>3964</v>
      </c>
      <c r="H2159" s="1" t="s">
        <v>2822</v>
      </c>
      <c r="I2159" s="1" t="s">
        <v>870</v>
      </c>
      <c r="K2159" s="1">
        <v>0.0</v>
      </c>
      <c r="L2159" s="1" t="s">
        <v>1165</v>
      </c>
      <c r="M2159" s="1" t="str">
        <f>VLOOKUP(L2159,'Copy of PMD Workday Constants -'!B2158:W2844,22,false)</f>
        <v>#N/A</v>
      </c>
      <c r="N2159" s="1" t="s">
        <v>32</v>
      </c>
      <c r="O2159" s="1" t="s">
        <v>33</v>
      </c>
      <c r="P2159" s="1" t="s">
        <v>34</v>
      </c>
      <c r="Q2159" s="1" t="s">
        <v>34</v>
      </c>
      <c r="R2159" s="1" t="s">
        <v>35</v>
      </c>
      <c r="S2159" s="1" t="s">
        <v>1166</v>
      </c>
      <c r="T2159" s="1">
        <v>1.00586863E8</v>
      </c>
      <c r="W2159" s="1" t="s">
        <v>147</v>
      </c>
      <c r="X2159" s="1" t="s">
        <v>6786</v>
      </c>
    </row>
    <row r="2160">
      <c r="A2160" s="1" t="s">
        <v>6787</v>
      </c>
      <c r="B2160" s="1" t="s">
        <v>5835</v>
      </c>
      <c r="C2160" s="1" t="s">
        <v>6788</v>
      </c>
      <c r="D2160" s="1" t="s">
        <v>28</v>
      </c>
      <c r="E2160" s="1" t="s">
        <v>29</v>
      </c>
      <c r="F2160" s="5">
        <v>500000.0</v>
      </c>
      <c r="G2160" s="1" t="s">
        <v>3964</v>
      </c>
      <c r="H2160" s="1" t="s">
        <v>569</v>
      </c>
      <c r="I2160" s="1" t="s">
        <v>406</v>
      </c>
      <c r="K2160" s="1">
        <v>0.0</v>
      </c>
      <c r="L2160" s="1" t="s">
        <v>63</v>
      </c>
      <c r="M2160" s="1" t="str">
        <f>VLOOKUP(L2160,'Copy of PMD Workday Constants -'!B2159:W2845,22,false)</f>
        <v>#N/A</v>
      </c>
      <c r="N2160" s="1" t="s">
        <v>32</v>
      </c>
      <c r="O2160" s="1" t="s">
        <v>33</v>
      </c>
      <c r="P2160" s="1" t="s">
        <v>64</v>
      </c>
      <c r="Q2160" s="1" t="s">
        <v>64</v>
      </c>
      <c r="R2160" s="1" t="s">
        <v>65</v>
      </c>
      <c r="S2160" s="1" t="s">
        <v>285</v>
      </c>
      <c r="T2160" s="1">
        <v>1.01059432E8</v>
      </c>
      <c r="W2160" s="1" t="s">
        <v>308</v>
      </c>
      <c r="X2160" s="1" t="s">
        <v>2197</v>
      </c>
    </row>
    <row r="2161">
      <c r="A2161" s="1" t="s">
        <v>6789</v>
      </c>
      <c r="B2161" s="1" t="s">
        <v>225</v>
      </c>
      <c r="C2161" s="1" t="s">
        <v>6790</v>
      </c>
      <c r="D2161" s="1" t="s">
        <v>28</v>
      </c>
      <c r="E2161" s="1" t="s">
        <v>29</v>
      </c>
      <c r="F2161" s="5">
        <v>500000.0</v>
      </c>
      <c r="G2161" s="1" t="s">
        <v>3964</v>
      </c>
      <c r="H2161" s="4">
        <v>44717.0</v>
      </c>
      <c r="I2161" s="1" t="s">
        <v>523</v>
      </c>
      <c r="K2161" s="1">
        <v>0.0</v>
      </c>
      <c r="L2161" s="1" t="s">
        <v>6791</v>
      </c>
      <c r="M2161" s="1" t="str">
        <f>VLOOKUP(L2161,'Copy of PMD Workday Constants -'!B2160:W2846,22,false)</f>
        <v>#N/A</v>
      </c>
      <c r="N2161" s="1" t="s">
        <v>32</v>
      </c>
      <c r="O2161" s="1" t="s">
        <v>33</v>
      </c>
      <c r="P2161" s="1" t="s">
        <v>82</v>
      </c>
      <c r="Q2161" s="1" t="s">
        <v>82</v>
      </c>
      <c r="R2161" s="1" t="s">
        <v>83</v>
      </c>
      <c r="S2161" s="1" t="s">
        <v>84</v>
      </c>
      <c r="T2161" s="1">
        <v>1.00594243E8</v>
      </c>
      <c r="W2161" s="1" t="s">
        <v>85</v>
      </c>
      <c r="X2161" s="1" t="s">
        <v>4406</v>
      </c>
    </row>
    <row r="2162">
      <c r="A2162" s="1" t="s">
        <v>6792</v>
      </c>
      <c r="B2162" s="1" t="s">
        <v>6793</v>
      </c>
      <c r="C2162" s="1" t="s">
        <v>6794</v>
      </c>
      <c r="D2162" s="1" t="s">
        <v>103</v>
      </c>
      <c r="E2162" s="1" t="s">
        <v>29</v>
      </c>
      <c r="F2162" s="5">
        <v>500000.0</v>
      </c>
      <c r="G2162" s="1" t="s">
        <v>3964</v>
      </c>
      <c r="H2162" s="4">
        <v>44239.0</v>
      </c>
      <c r="I2162" s="4">
        <v>44568.0</v>
      </c>
      <c r="K2162" s="1">
        <v>0.0</v>
      </c>
      <c r="L2162" s="1" t="s">
        <v>3848</v>
      </c>
      <c r="M2162" s="1" t="str">
        <f>VLOOKUP(L2162,'Copy of PMD Workday Constants -'!B2161:W2847,22,false)</f>
        <v>#N/A</v>
      </c>
      <c r="N2162" s="1" t="s">
        <v>32</v>
      </c>
      <c r="O2162" s="1" t="s">
        <v>33</v>
      </c>
      <c r="P2162" s="1" t="s">
        <v>173</v>
      </c>
      <c r="Q2162" s="1" t="s">
        <v>173</v>
      </c>
      <c r="R2162" s="1" t="s">
        <v>174</v>
      </c>
      <c r="S2162" s="1" t="s">
        <v>612</v>
      </c>
      <c r="T2162" s="1">
        <v>1.00654914E8</v>
      </c>
      <c r="W2162" s="1" t="s">
        <v>456</v>
      </c>
      <c r="X2162" s="1" t="s">
        <v>3849</v>
      </c>
    </row>
    <row r="2163">
      <c r="A2163" s="1" t="s">
        <v>6795</v>
      </c>
      <c r="B2163" s="1" t="s">
        <v>6796</v>
      </c>
      <c r="C2163" s="1" t="s">
        <v>6797</v>
      </c>
      <c r="D2163" s="1" t="s">
        <v>28</v>
      </c>
      <c r="E2163" s="1" t="s">
        <v>29</v>
      </c>
      <c r="F2163" s="5">
        <v>500000.0</v>
      </c>
      <c r="G2163" s="1" t="s">
        <v>3964</v>
      </c>
      <c r="H2163" s="4">
        <v>44840.0</v>
      </c>
      <c r="I2163" s="1" t="s">
        <v>152</v>
      </c>
      <c r="K2163" s="1">
        <v>0.0</v>
      </c>
      <c r="L2163" s="1" t="s">
        <v>1151</v>
      </c>
      <c r="M2163" s="1" t="str">
        <f>VLOOKUP(L2163,'Copy of PMD Workday Constants -'!B2162:W2848,22,false)</f>
        <v>#N/A</v>
      </c>
      <c r="N2163" s="1" t="s">
        <v>32</v>
      </c>
      <c r="O2163" s="1" t="s">
        <v>33</v>
      </c>
      <c r="P2163" s="1" t="s">
        <v>173</v>
      </c>
      <c r="Q2163" s="1" t="s">
        <v>173</v>
      </c>
      <c r="R2163" s="1" t="s">
        <v>174</v>
      </c>
      <c r="S2163" s="1" t="s">
        <v>612</v>
      </c>
      <c r="T2163" s="1">
        <v>1.00654991E8</v>
      </c>
      <c r="W2163" s="1" t="s">
        <v>74</v>
      </c>
      <c r="X2163" s="1" t="s">
        <v>4072</v>
      </c>
    </row>
    <row r="2164">
      <c r="A2164" s="1" t="s">
        <v>6798</v>
      </c>
      <c r="B2164" s="1" t="s">
        <v>3504</v>
      </c>
      <c r="C2164" s="1" t="s">
        <v>6799</v>
      </c>
      <c r="D2164" s="1" t="s">
        <v>28</v>
      </c>
      <c r="E2164" s="1" t="s">
        <v>29</v>
      </c>
      <c r="F2164" s="5">
        <v>500000.0</v>
      </c>
      <c r="G2164" s="1" t="s">
        <v>3964</v>
      </c>
      <c r="H2164" s="4">
        <v>44267.0</v>
      </c>
      <c r="I2164" s="1" t="s">
        <v>152</v>
      </c>
      <c r="K2164" s="1">
        <v>0.0</v>
      </c>
      <c r="L2164" s="1" t="s">
        <v>6800</v>
      </c>
      <c r="M2164" s="1" t="str">
        <f>VLOOKUP(L2164,'Copy of PMD Workday Constants -'!B2163:W2849,22,false)</f>
        <v>#N/A</v>
      </c>
      <c r="N2164" s="1" t="s">
        <v>32</v>
      </c>
      <c r="O2164" s="1" t="s">
        <v>33</v>
      </c>
      <c r="P2164" s="1" t="s">
        <v>210</v>
      </c>
      <c r="Q2164" s="1" t="s">
        <v>210</v>
      </c>
      <c r="R2164" s="1" t="s">
        <v>211</v>
      </c>
      <c r="S2164" s="1" t="s">
        <v>297</v>
      </c>
      <c r="T2164" s="1">
        <v>1.00922604E8</v>
      </c>
      <c r="W2164" s="1" t="s">
        <v>258</v>
      </c>
      <c r="X2164" s="1" t="s">
        <v>3462</v>
      </c>
    </row>
    <row r="2165">
      <c r="A2165" s="1" t="s">
        <v>6801</v>
      </c>
      <c r="B2165" s="1" t="s">
        <v>4174</v>
      </c>
      <c r="C2165" s="1" t="s">
        <v>6802</v>
      </c>
      <c r="D2165" s="1" t="s">
        <v>28</v>
      </c>
      <c r="E2165" s="1" t="s">
        <v>29</v>
      </c>
      <c r="F2165" s="5">
        <v>500000.0</v>
      </c>
      <c r="G2165" s="1" t="s">
        <v>3964</v>
      </c>
      <c r="H2165" s="1" t="s">
        <v>785</v>
      </c>
      <c r="I2165" s="1" t="s">
        <v>414</v>
      </c>
      <c r="K2165" s="1">
        <v>0.0</v>
      </c>
      <c r="L2165" s="1" t="s">
        <v>4287</v>
      </c>
      <c r="M2165" s="1" t="str">
        <f>VLOOKUP(L2165,'Copy of PMD Workday Constants -'!B2164:W2850,22,false)</f>
        <v>#N/A</v>
      </c>
      <c r="N2165" s="1" t="s">
        <v>32</v>
      </c>
      <c r="O2165" s="1" t="s">
        <v>33</v>
      </c>
      <c r="P2165" s="1" t="s">
        <v>173</v>
      </c>
      <c r="Q2165" s="1" t="s">
        <v>173</v>
      </c>
      <c r="R2165" s="1" t="s">
        <v>174</v>
      </c>
      <c r="T2165" s="1">
        <v>1.00602528E8</v>
      </c>
      <c r="W2165" s="1" t="s">
        <v>56</v>
      </c>
      <c r="X2165" s="1" t="s">
        <v>4287</v>
      </c>
    </row>
    <row r="2166">
      <c r="A2166" s="1" t="s">
        <v>6803</v>
      </c>
      <c r="B2166" s="1" t="s">
        <v>6804</v>
      </c>
      <c r="C2166" s="1" t="s">
        <v>6805</v>
      </c>
      <c r="D2166" s="1" t="s">
        <v>103</v>
      </c>
      <c r="E2166" s="1" t="s">
        <v>29</v>
      </c>
      <c r="F2166" s="5">
        <v>500000.0</v>
      </c>
      <c r="G2166" s="1" t="s">
        <v>3964</v>
      </c>
      <c r="H2166" s="4">
        <v>44840.0</v>
      </c>
      <c r="I2166" s="1" t="s">
        <v>80</v>
      </c>
      <c r="K2166" s="1">
        <v>0.0</v>
      </c>
      <c r="L2166" s="1" t="s">
        <v>1495</v>
      </c>
      <c r="M2166" s="1" t="str">
        <f>VLOOKUP(L2166,'Copy of PMD Workday Constants -'!B2165:W2851,22,false)</f>
        <v>#N/A</v>
      </c>
      <c r="N2166" s="1" t="s">
        <v>32</v>
      </c>
      <c r="O2166" s="1" t="s">
        <v>33</v>
      </c>
      <c r="P2166" s="1" t="s">
        <v>64</v>
      </c>
      <c r="Q2166" s="1" t="s">
        <v>64</v>
      </c>
      <c r="R2166" s="1" t="s">
        <v>65</v>
      </c>
      <c r="S2166" s="1" t="s">
        <v>1496</v>
      </c>
      <c r="T2166" s="1">
        <v>1.00898415E8</v>
      </c>
      <c r="W2166" s="1" t="s">
        <v>258</v>
      </c>
      <c r="X2166" s="1" t="s">
        <v>6806</v>
      </c>
    </row>
    <row r="2167">
      <c r="A2167" s="1" t="s">
        <v>6807</v>
      </c>
      <c r="B2167" s="1" t="s">
        <v>507</v>
      </c>
      <c r="C2167" s="1" t="s">
        <v>6808</v>
      </c>
      <c r="D2167" s="1" t="s">
        <v>28</v>
      </c>
      <c r="E2167" s="1" t="s">
        <v>29</v>
      </c>
      <c r="F2167" s="5">
        <v>500000.0</v>
      </c>
      <c r="G2167" s="1" t="s">
        <v>3964</v>
      </c>
      <c r="H2167" s="4">
        <v>44685.0</v>
      </c>
      <c r="I2167" s="4">
        <v>44658.0</v>
      </c>
      <c r="K2167" s="1">
        <v>0.0</v>
      </c>
      <c r="L2167" s="1" t="s">
        <v>2762</v>
      </c>
      <c r="M2167" s="1" t="str">
        <f>VLOOKUP(L2167,'Copy of PMD Workday Constants -'!B2166:W2852,22,false)</f>
        <v>#N/A</v>
      </c>
      <c r="N2167" s="1" t="s">
        <v>32</v>
      </c>
      <c r="O2167" s="1" t="s">
        <v>33</v>
      </c>
      <c r="P2167" s="1" t="s">
        <v>82</v>
      </c>
      <c r="Q2167" s="1" t="s">
        <v>82</v>
      </c>
      <c r="R2167" s="1" t="s">
        <v>83</v>
      </c>
      <c r="S2167" s="1" t="s">
        <v>583</v>
      </c>
      <c r="T2167" s="1">
        <v>1.00637221E8</v>
      </c>
      <c r="W2167" s="1" t="s">
        <v>456</v>
      </c>
      <c r="X2167" s="1" t="s">
        <v>2762</v>
      </c>
    </row>
    <row r="2168">
      <c r="A2168" s="1" t="s">
        <v>6809</v>
      </c>
      <c r="B2168" s="1" t="s">
        <v>4610</v>
      </c>
      <c r="C2168" s="1" t="s">
        <v>6810</v>
      </c>
      <c r="D2168" s="1" t="s">
        <v>103</v>
      </c>
      <c r="E2168" s="1" t="s">
        <v>29</v>
      </c>
      <c r="F2168" s="5">
        <v>500000.0</v>
      </c>
      <c r="G2168" s="1" t="s">
        <v>3964</v>
      </c>
      <c r="H2168" s="1" t="s">
        <v>1650</v>
      </c>
      <c r="I2168" s="1" t="s">
        <v>104</v>
      </c>
      <c r="K2168" s="1">
        <v>0.0</v>
      </c>
      <c r="L2168" s="1" t="s">
        <v>963</v>
      </c>
      <c r="M2168" s="1" t="str">
        <f>VLOOKUP(L2168,'Copy of PMD Workday Constants -'!B2167:W2853,22,false)</f>
        <v>#N/A</v>
      </c>
      <c r="N2168" s="1" t="s">
        <v>32</v>
      </c>
      <c r="O2168" s="1" t="s">
        <v>33</v>
      </c>
      <c r="P2168" s="1" t="s">
        <v>173</v>
      </c>
      <c r="Q2168" s="1" t="s">
        <v>173</v>
      </c>
      <c r="R2168" s="1" t="s">
        <v>174</v>
      </c>
      <c r="S2168" s="1" t="s">
        <v>612</v>
      </c>
      <c r="T2168" s="1">
        <v>1.00708984E8</v>
      </c>
      <c r="W2168" s="1" t="s">
        <v>140</v>
      </c>
      <c r="X2168" s="1" t="s">
        <v>4369</v>
      </c>
    </row>
    <row r="2169">
      <c r="A2169" s="1" t="s">
        <v>6811</v>
      </c>
      <c r="B2169" s="1" t="s">
        <v>4425</v>
      </c>
      <c r="C2169" s="1" t="s">
        <v>6812</v>
      </c>
      <c r="D2169" s="1" t="s">
        <v>28</v>
      </c>
      <c r="E2169" s="1" t="s">
        <v>29</v>
      </c>
      <c r="F2169" s="5">
        <v>500000.0</v>
      </c>
      <c r="G2169" s="1" t="s">
        <v>3964</v>
      </c>
      <c r="H2169" s="4">
        <v>44714.0</v>
      </c>
      <c r="I2169" s="1" t="s">
        <v>302</v>
      </c>
      <c r="K2169" s="1">
        <v>0.0</v>
      </c>
      <c r="L2169" s="1" t="s">
        <v>2672</v>
      </c>
      <c r="M2169" s="1" t="str">
        <f>VLOOKUP(L2169,'Copy of PMD Workday Constants -'!B2168:W2854,22,false)</f>
        <v>#N/A</v>
      </c>
      <c r="N2169" s="1" t="s">
        <v>32</v>
      </c>
      <c r="O2169" s="1" t="s">
        <v>33</v>
      </c>
      <c r="P2169" s="1" t="s">
        <v>173</v>
      </c>
      <c r="Q2169" s="1" t="s">
        <v>173</v>
      </c>
      <c r="R2169" s="1" t="s">
        <v>174</v>
      </c>
      <c r="T2169" s="1">
        <v>1.00607244E8</v>
      </c>
      <c r="W2169" s="1" t="s">
        <v>493</v>
      </c>
      <c r="X2169" s="1" t="s">
        <v>2672</v>
      </c>
    </row>
    <row r="2170">
      <c r="A2170" s="1" t="s">
        <v>6813</v>
      </c>
      <c r="B2170" s="1" t="s">
        <v>1721</v>
      </c>
      <c r="C2170" s="1" t="s">
        <v>6814</v>
      </c>
      <c r="D2170" s="1" t="s">
        <v>51</v>
      </c>
      <c r="E2170" s="1" t="s">
        <v>29</v>
      </c>
      <c r="F2170" s="5">
        <v>500000.0</v>
      </c>
      <c r="G2170" s="1" t="s">
        <v>3964</v>
      </c>
      <c r="H2170" s="4">
        <v>44623.0</v>
      </c>
      <c r="I2170" s="4">
        <v>44568.0</v>
      </c>
      <c r="K2170" s="1">
        <v>0.0</v>
      </c>
      <c r="L2170" s="1" t="s">
        <v>3565</v>
      </c>
      <c r="M2170" s="1" t="str">
        <f>VLOOKUP(L2170,'Copy of PMD Workday Constants -'!B2169:W2855,22,false)</f>
        <v>#N/A</v>
      </c>
      <c r="N2170" s="1" t="s">
        <v>32</v>
      </c>
      <c r="O2170" s="1" t="s">
        <v>33</v>
      </c>
      <c r="P2170" s="1" t="s">
        <v>112</v>
      </c>
      <c r="Q2170" s="1" t="s">
        <v>112</v>
      </c>
      <c r="R2170" s="1" t="s">
        <v>113</v>
      </c>
      <c r="S2170" s="1" t="s">
        <v>307</v>
      </c>
      <c r="T2170" s="1">
        <v>1.00658777E8</v>
      </c>
      <c r="W2170" s="1" t="s">
        <v>391</v>
      </c>
      <c r="X2170" s="1" t="s">
        <v>6482</v>
      </c>
    </row>
    <row r="2171">
      <c r="A2171" s="1" t="s">
        <v>6815</v>
      </c>
      <c r="B2171" s="1" t="s">
        <v>4294</v>
      </c>
      <c r="C2171" s="1" t="s">
        <v>6816</v>
      </c>
      <c r="D2171" s="1" t="s">
        <v>28</v>
      </c>
      <c r="E2171" s="1" t="s">
        <v>29</v>
      </c>
      <c r="F2171" s="5">
        <v>500000.0</v>
      </c>
      <c r="G2171" s="1" t="s">
        <v>3964</v>
      </c>
      <c r="H2171" s="4">
        <v>44900.0</v>
      </c>
      <c r="I2171" s="4">
        <v>44872.0</v>
      </c>
      <c r="K2171" s="1">
        <v>0.0</v>
      </c>
      <c r="L2171" s="1" t="s">
        <v>866</v>
      </c>
      <c r="M2171" s="1" t="str">
        <f>VLOOKUP(L2171,'Copy of PMD Workday Constants -'!B2170:W2856,22,false)</f>
        <v>#N/A</v>
      </c>
      <c r="N2171" s="1" t="s">
        <v>32</v>
      </c>
      <c r="O2171" s="1" t="s">
        <v>33</v>
      </c>
      <c r="P2171" s="1" t="s">
        <v>82</v>
      </c>
      <c r="Q2171" s="1" t="s">
        <v>82</v>
      </c>
      <c r="R2171" s="1" t="s">
        <v>83</v>
      </c>
      <c r="S2171" s="1" t="s">
        <v>84</v>
      </c>
      <c r="T2171" s="1">
        <v>1.00941744E8</v>
      </c>
      <c r="W2171" s="1" t="s">
        <v>85</v>
      </c>
      <c r="X2171" s="1" t="s">
        <v>866</v>
      </c>
    </row>
    <row r="2172">
      <c r="A2172" s="1" t="s">
        <v>6817</v>
      </c>
      <c r="B2172" s="1" t="s">
        <v>3026</v>
      </c>
      <c r="C2172" s="1" t="s">
        <v>6818</v>
      </c>
      <c r="D2172" s="1" t="s">
        <v>51</v>
      </c>
      <c r="E2172" s="1" t="s">
        <v>29</v>
      </c>
      <c r="F2172" s="5">
        <v>500000.0</v>
      </c>
      <c r="G2172" s="1" t="s">
        <v>3964</v>
      </c>
      <c r="H2172" s="4">
        <v>44565.0</v>
      </c>
      <c r="I2172" s="1" t="s">
        <v>96</v>
      </c>
      <c r="K2172" s="1">
        <v>0.0</v>
      </c>
      <c r="L2172" s="1" t="s">
        <v>6819</v>
      </c>
      <c r="M2172" s="1" t="str">
        <f>VLOOKUP(L2172,'Copy of PMD Workday Constants -'!B2171:W2857,22,false)</f>
        <v>#N/A</v>
      </c>
      <c r="N2172" s="1" t="s">
        <v>32</v>
      </c>
      <c r="O2172" s="1" t="s">
        <v>33</v>
      </c>
      <c r="P2172" s="1" t="s">
        <v>210</v>
      </c>
      <c r="Q2172" s="1" t="s">
        <v>210</v>
      </c>
      <c r="R2172" s="1" t="s">
        <v>211</v>
      </c>
      <c r="T2172" s="1">
        <v>1.00629785E8</v>
      </c>
      <c r="W2172" s="1" t="s">
        <v>258</v>
      </c>
      <c r="X2172" s="1" t="s">
        <v>6819</v>
      </c>
    </row>
    <row r="2173">
      <c r="A2173" s="1" t="s">
        <v>6820</v>
      </c>
      <c r="B2173" s="1" t="s">
        <v>1609</v>
      </c>
      <c r="C2173" s="1" t="s">
        <v>6821</v>
      </c>
      <c r="D2173" s="1" t="s">
        <v>28</v>
      </c>
      <c r="E2173" s="1" t="s">
        <v>29</v>
      </c>
      <c r="F2173" s="5">
        <v>500000.0</v>
      </c>
      <c r="G2173" s="1" t="s">
        <v>3964</v>
      </c>
      <c r="H2173" s="4">
        <v>44229.0</v>
      </c>
      <c r="I2173" s="1" t="s">
        <v>104</v>
      </c>
      <c r="K2173" s="1">
        <v>0.0</v>
      </c>
      <c r="L2173" s="1" t="s">
        <v>2205</v>
      </c>
      <c r="M2173" s="1" t="str">
        <f>VLOOKUP(L2173,'Copy of PMD Workday Constants -'!B2172:W2858,22,false)</f>
        <v>#N/A</v>
      </c>
      <c r="N2173" s="1" t="s">
        <v>32</v>
      </c>
      <c r="O2173" s="1" t="s">
        <v>33</v>
      </c>
      <c r="P2173" s="1" t="s">
        <v>112</v>
      </c>
      <c r="Q2173" s="1" t="s">
        <v>112</v>
      </c>
      <c r="R2173" s="1" t="s">
        <v>113</v>
      </c>
      <c r="S2173" s="1" t="s">
        <v>307</v>
      </c>
      <c r="T2173" s="1">
        <v>1.0059365E8</v>
      </c>
      <c r="W2173" s="1" t="s">
        <v>391</v>
      </c>
      <c r="X2173" s="1" t="s">
        <v>2205</v>
      </c>
    </row>
    <row r="2174">
      <c r="A2174" s="1" t="s">
        <v>6822</v>
      </c>
      <c r="B2174" s="1" t="s">
        <v>77</v>
      </c>
      <c r="C2174" s="1" t="s">
        <v>6823</v>
      </c>
      <c r="D2174" s="1" t="s">
        <v>28</v>
      </c>
      <c r="E2174" s="1" t="s">
        <v>29</v>
      </c>
      <c r="F2174" s="5">
        <v>500000.0</v>
      </c>
      <c r="G2174" s="1" t="s">
        <v>3964</v>
      </c>
      <c r="H2174" s="1" t="s">
        <v>375</v>
      </c>
      <c r="I2174" s="1" t="s">
        <v>152</v>
      </c>
      <c r="K2174" s="1">
        <v>0.0</v>
      </c>
      <c r="L2174" s="1" t="s">
        <v>192</v>
      </c>
      <c r="M2174" s="1" t="str">
        <f>VLOOKUP(L2174,'Copy of PMD Workday Constants -'!B2173:W2859,22,false)</f>
        <v>#N/A</v>
      </c>
      <c r="N2174" s="1" t="s">
        <v>32</v>
      </c>
      <c r="O2174" s="1" t="s">
        <v>33</v>
      </c>
      <c r="P2174" s="1" t="s">
        <v>82</v>
      </c>
      <c r="Q2174" s="1" t="s">
        <v>82</v>
      </c>
      <c r="R2174" s="1" t="s">
        <v>83</v>
      </c>
      <c r="S2174" s="1" t="s">
        <v>84</v>
      </c>
      <c r="T2174" s="1">
        <v>1.00650575E8</v>
      </c>
      <c r="W2174" s="1" t="s">
        <v>85</v>
      </c>
      <c r="X2174" s="1" t="s">
        <v>6824</v>
      </c>
    </row>
    <row r="2175">
      <c r="A2175" s="1" t="s">
        <v>6825</v>
      </c>
      <c r="B2175" s="1" t="s">
        <v>2018</v>
      </c>
      <c r="C2175" s="1" t="s">
        <v>6826</v>
      </c>
      <c r="D2175" s="1" t="s">
        <v>28</v>
      </c>
      <c r="E2175" s="1" t="s">
        <v>29</v>
      </c>
      <c r="F2175" s="5">
        <v>500000.0</v>
      </c>
      <c r="G2175" s="1" t="s">
        <v>3964</v>
      </c>
      <c r="H2175" s="4">
        <v>44745.0</v>
      </c>
      <c r="I2175" s="1" t="s">
        <v>104</v>
      </c>
      <c r="K2175" s="1">
        <v>0.0</v>
      </c>
      <c r="L2175" s="1" t="s">
        <v>836</v>
      </c>
      <c r="M2175" s="1" t="str">
        <f>VLOOKUP(L2175,'Copy of PMD Workday Constants -'!B2174:W2860,22,false)</f>
        <v>#N/A</v>
      </c>
      <c r="N2175" s="1" t="s">
        <v>32</v>
      </c>
      <c r="O2175" s="1" t="s">
        <v>33</v>
      </c>
      <c r="P2175" s="1" t="s">
        <v>173</v>
      </c>
      <c r="Q2175" s="1" t="s">
        <v>173</v>
      </c>
      <c r="R2175" s="1" t="s">
        <v>174</v>
      </c>
      <c r="S2175" s="1" t="s">
        <v>612</v>
      </c>
      <c r="T2175" s="1">
        <v>1.00648457E8</v>
      </c>
      <c r="W2175" s="1" t="s">
        <v>140</v>
      </c>
      <c r="X2175" s="1" t="s">
        <v>836</v>
      </c>
    </row>
    <row r="2176">
      <c r="A2176" s="1" t="s">
        <v>6827</v>
      </c>
      <c r="B2176" s="1" t="s">
        <v>3036</v>
      </c>
      <c r="C2176" s="1" t="s">
        <v>6828</v>
      </c>
      <c r="D2176" s="1" t="s">
        <v>28</v>
      </c>
      <c r="E2176" s="1" t="s">
        <v>29</v>
      </c>
      <c r="F2176" s="5">
        <v>500000.0</v>
      </c>
      <c r="G2176" s="1" t="s">
        <v>3964</v>
      </c>
      <c r="H2176" s="4">
        <v>44383.0</v>
      </c>
      <c r="I2176" s="1" t="s">
        <v>414</v>
      </c>
      <c r="K2176" s="1">
        <v>0.0</v>
      </c>
      <c r="L2176" s="1" t="s">
        <v>1380</v>
      </c>
      <c r="M2176" s="1" t="str">
        <f>VLOOKUP(L2176,'Copy of PMD Workday Constants -'!B2175:W2861,22,false)</f>
        <v>#N/A</v>
      </c>
      <c r="N2176" s="1" t="s">
        <v>32</v>
      </c>
      <c r="O2176" s="1" t="s">
        <v>33</v>
      </c>
      <c r="P2176" s="1" t="s">
        <v>34</v>
      </c>
      <c r="Q2176" s="1" t="s">
        <v>34</v>
      </c>
      <c r="R2176" s="1" t="s">
        <v>35</v>
      </c>
      <c r="S2176" s="1" t="s">
        <v>126</v>
      </c>
      <c r="T2176" s="1">
        <v>1.00587434E8</v>
      </c>
      <c r="W2176" s="1" t="s">
        <v>74</v>
      </c>
      <c r="X2176" s="1" t="s">
        <v>6829</v>
      </c>
    </row>
    <row r="2177">
      <c r="A2177" s="1" t="s">
        <v>6830</v>
      </c>
      <c r="B2177" s="1" t="s">
        <v>2785</v>
      </c>
      <c r="C2177" s="1" t="s">
        <v>6831</v>
      </c>
      <c r="D2177" s="1" t="s">
        <v>28</v>
      </c>
      <c r="E2177" s="1" t="s">
        <v>29</v>
      </c>
      <c r="F2177" s="5">
        <v>500000.0</v>
      </c>
      <c r="G2177" s="1" t="s">
        <v>3964</v>
      </c>
      <c r="H2177" s="4">
        <v>44414.0</v>
      </c>
      <c r="I2177" s="1" t="s">
        <v>80</v>
      </c>
      <c r="K2177" s="1">
        <v>0.0</v>
      </c>
      <c r="L2177" s="1" t="s">
        <v>428</v>
      </c>
      <c r="M2177" s="1" t="str">
        <f>VLOOKUP(L2177,'Copy of PMD Workday Constants -'!B2176:W2862,22,false)</f>
        <v>#N/A</v>
      </c>
      <c r="N2177" s="1" t="s">
        <v>32</v>
      </c>
      <c r="O2177" s="1" t="s">
        <v>33</v>
      </c>
      <c r="P2177" s="1" t="s">
        <v>173</v>
      </c>
      <c r="Q2177" s="1" t="s">
        <v>173</v>
      </c>
      <c r="R2177" s="1" t="s">
        <v>174</v>
      </c>
      <c r="T2177" s="1">
        <v>1.00654085E8</v>
      </c>
      <c r="W2177" s="1" t="s">
        <v>85</v>
      </c>
      <c r="X2177" s="1" t="s">
        <v>3714</v>
      </c>
    </row>
    <row r="2178">
      <c r="A2178" s="1" t="s">
        <v>6832</v>
      </c>
      <c r="B2178" s="1" t="s">
        <v>804</v>
      </c>
      <c r="C2178" s="1" t="s">
        <v>6833</v>
      </c>
      <c r="D2178" s="1" t="s">
        <v>51</v>
      </c>
      <c r="E2178" s="1" t="s">
        <v>29</v>
      </c>
      <c r="F2178" s="5">
        <v>500000.0</v>
      </c>
      <c r="G2178" s="1" t="s">
        <v>3964</v>
      </c>
      <c r="H2178" s="1" t="s">
        <v>61</v>
      </c>
      <c r="I2178" s="1" t="s">
        <v>302</v>
      </c>
      <c r="K2178" s="1">
        <v>0.0</v>
      </c>
      <c r="L2178" s="1" t="s">
        <v>806</v>
      </c>
      <c r="M2178" s="1" t="str">
        <f>VLOOKUP(L2178,'Copy of PMD Workday Constants -'!B2177:W2863,22,false)</f>
        <v>#N/A</v>
      </c>
      <c r="N2178" s="1" t="s">
        <v>32</v>
      </c>
      <c r="O2178" s="1" t="s">
        <v>33</v>
      </c>
      <c r="P2178" s="1" t="s">
        <v>173</v>
      </c>
      <c r="Q2178" s="1" t="s">
        <v>173</v>
      </c>
      <c r="R2178" s="1" t="s">
        <v>174</v>
      </c>
      <c r="T2178" s="1">
        <v>1.00581784E8</v>
      </c>
      <c r="W2178" s="1" t="s">
        <v>147</v>
      </c>
      <c r="X2178" s="1" t="s">
        <v>806</v>
      </c>
    </row>
    <row r="2179">
      <c r="A2179" s="1" t="s">
        <v>6834</v>
      </c>
      <c r="B2179" s="1" t="s">
        <v>3989</v>
      </c>
      <c r="C2179" s="1" t="s">
        <v>262</v>
      </c>
      <c r="D2179" s="1" t="s">
        <v>28</v>
      </c>
      <c r="E2179" s="1" t="s">
        <v>29</v>
      </c>
      <c r="F2179" s="5">
        <v>500000.0</v>
      </c>
      <c r="G2179" s="1" t="s">
        <v>3964</v>
      </c>
      <c r="H2179" s="4">
        <v>44686.0</v>
      </c>
      <c r="I2179" s="1" t="s">
        <v>152</v>
      </c>
      <c r="K2179" s="1">
        <v>0.0</v>
      </c>
      <c r="L2179" s="1" t="s">
        <v>1505</v>
      </c>
      <c r="M2179" s="1" t="str">
        <f>VLOOKUP(L2179,'Copy of PMD Workday Constants -'!B2178:W2864,22,false)</f>
        <v>#N/A</v>
      </c>
      <c r="N2179" s="1" t="s">
        <v>32</v>
      </c>
      <c r="O2179" s="1" t="s">
        <v>33</v>
      </c>
      <c r="P2179" s="1" t="s">
        <v>112</v>
      </c>
      <c r="Q2179" s="1" t="s">
        <v>112</v>
      </c>
      <c r="R2179" s="1" t="s">
        <v>113</v>
      </c>
      <c r="S2179" s="1" t="s">
        <v>455</v>
      </c>
      <c r="T2179" s="1">
        <v>1.00651554E8</v>
      </c>
      <c r="W2179" s="1" t="s">
        <v>456</v>
      </c>
      <c r="X2179" s="1" t="s">
        <v>977</v>
      </c>
    </row>
    <row r="2180">
      <c r="A2180" s="1" t="s">
        <v>6835</v>
      </c>
      <c r="B2180" s="1" t="s">
        <v>1531</v>
      </c>
      <c r="C2180" s="1" t="s">
        <v>6836</v>
      </c>
      <c r="D2180" s="1" t="s">
        <v>28</v>
      </c>
      <c r="E2180" s="1" t="s">
        <v>29</v>
      </c>
      <c r="F2180" s="5">
        <v>500000.0</v>
      </c>
      <c r="G2180" s="1" t="s">
        <v>3964</v>
      </c>
      <c r="H2180" s="4">
        <v>44653.0</v>
      </c>
      <c r="I2180" s="4">
        <v>45237.0</v>
      </c>
      <c r="K2180" s="1">
        <v>0.0</v>
      </c>
      <c r="L2180" s="1" t="s">
        <v>3115</v>
      </c>
      <c r="M2180" s="1" t="str">
        <f>VLOOKUP(L2180,'Copy of PMD Workday Constants -'!B2179:W2865,22,false)</f>
        <v>#N/A</v>
      </c>
      <c r="N2180" s="1" t="s">
        <v>32</v>
      </c>
      <c r="O2180" s="1" t="s">
        <v>33</v>
      </c>
      <c r="P2180" s="1" t="s">
        <v>82</v>
      </c>
      <c r="Q2180" s="1" t="s">
        <v>82</v>
      </c>
      <c r="R2180" s="1" t="s">
        <v>83</v>
      </c>
      <c r="S2180" s="1" t="s">
        <v>84</v>
      </c>
      <c r="T2180" s="1">
        <v>1.00611771E8</v>
      </c>
      <c r="W2180" s="1" t="s">
        <v>85</v>
      </c>
      <c r="X2180" s="1" t="s">
        <v>1534</v>
      </c>
    </row>
    <row r="2181">
      <c r="A2181" s="1" t="s">
        <v>6837</v>
      </c>
      <c r="B2181" s="1" t="s">
        <v>5151</v>
      </c>
      <c r="C2181" s="1" t="s">
        <v>6838</v>
      </c>
      <c r="D2181" s="1" t="s">
        <v>28</v>
      </c>
      <c r="E2181" s="1" t="s">
        <v>29</v>
      </c>
      <c r="F2181" s="5">
        <v>500000.0</v>
      </c>
      <c r="G2181" s="1" t="s">
        <v>3964</v>
      </c>
      <c r="H2181" s="4">
        <v>44748.0</v>
      </c>
      <c r="I2181" s="1" t="s">
        <v>302</v>
      </c>
      <c r="K2181" s="1">
        <v>0.0</v>
      </c>
      <c r="L2181" s="1" t="s">
        <v>6839</v>
      </c>
      <c r="M2181" s="1" t="str">
        <f>VLOOKUP(L2181,'Copy of PMD Workday Constants -'!B2180:W2866,22,false)</f>
        <v>#N/A</v>
      </c>
      <c r="N2181" s="1" t="s">
        <v>32</v>
      </c>
      <c r="O2181" s="1" t="s">
        <v>33</v>
      </c>
      <c r="P2181" s="1" t="s">
        <v>222</v>
      </c>
      <c r="Q2181" s="1" t="s">
        <v>222</v>
      </c>
      <c r="R2181" s="1" t="s">
        <v>223</v>
      </c>
      <c r="T2181" s="1">
        <v>1.00613669E8</v>
      </c>
      <c r="W2181" s="1" t="s">
        <v>947</v>
      </c>
      <c r="X2181" s="1" t="s">
        <v>5153</v>
      </c>
    </row>
    <row r="2182">
      <c r="A2182" s="1" t="s">
        <v>6840</v>
      </c>
      <c r="B2182" s="1" t="s">
        <v>3293</v>
      </c>
      <c r="C2182" s="1" t="s">
        <v>6841</v>
      </c>
      <c r="D2182" s="1" t="s">
        <v>51</v>
      </c>
      <c r="E2182" s="1" t="s">
        <v>29</v>
      </c>
      <c r="F2182" s="5">
        <v>500000.0</v>
      </c>
      <c r="G2182" s="1" t="s">
        <v>3964</v>
      </c>
      <c r="H2182" s="1" t="s">
        <v>1810</v>
      </c>
      <c r="I2182" s="1" t="s">
        <v>1746</v>
      </c>
      <c r="K2182" s="1">
        <v>0.0</v>
      </c>
      <c r="L2182" s="1" t="s">
        <v>678</v>
      </c>
      <c r="M2182" s="1" t="str">
        <f>VLOOKUP(L2182,'Copy of PMD Workday Constants -'!B2181:W2867,22,false)</f>
        <v>#N/A</v>
      </c>
      <c r="N2182" s="1" t="s">
        <v>32</v>
      </c>
      <c r="O2182" s="1" t="s">
        <v>33</v>
      </c>
      <c r="P2182" s="1" t="s">
        <v>210</v>
      </c>
      <c r="Q2182" s="1" t="s">
        <v>210</v>
      </c>
      <c r="R2182" s="1" t="s">
        <v>211</v>
      </c>
      <c r="S2182" s="1" t="s">
        <v>416</v>
      </c>
      <c r="T2182" s="1">
        <v>1.00609073E8</v>
      </c>
      <c r="W2182" s="1" t="s">
        <v>56</v>
      </c>
      <c r="X2182" s="1" t="s">
        <v>6842</v>
      </c>
    </row>
    <row r="2183">
      <c r="A2183" s="1" t="s">
        <v>6843</v>
      </c>
      <c r="B2183" s="1" t="s">
        <v>3293</v>
      </c>
      <c r="C2183" s="1" t="s">
        <v>6844</v>
      </c>
      <c r="D2183" s="1" t="s">
        <v>51</v>
      </c>
      <c r="E2183" s="1" t="s">
        <v>29</v>
      </c>
      <c r="F2183" s="5">
        <v>500000.0</v>
      </c>
      <c r="G2183" s="1" t="s">
        <v>3964</v>
      </c>
      <c r="H2183" s="1" t="s">
        <v>1810</v>
      </c>
      <c r="I2183" s="1" t="s">
        <v>302</v>
      </c>
      <c r="K2183" s="1">
        <v>0.0</v>
      </c>
      <c r="L2183" s="1" t="s">
        <v>678</v>
      </c>
      <c r="M2183" s="1" t="str">
        <f>VLOOKUP(L2183,'Copy of PMD Workday Constants -'!B2182:W2868,22,false)</f>
        <v>#N/A</v>
      </c>
      <c r="N2183" s="1" t="s">
        <v>32</v>
      </c>
      <c r="O2183" s="1" t="s">
        <v>33</v>
      </c>
      <c r="P2183" s="1" t="s">
        <v>210</v>
      </c>
      <c r="Q2183" s="1" t="s">
        <v>210</v>
      </c>
      <c r="R2183" s="1" t="s">
        <v>211</v>
      </c>
      <c r="S2183" s="1" t="s">
        <v>416</v>
      </c>
      <c r="T2183" s="1">
        <v>1.00609073E8</v>
      </c>
      <c r="W2183" s="1" t="s">
        <v>56</v>
      </c>
      <c r="X2183" s="1" t="s">
        <v>6842</v>
      </c>
    </row>
    <row r="2184">
      <c r="A2184" s="1" t="s">
        <v>6845</v>
      </c>
      <c r="B2184" s="1" t="s">
        <v>40</v>
      </c>
      <c r="C2184" s="1" t="s">
        <v>6846</v>
      </c>
      <c r="D2184" s="1" t="s">
        <v>28</v>
      </c>
      <c r="E2184" s="1" t="s">
        <v>29</v>
      </c>
      <c r="F2184" s="5">
        <v>500000.0</v>
      </c>
      <c r="G2184" s="1" t="s">
        <v>3964</v>
      </c>
      <c r="H2184" s="4">
        <v>44686.0</v>
      </c>
      <c r="I2184" s="1" t="s">
        <v>1327</v>
      </c>
      <c r="K2184" s="1">
        <v>0.0</v>
      </c>
      <c r="L2184" s="1" t="s">
        <v>6847</v>
      </c>
      <c r="M2184" s="1" t="str">
        <f>VLOOKUP(L2184,'Copy of PMD Workday Constants -'!B2183:W2869,22,false)</f>
        <v>#N/A</v>
      </c>
      <c r="N2184" s="1" t="s">
        <v>32</v>
      </c>
      <c r="O2184" s="1" t="s">
        <v>33</v>
      </c>
      <c r="P2184" s="1" t="s">
        <v>54</v>
      </c>
      <c r="Q2184" s="1" t="s">
        <v>54</v>
      </c>
      <c r="R2184" s="1" t="s">
        <v>55</v>
      </c>
      <c r="T2184" s="1">
        <v>1.01186492E8</v>
      </c>
      <c r="U2184" s="1" t="s">
        <v>6848</v>
      </c>
      <c r="V2184" s="1" t="s">
        <v>46</v>
      </c>
      <c r="W2184" s="1" t="s">
        <v>47</v>
      </c>
      <c r="X2184" s="1" t="s">
        <v>6849</v>
      </c>
    </row>
    <row r="2185">
      <c r="A2185" s="1" t="s">
        <v>6850</v>
      </c>
      <c r="B2185" s="1" t="s">
        <v>6851</v>
      </c>
      <c r="C2185" s="1" t="s">
        <v>6852</v>
      </c>
      <c r="D2185" s="1" t="s">
        <v>51</v>
      </c>
      <c r="E2185" s="1" t="s">
        <v>29</v>
      </c>
      <c r="F2185" s="5">
        <v>500000.0</v>
      </c>
      <c r="G2185" s="1" t="s">
        <v>3964</v>
      </c>
      <c r="H2185" s="4">
        <v>44683.0</v>
      </c>
      <c r="I2185" s="1" t="s">
        <v>865</v>
      </c>
      <c r="K2185" s="1">
        <v>0.0</v>
      </c>
      <c r="L2185" s="1" t="s">
        <v>4679</v>
      </c>
      <c r="M2185" s="1" t="str">
        <f>VLOOKUP(L2185,'Copy of PMD Workday Constants -'!B2184:W2870,22,false)</f>
        <v>#N/A</v>
      </c>
      <c r="N2185" s="1" t="s">
        <v>32</v>
      </c>
      <c r="O2185" s="1" t="s">
        <v>33</v>
      </c>
      <c r="P2185" s="1" t="s">
        <v>222</v>
      </c>
      <c r="Q2185" s="1" t="s">
        <v>222</v>
      </c>
      <c r="R2185" s="1" t="s">
        <v>223</v>
      </c>
      <c r="S2185" s="1" t="s">
        <v>601</v>
      </c>
      <c r="T2185" s="1">
        <v>1.00620023E8</v>
      </c>
      <c r="W2185" s="1" t="s">
        <v>1181</v>
      </c>
      <c r="X2185" s="1" t="s">
        <v>6853</v>
      </c>
    </row>
    <row r="2186">
      <c r="A2186" s="1" t="s">
        <v>6854</v>
      </c>
      <c r="B2186" s="1" t="s">
        <v>561</v>
      </c>
      <c r="C2186" s="1" t="s">
        <v>6855</v>
      </c>
      <c r="D2186" s="1" t="s">
        <v>51</v>
      </c>
      <c r="E2186" s="1" t="s">
        <v>29</v>
      </c>
      <c r="F2186" s="5">
        <v>500000.0</v>
      </c>
      <c r="G2186" s="1" t="s">
        <v>3964</v>
      </c>
      <c r="H2186" s="1" t="s">
        <v>1575</v>
      </c>
      <c r="I2186" s="1" t="s">
        <v>301</v>
      </c>
      <c r="K2186" s="1">
        <v>0.0</v>
      </c>
      <c r="L2186" s="1" t="s">
        <v>1146</v>
      </c>
      <c r="M2186" s="1" t="str">
        <f>VLOOKUP(L2186,'Copy of PMD Workday Constants -'!B2185:W2871,22,false)</f>
        <v>#N/A</v>
      </c>
      <c r="N2186" s="1" t="s">
        <v>32</v>
      </c>
      <c r="O2186" s="1" t="s">
        <v>33</v>
      </c>
      <c r="P2186" s="1" t="s">
        <v>34</v>
      </c>
      <c r="Q2186" s="1" t="s">
        <v>34</v>
      </c>
      <c r="R2186" s="1" t="s">
        <v>35</v>
      </c>
      <c r="T2186" s="1">
        <v>1.01131118E8</v>
      </c>
      <c r="W2186" s="1" t="s">
        <v>37</v>
      </c>
      <c r="X2186" s="1" t="s">
        <v>6856</v>
      </c>
    </row>
    <row r="2187">
      <c r="A2187" s="1" t="s">
        <v>6857</v>
      </c>
      <c r="B2187" s="1" t="s">
        <v>317</v>
      </c>
      <c r="C2187" s="1" t="s">
        <v>6858</v>
      </c>
      <c r="D2187" s="1" t="s">
        <v>51</v>
      </c>
      <c r="E2187" s="1" t="s">
        <v>29</v>
      </c>
      <c r="F2187" s="5">
        <v>500000.0</v>
      </c>
      <c r="G2187" s="1" t="s">
        <v>3964</v>
      </c>
      <c r="H2187" s="4">
        <v>44686.0</v>
      </c>
      <c r="I2187" s="1" t="s">
        <v>80</v>
      </c>
      <c r="K2187" s="1">
        <v>0.0</v>
      </c>
      <c r="L2187" s="1" t="s">
        <v>1697</v>
      </c>
      <c r="M2187" s="1" t="str">
        <f>VLOOKUP(L2187,'Copy of PMD Workday Constants -'!B2186:W2872,22,false)</f>
        <v>#N/A</v>
      </c>
      <c r="N2187" s="1" t="s">
        <v>32</v>
      </c>
      <c r="O2187" s="1" t="s">
        <v>33</v>
      </c>
      <c r="P2187" s="1" t="s">
        <v>82</v>
      </c>
      <c r="Q2187" s="1" t="s">
        <v>82</v>
      </c>
      <c r="R2187" s="1" t="s">
        <v>83</v>
      </c>
      <c r="S2187" s="1" t="s">
        <v>84</v>
      </c>
      <c r="T2187" s="1">
        <v>1.00589728E8</v>
      </c>
      <c r="W2187" s="1" t="s">
        <v>85</v>
      </c>
      <c r="X2187" s="1" t="s">
        <v>4682</v>
      </c>
    </row>
    <row r="2188">
      <c r="A2188" s="1" t="s">
        <v>6859</v>
      </c>
      <c r="B2188" s="1" t="s">
        <v>3420</v>
      </c>
      <c r="C2188" s="1" t="s">
        <v>6860</v>
      </c>
      <c r="D2188" s="1" t="s">
        <v>51</v>
      </c>
      <c r="E2188" s="1" t="s">
        <v>29</v>
      </c>
      <c r="F2188" s="5">
        <v>500000.0</v>
      </c>
      <c r="G2188" s="1" t="s">
        <v>3964</v>
      </c>
      <c r="H2188" s="4">
        <v>44686.0</v>
      </c>
      <c r="I2188" s="1" t="s">
        <v>132</v>
      </c>
      <c r="K2188" s="1">
        <v>0.0</v>
      </c>
      <c r="L2188" s="1" t="s">
        <v>3848</v>
      </c>
      <c r="M2188" s="1" t="str">
        <f>VLOOKUP(L2188,'Copy of PMD Workday Constants -'!B2187:W2873,22,false)</f>
        <v>#N/A</v>
      </c>
      <c r="N2188" s="1" t="s">
        <v>32</v>
      </c>
      <c r="O2188" s="1" t="s">
        <v>33</v>
      </c>
      <c r="P2188" s="1" t="s">
        <v>173</v>
      </c>
      <c r="Q2188" s="1" t="s">
        <v>173</v>
      </c>
      <c r="R2188" s="1" t="s">
        <v>174</v>
      </c>
      <c r="S2188" s="1" t="s">
        <v>612</v>
      </c>
      <c r="T2188" s="1">
        <v>1.00654914E8</v>
      </c>
      <c r="W2188" s="1" t="s">
        <v>140</v>
      </c>
      <c r="X2188" s="1" t="s">
        <v>3849</v>
      </c>
    </row>
    <row r="2189">
      <c r="A2189" s="1" t="s">
        <v>6861</v>
      </c>
      <c r="B2189" s="1" t="s">
        <v>40</v>
      </c>
      <c r="C2189" s="1" t="s">
        <v>6862</v>
      </c>
      <c r="D2189" s="1" t="s">
        <v>28</v>
      </c>
      <c r="E2189" s="1" t="s">
        <v>29</v>
      </c>
      <c r="F2189" s="5">
        <v>500000.0</v>
      </c>
      <c r="G2189" s="1" t="s">
        <v>3964</v>
      </c>
      <c r="H2189" s="4">
        <v>44686.0</v>
      </c>
      <c r="I2189" s="1" t="s">
        <v>1528</v>
      </c>
      <c r="K2189" s="1">
        <v>0.0</v>
      </c>
      <c r="L2189" s="1" t="s">
        <v>6847</v>
      </c>
      <c r="M2189" s="1" t="str">
        <f>VLOOKUP(L2189,'Copy of PMD Workday Constants -'!B2188:W2874,22,false)</f>
        <v>#N/A</v>
      </c>
      <c r="N2189" s="1" t="s">
        <v>32</v>
      </c>
      <c r="O2189" s="1" t="s">
        <v>33</v>
      </c>
      <c r="P2189" s="1" t="s">
        <v>54</v>
      </c>
      <c r="Q2189" s="1" t="s">
        <v>54</v>
      </c>
      <c r="R2189" s="1" t="s">
        <v>55</v>
      </c>
      <c r="T2189" s="1">
        <v>1.01186492E8</v>
      </c>
      <c r="U2189" s="1" t="s">
        <v>6848</v>
      </c>
      <c r="V2189" s="1" t="s">
        <v>46</v>
      </c>
      <c r="W2189" s="1" t="s">
        <v>47</v>
      </c>
      <c r="X2189" s="1" t="s">
        <v>6849</v>
      </c>
    </row>
    <row r="2190">
      <c r="A2190" s="1" t="s">
        <v>6863</v>
      </c>
      <c r="B2190" s="1" t="s">
        <v>289</v>
      </c>
      <c r="C2190" s="1" t="s">
        <v>6864</v>
      </c>
      <c r="D2190" s="1" t="s">
        <v>28</v>
      </c>
      <c r="E2190" s="1" t="s">
        <v>29</v>
      </c>
      <c r="F2190" s="5">
        <v>500000.0</v>
      </c>
      <c r="G2190" s="1" t="s">
        <v>3964</v>
      </c>
      <c r="H2190" s="1" t="s">
        <v>698</v>
      </c>
      <c r="I2190" s="4">
        <v>44568.0</v>
      </c>
      <c r="K2190" s="1">
        <v>0.0</v>
      </c>
      <c r="L2190" s="1" t="s">
        <v>2174</v>
      </c>
      <c r="M2190" s="1" t="str">
        <f>VLOOKUP(L2190,'Copy of PMD Workday Constants -'!B2189:W2875,22,false)</f>
        <v>#N/A</v>
      </c>
      <c r="N2190" s="1" t="s">
        <v>32</v>
      </c>
      <c r="O2190" s="1" t="s">
        <v>33</v>
      </c>
      <c r="P2190" s="1" t="s">
        <v>112</v>
      </c>
      <c r="Q2190" s="1" t="s">
        <v>112</v>
      </c>
      <c r="R2190" s="1" t="s">
        <v>113</v>
      </c>
      <c r="S2190" s="1" t="s">
        <v>134</v>
      </c>
      <c r="T2190" s="1">
        <v>1.00631322E8</v>
      </c>
      <c r="W2190" s="1" t="s">
        <v>74</v>
      </c>
      <c r="X2190" s="1" t="s">
        <v>852</v>
      </c>
    </row>
    <row r="2191">
      <c r="A2191" s="1" t="s">
        <v>6865</v>
      </c>
      <c r="B2191" s="1" t="s">
        <v>615</v>
      </c>
      <c r="C2191" s="1" t="s">
        <v>6866</v>
      </c>
      <c r="D2191" s="1" t="s">
        <v>51</v>
      </c>
      <c r="E2191" s="1" t="s">
        <v>29</v>
      </c>
      <c r="F2191" s="5">
        <v>500000.0</v>
      </c>
      <c r="G2191" s="1" t="s">
        <v>3964</v>
      </c>
      <c r="H2191" s="4">
        <v>44840.0</v>
      </c>
      <c r="I2191" s="1" t="s">
        <v>191</v>
      </c>
      <c r="K2191" s="1">
        <v>0.0</v>
      </c>
      <c r="L2191" s="1" t="s">
        <v>3734</v>
      </c>
      <c r="M2191" s="1" t="str">
        <f>VLOOKUP(L2191,'Copy of PMD Workday Constants -'!B2190:W2876,22,false)</f>
        <v>#N/A</v>
      </c>
      <c r="N2191" s="1" t="s">
        <v>32</v>
      </c>
      <c r="O2191" s="1" t="s">
        <v>33</v>
      </c>
      <c r="P2191" s="1" t="s">
        <v>173</v>
      </c>
      <c r="Q2191" s="1" t="s">
        <v>173</v>
      </c>
      <c r="R2191" s="1" t="s">
        <v>174</v>
      </c>
      <c r="T2191" s="1">
        <v>1.00589248E8</v>
      </c>
      <c r="W2191" s="1" t="s">
        <v>74</v>
      </c>
      <c r="X2191" s="1" t="s">
        <v>6867</v>
      </c>
    </row>
    <row r="2192">
      <c r="A2192" s="1" t="s">
        <v>6868</v>
      </c>
      <c r="B2192" s="1" t="s">
        <v>304</v>
      </c>
      <c r="C2192" s="1" t="s">
        <v>6869</v>
      </c>
      <c r="D2192" s="1" t="s">
        <v>51</v>
      </c>
      <c r="E2192" s="1" t="s">
        <v>29</v>
      </c>
      <c r="F2192" s="5">
        <v>500000.0</v>
      </c>
      <c r="G2192" s="1" t="s">
        <v>3964</v>
      </c>
      <c r="H2192" s="4">
        <v>44351.0</v>
      </c>
      <c r="I2192" s="1" t="s">
        <v>575</v>
      </c>
      <c r="K2192" s="1">
        <v>0.0</v>
      </c>
      <c r="L2192" s="1" t="s">
        <v>1198</v>
      </c>
      <c r="M2192" s="1" t="str">
        <f>VLOOKUP(L2192,'Copy of PMD Workday Constants -'!B2191:W2877,22,false)</f>
        <v>#N/A</v>
      </c>
      <c r="N2192" s="1" t="s">
        <v>32</v>
      </c>
      <c r="O2192" s="1" t="s">
        <v>33</v>
      </c>
      <c r="P2192" s="1" t="s">
        <v>64</v>
      </c>
      <c r="Q2192" s="1" t="s">
        <v>64</v>
      </c>
      <c r="R2192" s="1" t="s">
        <v>65</v>
      </c>
      <c r="T2192" s="1">
        <v>1.01127868E8</v>
      </c>
      <c r="W2192" s="1" t="s">
        <v>308</v>
      </c>
      <c r="X2192" s="1" t="s">
        <v>309</v>
      </c>
    </row>
    <row r="2193">
      <c r="A2193" s="1" t="s">
        <v>6870</v>
      </c>
      <c r="B2193" s="1" t="s">
        <v>1109</v>
      </c>
      <c r="C2193" s="1" t="s">
        <v>6871</v>
      </c>
      <c r="D2193" s="1" t="s">
        <v>28</v>
      </c>
      <c r="E2193" s="1" t="s">
        <v>29</v>
      </c>
      <c r="F2193" s="5">
        <v>500000.0</v>
      </c>
      <c r="G2193" s="1" t="s">
        <v>3964</v>
      </c>
      <c r="H2193" s="4">
        <v>44837.0</v>
      </c>
      <c r="I2193" s="1" t="s">
        <v>406</v>
      </c>
      <c r="K2193" s="1">
        <v>0.0</v>
      </c>
      <c r="L2193" s="1" t="s">
        <v>1083</v>
      </c>
      <c r="M2193" s="1" t="str">
        <f>VLOOKUP(L2193,'Copy of PMD Workday Constants -'!B2192:W2878,22,false)</f>
        <v>#N/A</v>
      </c>
      <c r="N2193" s="1" t="s">
        <v>32</v>
      </c>
      <c r="O2193" s="1" t="s">
        <v>33</v>
      </c>
      <c r="P2193" s="1" t="s">
        <v>82</v>
      </c>
      <c r="Q2193" s="1" t="s">
        <v>82</v>
      </c>
      <c r="R2193" s="1" t="s">
        <v>83</v>
      </c>
      <c r="S2193" s="1" t="s">
        <v>84</v>
      </c>
      <c r="T2193" s="1">
        <v>1.01131115E8</v>
      </c>
      <c r="W2193" s="1" t="s">
        <v>85</v>
      </c>
      <c r="X2193" s="1" t="s">
        <v>1083</v>
      </c>
    </row>
    <row r="2194">
      <c r="A2194" s="1" t="s">
        <v>6872</v>
      </c>
      <c r="B2194" s="1" t="s">
        <v>485</v>
      </c>
      <c r="C2194" s="1" t="s">
        <v>6873</v>
      </c>
      <c r="D2194" s="1" t="s">
        <v>51</v>
      </c>
      <c r="E2194" s="1" t="s">
        <v>29</v>
      </c>
      <c r="F2194" s="5">
        <v>500000.0</v>
      </c>
      <c r="G2194" s="1" t="s">
        <v>3964</v>
      </c>
      <c r="H2194" s="4">
        <v>44541.0</v>
      </c>
      <c r="I2194" s="1" t="s">
        <v>104</v>
      </c>
      <c r="K2194" s="1">
        <v>0.0</v>
      </c>
      <c r="L2194" s="1" t="s">
        <v>428</v>
      </c>
      <c r="M2194" s="1" t="str">
        <f>VLOOKUP(L2194,'Copy of PMD Workday Constants -'!B2193:W2879,22,false)</f>
        <v>#N/A</v>
      </c>
      <c r="N2194" s="1" t="s">
        <v>32</v>
      </c>
      <c r="O2194" s="1" t="s">
        <v>33</v>
      </c>
      <c r="P2194" s="1" t="s">
        <v>173</v>
      </c>
      <c r="Q2194" s="1" t="s">
        <v>173</v>
      </c>
      <c r="R2194" s="1" t="s">
        <v>174</v>
      </c>
      <c r="S2194" s="1" t="s">
        <v>180</v>
      </c>
      <c r="T2194" s="1">
        <v>1.00654085E8</v>
      </c>
      <c r="W2194" s="1" t="s">
        <v>85</v>
      </c>
      <c r="X2194" s="1" t="s">
        <v>6874</v>
      </c>
    </row>
    <row r="2195">
      <c r="A2195" s="1" t="s">
        <v>6875</v>
      </c>
      <c r="B2195" s="1" t="s">
        <v>2236</v>
      </c>
      <c r="C2195" s="1" t="s">
        <v>6876</v>
      </c>
      <c r="D2195" s="1" t="s">
        <v>28</v>
      </c>
      <c r="E2195" s="1" t="s">
        <v>29</v>
      </c>
      <c r="F2195" s="5">
        <v>500000.0</v>
      </c>
      <c r="G2195" s="1" t="s">
        <v>3964</v>
      </c>
      <c r="H2195" s="4">
        <v>44809.0</v>
      </c>
      <c r="I2195" s="4">
        <v>44601.0</v>
      </c>
      <c r="K2195" s="1">
        <v>0.0</v>
      </c>
      <c r="L2195" s="1" t="s">
        <v>255</v>
      </c>
      <c r="M2195" s="1" t="str">
        <f>VLOOKUP(L2195,'Copy of PMD Workday Constants -'!B2194:W2880,22,false)</f>
        <v>#N/A</v>
      </c>
      <c r="N2195" s="1" t="s">
        <v>32</v>
      </c>
      <c r="O2195" s="1" t="s">
        <v>33</v>
      </c>
      <c r="P2195" s="1" t="s">
        <v>112</v>
      </c>
      <c r="Q2195" s="1" t="s">
        <v>112</v>
      </c>
      <c r="R2195" s="1" t="s">
        <v>113</v>
      </c>
      <c r="S2195" s="1" t="s">
        <v>256</v>
      </c>
      <c r="T2195" s="1">
        <v>1.00659114E8</v>
      </c>
      <c r="W2195" s="1" t="s">
        <v>258</v>
      </c>
      <c r="X2195" s="1" t="s">
        <v>2238</v>
      </c>
    </row>
    <row r="2196">
      <c r="A2196" s="1" t="s">
        <v>6877</v>
      </c>
      <c r="B2196" s="1" t="s">
        <v>6878</v>
      </c>
      <c r="C2196" s="1" t="s">
        <v>6218</v>
      </c>
      <c r="D2196" s="1" t="s">
        <v>51</v>
      </c>
      <c r="E2196" s="1" t="s">
        <v>29</v>
      </c>
      <c r="F2196" s="5">
        <v>500000.0</v>
      </c>
      <c r="G2196" s="1" t="s">
        <v>3964</v>
      </c>
      <c r="H2196" s="1" t="s">
        <v>6879</v>
      </c>
      <c r="I2196" s="1" t="s">
        <v>43</v>
      </c>
      <c r="K2196" s="1">
        <v>0.0</v>
      </c>
      <c r="L2196" s="1" t="s">
        <v>4608</v>
      </c>
      <c r="M2196" s="1" t="str">
        <f>VLOOKUP(L2196,'Copy of PMD Workday Constants -'!B2195:W2881,22,false)</f>
        <v>#N/A</v>
      </c>
      <c r="N2196" s="1" t="s">
        <v>32</v>
      </c>
      <c r="O2196" s="1" t="s">
        <v>33</v>
      </c>
      <c r="P2196" s="1" t="s">
        <v>222</v>
      </c>
      <c r="Q2196" s="1" t="s">
        <v>222</v>
      </c>
      <c r="R2196" s="1" t="s">
        <v>223</v>
      </c>
      <c r="S2196" s="1" t="s">
        <v>482</v>
      </c>
      <c r="T2196" s="1">
        <v>1.00592715E8</v>
      </c>
      <c r="W2196" s="1" t="s">
        <v>115</v>
      </c>
      <c r="X2196" s="1" t="s">
        <v>5753</v>
      </c>
    </row>
    <row r="2197">
      <c r="A2197" s="1" t="s">
        <v>6880</v>
      </c>
      <c r="B2197" s="1" t="s">
        <v>1703</v>
      </c>
      <c r="C2197" s="1" t="s">
        <v>6881</v>
      </c>
      <c r="D2197" s="1" t="s">
        <v>79</v>
      </c>
      <c r="E2197" s="1" t="s">
        <v>29</v>
      </c>
      <c r="F2197" s="5">
        <v>500000.0</v>
      </c>
      <c r="G2197" s="1" t="s">
        <v>3964</v>
      </c>
      <c r="H2197" s="4">
        <v>44655.0</v>
      </c>
      <c r="I2197" s="1" t="s">
        <v>526</v>
      </c>
      <c r="K2197" s="1">
        <v>0.0</v>
      </c>
      <c r="L2197" s="1" t="s">
        <v>3674</v>
      </c>
      <c r="M2197" s="1" t="str">
        <f>VLOOKUP(L2197,'Copy of PMD Workday Constants -'!B2196:W2882,22,false)</f>
        <v>#N/A</v>
      </c>
      <c r="N2197" s="1" t="s">
        <v>32</v>
      </c>
      <c r="O2197" s="1" t="s">
        <v>33</v>
      </c>
      <c r="P2197" s="1" t="s">
        <v>173</v>
      </c>
      <c r="Q2197" s="1" t="s">
        <v>173</v>
      </c>
      <c r="R2197" s="1" t="s">
        <v>174</v>
      </c>
      <c r="T2197" s="1">
        <v>1.0058537E8</v>
      </c>
      <c r="W2197" s="1" t="s">
        <v>456</v>
      </c>
      <c r="X2197" s="1" t="s">
        <v>3674</v>
      </c>
    </row>
    <row r="2198">
      <c r="A2198" s="1" t="s">
        <v>6882</v>
      </c>
      <c r="B2198" s="1" t="s">
        <v>1257</v>
      </c>
      <c r="C2198" s="1" t="s">
        <v>6883</v>
      </c>
      <c r="D2198" s="1" t="s">
        <v>28</v>
      </c>
      <c r="E2198" s="1" t="s">
        <v>29</v>
      </c>
      <c r="F2198" s="5">
        <v>500000.0</v>
      </c>
      <c r="G2198" s="1" t="s">
        <v>3964</v>
      </c>
      <c r="H2198" s="4">
        <v>44869.0</v>
      </c>
      <c r="I2198" s="1" t="s">
        <v>80</v>
      </c>
      <c r="K2198" s="1">
        <v>0.0</v>
      </c>
      <c r="L2198" s="1" t="s">
        <v>6884</v>
      </c>
      <c r="M2198" s="1" t="str">
        <f>VLOOKUP(L2198,'Copy of PMD Workday Constants -'!B2197:W2883,22,false)</f>
        <v>#N/A</v>
      </c>
      <c r="N2198" s="1" t="s">
        <v>32</v>
      </c>
      <c r="O2198" s="1" t="s">
        <v>33</v>
      </c>
      <c r="P2198" s="1" t="s">
        <v>210</v>
      </c>
      <c r="Q2198" s="1" t="s">
        <v>210</v>
      </c>
      <c r="R2198" s="1" t="s">
        <v>211</v>
      </c>
      <c r="T2198" s="1">
        <v>1.00595346E8</v>
      </c>
      <c r="W2198" s="1" t="s">
        <v>56</v>
      </c>
      <c r="X2198" s="1" t="s">
        <v>6884</v>
      </c>
    </row>
    <row r="2199">
      <c r="A2199" s="1" t="s">
        <v>6885</v>
      </c>
      <c r="B2199" s="1" t="s">
        <v>2263</v>
      </c>
      <c r="C2199" s="1" t="s">
        <v>6886</v>
      </c>
      <c r="D2199" s="1" t="s">
        <v>28</v>
      </c>
      <c r="E2199" s="1" t="s">
        <v>29</v>
      </c>
      <c r="F2199" s="5">
        <v>500000.0</v>
      </c>
      <c r="G2199" s="1" t="s">
        <v>3964</v>
      </c>
      <c r="H2199" s="4">
        <v>44239.0</v>
      </c>
      <c r="I2199" s="1" t="s">
        <v>80</v>
      </c>
      <c r="K2199" s="1">
        <v>0.0</v>
      </c>
      <c r="L2199" s="1" t="s">
        <v>2417</v>
      </c>
      <c r="M2199" s="1" t="str">
        <f>VLOOKUP(L2199,'Copy of PMD Workday Constants -'!B2198:W2884,22,false)</f>
        <v>#N/A</v>
      </c>
      <c r="N2199" s="1" t="s">
        <v>32</v>
      </c>
      <c r="O2199" s="1" t="s">
        <v>33</v>
      </c>
      <c r="P2199" s="1" t="s">
        <v>34</v>
      </c>
      <c r="Q2199" s="1" t="s">
        <v>34</v>
      </c>
      <c r="R2199" s="1" t="s">
        <v>35</v>
      </c>
      <c r="T2199" s="1">
        <v>1.00642238E8</v>
      </c>
      <c r="W2199" s="1" t="s">
        <v>577</v>
      </c>
      <c r="X2199" s="1" t="s">
        <v>4647</v>
      </c>
    </row>
    <row r="2200">
      <c r="A2200" s="1" t="s">
        <v>6887</v>
      </c>
      <c r="B2200" s="1" t="s">
        <v>6888</v>
      </c>
      <c r="C2200" s="1" t="s">
        <v>6889</v>
      </c>
      <c r="D2200" s="1" t="s">
        <v>51</v>
      </c>
      <c r="E2200" s="1" t="s">
        <v>29</v>
      </c>
      <c r="F2200" s="5">
        <v>500000.0</v>
      </c>
      <c r="G2200" s="1" t="s">
        <v>3964</v>
      </c>
      <c r="H2200" s="4">
        <v>43842.0</v>
      </c>
      <c r="I2200" s="1" t="s">
        <v>166</v>
      </c>
      <c r="K2200" s="1">
        <v>0.0</v>
      </c>
      <c r="L2200" s="1" t="s">
        <v>319</v>
      </c>
      <c r="M2200" s="1" t="str">
        <f>VLOOKUP(L2200,'Copy of PMD Workday Constants -'!B2199:W2885,22,false)</f>
        <v>#N/A</v>
      </c>
      <c r="N2200" s="1" t="s">
        <v>32</v>
      </c>
      <c r="O2200" s="1" t="s">
        <v>33</v>
      </c>
      <c r="P2200" s="1" t="s">
        <v>82</v>
      </c>
      <c r="Q2200" s="1" t="s">
        <v>82</v>
      </c>
      <c r="R2200" s="1" t="s">
        <v>83</v>
      </c>
      <c r="S2200" s="1" t="s">
        <v>84</v>
      </c>
      <c r="T2200" s="1">
        <v>1.00654705E8</v>
      </c>
      <c r="W2200" s="1" t="s">
        <v>85</v>
      </c>
      <c r="X2200" s="1" t="s">
        <v>1534</v>
      </c>
    </row>
    <row r="2201">
      <c r="A2201" s="1" t="s">
        <v>6890</v>
      </c>
      <c r="B2201" s="1" t="s">
        <v>1112</v>
      </c>
      <c r="C2201" s="1" t="s">
        <v>6891</v>
      </c>
      <c r="D2201" s="1" t="s">
        <v>103</v>
      </c>
      <c r="E2201" s="1" t="s">
        <v>29</v>
      </c>
      <c r="F2201" s="5">
        <v>500000.0</v>
      </c>
      <c r="G2201" s="1" t="s">
        <v>3964</v>
      </c>
      <c r="H2201" s="1" t="s">
        <v>2510</v>
      </c>
      <c r="I2201" s="1" t="s">
        <v>3052</v>
      </c>
      <c r="K2201" s="1">
        <v>0.0</v>
      </c>
      <c r="L2201" s="1" t="s">
        <v>3734</v>
      </c>
      <c r="M2201" s="1" t="str">
        <f>VLOOKUP(L2201,'Copy of PMD Workday Constants -'!B2200:W2886,22,false)</f>
        <v>#N/A</v>
      </c>
      <c r="N2201" s="1" t="s">
        <v>32</v>
      </c>
      <c r="O2201" s="1" t="s">
        <v>33</v>
      </c>
      <c r="P2201" s="1" t="s">
        <v>173</v>
      </c>
      <c r="Q2201" s="1" t="s">
        <v>173</v>
      </c>
      <c r="R2201" s="1" t="s">
        <v>174</v>
      </c>
      <c r="T2201" s="1">
        <v>1.00589248E8</v>
      </c>
      <c r="W2201" s="1" t="s">
        <v>56</v>
      </c>
      <c r="X2201" s="1" t="s">
        <v>3735</v>
      </c>
    </row>
    <row r="2202">
      <c r="A2202" s="1" t="s">
        <v>6892</v>
      </c>
      <c r="B2202" s="1" t="s">
        <v>1154</v>
      </c>
      <c r="C2202" s="1" t="s">
        <v>6893</v>
      </c>
      <c r="D2202" s="1" t="s">
        <v>28</v>
      </c>
      <c r="E2202" s="1" t="s">
        <v>29</v>
      </c>
      <c r="F2202" s="5">
        <v>500000.0</v>
      </c>
      <c r="G2202" s="1" t="s">
        <v>3964</v>
      </c>
      <c r="H2202" s="4">
        <v>44840.0</v>
      </c>
      <c r="I2202" s="1" t="s">
        <v>264</v>
      </c>
      <c r="K2202" s="1">
        <v>0.0</v>
      </c>
      <c r="L2202" s="1" t="s">
        <v>1151</v>
      </c>
      <c r="M2202" s="1" t="str">
        <f>VLOOKUP(L2202,'Copy of PMD Workday Constants -'!B2201:W2887,22,false)</f>
        <v>#N/A</v>
      </c>
      <c r="N2202" s="1" t="s">
        <v>32</v>
      </c>
      <c r="O2202" s="1" t="s">
        <v>33</v>
      </c>
      <c r="P2202" s="1" t="s">
        <v>173</v>
      </c>
      <c r="Q2202" s="1" t="s">
        <v>173</v>
      </c>
      <c r="R2202" s="1" t="s">
        <v>174</v>
      </c>
      <c r="S2202" s="1" t="s">
        <v>612</v>
      </c>
      <c r="T2202" s="1">
        <v>1.00654991E8</v>
      </c>
      <c r="W2202" s="1" t="s">
        <v>947</v>
      </c>
      <c r="X2202" s="1" t="s">
        <v>4072</v>
      </c>
    </row>
    <row r="2203">
      <c r="A2203" s="1" t="s">
        <v>6894</v>
      </c>
      <c r="B2203" s="1" t="s">
        <v>4514</v>
      </c>
      <c r="C2203" s="1" t="s">
        <v>6895</v>
      </c>
      <c r="D2203" s="1" t="s">
        <v>103</v>
      </c>
      <c r="E2203" s="1" t="s">
        <v>29</v>
      </c>
      <c r="F2203" s="5">
        <v>500000.0</v>
      </c>
      <c r="G2203" s="1" t="s">
        <v>3964</v>
      </c>
      <c r="H2203" s="1" t="s">
        <v>170</v>
      </c>
      <c r="I2203" s="1" t="s">
        <v>732</v>
      </c>
      <c r="K2203" s="1">
        <v>0.0</v>
      </c>
      <c r="L2203" s="1" t="s">
        <v>3249</v>
      </c>
      <c r="M2203" s="1" t="str">
        <f>VLOOKUP(L2203,'Copy of PMD Workday Constants -'!B2202:W2888,22,false)</f>
        <v>#N/A</v>
      </c>
      <c r="N2203" s="1" t="s">
        <v>32</v>
      </c>
      <c r="O2203" s="1" t="s">
        <v>33</v>
      </c>
      <c r="P2203" s="1" t="s">
        <v>173</v>
      </c>
      <c r="Q2203" s="1" t="s">
        <v>173</v>
      </c>
      <c r="R2203" s="1" t="s">
        <v>174</v>
      </c>
      <c r="T2203" s="1">
        <v>1.00633763E8</v>
      </c>
      <c r="W2203" s="1" t="s">
        <v>115</v>
      </c>
      <c r="X2203" s="1" t="s">
        <v>5014</v>
      </c>
    </row>
    <row r="2204">
      <c r="A2204" s="1" t="s">
        <v>6896</v>
      </c>
      <c r="B2204" s="1" t="s">
        <v>3355</v>
      </c>
      <c r="C2204" s="1" t="s">
        <v>6897</v>
      </c>
      <c r="D2204" s="1" t="s">
        <v>28</v>
      </c>
      <c r="E2204" s="1" t="s">
        <v>29</v>
      </c>
      <c r="F2204" s="5">
        <v>500000.0</v>
      </c>
      <c r="G2204" s="1" t="s">
        <v>3964</v>
      </c>
      <c r="H2204" s="4">
        <v>44327.0</v>
      </c>
      <c r="I2204" s="1" t="s">
        <v>2110</v>
      </c>
      <c r="K2204" s="1">
        <v>0.0</v>
      </c>
      <c r="L2204" s="1" t="s">
        <v>72</v>
      </c>
      <c r="M2204" s="1" t="str">
        <f>VLOOKUP(L2204,'Copy of PMD Workday Constants -'!B2203:W2889,22,false)</f>
        <v>#N/A</v>
      </c>
      <c r="N2204" s="1" t="s">
        <v>32</v>
      </c>
      <c r="O2204" s="1" t="s">
        <v>33</v>
      </c>
      <c r="P2204" s="1" t="s">
        <v>34</v>
      </c>
      <c r="Q2204" s="1" t="s">
        <v>34</v>
      </c>
      <c r="R2204" s="1" t="s">
        <v>35</v>
      </c>
      <c r="S2204" s="1" t="s">
        <v>126</v>
      </c>
      <c r="T2204" s="1">
        <v>1.0060843E8</v>
      </c>
      <c r="W2204" s="1" t="s">
        <v>74</v>
      </c>
      <c r="X2204" s="1" t="s">
        <v>72</v>
      </c>
    </row>
    <row r="2205">
      <c r="A2205" s="1" t="s">
        <v>6898</v>
      </c>
      <c r="B2205" s="1" t="s">
        <v>3355</v>
      </c>
      <c r="C2205" s="1" t="s">
        <v>6899</v>
      </c>
      <c r="D2205" s="1" t="s">
        <v>28</v>
      </c>
      <c r="E2205" s="1" t="s">
        <v>29</v>
      </c>
      <c r="F2205" s="5">
        <v>500000.0</v>
      </c>
      <c r="G2205" s="1" t="s">
        <v>3964</v>
      </c>
      <c r="H2205" s="4">
        <v>44327.0</v>
      </c>
      <c r="I2205" s="1" t="s">
        <v>2110</v>
      </c>
      <c r="K2205" s="1">
        <v>0.0</v>
      </c>
      <c r="L2205" s="1" t="s">
        <v>72</v>
      </c>
      <c r="M2205" s="1" t="str">
        <f>VLOOKUP(L2205,'Copy of PMD Workday Constants -'!B2204:W2890,22,false)</f>
        <v>#N/A</v>
      </c>
      <c r="N2205" s="1" t="s">
        <v>32</v>
      </c>
      <c r="O2205" s="1" t="s">
        <v>33</v>
      </c>
      <c r="P2205" s="1" t="s">
        <v>34</v>
      </c>
      <c r="Q2205" s="1" t="s">
        <v>34</v>
      </c>
      <c r="R2205" s="1" t="s">
        <v>35</v>
      </c>
      <c r="S2205" s="1" t="s">
        <v>126</v>
      </c>
      <c r="T2205" s="1">
        <v>1.0060843E8</v>
      </c>
      <c r="W2205" s="1" t="s">
        <v>74</v>
      </c>
      <c r="X2205" s="1" t="s">
        <v>72</v>
      </c>
    </row>
    <row r="2206">
      <c r="A2206" s="1" t="s">
        <v>6900</v>
      </c>
      <c r="B2206" s="1" t="s">
        <v>341</v>
      </c>
      <c r="C2206" s="1" t="s">
        <v>6901</v>
      </c>
      <c r="D2206" s="1" t="s">
        <v>28</v>
      </c>
      <c r="E2206" s="1" t="s">
        <v>29</v>
      </c>
      <c r="F2206" s="5">
        <v>500000.0</v>
      </c>
      <c r="G2206" s="1" t="s">
        <v>3964</v>
      </c>
      <c r="H2206" s="1" t="s">
        <v>170</v>
      </c>
      <c r="I2206" s="4">
        <v>44693.0</v>
      </c>
      <c r="K2206" s="1">
        <v>0.0</v>
      </c>
      <c r="L2206" s="1" t="s">
        <v>415</v>
      </c>
      <c r="M2206" s="1" t="str">
        <f>VLOOKUP(L2206,'Copy of PMD Workday Constants -'!B2205:W2891,22,false)</f>
        <v>#N/A</v>
      </c>
      <c r="N2206" s="1" t="s">
        <v>32</v>
      </c>
      <c r="O2206" s="1" t="s">
        <v>33</v>
      </c>
      <c r="P2206" s="1" t="s">
        <v>210</v>
      </c>
      <c r="Q2206" s="1" t="s">
        <v>210</v>
      </c>
      <c r="R2206" s="1" t="s">
        <v>211</v>
      </c>
      <c r="T2206" s="1">
        <v>1.00650375E8</v>
      </c>
      <c r="W2206" s="1" t="s">
        <v>85</v>
      </c>
      <c r="X2206" s="1" t="s">
        <v>415</v>
      </c>
    </row>
    <row r="2207">
      <c r="A2207" s="1" t="s">
        <v>6902</v>
      </c>
      <c r="B2207" s="1" t="s">
        <v>507</v>
      </c>
      <c r="C2207" s="1" t="s">
        <v>6903</v>
      </c>
      <c r="D2207" s="1" t="s">
        <v>28</v>
      </c>
      <c r="E2207" s="1" t="s">
        <v>29</v>
      </c>
      <c r="F2207" s="5">
        <v>500000.0</v>
      </c>
      <c r="G2207" s="1" t="s">
        <v>3964</v>
      </c>
      <c r="H2207" s="1" t="s">
        <v>6904</v>
      </c>
      <c r="I2207" s="1" t="s">
        <v>80</v>
      </c>
      <c r="K2207" s="1">
        <v>0.0</v>
      </c>
      <c r="L2207" s="1" t="s">
        <v>6905</v>
      </c>
      <c r="M2207" s="1" t="str">
        <f>VLOOKUP(L2207,'Copy of PMD Workday Constants -'!B2206:W2892,22,false)</f>
        <v>#N/A</v>
      </c>
      <c r="N2207" s="1" t="s">
        <v>32</v>
      </c>
      <c r="O2207" s="1" t="s">
        <v>33</v>
      </c>
      <c r="P2207" s="1" t="s">
        <v>64</v>
      </c>
      <c r="Q2207" s="1" t="s">
        <v>64</v>
      </c>
      <c r="R2207" s="1" t="s">
        <v>65</v>
      </c>
      <c r="S2207" s="1" t="s">
        <v>791</v>
      </c>
      <c r="T2207" s="1">
        <v>1.0065104E8</v>
      </c>
      <c r="W2207" s="1" t="s">
        <v>456</v>
      </c>
      <c r="X2207" s="1" t="s">
        <v>6905</v>
      </c>
    </row>
    <row r="2208">
      <c r="A2208" s="1" t="s">
        <v>6906</v>
      </c>
      <c r="B2208" s="1" t="s">
        <v>5822</v>
      </c>
      <c r="C2208" s="1" t="s">
        <v>6907</v>
      </c>
      <c r="D2208" s="1" t="s">
        <v>28</v>
      </c>
      <c r="E2208" s="1" t="s">
        <v>29</v>
      </c>
      <c r="F2208" s="5">
        <v>500000.0</v>
      </c>
      <c r="G2208" s="1" t="s">
        <v>3964</v>
      </c>
      <c r="H2208" s="1" t="s">
        <v>1433</v>
      </c>
      <c r="I2208" s="1" t="s">
        <v>104</v>
      </c>
      <c r="K2208" s="1">
        <v>0.0</v>
      </c>
      <c r="L2208" s="1" t="s">
        <v>1408</v>
      </c>
      <c r="M2208" s="1" t="str">
        <f>VLOOKUP(L2208,'Copy of PMD Workday Constants -'!B2207:W2893,22,false)</f>
        <v>#N/A</v>
      </c>
      <c r="N2208" s="1" t="s">
        <v>32</v>
      </c>
      <c r="O2208" s="1" t="s">
        <v>33</v>
      </c>
      <c r="P2208" s="1" t="s">
        <v>64</v>
      </c>
      <c r="Q2208" s="1" t="s">
        <v>64</v>
      </c>
      <c r="R2208" s="1" t="s">
        <v>65</v>
      </c>
      <c r="S2208" s="1" t="s">
        <v>791</v>
      </c>
      <c r="T2208" s="1">
        <v>1.00652169E8</v>
      </c>
      <c r="W2208" s="1" t="s">
        <v>456</v>
      </c>
      <c r="X2208" s="1" t="s">
        <v>1408</v>
      </c>
    </row>
    <row r="2209">
      <c r="A2209" s="1" t="s">
        <v>6908</v>
      </c>
      <c r="B2209" s="1" t="s">
        <v>403</v>
      </c>
      <c r="C2209" s="1" t="s">
        <v>6909</v>
      </c>
      <c r="D2209" s="1" t="s">
        <v>28</v>
      </c>
      <c r="E2209" s="1" t="s">
        <v>29</v>
      </c>
      <c r="F2209" s="5">
        <v>500000.0</v>
      </c>
      <c r="G2209" s="1" t="s">
        <v>3964</v>
      </c>
      <c r="H2209" s="1" t="s">
        <v>1575</v>
      </c>
      <c r="I2209" s="4">
        <v>44573.0</v>
      </c>
      <c r="K2209" s="1">
        <v>0.0</v>
      </c>
      <c r="L2209" s="1" t="s">
        <v>5596</v>
      </c>
      <c r="M2209" s="1" t="str">
        <f>VLOOKUP(L2209,'Copy of PMD Workday Constants -'!B2208:W2894,22,false)</f>
        <v>#N/A</v>
      </c>
      <c r="N2209" s="1" t="s">
        <v>32</v>
      </c>
      <c r="O2209" s="1" t="s">
        <v>33</v>
      </c>
      <c r="P2209" s="1" t="s">
        <v>34</v>
      </c>
      <c r="Q2209" s="1" t="s">
        <v>34</v>
      </c>
      <c r="R2209" s="1" t="s">
        <v>35</v>
      </c>
      <c r="T2209" s="1">
        <v>1.00586097E8</v>
      </c>
      <c r="W2209" s="1" t="s">
        <v>37</v>
      </c>
      <c r="X2209" s="1" t="s">
        <v>5596</v>
      </c>
    </row>
    <row r="2210">
      <c r="A2210" s="1" t="s">
        <v>6910</v>
      </c>
      <c r="B2210" s="1" t="s">
        <v>6911</v>
      </c>
      <c r="C2210" s="1" t="s">
        <v>6912</v>
      </c>
      <c r="D2210" s="1" t="s">
        <v>103</v>
      </c>
      <c r="E2210" s="1" t="s">
        <v>29</v>
      </c>
      <c r="F2210" s="5">
        <v>500000.0</v>
      </c>
      <c r="G2210" s="1" t="s">
        <v>3964</v>
      </c>
      <c r="H2210" s="4">
        <v>44258.0</v>
      </c>
      <c r="I2210" s="1" t="s">
        <v>301</v>
      </c>
      <c r="K2210" s="1">
        <v>0.0</v>
      </c>
      <c r="L2210" s="1" t="s">
        <v>2885</v>
      </c>
      <c r="M2210" s="1" t="str">
        <f>VLOOKUP(L2210,'Copy of PMD Workday Constants -'!B2209:W2895,22,false)</f>
        <v>#N/A</v>
      </c>
      <c r="N2210" s="1" t="s">
        <v>32</v>
      </c>
      <c r="O2210" s="1" t="s">
        <v>33</v>
      </c>
      <c r="P2210" s="1" t="s">
        <v>210</v>
      </c>
      <c r="Q2210" s="1" t="s">
        <v>210</v>
      </c>
      <c r="R2210" s="1" t="s">
        <v>211</v>
      </c>
      <c r="S2210" s="1" t="s">
        <v>416</v>
      </c>
      <c r="T2210" s="1">
        <v>1.00647463E8</v>
      </c>
      <c r="W2210" s="1" t="s">
        <v>56</v>
      </c>
      <c r="X2210" s="1" t="s">
        <v>2885</v>
      </c>
    </row>
    <row r="2211">
      <c r="A2211" s="1" t="s">
        <v>6913</v>
      </c>
      <c r="B2211" s="1" t="s">
        <v>765</v>
      </c>
      <c r="C2211" s="1" t="s">
        <v>6914</v>
      </c>
      <c r="D2211" s="1" t="s">
        <v>79</v>
      </c>
      <c r="E2211" s="1" t="s">
        <v>29</v>
      </c>
      <c r="F2211" s="5">
        <v>500000.0</v>
      </c>
      <c r="G2211" s="1" t="s">
        <v>3964</v>
      </c>
      <c r="H2211" s="4">
        <v>44900.0</v>
      </c>
      <c r="I2211" s="1" t="s">
        <v>1134</v>
      </c>
      <c r="K2211" s="1">
        <v>0.0</v>
      </c>
      <c r="L2211" s="1" t="s">
        <v>3674</v>
      </c>
      <c r="M2211" s="1" t="str">
        <f>VLOOKUP(L2211,'Copy of PMD Workday Constants -'!B2210:W2896,22,false)</f>
        <v>#N/A</v>
      </c>
      <c r="N2211" s="1" t="s">
        <v>32</v>
      </c>
      <c r="O2211" s="1" t="s">
        <v>33</v>
      </c>
      <c r="P2211" s="1" t="s">
        <v>173</v>
      </c>
      <c r="Q2211" s="1" t="s">
        <v>173</v>
      </c>
      <c r="R2211" s="1" t="s">
        <v>174</v>
      </c>
      <c r="T2211" s="1">
        <v>1.0058537E8</v>
      </c>
      <c r="W2211" s="1" t="s">
        <v>456</v>
      </c>
      <c r="X2211" s="1" t="s">
        <v>6915</v>
      </c>
    </row>
    <row r="2212">
      <c r="A2212" s="1" t="s">
        <v>6916</v>
      </c>
      <c r="B2212" s="1" t="s">
        <v>1184</v>
      </c>
      <c r="C2212" s="1" t="s">
        <v>6917</v>
      </c>
      <c r="D2212" s="1" t="s">
        <v>51</v>
      </c>
      <c r="E2212" s="1" t="s">
        <v>29</v>
      </c>
      <c r="F2212" s="5">
        <v>500000.0</v>
      </c>
      <c r="G2212" s="1" t="s">
        <v>3964</v>
      </c>
      <c r="H2212" s="1" t="s">
        <v>1186</v>
      </c>
      <c r="I2212" s="4">
        <v>44840.0</v>
      </c>
      <c r="K2212" s="1">
        <v>0.0</v>
      </c>
      <c r="L2212" s="1" t="s">
        <v>5344</v>
      </c>
      <c r="M2212" s="1" t="str">
        <f>VLOOKUP(L2212,'Copy of PMD Workday Constants -'!B2211:W2897,22,false)</f>
        <v>#N/A</v>
      </c>
      <c r="N2212" s="1" t="s">
        <v>32</v>
      </c>
      <c r="O2212" s="1" t="s">
        <v>33</v>
      </c>
      <c r="P2212" s="1" t="s">
        <v>210</v>
      </c>
      <c r="Q2212" s="1" t="s">
        <v>210</v>
      </c>
      <c r="R2212" s="1" t="s">
        <v>211</v>
      </c>
      <c r="S2212" s="1" t="s">
        <v>212</v>
      </c>
      <c r="T2212" s="1">
        <v>1.0064547E8</v>
      </c>
      <c r="W2212" s="1" t="s">
        <v>56</v>
      </c>
      <c r="X2212" s="1" t="s">
        <v>6918</v>
      </c>
    </row>
    <row r="2213">
      <c r="A2213" s="1" t="s">
        <v>6919</v>
      </c>
      <c r="B2213" s="1" t="s">
        <v>6414</v>
      </c>
      <c r="C2213" s="1" t="s">
        <v>6920</v>
      </c>
      <c r="D2213" s="1" t="s">
        <v>28</v>
      </c>
      <c r="E2213" s="1" t="s">
        <v>29</v>
      </c>
      <c r="F2213" s="5">
        <v>500000.0</v>
      </c>
      <c r="G2213" s="1" t="s">
        <v>3964</v>
      </c>
      <c r="H2213" s="1" t="s">
        <v>4457</v>
      </c>
      <c r="I2213" s="1" t="s">
        <v>80</v>
      </c>
      <c r="K2213" s="1">
        <v>0.0</v>
      </c>
      <c r="L2213" s="1" t="s">
        <v>63</v>
      </c>
      <c r="M2213" s="1" t="str">
        <f>VLOOKUP(L2213,'Copy of PMD Workday Constants -'!B2212:W2898,22,false)</f>
        <v>#N/A</v>
      </c>
      <c r="N2213" s="1" t="s">
        <v>32</v>
      </c>
      <c r="O2213" s="1" t="s">
        <v>33</v>
      </c>
      <c r="P2213" s="1" t="s">
        <v>64</v>
      </c>
      <c r="Q2213" s="1" t="s">
        <v>64</v>
      </c>
      <c r="R2213" s="1" t="s">
        <v>65</v>
      </c>
      <c r="S2213" s="1" t="s">
        <v>126</v>
      </c>
      <c r="T2213" s="1">
        <v>1.01059432E8</v>
      </c>
      <c r="W2213" s="1" t="s">
        <v>308</v>
      </c>
      <c r="X2213" s="1" t="s">
        <v>6060</v>
      </c>
    </row>
    <row r="2214">
      <c r="A2214" s="1" t="s">
        <v>6921</v>
      </c>
      <c r="B2214" s="1" t="s">
        <v>87</v>
      </c>
      <c r="C2214" s="1" t="s">
        <v>6922</v>
      </c>
      <c r="D2214" s="1" t="s">
        <v>28</v>
      </c>
      <c r="E2214" s="1" t="s">
        <v>29</v>
      </c>
      <c r="F2214" s="5">
        <v>500000.0</v>
      </c>
      <c r="G2214" s="1" t="s">
        <v>3964</v>
      </c>
      <c r="H2214" s="4">
        <v>44563.0</v>
      </c>
      <c r="I2214" s="4">
        <v>44568.0</v>
      </c>
      <c r="K2214" s="1">
        <v>0.0</v>
      </c>
      <c r="L2214" s="1" t="s">
        <v>1587</v>
      </c>
      <c r="M2214" s="1" t="str">
        <f>VLOOKUP(L2214,'Copy of PMD Workday Constants -'!B2213:W2899,22,false)</f>
        <v>#N/A</v>
      </c>
      <c r="N2214" s="1" t="s">
        <v>32</v>
      </c>
      <c r="O2214" s="1" t="s">
        <v>33</v>
      </c>
      <c r="P2214" s="1" t="s">
        <v>64</v>
      </c>
      <c r="Q2214" s="1" t="s">
        <v>64</v>
      </c>
      <c r="R2214" s="1" t="s">
        <v>65</v>
      </c>
      <c r="S2214" s="1" t="s">
        <v>1336</v>
      </c>
      <c r="T2214" s="1">
        <v>1.01141441E8</v>
      </c>
      <c r="W2214" s="1" t="s">
        <v>91</v>
      </c>
      <c r="X2214" s="1" t="s">
        <v>1337</v>
      </c>
    </row>
    <row r="2215">
      <c r="A2215" s="1" t="s">
        <v>6923</v>
      </c>
      <c r="B2215" s="1" t="s">
        <v>6924</v>
      </c>
      <c r="C2215" s="1" t="s">
        <v>6925</v>
      </c>
      <c r="D2215" s="1" t="s">
        <v>103</v>
      </c>
      <c r="E2215" s="1" t="s">
        <v>29</v>
      </c>
      <c r="F2215" s="5">
        <v>500000.0</v>
      </c>
      <c r="G2215" s="1" t="s">
        <v>3964</v>
      </c>
      <c r="H2215" s="4">
        <v>44595.0</v>
      </c>
      <c r="I2215" s="1" t="s">
        <v>104</v>
      </c>
      <c r="K2215" s="1">
        <v>0.0</v>
      </c>
      <c r="L2215" s="1" t="s">
        <v>6926</v>
      </c>
      <c r="M2215" s="1" t="str">
        <f>VLOOKUP(L2215,'Copy of PMD Workday Constants -'!B2214:W2900,22,false)</f>
        <v>#N/A</v>
      </c>
      <c r="N2215" s="1" t="s">
        <v>32</v>
      </c>
      <c r="O2215" s="1" t="s">
        <v>33</v>
      </c>
      <c r="P2215" s="1" t="s">
        <v>222</v>
      </c>
      <c r="Q2215" s="1" t="s">
        <v>222</v>
      </c>
      <c r="R2215" s="1" t="s">
        <v>223</v>
      </c>
      <c r="S2215" s="1" t="s">
        <v>601</v>
      </c>
      <c r="T2215" s="1">
        <v>1.01147686E8</v>
      </c>
      <c r="W2215" s="1" t="s">
        <v>258</v>
      </c>
      <c r="X2215" s="1" t="s">
        <v>5118</v>
      </c>
    </row>
    <row r="2216">
      <c r="A2216" s="1" t="s">
        <v>6927</v>
      </c>
      <c r="B2216" s="1" t="s">
        <v>87</v>
      </c>
      <c r="C2216" s="1" t="s">
        <v>6928</v>
      </c>
      <c r="D2216" s="1" t="s">
        <v>28</v>
      </c>
      <c r="E2216" s="1" t="s">
        <v>29</v>
      </c>
      <c r="F2216" s="5">
        <v>500000.0</v>
      </c>
      <c r="G2216" s="1" t="s">
        <v>3964</v>
      </c>
      <c r="H2216" s="4">
        <v>44563.0</v>
      </c>
      <c r="I2216" s="4">
        <v>44568.0</v>
      </c>
      <c r="K2216" s="1">
        <v>0.0</v>
      </c>
      <c r="L2216" s="1" t="s">
        <v>1587</v>
      </c>
      <c r="M2216" s="1" t="str">
        <f>VLOOKUP(L2216,'Copy of PMD Workday Constants -'!B2215:W2901,22,false)</f>
        <v>#N/A</v>
      </c>
      <c r="N2216" s="1" t="s">
        <v>32</v>
      </c>
      <c r="O2216" s="1" t="s">
        <v>33</v>
      </c>
      <c r="P2216" s="1" t="s">
        <v>64</v>
      </c>
      <c r="Q2216" s="1" t="s">
        <v>64</v>
      </c>
      <c r="R2216" s="1" t="s">
        <v>65</v>
      </c>
      <c r="S2216" s="1" t="s">
        <v>1336</v>
      </c>
      <c r="T2216" s="1">
        <v>1.01141441E8</v>
      </c>
      <c r="W2216" s="1" t="s">
        <v>91</v>
      </c>
      <c r="X2216" s="1" t="s">
        <v>1337</v>
      </c>
    </row>
    <row r="2217">
      <c r="A2217" s="1" t="s">
        <v>6929</v>
      </c>
      <c r="B2217" s="1" t="s">
        <v>6930</v>
      </c>
      <c r="C2217" s="1" t="s">
        <v>6931</v>
      </c>
      <c r="D2217" s="1" t="s">
        <v>28</v>
      </c>
      <c r="E2217" s="1" t="s">
        <v>29</v>
      </c>
      <c r="F2217" s="5">
        <v>500000.0</v>
      </c>
      <c r="G2217" s="1" t="s">
        <v>3964</v>
      </c>
      <c r="H2217" s="1" t="s">
        <v>6747</v>
      </c>
      <c r="I2217" s="1" t="s">
        <v>80</v>
      </c>
      <c r="K2217" s="1">
        <v>0.0</v>
      </c>
      <c r="L2217" s="1" t="s">
        <v>3137</v>
      </c>
      <c r="M2217" s="1" t="str">
        <f>VLOOKUP(L2217,'Copy of PMD Workday Constants -'!B2216:W2902,22,false)</f>
        <v>#N/A</v>
      </c>
      <c r="N2217" s="1" t="s">
        <v>32</v>
      </c>
      <c r="O2217" s="1" t="s">
        <v>33</v>
      </c>
      <c r="P2217" s="1" t="s">
        <v>82</v>
      </c>
      <c r="Q2217" s="1" t="s">
        <v>82</v>
      </c>
      <c r="R2217" s="1" t="s">
        <v>83</v>
      </c>
      <c r="S2217" s="1" t="s">
        <v>180</v>
      </c>
      <c r="T2217" s="1">
        <v>1.00586452E8</v>
      </c>
      <c r="W2217" s="1" t="s">
        <v>85</v>
      </c>
      <c r="X2217" s="1" t="s">
        <v>6663</v>
      </c>
    </row>
    <row r="2218">
      <c r="A2218" s="1" t="s">
        <v>6932</v>
      </c>
      <c r="B2218" s="1" t="s">
        <v>2624</v>
      </c>
      <c r="C2218" s="1" t="s">
        <v>6933</v>
      </c>
      <c r="D2218" s="1" t="s">
        <v>28</v>
      </c>
      <c r="E2218" s="1" t="s">
        <v>29</v>
      </c>
      <c r="F2218" s="5">
        <v>500000.0</v>
      </c>
      <c r="G2218" s="1" t="s">
        <v>3964</v>
      </c>
      <c r="H2218" s="1" t="s">
        <v>6747</v>
      </c>
      <c r="I2218" s="1" t="s">
        <v>80</v>
      </c>
      <c r="K2218" s="1">
        <v>0.0</v>
      </c>
      <c r="L2218" s="1" t="s">
        <v>3137</v>
      </c>
      <c r="M2218" s="1" t="str">
        <f>VLOOKUP(L2218,'Copy of PMD Workday Constants -'!B2217:W2903,22,false)</f>
        <v>#N/A</v>
      </c>
      <c r="N2218" s="1" t="s">
        <v>32</v>
      </c>
      <c r="O2218" s="1" t="s">
        <v>33</v>
      </c>
      <c r="P2218" s="1" t="s">
        <v>82</v>
      </c>
      <c r="Q2218" s="1" t="s">
        <v>82</v>
      </c>
      <c r="R2218" s="1" t="s">
        <v>83</v>
      </c>
      <c r="S2218" s="1" t="s">
        <v>180</v>
      </c>
      <c r="T2218" s="1">
        <v>1.00586452E8</v>
      </c>
      <c r="W2218" s="1" t="s">
        <v>85</v>
      </c>
      <c r="X2218" s="1" t="s">
        <v>6663</v>
      </c>
    </row>
    <row r="2219">
      <c r="A2219" s="1" t="s">
        <v>6934</v>
      </c>
      <c r="B2219" s="1" t="s">
        <v>2422</v>
      </c>
      <c r="C2219" s="1" t="s">
        <v>6935</v>
      </c>
      <c r="D2219" s="1" t="s">
        <v>28</v>
      </c>
      <c r="E2219" s="1" t="s">
        <v>29</v>
      </c>
      <c r="F2219" s="5">
        <v>500000.0</v>
      </c>
      <c r="G2219" s="1" t="s">
        <v>3964</v>
      </c>
      <c r="H2219" s="1" t="s">
        <v>6936</v>
      </c>
      <c r="I2219" s="1" t="s">
        <v>313</v>
      </c>
      <c r="K2219" s="1">
        <v>0.0</v>
      </c>
      <c r="L2219" s="1" t="s">
        <v>491</v>
      </c>
      <c r="M2219" s="1" t="str">
        <f>VLOOKUP(L2219,'Copy of PMD Workday Constants -'!B2218:W2904,22,false)</f>
        <v>#N/A</v>
      </c>
      <c r="N2219" s="1" t="s">
        <v>32</v>
      </c>
      <c r="O2219" s="1" t="s">
        <v>33</v>
      </c>
      <c r="P2219" s="1" t="s">
        <v>112</v>
      </c>
      <c r="Q2219" s="1" t="s">
        <v>112</v>
      </c>
      <c r="R2219" s="1" t="s">
        <v>113</v>
      </c>
      <c r="S2219" s="1" t="s">
        <v>204</v>
      </c>
      <c r="T2219" s="1">
        <v>1.00623914E8</v>
      </c>
      <c r="W2219" s="1" t="s">
        <v>91</v>
      </c>
      <c r="X2219" s="1" t="s">
        <v>491</v>
      </c>
    </row>
    <row r="2220">
      <c r="A2220" s="1" t="s">
        <v>6937</v>
      </c>
      <c r="B2220" s="1" t="s">
        <v>6938</v>
      </c>
      <c r="C2220" s="1" t="s">
        <v>6939</v>
      </c>
      <c r="D2220" s="1" t="s">
        <v>28</v>
      </c>
      <c r="E2220" s="1" t="s">
        <v>29</v>
      </c>
      <c r="F2220" s="5">
        <v>500000.0</v>
      </c>
      <c r="G2220" s="1" t="s">
        <v>3964</v>
      </c>
      <c r="H2220" s="1" t="s">
        <v>6747</v>
      </c>
      <c r="I2220" s="1" t="s">
        <v>80</v>
      </c>
      <c r="K2220" s="1">
        <v>0.0</v>
      </c>
      <c r="L2220" s="1" t="s">
        <v>3137</v>
      </c>
      <c r="M2220" s="1" t="str">
        <f>VLOOKUP(L2220,'Copy of PMD Workday Constants -'!B2219:W2905,22,false)</f>
        <v>#N/A</v>
      </c>
      <c r="N2220" s="1" t="s">
        <v>32</v>
      </c>
      <c r="O2220" s="1" t="s">
        <v>33</v>
      </c>
      <c r="P2220" s="1" t="s">
        <v>82</v>
      </c>
      <c r="Q2220" s="1" t="s">
        <v>82</v>
      </c>
      <c r="R2220" s="1" t="s">
        <v>83</v>
      </c>
      <c r="S2220" s="1" t="s">
        <v>180</v>
      </c>
      <c r="T2220" s="1">
        <v>1.00586452E8</v>
      </c>
      <c r="W2220" s="1" t="s">
        <v>85</v>
      </c>
      <c r="X2220" s="1" t="s">
        <v>6663</v>
      </c>
    </row>
    <row r="2221">
      <c r="A2221" s="1" t="s">
        <v>6940</v>
      </c>
      <c r="B2221" s="1" t="s">
        <v>507</v>
      </c>
      <c r="C2221" s="1" t="s">
        <v>6941</v>
      </c>
      <c r="D2221" s="1" t="s">
        <v>51</v>
      </c>
      <c r="E2221" s="1" t="s">
        <v>29</v>
      </c>
      <c r="F2221" s="5">
        <v>500000.0</v>
      </c>
      <c r="G2221" s="1" t="s">
        <v>3964</v>
      </c>
      <c r="H2221" s="1" t="s">
        <v>243</v>
      </c>
      <c r="I2221" s="1" t="s">
        <v>191</v>
      </c>
      <c r="K2221" s="1">
        <v>0.0</v>
      </c>
      <c r="L2221" s="1" t="s">
        <v>1525</v>
      </c>
      <c r="M2221" s="1" t="str">
        <f>VLOOKUP(L2221,'Copy of PMD Workday Constants -'!B2220:W2906,22,false)</f>
        <v>#N/A</v>
      </c>
      <c r="N2221" s="1" t="s">
        <v>32</v>
      </c>
      <c r="O2221" s="1" t="s">
        <v>33</v>
      </c>
      <c r="P2221" s="1" t="s">
        <v>34</v>
      </c>
      <c r="Q2221" s="1" t="s">
        <v>34</v>
      </c>
      <c r="R2221" s="1" t="s">
        <v>35</v>
      </c>
      <c r="S2221" s="1" t="s">
        <v>1166</v>
      </c>
      <c r="T2221" s="1">
        <v>1.00637597E8</v>
      </c>
      <c r="U2221" s="1" t="s">
        <v>6942</v>
      </c>
      <c r="V2221" s="1" t="s">
        <v>187</v>
      </c>
      <c r="W2221" s="1" t="s">
        <v>456</v>
      </c>
      <c r="X2221" s="1" t="s">
        <v>1525</v>
      </c>
    </row>
    <row r="2222">
      <c r="A2222" s="1" t="s">
        <v>6943</v>
      </c>
      <c r="B2222" s="1" t="s">
        <v>573</v>
      </c>
      <c r="C2222" s="1" t="s">
        <v>6944</v>
      </c>
      <c r="D2222" s="1" t="s">
        <v>103</v>
      </c>
      <c r="E2222" s="1" t="s">
        <v>29</v>
      </c>
      <c r="F2222" s="5">
        <v>500000.0</v>
      </c>
      <c r="G2222" s="1" t="s">
        <v>3964</v>
      </c>
      <c r="H2222" s="4">
        <v>44837.0</v>
      </c>
      <c r="I2222" s="1" t="s">
        <v>80</v>
      </c>
      <c r="K2222" s="1">
        <v>0.0</v>
      </c>
      <c r="L2222" s="1" t="s">
        <v>4644</v>
      </c>
      <c r="M2222" s="1" t="str">
        <f>VLOOKUP(L2222,'Copy of PMD Workday Constants -'!B2221:W2907,22,false)</f>
        <v>#N/A</v>
      </c>
      <c r="N2222" s="1" t="s">
        <v>32</v>
      </c>
      <c r="O2222" s="1" t="s">
        <v>33</v>
      </c>
      <c r="P2222" s="1" t="s">
        <v>210</v>
      </c>
      <c r="Q2222" s="1" t="s">
        <v>210</v>
      </c>
      <c r="R2222" s="1" t="s">
        <v>211</v>
      </c>
      <c r="S2222" s="1" t="s">
        <v>1313</v>
      </c>
      <c r="T2222" s="1">
        <v>1.00637587E8</v>
      </c>
      <c r="W2222" s="1" t="s">
        <v>56</v>
      </c>
      <c r="X2222" s="1" t="s">
        <v>6945</v>
      </c>
    </row>
    <row r="2223">
      <c r="A2223" s="1" t="s">
        <v>6946</v>
      </c>
      <c r="B2223" s="1" t="s">
        <v>3085</v>
      </c>
      <c r="C2223" s="1" t="s">
        <v>6947</v>
      </c>
      <c r="D2223" s="1" t="s">
        <v>51</v>
      </c>
      <c r="E2223" s="1" t="s">
        <v>29</v>
      </c>
      <c r="F2223" s="5">
        <v>500000.0</v>
      </c>
      <c r="G2223" s="1" t="s">
        <v>3964</v>
      </c>
      <c r="H2223" s="4">
        <v>44656.0</v>
      </c>
      <c r="I2223" s="1" t="s">
        <v>80</v>
      </c>
      <c r="K2223" s="1">
        <v>0.0</v>
      </c>
      <c r="L2223" s="1" t="s">
        <v>428</v>
      </c>
      <c r="M2223" s="1" t="str">
        <f>VLOOKUP(L2223,'Copy of PMD Workday Constants -'!B2222:W2908,22,false)</f>
        <v>#N/A</v>
      </c>
      <c r="N2223" s="1" t="s">
        <v>32</v>
      </c>
      <c r="O2223" s="1" t="s">
        <v>33</v>
      </c>
      <c r="P2223" s="1" t="s">
        <v>173</v>
      </c>
      <c r="Q2223" s="1" t="s">
        <v>173</v>
      </c>
      <c r="R2223" s="1" t="s">
        <v>174</v>
      </c>
      <c r="S2223" s="1" t="s">
        <v>153</v>
      </c>
      <c r="T2223" s="1">
        <v>1.00654085E8</v>
      </c>
      <c r="W2223" s="1" t="s">
        <v>85</v>
      </c>
      <c r="X2223" s="1" t="s">
        <v>428</v>
      </c>
    </row>
    <row r="2224">
      <c r="A2224" s="1" t="s">
        <v>6948</v>
      </c>
      <c r="B2224" s="1" t="s">
        <v>800</v>
      </c>
      <c r="C2224" s="1" t="s">
        <v>6949</v>
      </c>
      <c r="D2224" s="1" t="s">
        <v>28</v>
      </c>
      <c r="E2224" s="1" t="s">
        <v>29</v>
      </c>
      <c r="F2224" s="5">
        <v>500000.0</v>
      </c>
      <c r="G2224" s="1" t="s">
        <v>3964</v>
      </c>
      <c r="H2224" s="1" t="s">
        <v>816</v>
      </c>
      <c r="I2224" s="1" t="s">
        <v>661</v>
      </c>
      <c r="K2224" s="1">
        <v>0.0</v>
      </c>
      <c r="L2224" s="1" t="s">
        <v>435</v>
      </c>
      <c r="M2224" s="1" t="str">
        <f>VLOOKUP(L2224,'Copy of PMD Workday Constants -'!B2223:W2909,22,false)</f>
        <v>#N/A</v>
      </c>
      <c r="N2224" s="1" t="s">
        <v>32</v>
      </c>
      <c r="O2224" s="1" t="s">
        <v>33</v>
      </c>
      <c r="P2224" s="1" t="s">
        <v>64</v>
      </c>
      <c r="Q2224" s="1" t="s">
        <v>64</v>
      </c>
      <c r="R2224" s="1" t="s">
        <v>65</v>
      </c>
      <c r="S2224" s="1" t="s">
        <v>98</v>
      </c>
      <c r="T2224" s="1">
        <v>1.00653756E8</v>
      </c>
      <c r="W2224" s="1" t="s">
        <v>56</v>
      </c>
      <c r="X2224" s="1" t="s">
        <v>435</v>
      </c>
    </row>
    <row r="2225">
      <c r="A2225" s="1" t="s">
        <v>6950</v>
      </c>
      <c r="B2225" s="1" t="s">
        <v>765</v>
      </c>
      <c r="C2225" s="1" t="s">
        <v>6951</v>
      </c>
      <c r="D2225" s="1" t="s">
        <v>28</v>
      </c>
      <c r="E2225" s="1" t="s">
        <v>29</v>
      </c>
      <c r="F2225" s="5">
        <v>500000.0</v>
      </c>
      <c r="G2225" s="1" t="s">
        <v>3964</v>
      </c>
      <c r="H2225" s="1" t="s">
        <v>4457</v>
      </c>
      <c r="I2225" s="1" t="s">
        <v>302</v>
      </c>
      <c r="K2225" s="1">
        <v>0.0</v>
      </c>
      <c r="L2225" s="1" t="s">
        <v>1486</v>
      </c>
      <c r="M2225" s="1" t="str">
        <f>VLOOKUP(L2225,'Copy of PMD Workday Constants -'!B2224:W2910,22,false)</f>
        <v>#N/A</v>
      </c>
      <c r="N2225" s="1" t="s">
        <v>32</v>
      </c>
      <c r="O2225" s="1" t="s">
        <v>33</v>
      </c>
      <c r="P2225" s="1" t="s">
        <v>82</v>
      </c>
      <c r="Q2225" s="1" t="s">
        <v>82</v>
      </c>
      <c r="R2225" s="1" t="s">
        <v>83</v>
      </c>
      <c r="S2225" s="1" t="s">
        <v>583</v>
      </c>
      <c r="T2225" s="1">
        <v>1.006324E8</v>
      </c>
      <c r="W2225" s="1" t="s">
        <v>456</v>
      </c>
      <c r="X2225" s="1" t="s">
        <v>5517</v>
      </c>
    </row>
    <row r="2226">
      <c r="A2226" s="1" t="s">
        <v>6952</v>
      </c>
      <c r="B2226" s="1" t="s">
        <v>304</v>
      </c>
      <c r="C2226" s="1" t="s">
        <v>6953</v>
      </c>
      <c r="D2226" s="1" t="s">
        <v>28</v>
      </c>
      <c r="E2226" s="1" t="s">
        <v>29</v>
      </c>
      <c r="F2226" s="5">
        <v>500000.0</v>
      </c>
      <c r="G2226" s="1" t="s">
        <v>3964</v>
      </c>
      <c r="H2226" s="1" t="s">
        <v>263</v>
      </c>
      <c r="I2226" s="1" t="s">
        <v>217</v>
      </c>
      <c r="K2226" s="1">
        <v>0.0</v>
      </c>
      <c r="L2226" s="1" t="s">
        <v>1198</v>
      </c>
      <c r="M2226" s="1" t="str">
        <f>VLOOKUP(L2226,'Copy of PMD Workday Constants -'!B2225:W2911,22,false)</f>
        <v>#N/A</v>
      </c>
      <c r="N2226" s="1" t="s">
        <v>32</v>
      </c>
      <c r="O2226" s="1" t="s">
        <v>33</v>
      </c>
      <c r="P2226" s="1" t="s">
        <v>64</v>
      </c>
      <c r="Q2226" s="1" t="s">
        <v>64</v>
      </c>
      <c r="R2226" s="1" t="s">
        <v>65</v>
      </c>
      <c r="S2226" s="1" t="s">
        <v>153</v>
      </c>
      <c r="T2226" s="1">
        <v>1.01127868E8</v>
      </c>
      <c r="W2226" s="1" t="s">
        <v>308</v>
      </c>
      <c r="X2226" s="1" t="s">
        <v>4552</v>
      </c>
    </row>
    <row r="2227">
      <c r="A2227" s="1" t="s">
        <v>6954</v>
      </c>
      <c r="B2227" s="1" t="s">
        <v>6414</v>
      </c>
      <c r="C2227" s="1" t="s">
        <v>6955</v>
      </c>
      <c r="D2227" s="1" t="s">
        <v>28</v>
      </c>
      <c r="E2227" s="1" t="s">
        <v>29</v>
      </c>
      <c r="F2227" s="5">
        <v>500000.0</v>
      </c>
      <c r="G2227" s="1" t="s">
        <v>3964</v>
      </c>
      <c r="H2227" s="1" t="s">
        <v>263</v>
      </c>
      <c r="I2227" s="1" t="s">
        <v>132</v>
      </c>
      <c r="K2227" s="1">
        <v>0.0</v>
      </c>
      <c r="L2227" s="1" t="s">
        <v>1198</v>
      </c>
      <c r="M2227" s="1" t="str">
        <f>VLOOKUP(L2227,'Copy of PMD Workday Constants -'!B2226:W2912,22,false)</f>
        <v>#N/A</v>
      </c>
      <c r="N2227" s="1" t="s">
        <v>32</v>
      </c>
      <c r="O2227" s="1" t="s">
        <v>33</v>
      </c>
      <c r="P2227" s="1" t="s">
        <v>64</v>
      </c>
      <c r="Q2227" s="1" t="s">
        <v>64</v>
      </c>
      <c r="R2227" s="1" t="s">
        <v>65</v>
      </c>
      <c r="S2227" s="1" t="s">
        <v>153</v>
      </c>
      <c r="T2227" s="1">
        <v>1.01127868E8</v>
      </c>
      <c r="W2227" s="1" t="s">
        <v>308</v>
      </c>
      <c r="X2227" s="1" t="s">
        <v>4552</v>
      </c>
    </row>
    <row r="2228">
      <c r="A2228" s="1" t="s">
        <v>6956</v>
      </c>
      <c r="B2228" s="1" t="s">
        <v>5470</v>
      </c>
      <c r="C2228" s="1" t="s">
        <v>6957</v>
      </c>
      <c r="D2228" s="1" t="s">
        <v>51</v>
      </c>
      <c r="E2228" s="1" t="s">
        <v>29</v>
      </c>
      <c r="F2228" s="5">
        <v>500000.0</v>
      </c>
      <c r="G2228" s="1" t="s">
        <v>3964</v>
      </c>
      <c r="H2228" s="1" t="s">
        <v>816</v>
      </c>
      <c r="I2228" s="1" t="s">
        <v>104</v>
      </c>
      <c r="K2228" s="1">
        <v>0.0</v>
      </c>
      <c r="L2228" s="1" t="s">
        <v>5607</v>
      </c>
      <c r="M2228" s="1" t="str">
        <f>VLOOKUP(L2228,'Copy of PMD Workday Constants -'!B2227:W2913,22,false)</f>
        <v>#N/A</v>
      </c>
      <c r="N2228" s="1" t="s">
        <v>32</v>
      </c>
      <c r="O2228" s="1" t="s">
        <v>33</v>
      </c>
      <c r="P2228" s="1" t="s">
        <v>173</v>
      </c>
      <c r="Q2228" s="1" t="s">
        <v>173</v>
      </c>
      <c r="R2228" s="1" t="s">
        <v>174</v>
      </c>
      <c r="S2228" s="1" t="s">
        <v>612</v>
      </c>
      <c r="T2228" s="1">
        <v>1.00612746E8</v>
      </c>
      <c r="W2228" s="1" t="s">
        <v>74</v>
      </c>
      <c r="X2228" s="1" t="s">
        <v>3849</v>
      </c>
    </row>
    <row r="2229">
      <c r="A2229" s="1" t="s">
        <v>6958</v>
      </c>
      <c r="B2229" s="1" t="s">
        <v>489</v>
      </c>
      <c r="C2229" s="1" t="s">
        <v>6959</v>
      </c>
      <c r="D2229" s="1" t="s">
        <v>51</v>
      </c>
      <c r="E2229" s="1" t="s">
        <v>29</v>
      </c>
      <c r="F2229" s="5">
        <v>500000.0</v>
      </c>
      <c r="G2229" s="1" t="s">
        <v>3964</v>
      </c>
      <c r="H2229" s="1" t="s">
        <v>1553</v>
      </c>
      <c r="I2229" s="1" t="s">
        <v>80</v>
      </c>
      <c r="K2229" s="1">
        <v>0.0</v>
      </c>
      <c r="L2229" s="1" t="s">
        <v>4873</v>
      </c>
      <c r="M2229" s="1" t="str">
        <f>VLOOKUP(L2229,'Copy of PMD Workday Constants -'!B2228:W2914,22,false)</f>
        <v>#N/A</v>
      </c>
      <c r="N2229" s="1" t="s">
        <v>32</v>
      </c>
      <c r="O2229" s="1" t="s">
        <v>33</v>
      </c>
      <c r="P2229" s="1" t="s">
        <v>34</v>
      </c>
      <c r="Q2229" s="1" t="s">
        <v>34</v>
      </c>
      <c r="R2229" s="1" t="s">
        <v>35</v>
      </c>
      <c r="T2229" s="1">
        <v>1.00587881E8</v>
      </c>
      <c r="W2229" s="1" t="s">
        <v>493</v>
      </c>
      <c r="X2229" s="1" t="s">
        <v>5719</v>
      </c>
    </row>
    <row r="2230">
      <c r="A2230" s="1" t="s">
        <v>6960</v>
      </c>
      <c r="B2230" s="1" t="s">
        <v>3478</v>
      </c>
      <c r="C2230" s="1" t="s">
        <v>6961</v>
      </c>
      <c r="D2230" s="1" t="s">
        <v>28</v>
      </c>
      <c r="E2230" s="1" t="s">
        <v>29</v>
      </c>
      <c r="F2230" s="5">
        <v>500000.0</v>
      </c>
      <c r="G2230" s="1" t="s">
        <v>3964</v>
      </c>
      <c r="H2230" s="4">
        <v>44623.0</v>
      </c>
      <c r="I2230" s="1" t="s">
        <v>217</v>
      </c>
      <c r="K2230" s="1">
        <v>0.0</v>
      </c>
      <c r="L2230" s="1" t="s">
        <v>1396</v>
      </c>
      <c r="M2230" s="1" t="str">
        <f>VLOOKUP(L2230,'Copy of PMD Workday Constants -'!B2229:W2915,22,false)</f>
        <v>#N/A</v>
      </c>
      <c r="N2230" s="1" t="s">
        <v>32</v>
      </c>
      <c r="O2230" s="1" t="s">
        <v>33</v>
      </c>
      <c r="P2230" s="1" t="s">
        <v>222</v>
      </c>
      <c r="Q2230" s="1" t="s">
        <v>222</v>
      </c>
      <c r="R2230" s="1" t="s">
        <v>223</v>
      </c>
      <c r="S2230" s="1" t="s">
        <v>646</v>
      </c>
      <c r="T2230" s="1">
        <v>1.00609118E8</v>
      </c>
      <c r="W2230" s="1" t="s">
        <v>947</v>
      </c>
      <c r="X2230" s="1" t="s">
        <v>6060</v>
      </c>
    </row>
    <row r="2231">
      <c r="A2231" s="1" t="s">
        <v>6962</v>
      </c>
      <c r="B2231" s="1" t="s">
        <v>1531</v>
      </c>
      <c r="C2231" s="1" t="s">
        <v>6963</v>
      </c>
      <c r="D2231" s="1" t="s">
        <v>51</v>
      </c>
      <c r="E2231" s="1" t="s">
        <v>29</v>
      </c>
      <c r="F2231" s="5">
        <v>500000.0</v>
      </c>
      <c r="G2231" s="1" t="s">
        <v>3964</v>
      </c>
      <c r="H2231" s="1" t="s">
        <v>3798</v>
      </c>
      <c r="I2231" s="1" t="s">
        <v>302</v>
      </c>
      <c r="K2231" s="1">
        <v>0.0</v>
      </c>
      <c r="L2231" s="1" t="s">
        <v>866</v>
      </c>
      <c r="M2231" s="1" t="str">
        <f>VLOOKUP(L2231,'Copy of PMD Workday Constants -'!B2230:W2916,22,false)</f>
        <v>#N/A</v>
      </c>
      <c r="N2231" s="1" t="s">
        <v>32</v>
      </c>
      <c r="O2231" s="1" t="s">
        <v>33</v>
      </c>
      <c r="P2231" s="1" t="s">
        <v>82</v>
      </c>
      <c r="Q2231" s="1" t="s">
        <v>82</v>
      </c>
      <c r="R2231" s="1" t="s">
        <v>83</v>
      </c>
      <c r="S2231" s="1" t="s">
        <v>84</v>
      </c>
      <c r="T2231" s="1">
        <v>1.00941744E8</v>
      </c>
      <c r="W2231" s="1" t="s">
        <v>85</v>
      </c>
      <c r="X2231" s="1" t="s">
        <v>866</v>
      </c>
    </row>
    <row r="2232">
      <c r="A2232" s="1" t="s">
        <v>6964</v>
      </c>
      <c r="B2232" s="1" t="s">
        <v>6965</v>
      </c>
      <c r="C2232" s="1" t="s">
        <v>6966</v>
      </c>
      <c r="D2232" s="1" t="s">
        <v>51</v>
      </c>
      <c r="E2232" s="1" t="s">
        <v>29</v>
      </c>
      <c r="F2232" s="5">
        <v>500000.0</v>
      </c>
      <c r="G2232" s="1" t="s">
        <v>3964</v>
      </c>
      <c r="H2232" s="4">
        <v>44511.0</v>
      </c>
      <c r="I2232" s="4">
        <v>44568.0</v>
      </c>
      <c r="K2232" s="1">
        <v>0.0</v>
      </c>
      <c r="L2232" s="1" t="s">
        <v>915</v>
      </c>
      <c r="M2232" s="1" t="str">
        <f>VLOOKUP(L2232,'Copy of PMD Workday Constants -'!B2231:W2917,22,false)</f>
        <v>#N/A</v>
      </c>
      <c r="N2232" s="1" t="s">
        <v>32</v>
      </c>
      <c r="O2232" s="1" t="s">
        <v>33</v>
      </c>
      <c r="P2232" s="1" t="s">
        <v>112</v>
      </c>
      <c r="Q2232" s="1" t="s">
        <v>112</v>
      </c>
      <c r="R2232" s="1" t="s">
        <v>113</v>
      </c>
      <c r="S2232" s="1" t="s">
        <v>455</v>
      </c>
      <c r="T2232" s="1">
        <v>1.00592304E8</v>
      </c>
      <c r="W2232" s="1" t="s">
        <v>85</v>
      </c>
      <c r="X2232" s="1" t="s">
        <v>915</v>
      </c>
    </row>
    <row r="2233">
      <c r="A2233" s="1" t="s">
        <v>6967</v>
      </c>
      <c r="B2233" s="1" t="s">
        <v>3711</v>
      </c>
      <c r="C2233" s="1" t="s">
        <v>6968</v>
      </c>
      <c r="D2233" s="1" t="s">
        <v>28</v>
      </c>
      <c r="E2233" s="1" t="s">
        <v>29</v>
      </c>
      <c r="F2233" s="5">
        <v>500000.0</v>
      </c>
      <c r="G2233" s="1" t="s">
        <v>3964</v>
      </c>
      <c r="H2233" s="1" t="s">
        <v>1220</v>
      </c>
      <c r="I2233" s="1" t="s">
        <v>810</v>
      </c>
      <c r="K2233" s="1">
        <v>0.0</v>
      </c>
      <c r="L2233" s="1" t="s">
        <v>1075</v>
      </c>
      <c r="M2233" s="1" t="str">
        <f>VLOOKUP(L2233,'Copy of PMD Workday Constants -'!B2232:W2918,22,false)</f>
        <v>#N/A</v>
      </c>
      <c r="N2233" s="1" t="s">
        <v>32</v>
      </c>
      <c r="O2233" s="1" t="s">
        <v>33</v>
      </c>
      <c r="P2233" s="1" t="s">
        <v>34</v>
      </c>
      <c r="Q2233" s="1" t="s">
        <v>34</v>
      </c>
      <c r="R2233" s="1" t="s">
        <v>35</v>
      </c>
      <c r="S2233" s="1" t="s">
        <v>36</v>
      </c>
      <c r="T2233" s="1">
        <v>1.00601386E8</v>
      </c>
      <c r="W2233" s="1" t="s">
        <v>91</v>
      </c>
      <c r="X2233" s="1" t="s">
        <v>602</v>
      </c>
    </row>
    <row r="2234">
      <c r="A2234" s="1" t="s">
        <v>6969</v>
      </c>
      <c r="B2234" s="1" t="s">
        <v>3489</v>
      </c>
      <c r="C2234" s="1" t="s">
        <v>6970</v>
      </c>
      <c r="D2234" s="1" t="s">
        <v>28</v>
      </c>
      <c r="E2234" s="1" t="s">
        <v>29</v>
      </c>
      <c r="F2234" s="5">
        <v>500000.0</v>
      </c>
      <c r="G2234" s="1" t="s">
        <v>3964</v>
      </c>
      <c r="H2234" s="4">
        <v>44327.0</v>
      </c>
      <c r="I2234" s="1" t="s">
        <v>43</v>
      </c>
      <c r="K2234" s="1">
        <v>0.0</v>
      </c>
      <c r="L2234" s="1" t="s">
        <v>2310</v>
      </c>
      <c r="M2234" s="1" t="str">
        <f>VLOOKUP(L2234,'Copy of PMD Workday Constants -'!B2233:W2919,22,false)</f>
        <v>#N/A</v>
      </c>
      <c r="N2234" s="1" t="s">
        <v>32</v>
      </c>
      <c r="O2234" s="1" t="s">
        <v>33</v>
      </c>
      <c r="P2234" s="1" t="s">
        <v>82</v>
      </c>
      <c r="Q2234" s="1" t="s">
        <v>82</v>
      </c>
      <c r="R2234" s="1" t="s">
        <v>83</v>
      </c>
      <c r="S2234" s="1" t="s">
        <v>180</v>
      </c>
      <c r="T2234" s="1">
        <v>1.01078216E8</v>
      </c>
      <c r="W2234" s="1" t="s">
        <v>85</v>
      </c>
      <c r="X2234" s="1" t="s">
        <v>2310</v>
      </c>
    </row>
    <row r="2235">
      <c r="A2235" s="1" t="s">
        <v>6971</v>
      </c>
      <c r="B2235" s="1" t="s">
        <v>2867</v>
      </c>
      <c r="C2235" s="1" t="s">
        <v>6972</v>
      </c>
      <c r="D2235" s="1" t="s">
        <v>28</v>
      </c>
      <c r="E2235" s="1" t="s">
        <v>29</v>
      </c>
      <c r="F2235" s="5">
        <v>500000.0</v>
      </c>
      <c r="G2235" s="1" t="s">
        <v>3964</v>
      </c>
      <c r="H2235" s="4">
        <v>44563.0</v>
      </c>
      <c r="I2235" s="1" t="s">
        <v>191</v>
      </c>
      <c r="K2235" s="1">
        <v>0.0</v>
      </c>
      <c r="L2235" s="1" t="s">
        <v>2325</v>
      </c>
      <c r="M2235" s="1" t="str">
        <f>VLOOKUP(L2235,'Copy of PMD Workday Constants -'!B2234:W2920,22,false)</f>
        <v>#N/A</v>
      </c>
      <c r="N2235" s="1" t="s">
        <v>32</v>
      </c>
      <c r="O2235" s="1" t="s">
        <v>33</v>
      </c>
      <c r="P2235" s="1" t="s">
        <v>82</v>
      </c>
      <c r="Q2235" s="1" t="s">
        <v>82</v>
      </c>
      <c r="R2235" s="1" t="s">
        <v>83</v>
      </c>
      <c r="S2235" s="1" t="s">
        <v>180</v>
      </c>
      <c r="T2235" s="1">
        <v>1.00628181E8</v>
      </c>
      <c r="U2235" s="1" t="s">
        <v>2869</v>
      </c>
      <c r="V2235" s="1" t="s">
        <v>46</v>
      </c>
      <c r="W2235" s="1" t="s">
        <v>85</v>
      </c>
      <c r="X2235" s="1" t="s">
        <v>2325</v>
      </c>
    </row>
    <row r="2236">
      <c r="A2236" s="1" t="s">
        <v>6973</v>
      </c>
      <c r="B2236" s="1" t="s">
        <v>2646</v>
      </c>
      <c r="C2236" s="1" t="s">
        <v>6974</v>
      </c>
      <c r="D2236" s="1" t="s">
        <v>103</v>
      </c>
      <c r="E2236" s="1" t="s">
        <v>29</v>
      </c>
      <c r="F2236" s="5">
        <v>500000.0</v>
      </c>
      <c r="G2236" s="1" t="s">
        <v>3964</v>
      </c>
      <c r="H2236" s="1" t="s">
        <v>6975</v>
      </c>
      <c r="I2236" s="1" t="s">
        <v>152</v>
      </c>
      <c r="K2236" s="1">
        <v>0.0</v>
      </c>
      <c r="L2236" s="1" t="s">
        <v>3917</v>
      </c>
      <c r="M2236" s="1" t="str">
        <f>VLOOKUP(L2236,'Copy of PMD Workday Constants -'!B2235:W2921,22,false)</f>
        <v>#N/A</v>
      </c>
      <c r="N2236" s="1" t="s">
        <v>32</v>
      </c>
      <c r="O2236" s="1" t="s">
        <v>33</v>
      </c>
      <c r="P2236" s="1" t="s">
        <v>82</v>
      </c>
      <c r="Q2236" s="1" t="s">
        <v>82</v>
      </c>
      <c r="R2236" s="1" t="s">
        <v>83</v>
      </c>
      <c r="S2236" s="1" t="s">
        <v>180</v>
      </c>
      <c r="T2236" s="1">
        <v>1.00611547E8</v>
      </c>
      <c r="W2236" s="1" t="s">
        <v>2098</v>
      </c>
      <c r="X2236" s="1" t="s">
        <v>6976</v>
      </c>
    </row>
    <row r="2237">
      <c r="A2237" s="1" t="s">
        <v>6977</v>
      </c>
      <c r="B2237" s="1" t="s">
        <v>4174</v>
      </c>
      <c r="C2237" s="1" t="s">
        <v>6978</v>
      </c>
      <c r="D2237" s="1" t="s">
        <v>28</v>
      </c>
      <c r="E2237" s="1" t="s">
        <v>29</v>
      </c>
      <c r="F2237" s="5">
        <v>500000.0</v>
      </c>
      <c r="G2237" s="1" t="s">
        <v>3964</v>
      </c>
      <c r="H2237" s="4">
        <v>44656.0</v>
      </c>
      <c r="I2237" s="4">
        <v>44573.0</v>
      </c>
      <c r="K2237" s="1">
        <v>0.0</v>
      </c>
      <c r="L2237" s="1" t="s">
        <v>934</v>
      </c>
      <c r="M2237" s="1" t="str">
        <f>VLOOKUP(L2237,'Copy of PMD Workday Constants -'!B2236:W2922,22,false)</f>
        <v>#N/A</v>
      </c>
      <c r="N2237" s="1" t="s">
        <v>32</v>
      </c>
      <c r="O2237" s="1" t="s">
        <v>33</v>
      </c>
      <c r="P2237" s="1" t="s">
        <v>173</v>
      </c>
      <c r="Q2237" s="1" t="s">
        <v>173</v>
      </c>
      <c r="R2237" s="1" t="s">
        <v>174</v>
      </c>
      <c r="T2237" s="1">
        <v>1.00653269E8</v>
      </c>
      <c r="W2237" s="1" t="s">
        <v>56</v>
      </c>
      <c r="X2237" s="1" t="s">
        <v>3523</v>
      </c>
    </row>
    <row r="2238">
      <c r="A2238" s="1" t="s">
        <v>6979</v>
      </c>
      <c r="B2238" s="1" t="s">
        <v>373</v>
      </c>
      <c r="C2238" s="1" t="s">
        <v>6980</v>
      </c>
      <c r="D2238" s="1" t="s">
        <v>103</v>
      </c>
      <c r="E2238" s="1" t="s">
        <v>29</v>
      </c>
      <c r="F2238" s="5">
        <v>500000.0</v>
      </c>
      <c r="G2238" s="1" t="s">
        <v>3964</v>
      </c>
      <c r="H2238" s="4">
        <v>44656.0</v>
      </c>
      <c r="I2238" s="1" t="s">
        <v>80</v>
      </c>
      <c r="K2238" s="1">
        <v>0.0</v>
      </c>
      <c r="L2238" s="1" t="s">
        <v>3734</v>
      </c>
      <c r="M2238" s="1" t="str">
        <f>VLOOKUP(L2238,'Copy of PMD Workday Constants -'!B2237:W2923,22,false)</f>
        <v>#N/A</v>
      </c>
      <c r="N2238" s="1" t="s">
        <v>32</v>
      </c>
      <c r="O2238" s="1" t="s">
        <v>33</v>
      </c>
      <c r="P2238" s="1" t="s">
        <v>173</v>
      </c>
      <c r="Q2238" s="1" t="s">
        <v>173</v>
      </c>
      <c r="R2238" s="1" t="s">
        <v>174</v>
      </c>
      <c r="S2238" s="1" t="s">
        <v>297</v>
      </c>
      <c r="T2238" s="1">
        <v>1.00589248E8</v>
      </c>
      <c r="W2238" s="1" t="s">
        <v>258</v>
      </c>
      <c r="X2238" s="1" t="s">
        <v>370</v>
      </c>
    </row>
    <row r="2239">
      <c r="A2239" s="1" t="s">
        <v>6981</v>
      </c>
      <c r="B2239" s="1" t="s">
        <v>3539</v>
      </c>
      <c r="C2239" s="1" t="s">
        <v>6982</v>
      </c>
      <c r="D2239" s="1" t="s">
        <v>51</v>
      </c>
      <c r="E2239" s="1" t="s">
        <v>29</v>
      </c>
      <c r="F2239" s="5">
        <v>500000.0</v>
      </c>
      <c r="G2239" s="1" t="s">
        <v>3964</v>
      </c>
      <c r="H2239" s="1" t="s">
        <v>816</v>
      </c>
      <c r="I2239" s="1" t="s">
        <v>80</v>
      </c>
      <c r="K2239" s="1">
        <v>0.0</v>
      </c>
      <c r="L2239" s="1" t="s">
        <v>1335</v>
      </c>
      <c r="M2239" s="1" t="str">
        <f>VLOOKUP(L2239,'Copy of PMD Workday Constants -'!B2238:W2924,22,false)</f>
        <v>#N/A</v>
      </c>
      <c r="N2239" s="1" t="s">
        <v>32</v>
      </c>
      <c r="O2239" s="1" t="s">
        <v>33</v>
      </c>
      <c r="P2239" s="1" t="s">
        <v>210</v>
      </c>
      <c r="Q2239" s="1" t="s">
        <v>210</v>
      </c>
      <c r="R2239" s="1" t="s">
        <v>211</v>
      </c>
      <c r="T2239" s="1">
        <v>1.00594397E8</v>
      </c>
      <c r="W2239" s="1" t="s">
        <v>258</v>
      </c>
      <c r="X2239" s="1" t="s">
        <v>6983</v>
      </c>
    </row>
    <row r="2240">
      <c r="A2240" s="1" t="s">
        <v>6984</v>
      </c>
      <c r="B2240" s="1" t="s">
        <v>6985</v>
      </c>
      <c r="C2240" s="1" t="s">
        <v>6986</v>
      </c>
      <c r="D2240" s="1" t="s">
        <v>103</v>
      </c>
      <c r="E2240" s="1" t="s">
        <v>29</v>
      </c>
      <c r="F2240" s="5">
        <v>500000.0</v>
      </c>
      <c r="G2240" s="1" t="s">
        <v>3964</v>
      </c>
      <c r="H2240" s="4">
        <v>44837.0</v>
      </c>
      <c r="I2240" s="1" t="s">
        <v>1673</v>
      </c>
      <c r="K2240" s="1">
        <v>0.0</v>
      </c>
      <c r="L2240" s="1" t="s">
        <v>275</v>
      </c>
      <c r="M2240" s="1" t="str">
        <f>VLOOKUP(L2240,'Copy of PMD Workday Constants -'!B2239:W2925,22,false)</f>
        <v>#N/A</v>
      </c>
      <c r="N2240" s="1" t="s">
        <v>32</v>
      </c>
      <c r="O2240" s="1" t="s">
        <v>33</v>
      </c>
      <c r="P2240" s="1" t="s">
        <v>34</v>
      </c>
      <c r="Q2240" s="1" t="s">
        <v>34</v>
      </c>
      <c r="R2240" s="1" t="s">
        <v>35</v>
      </c>
      <c r="S2240" s="1" t="s">
        <v>66</v>
      </c>
      <c r="T2240" s="1">
        <v>1.00608828E8</v>
      </c>
      <c r="W2240" s="1" t="s">
        <v>533</v>
      </c>
      <c r="X2240" s="1" t="s">
        <v>4486</v>
      </c>
    </row>
    <row r="2241">
      <c r="A2241" s="1" t="s">
        <v>6987</v>
      </c>
      <c r="B2241" s="1" t="s">
        <v>6988</v>
      </c>
      <c r="C2241" s="1" t="s">
        <v>6989</v>
      </c>
      <c r="D2241" s="1" t="s">
        <v>103</v>
      </c>
      <c r="E2241" s="1" t="s">
        <v>29</v>
      </c>
      <c r="F2241" s="5">
        <v>500000.0</v>
      </c>
      <c r="G2241" s="1" t="s">
        <v>3964</v>
      </c>
      <c r="H2241" s="4">
        <v>44656.0</v>
      </c>
      <c r="I2241" s="1" t="s">
        <v>264</v>
      </c>
      <c r="K2241" s="1">
        <v>0.0</v>
      </c>
      <c r="L2241" s="1" t="s">
        <v>6990</v>
      </c>
      <c r="M2241" s="1" t="str">
        <f>VLOOKUP(L2241,'Copy of PMD Workday Constants -'!B2240:W2926,22,false)</f>
        <v>#N/A</v>
      </c>
      <c r="N2241" s="1" t="s">
        <v>32</v>
      </c>
      <c r="O2241" s="1" t="s">
        <v>33</v>
      </c>
      <c r="P2241" s="1" t="s">
        <v>210</v>
      </c>
      <c r="Q2241" s="1" t="s">
        <v>210</v>
      </c>
      <c r="R2241" s="1" t="s">
        <v>211</v>
      </c>
      <c r="S2241" s="1" t="s">
        <v>212</v>
      </c>
      <c r="T2241" s="1">
        <v>1.00624527E8</v>
      </c>
      <c r="W2241" s="1" t="s">
        <v>74</v>
      </c>
      <c r="X2241" s="1" t="s">
        <v>6991</v>
      </c>
    </row>
    <row r="2242">
      <c r="A2242" s="1" t="s">
        <v>6992</v>
      </c>
      <c r="B2242" s="1" t="s">
        <v>1112</v>
      </c>
      <c r="C2242" s="1" t="s">
        <v>6993</v>
      </c>
      <c r="D2242" s="1" t="s">
        <v>51</v>
      </c>
      <c r="E2242" s="1" t="s">
        <v>29</v>
      </c>
      <c r="F2242" s="5">
        <v>500000.0</v>
      </c>
      <c r="G2242" s="1" t="s">
        <v>3964</v>
      </c>
      <c r="H2242" s="4">
        <v>44595.0</v>
      </c>
      <c r="I2242" s="1" t="s">
        <v>132</v>
      </c>
      <c r="K2242" s="1">
        <v>0.0</v>
      </c>
      <c r="L2242" s="1" t="s">
        <v>4629</v>
      </c>
      <c r="M2242" s="1" t="str">
        <f>VLOOKUP(L2242,'Copy of PMD Workday Constants -'!B2241:W2927,22,false)</f>
        <v>#N/A</v>
      </c>
      <c r="N2242" s="1" t="s">
        <v>32</v>
      </c>
      <c r="O2242" s="1" t="s">
        <v>33</v>
      </c>
      <c r="P2242" s="1" t="s">
        <v>210</v>
      </c>
      <c r="Q2242" s="1" t="s">
        <v>210</v>
      </c>
      <c r="R2242" s="1" t="s">
        <v>211</v>
      </c>
      <c r="S2242" s="1" t="s">
        <v>416</v>
      </c>
      <c r="T2242" s="1">
        <v>1.01017204E8</v>
      </c>
      <c r="W2242" s="1" t="s">
        <v>56</v>
      </c>
      <c r="X2242" s="1" t="s">
        <v>4629</v>
      </c>
    </row>
    <row r="2243">
      <c r="A2243" s="1" t="s">
        <v>6994</v>
      </c>
      <c r="B2243" s="1" t="s">
        <v>324</v>
      </c>
      <c r="C2243" s="1" t="s">
        <v>6995</v>
      </c>
      <c r="D2243" s="1" t="s">
        <v>28</v>
      </c>
      <c r="E2243" s="1" t="s">
        <v>29</v>
      </c>
      <c r="F2243" s="5">
        <v>500000.0</v>
      </c>
      <c r="G2243" s="1" t="s">
        <v>3964</v>
      </c>
      <c r="H2243" s="1" t="s">
        <v>1810</v>
      </c>
      <c r="I2243" s="1" t="s">
        <v>2485</v>
      </c>
      <c r="K2243" s="1">
        <v>0.0</v>
      </c>
      <c r="L2243" s="1" t="s">
        <v>415</v>
      </c>
      <c r="M2243" s="1" t="str">
        <f>VLOOKUP(L2243,'Copy of PMD Workday Constants -'!B2242:W2928,22,false)</f>
        <v>#N/A</v>
      </c>
      <c r="N2243" s="1" t="s">
        <v>32</v>
      </c>
      <c r="O2243" s="1" t="s">
        <v>33</v>
      </c>
      <c r="P2243" s="1" t="s">
        <v>210</v>
      </c>
      <c r="Q2243" s="1" t="s">
        <v>210</v>
      </c>
      <c r="R2243" s="1" t="s">
        <v>211</v>
      </c>
      <c r="S2243" s="1" t="s">
        <v>1313</v>
      </c>
      <c r="T2243" s="1">
        <v>1.00650375E8</v>
      </c>
      <c r="W2243" s="1" t="s">
        <v>56</v>
      </c>
      <c r="X2243" s="1" t="s">
        <v>3731</v>
      </c>
    </row>
    <row r="2244">
      <c r="A2244" s="1" t="s">
        <v>6996</v>
      </c>
      <c r="B2244" s="1" t="s">
        <v>1808</v>
      </c>
      <c r="C2244" s="1" t="s">
        <v>6997</v>
      </c>
      <c r="D2244" s="1" t="s">
        <v>103</v>
      </c>
      <c r="E2244" s="1" t="s">
        <v>29</v>
      </c>
      <c r="F2244" s="5">
        <v>500000.0</v>
      </c>
      <c r="G2244" s="1" t="s">
        <v>3964</v>
      </c>
      <c r="H2244" s="4">
        <v>44389.0</v>
      </c>
      <c r="I2244" s="1" t="s">
        <v>152</v>
      </c>
      <c r="K2244" s="1">
        <v>0.0</v>
      </c>
      <c r="L2244" s="1" t="s">
        <v>2042</v>
      </c>
      <c r="M2244" s="1" t="str">
        <f>VLOOKUP(L2244,'Copy of PMD Workday Constants -'!B2243:W2929,22,false)</f>
        <v>#N/A</v>
      </c>
      <c r="N2244" s="1" t="s">
        <v>32</v>
      </c>
      <c r="O2244" s="1" t="s">
        <v>33</v>
      </c>
      <c r="P2244" s="1" t="s">
        <v>34</v>
      </c>
      <c r="Q2244" s="1" t="s">
        <v>34</v>
      </c>
      <c r="R2244" s="1" t="s">
        <v>35</v>
      </c>
      <c r="S2244" s="1" t="s">
        <v>540</v>
      </c>
      <c r="T2244" s="1">
        <v>1.00611284E8</v>
      </c>
      <c r="W2244" s="1" t="s">
        <v>493</v>
      </c>
      <c r="X2244" s="1" t="s">
        <v>6998</v>
      </c>
    </row>
    <row r="2245">
      <c r="A2245" s="1" t="s">
        <v>6999</v>
      </c>
      <c r="B2245" s="1" t="s">
        <v>993</v>
      </c>
      <c r="C2245" s="1" t="s">
        <v>7000</v>
      </c>
      <c r="D2245" s="1" t="s">
        <v>28</v>
      </c>
      <c r="E2245" s="1" t="s">
        <v>29</v>
      </c>
      <c r="F2245" s="5">
        <v>500000.0</v>
      </c>
      <c r="G2245" s="1" t="s">
        <v>3964</v>
      </c>
      <c r="H2245" s="4">
        <v>44748.0</v>
      </c>
      <c r="I2245" s="1" t="s">
        <v>732</v>
      </c>
      <c r="K2245" s="1">
        <v>0.0</v>
      </c>
      <c r="L2245" s="1" t="s">
        <v>4051</v>
      </c>
      <c r="M2245" s="1" t="str">
        <f>VLOOKUP(L2245,'Copy of PMD Workday Constants -'!B2244:W2930,22,false)</f>
        <v>#N/A</v>
      </c>
      <c r="N2245" s="1" t="s">
        <v>32</v>
      </c>
      <c r="O2245" s="1" t="s">
        <v>33</v>
      </c>
      <c r="P2245" s="1" t="s">
        <v>112</v>
      </c>
      <c r="Q2245" s="1" t="s">
        <v>112</v>
      </c>
      <c r="R2245" s="1" t="s">
        <v>113</v>
      </c>
      <c r="S2245" s="1" t="s">
        <v>134</v>
      </c>
      <c r="T2245" s="1">
        <v>1.00694651E8</v>
      </c>
      <c r="W2245" s="1" t="s">
        <v>74</v>
      </c>
      <c r="X2245" s="1" t="s">
        <v>4051</v>
      </c>
    </row>
    <row r="2246">
      <c r="A2246" s="1" t="s">
        <v>7001</v>
      </c>
      <c r="B2246" s="1" t="s">
        <v>1808</v>
      </c>
      <c r="C2246" s="1" t="s">
        <v>7002</v>
      </c>
      <c r="D2246" s="1" t="s">
        <v>28</v>
      </c>
      <c r="E2246" s="1" t="s">
        <v>29</v>
      </c>
      <c r="F2246" s="5">
        <v>500000.0</v>
      </c>
      <c r="G2246" s="1" t="s">
        <v>3964</v>
      </c>
      <c r="H2246" s="1" t="s">
        <v>460</v>
      </c>
      <c r="I2246" s="1" t="s">
        <v>2986</v>
      </c>
      <c r="K2246" s="1">
        <v>0.0</v>
      </c>
      <c r="L2246" s="1" t="s">
        <v>2042</v>
      </c>
      <c r="M2246" s="1" t="str">
        <f>VLOOKUP(L2246,'Copy of PMD Workday Constants -'!B2245:W2931,22,false)</f>
        <v>#N/A</v>
      </c>
      <c r="N2246" s="1" t="s">
        <v>32</v>
      </c>
      <c r="O2246" s="1" t="s">
        <v>33</v>
      </c>
      <c r="P2246" s="1" t="s">
        <v>34</v>
      </c>
      <c r="Q2246" s="1" t="s">
        <v>34</v>
      </c>
      <c r="R2246" s="1" t="s">
        <v>35</v>
      </c>
      <c r="T2246" s="1">
        <v>1.00611284E8</v>
      </c>
      <c r="W2246" s="1" t="s">
        <v>493</v>
      </c>
      <c r="X2246" s="1" t="s">
        <v>5719</v>
      </c>
    </row>
    <row r="2247">
      <c r="A2247" s="1" t="s">
        <v>7003</v>
      </c>
      <c r="B2247" s="1" t="s">
        <v>7004</v>
      </c>
      <c r="C2247" s="1" t="s">
        <v>7005</v>
      </c>
      <c r="D2247" s="1" t="s">
        <v>28</v>
      </c>
      <c r="E2247" s="1" t="s">
        <v>29</v>
      </c>
      <c r="F2247" s="5">
        <v>500000.0</v>
      </c>
      <c r="G2247" s="1" t="s">
        <v>3964</v>
      </c>
      <c r="H2247" s="4">
        <v>44414.0</v>
      </c>
      <c r="I2247" s="1" t="s">
        <v>80</v>
      </c>
      <c r="K2247" s="1">
        <v>0.0</v>
      </c>
      <c r="L2247" s="1" t="s">
        <v>749</v>
      </c>
      <c r="M2247" s="1" t="str">
        <f>VLOOKUP(L2247,'Copy of PMD Workday Constants -'!B2246:W2932,22,false)</f>
        <v>#N/A</v>
      </c>
      <c r="N2247" s="1" t="s">
        <v>32</v>
      </c>
      <c r="O2247" s="1" t="s">
        <v>33</v>
      </c>
      <c r="P2247" s="1" t="s">
        <v>34</v>
      </c>
      <c r="Q2247" s="1" t="s">
        <v>34</v>
      </c>
      <c r="R2247" s="1" t="s">
        <v>35</v>
      </c>
      <c r="T2247" s="1">
        <v>1.00686761E8</v>
      </c>
      <c r="W2247" s="1" t="s">
        <v>37</v>
      </c>
      <c r="X2247" s="1" t="s">
        <v>689</v>
      </c>
    </row>
    <row r="2248">
      <c r="A2248" s="1" t="s">
        <v>7006</v>
      </c>
      <c r="B2248" s="1" t="s">
        <v>7004</v>
      </c>
      <c r="C2248" s="1" t="s">
        <v>7007</v>
      </c>
      <c r="D2248" s="1" t="s">
        <v>28</v>
      </c>
      <c r="E2248" s="1" t="s">
        <v>29</v>
      </c>
      <c r="F2248" s="5">
        <v>500000.0</v>
      </c>
      <c r="G2248" s="1" t="s">
        <v>3964</v>
      </c>
      <c r="H2248" s="4">
        <v>44414.0</v>
      </c>
      <c r="I2248" s="1" t="s">
        <v>152</v>
      </c>
      <c r="K2248" s="1">
        <v>0.0</v>
      </c>
      <c r="L2248" s="1" t="s">
        <v>749</v>
      </c>
      <c r="M2248" s="1" t="str">
        <f>VLOOKUP(L2248,'Copy of PMD Workday Constants -'!B2247:W2933,22,false)</f>
        <v>#N/A</v>
      </c>
      <c r="N2248" s="1" t="s">
        <v>32</v>
      </c>
      <c r="O2248" s="1" t="s">
        <v>33</v>
      </c>
      <c r="P2248" s="1" t="s">
        <v>34</v>
      </c>
      <c r="Q2248" s="1" t="s">
        <v>34</v>
      </c>
      <c r="R2248" s="1" t="s">
        <v>35</v>
      </c>
      <c r="T2248" s="1">
        <v>1.00686761E8</v>
      </c>
      <c r="W2248" s="1" t="s">
        <v>37</v>
      </c>
      <c r="X2248" s="1" t="s">
        <v>689</v>
      </c>
    </row>
    <row r="2249">
      <c r="A2249" s="1" t="s">
        <v>7008</v>
      </c>
      <c r="B2249" s="1" t="s">
        <v>3585</v>
      </c>
      <c r="C2249" s="1" t="s">
        <v>7009</v>
      </c>
      <c r="D2249" s="1" t="s">
        <v>28</v>
      </c>
      <c r="E2249" s="1" t="s">
        <v>29</v>
      </c>
      <c r="F2249" s="5">
        <v>500000.0</v>
      </c>
      <c r="G2249" s="1" t="s">
        <v>3964</v>
      </c>
      <c r="H2249" s="1" t="s">
        <v>1078</v>
      </c>
      <c r="I2249" s="1" t="s">
        <v>80</v>
      </c>
      <c r="J2249" s="1" t="s">
        <v>7010</v>
      </c>
      <c r="K2249" s="1">
        <v>0.0</v>
      </c>
      <c r="L2249" s="1" t="s">
        <v>5807</v>
      </c>
      <c r="M2249" s="1" t="str">
        <f>VLOOKUP(L2249,'Copy of PMD Workday Constants -'!B2248:W2934,22,false)</f>
        <v>#N/A</v>
      </c>
      <c r="N2249" s="1" t="s">
        <v>32</v>
      </c>
      <c r="O2249" s="1" t="s">
        <v>33</v>
      </c>
      <c r="P2249" s="1" t="s">
        <v>173</v>
      </c>
      <c r="Q2249" s="1" t="s">
        <v>173</v>
      </c>
      <c r="R2249" s="1" t="s">
        <v>174</v>
      </c>
      <c r="S2249" s="1" t="s">
        <v>540</v>
      </c>
      <c r="T2249" s="1">
        <v>1.00589278E8</v>
      </c>
      <c r="X2249" s="1" t="s">
        <v>7011</v>
      </c>
    </row>
    <row r="2250">
      <c r="A2250" s="1" t="s">
        <v>7012</v>
      </c>
      <c r="B2250" s="1" t="s">
        <v>996</v>
      </c>
      <c r="C2250" s="1" t="s">
        <v>7013</v>
      </c>
      <c r="D2250" s="1" t="s">
        <v>28</v>
      </c>
      <c r="E2250" s="1" t="s">
        <v>29</v>
      </c>
      <c r="F2250" s="5">
        <v>500000.0</v>
      </c>
      <c r="G2250" s="1" t="s">
        <v>3964</v>
      </c>
      <c r="H2250" s="4">
        <v>44866.0</v>
      </c>
      <c r="I2250" s="1" t="s">
        <v>510</v>
      </c>
      <c r="K2250" s="1">
        <v>0.0</v>
      </c>
      <c r="L2250" s="1" t="s">
        <v>1413</v>
      </c>
      <c r="M2250" s="1" t="str">
        <f>VLOOKUP(L2250,'Copy of PMD Workday Constants -'!B2249:W2935,22,false)</f>
        <v>#N/A</v>
      </c>
      <c r="N2250" s="1" t="s">
        <v>32</v>
      </c>
      <c r="O2250" s="1" t="s">
        <v>33</v>
      </c>
      <c r="P2250" s="1" t="s">
        <v>34</v>
      </c>
      <c r="Q2250" s="1" t="s">
        <v>34</v>
      </c>
      <c r="R2250" s="1" t="s">
        <v>35</v>
      </c>
      <c r="S2250" s="1" t="s">
        <v>126</v>
      </c>
      <c r="T2250" s="1">
        <v>1.00643044E8</v>
      </c>
      <c r="W2250" s="1" t="s">
        <v>391</v>
      </c>
      <c r="X2250" s="1" t="s">
        <v>999</v>
      </c>
    </row>
    <row r="2251">
      <c r="A2251" s="1" t="s">
        <v>7014</v>
      </c>
      <c r="B2251" s="1" t="s">
        <v>1997</v>
      </c>
      <c r="C2251" s="1" t="s">
        <v>7015</v>
      </c>
      <c r="D2251" s="1" t="s">
        <v>79</v>
      </c>
      <c r="E2251" s="1" t="s">
        <v>29</v>
      </c>
      <c r="F2251" s="5">
        <v>499000.0</v>
      </c>
      <c r="G2251" s="1" t="s">
        <v>7016</v>
      </c>
      <c r="H2251" s="4">
        <v>44685.0</v>
      </c>
      <c r="I2251" s="1" t="s">
        <v>191</v>
      </c>
      <c r="J2251" s="6">
        <v>44597.84722222222</v>
      </c>
      <c r="K2251" s="1">
        <v>0.0</v>
      </c>
      <c r="L2251" s="1" t="s">
        <v>4365</v>
      </c>
      <c r="M2251" s="1" t="str">
        <f>VLOOKUP(L2251,'Copy of PMD Workday Constants -'!B2250:W2936,22,false)</f>
        <v>#N/A</v>
      </c>
      <c r="N2251" s="1" t="s">
        <v>32</v>
      </c>
      <c r="O2251" s="1" t="s">
        <v>33</v>
      </c>
      <c r="P2251" s="1" t="s">
        <v>173</v>
      </c>
      <c r="Q2251" s="1" t="s">
        <v>173</v>
      </c>
      <c r="R2251" s="1" t="s">
        <v>174</v>
      </c>
      <c r="S2251" s="1" t="s">
        <v>612</v>
      </c>
      <c r="T2251" s="1">
        <v>1.0066064E8</v>
      </c>
      <c r="W2251" s="1" t="s">
        <v>947</v>
      </c>
      <c r="X2251" s="1" t="s">
        <v>7017</v>
      </c>
    </row>
    <row r="2252">
      <c r="A2252" s="1" t="s">
        <v>7018</v>
      </c>
      <c r="B2252" s="1" t="s">
        <v>863</v>
      </c>
      <c r="C2252" s="1" t="s">
        <v>7019</v>
      </c>
      <c r="D2252" s="1" t="s">
        <v>79</v>
      </c>
      <c r="E2252" s="1" t="s">
        <v>29</v>
      </c>
      <c r="F2252" s="5">
        <v>498000.0</v>
      </c>
      <c r="G2252" s="1" t="s">
        <v>7016</v>
      </c>
      <c r="H2252" s="1" t="s">
        <v>1265</v>
      </c>
      <c r="I2252" s="1" t="s">
        <v>80</v>
      </c>
      <c r="K2252" s="1">
        <v>0.0</v>
      </c>
      <c r="L2252" s="1" t="s">
        <v>1697</v>
      </c>
      <c r="M2252" s="1" t="str">
        <f>VLOOKUP(L2252,'Copy of PMD Workday Constants -'!B2251:W2937,22,false)</f>
        <v>#N/A</v>
      </c>
      <c r="N2252" s="1" t="s">
        <v>32</v>
      </c>
      <c r="O2252" s="1" t="s">
        <v>33</v>
      </c>
      <c r="P2252" s="1" t="s">
        <v>82</v>
      </c>
      <c r="Q2252" s="1" t="s">
        <v>82</v>
      </c>
      <c r="R2252" s="1" t="s">
        <v>83</v>
      </c>
      <c r="S2252" s="1" t="s">
        <v>84</v>
      </c>
      <c r="T2252" s="1">
        <v>1.00589728E8</v>
      </c>
      <c r="W2252" s="1" t="s">
        <v>85</v>
      </c>
      <c r="X2252" s="1" t="s">
        <v>1697</v>
      </c>
    </row>
    <row r="2253">
      <c r="A2253" s="1" t="s">
        <v>7020</v>
      </c>
      <c r="B2253" s="1" t="s">
        <v>324</v>
      </c>
      <c r="C2253" s="1" t="s">
        <v>7021</v>
      </c>
      <c r="D2253" s="1" t="s">
        <v>79</v>
      </c>
      <c r="E2253" s="1" t="s">
        <v>29</v>
      </c>
      <c r="F2253" s="5">
        <v>498000.0</v>
      </c>
      <c r="G2253" s="1" t="s">
        <v>7016</v>
      </c>
      <c r="H2253" s="1" t="s">
        <v>1842</v>
      </c>
      <c r="I2253" s="1" t="s">
        <v>816</v>
      </c>
      <c r="K2253" s="1">
        <v>0.0</v>
      </c>
      <c r="L2253" s="1" t="s">
        <v>3731</v>
      </c>
      <c r="M2253" s="1" t="str">
        <f>VLOOKUP(L2253,'Copy of PMD Workday Constants -'!B2252:W2938,22,false)</f>
        <v>#N/A</v>
      </c>
      <c r="N2253" s="1" t="s">
        <v>32</v>
      </c>
      <c r="O2253" s="1" t="s">
        <v>33</v>
      </c>
      <c r="P2253" s="1" t="s">
        <v>210</v>
      </c>
      <c r="Q2253" s="1" t="s">
        <v>210</v>
      </c>
      <c r="R2253" s="1" t="s">
        <v>211</v>
      </c>
      <c r="T2253" s="1">
        <v>1.00648252E8</v>
      </c>
      <c r="W2253" s="1" t="s">
        <v>56</v>
      </c>
      <c r="X2253" s="1" t="s">
        <v>7022</v>
      </c>
    </row>
    <row r="2254">
      <c r="A2254" s="1" t="s">
        <v>7023</v>
      </c>
      <c r="B2254" s="1" t="s">
        <v>765</v>
      </c>
      <c r="C2254" s="1" t="s">
        <v>7024</v>
      </c>
      <c r="D2254" s="1" t="s">
        <v>103</v>
      </c>
      <c r="E2254" s="1" t="s">
        <v>29</v>
      </c>
      <c r="F2254" s="5">
        <v>497210.0</v>
      </c>
      <c r="G2254" s="1" t="s">
        <v>7016</v>
      </c>
      <c r="H2254" s="1" t="s">
        <v>131</v>
      </c>
      <c r="I2254" s="1" t="s">
        <v>816</v>
      </c>
      <c r="K2254" s="1">
        <v>0.0</v>
      </c>
      <c r="L2254" s="1" t="s">
        <v>2612</v>
      </c>
      <c r="M2254" s="1" t="str">
        <f>VLOOKUP(L2254,'Copy of PMD Workday Constants -'!B2253:W2939,22,false)</f>
        <v>#N/A</v>
      </c>
      <c r="N2254" s="1" t="s">
        <v>32</v>
      </c>
      <c r="O2254" s="1" t="s">
        <v>33</v>
      </c>
      <c r="P2254" s="1" t="s">
        <v>173</v>
      </c>
      <c r="Q2254" s="1" t="s">
        <v>173</v>
      </c>
      <c r="R2254" s="1" t="s">
        <v>174</v>
      </c>
      <c r="S2254" s="1" t="s">
        <v>153</v>
      </c>
      <c r="T2254" s="1">
        <v>1.00609544E8</v>
      </c>
      <c r="W2254" s="1" t="s">
        <v>456</v>
      </c>
      <c r="X2254" s="1" t="s">
        <v>7025</v>
      </c>
    </row>
    <row r="2255">
      <c r="A2255" s="1" t="s">
        <v>7026</v>
      </c>
      <c r="B2255" s="1" t="s">
        <v>507</v>
      </c>
      <c r="C2255" s="1" t="s">
        <v>7027</v>
      </c>
      <c r="D2255" s="1" t="s">
        <v>103</v>
      </c>
      <c r="E2255" s="1" t="s">
        <v>29</v>
      </c>
      <c r="F2255" s="5">
        <v>495212.0</v>
      </c>
      <c r="G2255" s="1" t="s">
        <v>7016</v>
      </c>
      <c r="H2255" s="1" t="s">
        <v>7028</v>
      </c>
      <c r="I2255" s="1" t="s">
        <v>414</v>
      </c>
      <c r="K2255" s="1">
        <v>0.0</v>
      </c>
      <c r="L2255" s="1" t="s">
        <v>5415</v>
      </c>
      <c r="M2255" s="1" t="str">
        <f>VLOOKUP(L2255,'Copy of PMD Workday Constants -'!B2254:W2940,22,false)</f>
        <v>#N/A</v>
      </c>
      <c r="N2255" s="1" t="s">
        <v>32</v>
      </c>
      <c r="O2255" s="1" t="s">
        <v>33</v>
      </c>
      <c r="P2255" s="1" t="s">
        <v>222</v>
      </c>
      <c r="Q2255" s="1" t="s">
        <v>222</v>
      </c>
      <c r="R2255" s="1" t="s">
        <v>223</v>
      </c>
      <c r="S2255" s="1" t="s">
        <v>601</v>
      </c>
      <c r="T2255" s="1">
        <v>1.00933537E8</v>
      </c>
      <c r="W2255" s="1" t="s">
        <v>456</v>
      </c>
      <c r="X2255" s="1" t="s">
        <v>5415</v>
      </c>
    </row>
    <row r="2256">
      <c r="A2256" s="1" t="s">
        <v>7029</v>
      </c>
      <c r="B2256" s="1" t="s">
        <v>7030</v>
      </c>
      <c r="C2256" s="1" t="s">
        <v>7031</v>
      </c>
      <c r="D2256" s="1" t="s">
        <v>103</v>
      </c>
      <c r="E2256" s="1" t="s">
        <v>29</v>
      </c>
      <c r="F2256" s="5">
        <v>495000.0</v>
      </c>
      <c r="G2256" s="1" t="s">
        <v>7016</v>
      </c>
      <c r="H2256" s="4">
        <v>44594.0</v>
      </c>
      <c r="I2256" s="1" t="s">
        <v>80</v>
      </c>
      <c r="K2256" s="1">
        <v>0.0</v>
      </c>
      <c r="L2256" s="1" t="s">
        <v>3201</v>
      </c>
      <c r="M2256" s="1" t="str">
        <f>VLOOKUP(L2256,'Copy of PMD Workday Constants -'!B2255:W2941,22,false)</f>
        <v>#N/A</v>
      </c>
      <c r="N2256" s="1" t="s">
        <v>32</v>
      </c>
      <c r="O2256" s="1" t="s">
        <v>33</v>
      </c>
      <c r="P2256" s="1" t="s">
        <v>34</v>
      </c>
      <c r="Q2256" s="1" t="s">
        <v>34</v>
      </c>
      <c r="R2256" s="1" t="s">
        <v>35</v>
      </c>
      <c r="S2256" s="1" t="s">
        <v>126</v>
      </c>
      <c r="T2256" s="1">
        <v>1.00651946E8</v>
      </c>
      <c r="W2256" s="1" t="s">
        <v>147</v>
      </c>
      <c r="X2256" s="1" t="s">
        <v>3201</v>
      </c>
    </row>
    <row r="2257">
      <c r="A2257" s="1" t="s">
        <v>7032</v>
      </c>
      <c r="B2257" s="1" t="s">
        <v>1003</v>
      </c>
      <c r="C2257" s="1" t="s">
        <v>7033</v>
      </c>
      <c r="D2257" s="1" t="s">
        <v>51</v>
      </c>
      <c r="E2257" s="1" t="s">
        <v>29</v>
      </c>
      <c r="F2257" s="5">
        <v>495000.0</v>
      </c>
      <c r="G2257" s="1" t="s">
        <v>7016</v>
      </c>
      <c r="H2257" s="4">
        <v>44685.0</v>
      </c>
      <c r="I2257" s="1" t="s">
        <v>7034</v>
      </c>
      <c r="K2257" s="1">
        <v>0.0</v>
      </c>
      <c r="L2257" s="1" t="s">
        <v>2970</v>
      </c>
      <c r="M2257" s="1" t="str">
        <f>VLOOKUP(L2257,'Copy of PMD Workday Constants -'!B2256:W2942,22,false)</f>
        <v>#N/A</v>
      </c>
      <c r="N2257" s="1" t="s">
        <v>32</v>
      </c>
      <c r="O2257" s="1" t="s">
        <v>33</v>
      </c>
      <c r="P2257" s="1" t="s">
        <v>173</v>
      </c>
      <c r="Q2257" s="1" t="s">
        <v>173</v>
      </c>
      <c r="R2257" s="1" t="s">
        <v>174</v>
      </c>
      <c r="T2257" s="1">
        <v>1.00616377E8</v>
      </c>
      <c r="W2257" s="1" t="s">
        <v>85</v>
      </c>
      <c r="X2257" s="1" t="s">
        <v>1692</v>
      </c>
    </row>
    <row r="2258">
      <c r="A2258" s="1" t="s">
        <v>7035</v>
      </c>
      <c r="B2258" s="1" t="s">
        <v>6446</v>
      </c>
      <c r="C2258" s="1" t="s">
        <v>7036</v>
      </c>
      <c r="D2258" s="1" t="s">
        <v>28</v>
      </c>
      <c r="E2258" s="1" t="s">
        <v>29</v>
      </c>
      <c r="F2258" s="5">
        <v>495000.0</v>
      </c>
      <c r="G2258" s="1" t="s">
        <v>7016</v>
      </c>
      <c r="H2258" s="1" t="s">
        <v>52</v>
      </c>
      <c r="I2258" s="4">
        <v>44872.0</v>
      </c>
      <c r="K2258" s="1">
        <v>0.0</v>
      </c>
      <c r="L2258" s="1" t="s">
        <v>1902</v>
      </c>
      <c r="M2258" s="1" t="str">
        <f>VLOOKUP(L2258,'Copy of PMD Workday Constants -'!B2257:W2943,22,false)</f>
        <v>#N/A</v>
      </c>
      <c r="N2258" s="1" t="s">
        <v>32</v>
      </c>
      <c r="O2258" s="1" t="s">
        <v>33</v>
      </c>
      <c r="P2258" s="1" t="s">
        <v>173</v>
      </c>
      <c r="Q2258" s="1" t="s">
        <v>173</v>
      </c>
      <c r="R2258" s="1" t="s">
        <v>174</v>
      </c>
      <c r="T2258" s="1">
        <v>1.00956516E8</v>
      </c>
      <c r="W2258" s="1" t="s">
        <v>258</v>
      </c>
      <c r="X2258" s="1" t="s">
        <v>7037</v>
      </c>
    </row>
    <row r="2259">
      <c r="A2259" s="1" t="s">
        <v>7038</v>
      </c>
      <c r="B2259" s="1" t="s">
        <v>2071</v>
      </c>
      <c r="C2259" s="1" t="s">
        <v>7039</v>
      </c>
      <c r="D2259" s="1" t="s">
        <v>103</v>
      </c>
      <c r="E2259" s="1" t="s">
        <v>29</v>
      </c>
      <c r="F2259" s="5">
        <v>495000.0</v>
      </c>
      <c r="G2259" s="1" t="s">
        <v>7016</v>
      </c>
      <c r="H2259" s="1" t="s">
        <v>7040</v>
      </c>
      <c r="I2259" s="1" t="s">
        <v>302</v>
      </c>
      <c r="K2259" s="1">
        <v>0.0</v>
      </c>
      <c r="L2259" s="1" t="s">
        <v>1757</v>
      </c>
      <c r="M2259" s="1" t="str">
        <f>VLOOKUP(L2259,'Copy of PMD Workday Constants -'!B2258:W2944,22,false)</f>
        <v>#N/A</v>
      </c>
      <c r="N2259" s="1" t="s">
        <v>32</v>
      </c>
      <c r="O2259" s="1" t="s">
        <v>33</v>
      </c>
      <c r="P2259" s="1" t="s">
        <v>112</v>
      </c>
      <c r="Q2259" s="1" t="s">
        <v>112</v>
      </c>
      <c r="R2259" s="1" t="s">
        <v>113</v>
      </c>
      <c r="S2259" s="1" t="s">
        <v>601</v>
      </c>
      <c r="T2259" s="1">
        <v>1.00597983E8</v>
      </c>
      <c r="W2259" s="1" t="s">
        <v>56</v>
      </c>
      <c r="X2259" s="1" t="s">
        <v>3162</v>
      </c>
    </row>
    <row r="2260">
      <c r="A2260" s="1" t="s">
        <v>7041</v>
      </c>
      <c r="B2260" s="1" t="s">
        <v>3036</v>
      </c>
      <c r="C2260" s="1" t="s">
        <v>7042</v>
      </c>
      <c r="D2260" s="1" t="s">
        <v>79</v>
      </c>
      <c r="E2260" s="1" t="s">
        <v>29</v>
      </c>
      <c r="F2260" s="5">
        <v>495000.0</v>
      </c>
      <c r="G2260" s="1" t="s">
        <v>7016</v>
      </c>
      <c r="H2260" s="4">
        <v>44207.0</v>
      </c>
      <c r="I2260" s="1" t="s">
        <v>810</v>
      </c>
      <c r="K2260" s="1">
        <v>0.0</v>
      </c>
      <c r="L2260" s="1" t="s">
        <v>1380</v>
      </c>
      <c r="M2260" s="1" t="str">
        <f>VLOOKUP(L2260,'Copy of PMD Workday Constants -'!B2259:W2945,22,false)</f>
        <v>#N/A</v>
      </c>
      <c r="N2260" s="1" t="s">
        <v>32</v>
      </c>
      <c r="O2260" s="1" t="s">
        <v>33</v>
      </c>
      <c r="P2260" s="1" t="s">
        <v>34</v>
      </c>
      <c r="Q2260" s="1" t="s">
        <v>34</v>
      </c>
      <c r="R2260" s="1" t="s">
        <v>35</v>
      </c>
      <c r="S2260" s="1" t="s">
        <v>126</v>
      </c>
      <c r="T2260" s="1">
        <v>1.00587434E8</v>
      </c>
      <c r="W2260" s="1" t="s">
        <v>74</v>
      </c>
      <c r="X2260" s="1" t="s">
        <v>1380</v>
      </c>
    </row>
    <row r="2261">
      <c r="A2261" s="1" t="s">
        <v>7043</v>
      </c>
      <c r="B2261" s="1" t="s">
        <v>2075</v>
      </c>
      <c r="C2261" s="1" t="s">
        <v>7044</v>
      </c>
      <c r="D2261" s="1" t="s">
        <v>51</v>
      </c>
      <c r="E2261" s="1" t="s">
        <v>29</v>
      </c>
      <c r="F2261" s="5">
        <v>495000.0</v>
      </c>
      <c r="G2261" s="1" t="s">
        <v>7016</v>
      </c>
      <c r="H2261" s="1" t="s">
        <v>6662</v>
      </c>
      <c r="I2261" s="1" t="s">
        <v>80</v>
      </c>
      <c r="K2261" s="1">
        <v>0.0</v>
      </c>
      <c r="L2261" s="1" t="s">
        <v>3137</v>
      </c>
      <c r="M2261" s="1" t="str">
        <f>VLOOKUP(L2261,'Copy of PMD Workday Constants -'!B2260:W2946,22,false)</f>
        <v>#N/A</v>
      </c>
      <c r="N2261" s="1" t="s">
        <v>32</v>
      </c>
      <c r="O2261" s="1" t="s">
        <v>33</v>
      </c>
      <c r="P2261" s="1" t="s">
        <v>82</v>
      </c>
      <c r="Q2261" s="1" t="s">
        <v>82</v>
      </c>
      <c r="R2261" s="1" t="s">
        <v>83</v>
      </c>
      <c r="S2261" s="1" t="s">
        <v>180</v>
      </c>
      <c r="T2261" s="1">
        <v>1.00586452E8</v>
      </c>
      <c r="W2261" s="1" t="s">
        <v>85</v>
      </c>
      <c r="X2261" s="1" t="s">
        <v>6663</v>
      </c>
    </row>
    <row r="2262">
      <c r="A2262" s="1" t="s">
        <v>7045</v>
      </c>
      <c r="B2262" s="1" t="s">
        <v>2429</v>
      </c>
      <c r="C2262" s="1" t="s">
        <v>7046</v>
      </c>
      <c r="D2262" s="1" t="s">
        <v>103</v>
      </c>
      <c r="E2262" s="1" t="s">
        <v>29</v>
      </c>
      <c r="F2262" s="5">
        <v>495000.0</v>
      </c>
      <c r="G2262" s="1" t="s">
        <v>7016</v>
      </c>
      <c r="H2262" s="4">
        <v>44481.0</v>
      </c>
      <c r="I2262" s="1" t="s">
        <v>217</v>
      </c>
      <c r="K2262" s="1">
        <v>0.0</v>
      </c>
      <c r="L2262" s="1" t="s">
        <v>7047</v>
      </c>
      <c r="M2262" s="1" t="str">
        <f>VLOOKUP(L2262,'Copy of PMD Workday Constants -'!B2261:W2947,22,false)</f>
        <v>#N/A</v>
      </c>
      <c r="N2262" s="1" t="s">
        <v>32</v>
      </c>
      <c r="O2262" s="1" t="s">
        <v>33</v>
      </c>
      <c r="P2262" s="1" t="s">
        <v>34</v>
      </c>
      <c r="Q2262" s="1" t="s">
        <v>34</v>
      </c>
      <c r="R2262" s="1" t="s">
        <v>35</v>
      </c>
      <c r="S2262" s="1" t="s">
        <v>1166</v>
      </c>
      <c r="T2262" s="1">
        <v>1.01090216E8</v>
      </c>
      <c r="W2262" s="1" t="s">
        <v>456</v>
      </c>
      <c r="X2262" s="1" t="s">
        <v>7048</v>
      </c>
    </row>
    <row r="2263">
      <c r="A2263" s="1" t="s">
        <v>7049</v>
      </c>
      <c r="B2263" s="1" t="s">
        <v>1062</v>
      </c>
      <c r="C2263" s="1" t="s">
        <v>7050</v>
      </c>
      <c r="D2263" s="1" t="s">
        <v>103</v>
      </c>
      <c r="E2263" s="1" t="s">
        <v>29</v>
      </c>
      <c r="F2263" s="5">
        <v>495000.0</v>
      </c>
      <c r="G2263" s="1" t="s">
        <v>7016</v>
      </c>
      <c r="H2263" s="4">
        <v>44655.0</v>
      </c>
      <c r="I2263" s="1" t="s">
        <v>80</v>
      </c>
      <c r="K2263" s="1">
        <v>0.0</v>
      </c>
      <c r="L2263" s="1" t="s">
        <v>4634</v>
      </c>
      <c r="M2263" s="1" t="str">
        <f>VLOOKUP(L2263,'Copy of PMD Workday Constants -'!B2262:W2948,22,false)</f>
        <v>#N/A</v>
      </c>
      <c r="N2263" s="1" t="s">
        <v>32</v>
      </c>
      <c r="O2263" s="1" t="s">
        <v>33</v>
      </c>
      <c r="P2263" s="1" t="s">
        <v>112</v>
      </c>
      <c r="Q2263" s="1" t="s">
        <v>112</v>
      </c>
      <c r="R2263" s="1" t="s">
        <v>113</v>
      </c>
      <c r="S2263" s="1" t="s">
        <v>134</v>
      </c>
      <c r="T2263" s="1">
        <v>1.00585718E8</v>
      </c>
      <c r="W2263" s="1" t="s">
        <v>493</v>
      </c>
      <c r="X2263" s="1" t="s">
        <v>4634</v>
      </c>
    </row>
    <row r="2264">
      <c r="A2264" s="1" t="s">
        <v>7051</v>
      </c>
      <c r="B2264" s="1" t="s">
        <v>293</v>
      </c>
      <c r="C2264" s="1" t="s">
        <v>7052</v>
      </c>
      <c r="D2264" s="1" t="s">
        <v>103</v>
      </c>
      <c r="E2264" s="1" t="s">
        <v>29</v>
      </c>
      <c r="F2264" s="5">
        <v>495000.0</v>
      </c>
      <c r="G2264" s="1" t="s">
        <v>7016</v>
      </c>
      <c r="H2264" s="4">
        <v>44836.0</v>
      </c>
      <c r="I2264" s="1" t="s">
        <v>302</v>
      </c>
      <c r="K2264" s="1">
        <v>0.0</v>
      </c>
      <c r="L2264" s="1" t="s">
        <v>2991</v>
      </c>
      <c r="M2264" s="1" t="str">
        <f>VLOOKUP(L2264,'Copy of PMD Workday Constants -'!B2263:W2949,22,false)</f>
        <v>#N/A</v>
      </c>
      <c r="N2264" s="1" t="s">
        <v>32</v>
      </c>
      <c r="O2264" s="1" t="s">
        <v>33</v>
      </c>
      <c r="P2264" s="1" t="s">
        <v>210</v>
      </c>
      <c r="Q2264" s="1" t="s">
        <v>210</v>
      </c>
      <c r="R2264" s="1" t="s">
        <v>211</v>
      </c>
      <c r="S2264" s="1" t="s">
        <v>297</v>
      </c>
      <c r="T2264" s="1">
        <v>1.00647935E8</v>
      </c>
      <c r="W2264" s="1" t="s">
        <v>258</v>
      </c>
      <c r="X2264" s="1" t="s">
        <v>2991</v>
      </c>
    </row>
    <row r="2265">
      <c r="A2265" s="1" t="s">
        <v>7053</v>
      </c>
      <c r="B2265" s="1" t="s">
        <v>913</v>
      </c>
      <c r="C2265" s="1" t="s">
        <v>7054</v>
      </c>
      <c r="D2265" s="1" t="s">
        <v>28</v>
      </c>
      <c r="E2265" s="1" t="s">
        <v>29</v>
      </c>
      <c r="F2265" s="5">
        <v>495000.0</v>
      </c>
      <c r="G2265" s="1" t="s">
        <v>7016</v>
      </c>
      <c r="H2265" s="1" t="s">
        <v>4625</v>
      </c>
      <c r="I2265" s="4">
        <v>44748.0</v>
      </c>
      <c r="K2265" s="1">
        <v>0.0</v>
      </c>
      <c r="L2265" s="1" t="s">
        <v>5291</v>
      </c>
      <c r="M2265" s="1" t="str">
        <f>VLOOKUP(L2265,'Copy of PMD Workday Constants -'!B2264:W2950,22,false)</f>
        <v>#N/A</v>
      </c>
      <c r="N2265" s="1" t="s">
        <v>32</v>
      </c>
      <c r="O2265" s="1" t="s">
        <v>33</v>
      </c>
      <c r="P2265" s="1" t="s">
        <v>173</v>
      </c>
      <c r="Q2265" s="1" t="s">
        <v>173</v>
      </c>
      <c r="R2265" s="1" t="s">
        <v>174</v>
      </c>
      <c r="S2265" s="1" t="s">
        <v>153</v>
      </c>
      <c r="T2265" s="1">
        <v>1.00625563E8</v>
      </c>
      <c r="W2265" s="1" t="s">
        <v>85</v>
      </c>
      <c r="X2265" s="1" t="s">
        <v>5779</v>
      </c>
    </row>
    <row r="2266">
      <c r="A2266" s="1" t="s">
        <v>7055</v>
      </c>
      <c r="B2266" s="1" t="s">
        <v>3501</v>
      </c>
      <c r="C2266" s="1" t="s">
        <v>7056</v>
      </c>
      <c r="D2266" s="1" t="s">
        <v>28</v>
      </c>
      <c r="E2266" s="1" t="s">
        <v>29</v>
      </c>
      <c r="F2266" s="5">
        <v>495000.0</v>
      </c>
      <c r="G2266" s="1" t="s">
        <v>7016</v>
      </c>
      <c r="H2266" s="4">
        <v>44171.0</v>
      </c>
      <c r="I2266" s="1" t="s">
        <v>1746</v>
      </c>
      <c r="K2266" s="1">
        <v>0.0</v>
      </c>
      <c r="L2266" s="1" t="s">
        <v>4134</v>
      </c>
      <c r="M2266" s="1" t="str">
        <f>VLOOKUP(L2266,'Copy of PMD Workday Constants -'!B2265:W2951,22,false)</f>
        <v>#N/A</v>
      </c>
      <c r="N2266" s="1" t="s">
        <v>32</v>
      </c>
      <c r="O2266" s="1" t="s">
        <v>33</v>
      </c>
      <c r="P2266" s="1" t="s">
        <v>210</v>
      </c>
      <c r="Q2266" s="1" t="s">
        <v>210</v>
      </c>
      <c r="R2266" s="1" t="s">
        <v>211</v>
      </c>
      <c r="S2266" s="1" t="s">
        <v>1313</v>
      </c>
      <c r="T2266" s="1">
        <v>1.00945646E8</v>
      </c>
      <c r="W2266" s="1" t="s">
        <v>436</v>
      </c>
      <c r="X2266" s="1" t="s">
        <v>7057</v>
      </c>
    </row>
    <row r="2267">
      <c r="A2267" s="1" t="s">
        <v>7058</v>
      </c>
      <c r="B2267" s="1" t="s">
        <v>49</v>
      </c>
      <c r="C2267" s="1" t="s">
        <v>7059</v>
      </c>
      <c r="D2267" s="1" t="s">
        <v>79</v>
      </c>
      <c r="E2267" s="1" t="s">
        <v>29</v>
      </c>
      <c r="F2267" s="5">
        <v>493000.0</v>
      </c>
      <c r="G2267" s="1" t="s">
        <v>7016</v>
      </c>
      <c r="H2267" s="1" t="s">
        <v>1265</v>
      </c>
      <c r="I2267" s="1" t="s">
        <v>865</v>
      </c>
      <c r="K2267" s="1">
        <v>0.0</v>
      </c>
      <c r="L2267" s="1" t="s">
        <v>53</v>
      </c>
      <c r="M2267" s="1" t="str">
        <f>VLOOKUP(L2267,'Copy of PMD Workday Constants -'!B2266:W2952,22,false)</f>
        <v>#N/A</v>
      </c>
      <c r="N2267" s="1" t="s">
        <v>32</v>
      </c>
      <c r="O2267" s="1" t="s">
        <v>33</v>
      </c>
      <c r="P2267" s="1" t="s">
        <v>54</v>
      </c>
      <c r="Q2267" s="1" t="s">
        <v>54</v>
      </c>
      <c r="R2267" s="1" t="s">
        <v>55</v>
      </c>
      <c r="S2267" s="1" t="s">
        <v>654</v>
      </c>
      <c r="T2267" s="1">
        <v>1.00690767E8</v>
      </c>
      <c r="W2267" s="1" t="s">
        <v>56</v>
      </c>
      <c r="X2267" s="1" t="s">
        <v>1266</v>
      </c>
    </row>
    <row r="2268">
      <c r="A2268" s="1" t="s">
        <v>7060</v>
      </c>
      <c r="B2268" s="1" t="s">
        <v>2008</v>
      </c>
      <c r="C2268" s="1" t="s">
        <v>7061</v>
      </c>
      <c r="D2268" s="1" t="s">
        <v>51</v>
      </c>
      <c r="E2268" s="1" t="s">
        <v>29</v>
      </c>
      <c r="F2268" s="5">
        <v>490000.0</v>
      </c>
      <c r="G2268" s="1" t="s">
        <v>7016</v>
      </c>
      <c r="H2268" s="1" t="s">
        <v>1785</v>
      </c>
      <c r="I2268" s="1" t="s">
        <v>80</v>
      </c>
      <c r="K2268" s="1">
        <v>0.0</v>
      </c>
      <c r="L2268" s="1" t="s">
        <v>7062</v>
      </c>
      <c r="M2268" s="1" t="str">
        <f>VLOOKUP(L2268,'Copy of PMD Workday Constants -'!B2267:W2953,22,false)</f>
        <v>#N/A</v>
      </c>
      <c r="N2268" s="1" t="s">
        <v>32</v>
      </c>
      <c r="O2268" s="1" t="s">
        <v>33</v>
      </c>
      <c r="P2268" s="1" t="s">
        <v>222</v>
      </c>
      <c r="Q2268" s="1" t="s">
        <v>222</v>
      </c>
      <c r="R2268" s="1" t="s">
        <v>223</v>
      </c>
      <c r="S2268" s="1" t="s">
        <v>482</v>
      </c>
      <c r="T2268" s="1">
        <v>1.00614969E8</v>
      </c>
      <c r="W2268" s="1" t="s">
        <v>85</v>
      </c>
      <c r="X2268" s="1" t="s">
        <v>7063</v>
      </c>
    </row>
    <row r="2269">
      <c r="A2269" s="1" t="s">
        <v>7064</v>
      </c>
      <c r="B2269" s="1" t="s">
        <v>1483</v>
      </c>
      <c r="C2269" s="1" t="s">
        <v>7065</v>
      </c>
      <c r="D2269" s="1" t="s">
        <v>51</v>
      </c>
      <c r="E2269" s="1" t="s">
        <v>29</v>
      </c>
      <c r="F2269" s="5">
        <v>490000.0</v>
      </c>
      <c r="G2269" s="1" t="s">
        <v>7016</v>
      </c>
      <c r="H2269" s="1" t="s">
        <v>3083</v>
      </c>
      <c r="I2269" s="1" t="s">
        <v>217</v>
      </c>
      <c r="K2269" s="1">
        <v>0.0</v>
      </c>
      <c r="L2269" s="1" t="s">
        <v>2879</v>
      </c>
      <c r="M2269" s="1" t="str">
        <f>VLOOKUP(L2269,'Copy of PMD Workday Constants -'!B2268:W2954,22,false)</f>
        <v>#N/A</v>
      </c>
      <c r="N2269" s="1" t="s">
        <v>32</v>
      </c>
      <c r="O2269" s="1" t="s">
        <v>33</v>
      </c>
      <c r="P2269" s="1" t="s">
        <v>173</v>
      </c>
      <c r="Q2269" s="1" t="s">
        <v>173</v>
      </c>
      <c r="R2269" s="1" t="s">
        <v>174</v>
      </c>
      <c r="S2269" s="1" t="s">
        <v>153</v>
      </c>
      <c r="T2269" s="1">
        <v>1.00608521E8</v>
      </c>
      <c r="W2269" s="1" t="s">
        <v>456</v>
      </c>
      <c r="X2269" s="1" t="s">
        <v>2880</v>
      </c>
    </row>
    <row r="2270">
      <c r="A2270" s="1" t="s">
        <v>7066</v>
      </c>
      <c r="B2270" s="1" t="s">
        <v>765</v>
      </c>
      <c r="C2270" s="1" t="s">
        <v>7067</v>
      </c>
      <c r="D2270" s="1" t="s">
        <v>51</v>
      </c>
      <c r="E2270" s="1" t="s">
        <v>29</v>
      </c>
      <c r="F2270" s="5">
        <v>490000.0</v>
      </c>
      <c r="G2270" s="1" t="s">
        <v>7016</v>
      </c>
      <c r="H2270" s="1" t="s">
        <v>1553</v>
      </c>
      <c r="I2270" s="1" t="s">
        <v>466</v>
      </c>
      <c r="K2270" s="1">
        <v>0.0</v>
      </c>
      <c r="L2270" s="1" t="s">
        <v>2612</v>
      </c>
      <c r="M2270" s="1" t="str">
        <f>VLOOKUP(L2270,'Copy of PMD Workday Constants -'!B2269:W2955,22,false)</f>
        <v>#N/A</v>
      </c>
      <c r="N2270" s="1" t="s">
        <v>32</v>
      </c>
      <c r="O2270" s="1" t="s">
        <v>33</v>
      </c>
      <c r="P2270" s="1" t="s">
        <v>173</v>
      </c>
      <c r="Q2270" s="1" t="s">
        <v>173</v>
      </c>
      <c r="R2270" s="1" t="s">
        <v>174</v>
      </c>
      <c r="S2270" s="1" t="s">
        <v>153</v>
      </c>
      <c r="T2270" s="1">
        <v>1.00609544E8</v>
      </c>
      <c r="W2270" s="1" t="s">
        <v>456</v>
      </c>
      <c r="X2270" s="1" t="s">
        <v>5035</v>
      </c>
    </row>
    <row r="2271">
      <c r="A2271" s="1" t="s">
        <v>7068</v>
      </c>
      <c r="B2271" s="1" t="s">
        <v>93</v>
      </c>
      <c r="C2271" s="1" t="s">
        <v>7069</v>
      </c>
      <c r="D2271" s="1" t="s">
        <v>79</v>
      </c>
      <c r="E2271" s="1" t="s">
        <v>29</v>
      </c>
      <c r="F2271" s="5">
        <v>489120.0</v>
      </c>
      <c r="G2271" s="1" t="s">
        <v>7016</v>
      </c>
      <c r="H2271" s="1" t="s">
        <v>569</v>
      </c>
      <c r="I2271" s="4">
        <v>44568.0</v>
      </c>
      <c r="K2271" s="1">
        <v>0.0</v>
      </c>
      <c r="L2271" s="1" t="s">
        <v>97</v>
      </c>
      <c r="M2271" s="1" t="str">
        <f>VLOOKUP(L2271,'Copy of PMD Workday Constants -'!B2270:W2956,22,false)</f>
        <v>#N/A</v>
      </c>
      <c r="N2271" s="1" t="s">
        <v>32</v>
      </c>
      <c r="O2271" s="1" t="s">
        <v>33</v>
      </c>
      <c r="P2271" s="1" t="s">
        <v>64</v>
      </c>
      <c r="Q2271" s="1" t="s">
        <v>64</v>
      </c>
      <c r="R2271" s="1" t="s">
        <v>65</v>
      </c>
      <c r="T2271" s="1">
        <v>1.00653539E8</v>
      </c>
      <c r="W2271" s="1" t="s">
        <v>56</v>
      </c>
      <c r="X2271" s="1" t="s">
        <v>99</v>
      </c>
    </row>
    <row r="2272">
      <c r="A2272" s="1" t="s">
        <v>7070</v>
      </c>
      <c r="B2272" s="1" t="s">
        <v>4544</v>
      </c>
      <c r="C2272" s="1" t="s">
        <v>7071</v>
      </c>
      <c r="D2272" s="1" t="s">
        <v>51</v>
      </c>
      <c r="E2272" s="1" t="s">
        <v>29</v>
      </c>
      <c r="F2272" s="5">
        <v>485000.0</v>
      </c>
      <c r="G2272" s="1" t="s">
        <v>7016</v>
      </c>
      <c r="H2272" s="1" t="s">
        <v>4388</v>
      </c>
      <c r="I2272" s="1" t="s">
        <v>104</v>
      </c>
      <c r="K2272" s="1">
        <v>0.0</v>
      </c>
      <c r="L2272" s="1" t="s">
        <v>2356</v>
      </c>
      <c r="M2272" s="1" t="str">
        <f>VLOOKUP(L2272,'Copy of PMD Workday Constants -'!B2271:W2957,22,false)</f>
        <v>#N/A</v>
      </c>
      <c r="N2272" s="1" t="s">
        <v>32</v>
      </c>
      <c r="O2272" s="1" t="s">
        <v>33</v>
      </c>
      <c r="P2272" s="1" t="s">
        <v>173</v>
      </c>
      <c r="Q2272" s="1" t="s">
        <v>173</v>
      </c>
      <c r="R2272" s="1" t="s">
        <v>174</v>
      </c>
      <c r="S2272" s="1" t="s">
        <v>7072</v>
      </c>
      <c r="T2272" s="1">
        <v>1.00620162E8</v>
      </c>
      <c r="W2272" s="1" t="s">
        <v>74</v>
      </c>
      <c r="X2272" s="1" t="s">
        <v>7073</v>
      </c>
    </row>
    <row r="2273">
      <c r="A2273" s="1" t="s">
        <v>7074</v>
      </c>
      <c r="B2273" s="1" t="s">
        <v>7075</v>
      </c>
      <c r="C2273" s="1" t="s">
        <v>7076</v>
      </c>
      <c r="D2273" s="1" t="s">
        <v>103</v>
      </c>
      <c r="E2273" s="1" t="s">
        <v>29</v>
      </c>
      <c r="F2273" s="5">
        <v>485000.0</v>
      </c>
      <c r="G2273" s="1" t="s">
        <v>7016</v>
      </c>
      <c r="H2273" s="4">
        <v>44686.0</v>
      </c>
      <c r="I2273" s="4">
        <v>44568.0</v>
      </c>
      <c r="K2273" s="1">
        <v>0.0</v>
      </c>
      <c r="L2273" s="1" t="s">
        <v>2946</v>
      </c>
      <c r="M2273" s="1" t="str">
        <f>VLOOKUP(L2273,'Copy of PMD Workday Constants -'!B2272:W2958,22,false)</f>
        <v>#N/A</v>
      </c>
      <c r="N2273" s="1" t="s">
        <v>32</v>
      </c>
      <c r="O2273" s="1" t="s">
        <v>33</v>
      </c>
      <c r="P2273" s="1" t="s">
        <v>64</v>
      </c>
      <c r="Q2273" s="1" t="s">
        <v>64</v>
      </c>
      <c r="R2273" s="1" t="s">
        <v>65</v>
      </c>
      <c r="T2273" s="1">
        <v>1.01074419E8</v>
      </c>
      <c r="W2273" s="1" t="s">
        <v>250</v>
      </c>
      <c r="X2273" s="1" t="s">
        <v>2946</v>
      </c>
    </row>
    <row r="2274">
      <c r="A2274" s="1" t="s">
        <v>7077</v>
      </c>
      <c r="B2274" s="1" t="s">
        <v>3973</v>
      </c>
      <c r="C2274" s="1" t="s">
        <v>7078</v>
      </c>
      <c r="D2274" s="1" t="s">
        <v>103</v>
      </c>
      <c r="E2274" s="1" t="s">
        <v>29</v>
      </c>
      <c r="F2274" s="5">
        <v>485000.0</v>
      </c>
      <c r="G2274" s="1" t="s">
        <v>7016</v>
      </c>
      <c r="H2274" s="4">
        <v>44896.0</v>
      </c>
      <c r="I2274" s="1" t="s">
        <v>80</v>
      </c>
      <c r="K2274" s="1">
        <v>0.0</v>
      </c>
      <c r="L2274" s="1" t="s">
        <v>3975</v>
      </c>
      <c r="M2274" s="1" t="str">
        <f>VLOOKUP(L2274,'Copy of PMD Workday Constants -'!B2273:W2959,22,false)</f>
        <v>#N/A</v>
      </c>
      <c r="N2274" s="1" t="s">
        <v>32</v>
      </c>
      <c r="O2274" s="1" t="s">
        <v>33</v>
      </c>
      <c r="P2274" s="1" t="s">
        <v>210</v>
      </c>
      <c r="Q2274" s="1" t="s">
        <v>210</v>
      </c>
      <c r="R2274" s="1" t="s">
        <v>211</v>
      </c>
      <c r="S2274" s="1" t="s">
        <v>212</v>
      </c>
      <c r="T2274" s="1">
        <v>1.00623535E8</v>
      </c>
      <c r="W2274" s="1" t="s">
        <v>56</v>
      </c>
      <c r="X2274" s="1" t="s">
        <v>3975</v>
      </c>
    </row>
    <row r="2275">
      <c r="A2275" s="1" t="s">
        <v>7079</v>
      </c>
      <c r="B2275" s="1" t="s">
        <v>253</v>
      </c>
      <c r="C2275" s="1" t="s">
        <v>7080</v>
      </c>
      <c r="D2275" s="1" t="s">
        <v>51</v>
      </c>
      <c r="E2275" s="1" t="s">
        <v>29</v>
      </c>
      <c r="F2275" s="5">
        <v>485000.0</v>
      </c>
      <c r="G2275" s="1" t="s">
        <v>7016</v>
      </c>
      <c r="H2275" s="1" t="s">
        <v>7081</v>
      </c>
      <c r="I2275" s="1" t="s">
        <v>302</v>
      </c>
      <c r="K2275" s="1">
        <v>0.0</v>
      </c>
      <c r="L2275" s="1" t="s">
        <v>7082</v>
      </c>
      <c r="M2275" s="1" t="str">
        <f>VLOOKUP(L2275,'Copy of PMD Workday Constants -'!B2274:W2960,22,false)</f>
        <v>#N/A</v>
      </c>
      <c r="N2275" s="1" t="s">
        <v>32</v>
      </c>
      <c r="O2275" s="1" t="s">
        <v>33</v>
      </c>
      <c r="P2275" s="1" t="s">
        <v>210</v>
      </c>
      <c r="Q2275" s="1" t="s">
        <v>210</v>
      </c>
      <c r="R2275" s="1" t="s">
        <v>211</v>
      </c>
      <c r="T2275" s="1">
        <v>1.00647314E8</v>
      </c>
      <c r="W2275" s="1" t="s">
        <v>258</v>
      </c>
      <c r="X2275" s="1" t="s">
        <v>366</v>
      </c>
    </row>
    <row r="2276">
      <c r="A2276" s="1" t="s">
        <v>7083</v>
      </c>
      <c r="B2276" s="1" t="s">
        <v>4279</v>
      </c>
      <c r="C2276" s="1" t="s">
        <v>7084</v>
      </c>
      <c r="D2276" s="1" t="s">
        <v>103</v>
      </c>
      <c r="E2276" s="1" t="s">
        <v>29</v>
      </c>
      <c r="F2276" s="5">
        <v>480900.0</v>
      </c>
      <c r="G2276" s="1" t="s">
        <v>7016</v>
      </c>
      <c r="H2276" s="4">
        <v>44326.0</v>
      </c>
      <c r="I2276" s="1" t="s">
        <v>80</v>
      </c>
      <c r="K2276" s="1">
        <v>0.0</v>
      </c>
      <c r="L2276" s="1" t="s">
        <v>2174</v>
      </c>
      <c r="M2276" s="1" t="str">
        <f>VLOOKUP(L2276,'Copy of PMD Workday Constants -'!B2275:W2961,22,false)</f>
        <v>#N/A</v>
      </c>
      <c r="N2276" s="1" t="s">
        <v>32</v>
      </c>
      <c r="O2276" s="1" t="s">
        <v>33</v>
      </c>
      <c r="P2276" s="1" t="s">
        <v>112</v>
      </c>
      <c r="Q2276" s="1" t="s">
        <v>112</v>
      </c>
      <c r="R2276" s="1" t="s">
        <v>113</v>
      </c>
      <c r="S2276" s="1" t="s">
        <v>134</v>
      </c>
      <c r="T2276" s="1">
        <v>1.00631322E8</v>
      </c>
      <c r="W2276" s="1" t="s">
        <v>74</v>
      </c>
      <c r="X2276" s="1" t="s">
        <v>2238</v>
      </c>
    </row>
    <row r="2277">
      <c r="A2277" s="1" t="s">
        <v>7085</v>
      </c>
      <c r="B2277" s="1" t="s">
        <v>7086</v>
      </c>
      <c r="C2277" s="1" t="s">
        <v>7087</v>
      </c>
      <c r="D2277" s="1" t="s">
        <v>51</v>
      </c>
      <c r="E2277" s="1" t="s">
        <v>29</v>
      </c>
      <c r="F2277" s="5">
        <v>480000.0</v>
      </c>
      <c r="G2277" s="1" t="s">
        <v>7016</v>
      </c>
      <c r="H2277" s="1" t="s">
        <v>1842</v>
      </c>
      <c r="I2277" s="4">
        <v>44840.0</v>
      </c>
      <c r="K2277" s="1">
        <v>0.0</v>
      </c>
      <c r="L2277" s="1" t="s">
        <v>7088</v>
      </c>
      <c r="M2277" s="1" t="str">
        <f>VLOOKUP(L2277,'Copy of PMD Workday Constants -'!B2276:W2962,22,false)</f>
        <v>#N/A</v>
      </c>
      <c r="N2277" s="1" t="s">
        <v>32</v>
      </c>
      <c r="O2277" s="1" t="s">
        <v>33</v>
      </c>
      <c r="P2277" s="1" t="s">
        <v>54</v>
      </c>
      <c r="Q2277" s="1" t="s">
        <v>54</v>
      </c>
      <c r="R2277" s="1" t="s">
        <v>55</v>
      </c>
      <c r="T2277" s="1">
        <v>1.00659145E8</v>
      </c>
      <c r="X2277" s="1" t="s">
        <v>7089</v>
      </c>
    </row>
    <row r="2278">
      <c r="A2278" s="1" t="s">
        <v>7090</v>
      </c>
      <c r="B2278" s="1" t="s">
        <v>954</v>
      </c>
      <c r="C2278" s="1" t="s">
        <v>7091</v>
      </c>
      <c r="D2278" s="1" t="s">
        <v>103</v>
      </c>
      <c r="E2278" s="1" t="s">
        <v>29</v>
      </c>
      <c r="F2278" s="5">
        <v>480000.0</v>
      </c>
      <c r="G2278" s="1" t="s">
        <v>7016</v>
      </c>
      <c r="H2278" s="4">
        <v>44682.0</v>
      </c>
      <c r="I2278" s="1" t="s">
        <v>80</v>
      </c>
      <c r="K2278" s="1">
        <v>0.0</v>
      </c>
      <c r="L2278" s="1" t="s">
        <v>2703</v>
      </c>
      <c r="M2278" s="1" t="str">
        <f>VLOOKUP(L2278,'Copy of PMD Workday Constants -'!B2277:W2963,22,false)</f>
        <v>#N/A</v>
      </c>
      <c r="N2278" s="1" t="s">
        <v>32</v>
      </c>
      <c r="O2278" s="1" t="s">
        <v>33</v>
      </c>
      <c r="P2278" s="1" t="s">
        <v>34</v>
      </c>
      <c r="Q2278" s="1" t="s">
        <v>34</v>
      </c>
      <c r="R2278" s="1" t="s">
        <v>35</v>
      </c>
      <c r="S2278" s="1" t="s">
        <v>383</v>
      </c>
      <c r="T2278" s="1">
        <v>1.00866856E8</v>
      </c>
      <c r="W2278" s="1" t="s">
        <v>147</v>
      </c>
      <c r="X2278" s="1" t="s">
        <v>7092</v>
      </c>
    </row>
    <row r="2279">
      <c r="A2279" s="1" t="s">
        <v>7093</v>
      </c>
      <c r="B2279" s="1" t="s">
        <v>1631</v>
      </c>
      <c r="C2279" s="1" t="s">
        <v>7094</v>
      </c>
      <c r="D2279" s="1" t="s">
        <v>103</v>
      </c>
      <c r="E2279" s="1" t="s">
        <v>29</v>
      </c>
      <c r="F2279" s="5">
        <v>480000.0</v>
      </c>
      <c r="G2279" s="1" t="s">
        <v>7016</v>
      </c>
      <c r="H2279" s="4">
        <v>44810.0</v>
      </c>
      <c r="I2279" s="1" t="s">
        <v>6596</v>
      </c>
      <c r="K2279" s="1">
        <v>0.0</v>
      </c>
      <c r="L2279" s="1" t="s">
        <v>7095</v>
      </c>
      <c r="M2279" s="1" t="str">
        <f>VLOOKUP(L2279,'Copy of PMD Workday Constants -'!B2278:W2964,22,false)</f>
        <v>#N/A</v>
      </c>
      <c r="N2279" s="1" t="s">
        <v>32</v>
      </c>
      <c r="O2279" s="1" t="s">
        <v>33</v>
      </c>
      <c r="P2279" s="1" t="s">
        <v>222</v>
      </c>
      <c r="Q2279" s="1" t="s">
        <v>222</v>
      </c>
      <c r="R2279" s="1" t="s">
        <v>223</v>
      </c>
      <c r="S2279" s="1" t="s">
        <v>512</v>
      </c>
      <c r="T2279" s="1">
        <v>1.00963608E8</v>
      </c>
      <c r="U2279" s="1" t="s">
        <v>7094</v>
      </c>
      <c r="V2279" s="1" t="s">
        <v>781</v>
      </c>
      <c r="W2279" s="1" t="s">
        <v>456</v>
      </c>
      <c r="X2279" s="1" t="s">
        <v>7095</v>
      </c>
    </row>
    <row r="2280">
      <c r="A2280" s="1" t="s">
        <v>7096</v>
      </c>
      <c r="B2280" s="1" t="s">
        <v>324</v>
      </c>
      <c r="C2280" s="1" t="s">
        <v>7097</v>
      </c>
      <c r="D2280" s="1" t="s">
        <v>51</v>
      </c>
      <c r="E2280" s="1" t="s">
        <v>29</v>
      </c>
      <c r="F2280" s="5">
        <v>480000.0</v>
      </c>
      <c r="G2280" s="1" t="s">
        <v>7016</v>
      </c>
      <c r="H2280" s="1" t="s">
        <v>170</v>
      </c>
      <c r="I2280" s="1" t="s">
        <v>248</v>
      </c>
      <c r="K2280" s="1">
        <v>0.0</v>
      </c>
      <c r="L2280" s="1" t="s">
        <v>474</v>
      </c>
      <c r="M2280" s="1" t="str">
        <f>VLOOKUP(L2280,'Copy of PMD Workday Constants -'!B2279:W2965,22,false)</f>
        <v>#N/A</v>
      </c>
      <c r="N2280" s="1" t="s">
        <v>32</v>
      </c>
      <c r="O2280" s="1" t="s">
        <v>33</v>
      </c>
      <c r="P2280" s="1" t="s">
        <v>64</v>
      </c>
      <c r="Q2280" s="1" t="s">
        <v>64</v>
      </c>
      <c r="R2280" s="1" t="s">
        <v>65</v>
      </c>
      <c r="T2280" s="1">
        <v>1.00660049E8</v>
      </c>
      <c r="W2280" s="1" t="s">
        <v>56</v>
      </c>
      <c r="X2280" s="1" t="s">
        <v>4172</v>
      </c>
    </row>
    <row r="2281">
      <c r="A2281" s="1" t="s">
        <v>7098</v>
      </c>
      <c r="B2281" s="1" t="s">
        <v>1373</v>
      </c>
      <c r="C2281" s="1" t="s">
        <v>7099</v>
      </c>
      <c r="D2281" s="1" t="s">
        <v>103</v>
      </c>
      <c r="E2281" s="1" t="s">
        <v>29</v>
      </c>
      <c r="F2281" s="5">
        <v>477000.0</v>
      </c>
      <c r="G2281" s="1" t="s">
        <v>7016</v>
      </c>
      <c r="H2281" s="4">
        <v>44567.0</v>
      </c>
      <c r="I2281" s="1" t="s">
        <v>132</v>
      </c>
      <c r="K2281" s="1">
        <v>0.0</v>
      </c>
      <c r="L2281" s="1" t="s">
        <v>1823</v>
      </c>
      <c r="M2281" s="1" t="str">
        <f>VLOOKUP(L2281,'Copy of PMD Workday Constants -'!B2280:W2966,22,false)</f>
        <v>#N/A</v>
      </c>
      <c r="N2281" s="1" t="s">
        <v>32</v>
      </c>
      <c r="O2281" s="1" t="s">
        <v>33</v>
      </c>
      <c r="P2281" s="1" t="s">
        <v>222</v>
      </c>
      <c r="Q2281" s="1" t="s">
        <v>222</v>
      </c>
      <c r="R2281" s="1" t="s">
        <v>223</v>
      </c>
      <c r="S2281" s="1" t="s">
        <v>601</v>
      </c>
      <c r="T2281" s="1">
        <v>1.0064195E8</v>
      </c>
      <c r="W2281" s="1" t="s">
        <v>74</v>
      </c>
      <c r="X2281" s="1" t="s">
        <v>7100</v>
      </c>
    </row>
    <row r="2282">
      <c r="A2282" s="1" t="s">
        <v>7101</v>
      </c>
      <c r="B2282" s="1" t="s">
        <v>2212</v>
      </c>
      <c r="C2282" s="1" t="s">
        <v>7102</v>
      </c>
      <c r="D2282" s="1" t="s">
        <v>103</v>
      </c>
      <c r="E2282" s="1" t="s">
        <v>29</v>
      </c>
      <c r="F2282" s="5">
        <v>475000.0</v>
      </c>
      <c r="G2282" s="1" t="s">
        <v>7016</v>
      </c>
      <c r="H2282" s="4">
        <v>44868.0</v>
      </c>
      <c r="I2282" s="1" t="s">
        <v>80</v>
      </c>
      <c r="K2282" s="1">
        <v>0.0</v>
      </c>
      <c r="L2282" s="1" t="s">
        <v>3575</v>
      </c>
      <c r="M2282" s="1" t="str">
        <f>VLOOKUP(L2282,'Copy of PMD Workday Constants -'!B2281:W2967,22,false)</f>
        <v>#N/A</v>
      </c>
      <c r="N2282" s="1" t="s">
        <v>32</v>
      </c>
      <c r="O2282" s="1" t="s">
        <v>33</v>
      </c>
      <c r="P2282" s="1" t="s">
        <v>64</v>
      </c>
      <c r="Q2282" s="1" t="s">
        <v>64</v>
      </c>
      <c r="R2282" s="1" t="s">
        <v>65</v>
      </c>
      <c r="S2282" s="1" t="s">
        <v>229</v>
      </c>
      <c r="T2282" s="1">
        <v>1.00652666E8</v>
      </c>
      <c r="W2282" s="1" t="s">
        <v>85</v>
      </c>
      <c r="X2282" s="1" t="s">
        <v>3575</v>
      </c>
    </row>
    <row r="2283">
      <c r="A2283" s="1" t="s">
        <v>7103</v>
      </c>
      <c r="B2283" s="1" t="s">
        <v>1109</v>
      </c>
      <c r="C2283" s="1" t="s">
        <v>7104</v>
      </c>
      <c r="D2283" s="1" t="s">
        <v>103</v>
      </c>
      <c r="E2283" s="1" t="s">
        <v>29</v>
      </c>
      <c r="F2283" s="5">
        <v>475000.0</v>
      </c>
      <c r="G2283" s="1" t="s">
        <v>7016</v>
      </c>
      <c r="H2283" s="1" t="s">
        <v>3777</v>
      </c>
      <c r="I2283" s="1" t="s">
        <v>264</v>
      </c>
      <c r="K2283" s="1">
        <v>0.0</v>
      </c>
      <c r="L2283" s="1" t="s">
        <v>5194</v>
      </c>
      <c r="M2283" s="1" t="str">
        <f>VLOOKUP(L2283,'Copy of PMD Workday Constants -'!B2282:W2968,22,false)</f>
        <v>#N/A</v>
      </c>
      <c r="N2283" s="1" t="s">
        <v>32</v>
      </c>
      <c r="O2283" s="1" t="s">
        <v>33</v>
      </c>
      <c r="P2283" s="1" t="s">
        <v>173</v>
      </c>
      <c r="Q2283" s="1" t="s">
        <v>173</v>
      </c>
      <c r="R2283" s="1" t="s">
        <v>174</v>
      </c>
      <c r="S2283" s="1" t="s">
        <v>540</v>
      </c>
      <c r="T2283" s="1">
        <v>1.00609393E8</v>
      </c>
      <c r="U2283" s="1" t="s">
        <v>7105</v>
      </c>
      <c r="V2283" s="1" t="s">
        <v>187</v>
      </c>
      <c r="W2283" s="1" t="s">
        <v>85</v>
      </c>
      <c r="X2283" s="1" t="s">
        <v>5447</v>
      </c>
    </row>
    <row r="2284">
      <c r="A2284" s="1" t="s">
        <v>7106</v>
      </c>
      <c r="B2284" s="1" t="s">
        <v>1096</v>
      </c>
      <c r="C2284" s="1" t="s">
        <v>7107</v>
      </c>
      <c r="D2284" s="1" t="s">
        <v>51</v>
      </c>
      <c r="E2284" s="1" t="s">
        <v>29</v>
      </c>
      <c r="F2284" s="5">
        <v>475000.0</v>
      </c>
      <c r="G2284" s="1" t="s">
        <v>7016</v>
      </c>
      <c r="H2284" s="1" t="s">
        <v>1254</v>
      </c>
      <c r="I2284" s="1" t="s">
        <v>96</v>
      </c>
      <c r="K2284" s="1">
        <v>0.0</v>
      </c>
      <c r="L2284" s="1" t="s">
        <v>7047</v>
      </c>
      <c r="M2284" s="1" t="str">
        <f>VLOOKUP(L2284,'Copy of PMD Workday Constants -'!B2283:W2969,22,false)</f>
        <v>#N/A</v>
      </c>
      <c r="N2284" s="1" t="s">
        <v>32</v>
      </c>
      <c r="O2284" s="1" t="s">
        <v>33</v>
      </c>
      <c r="P2284" s="1" t="s">
        <v>34</v>
      </c>
      <c r="Q2284" s="1" t="s">
        <v>34</v>
      </c>
      <c r="R2284" s="1" t="s">
        <v>35</v>
      </c>
      <c r="S2284" s="1" t="s">
        <v>1166</v>
      </c>
      <c r="T2284" s="1">
        <v>1.01090216E8</v>
      </c>
      <c r="W2284" s="1" t="s">
        <v>456</v>
      </c>
      <c r="X2284" s="1" t="s">
        <v>7108</v>
      </c>
    </row>
    <row r="2285">
      <c r="A2285" s="1" t="s">
        <v>7109</v>
      </c>
      <c r="B2285" s="1" t="s">
        <v>403</v>
      </c>
      <c r="C2285" s="1" t="s">
        <v>7110</v>
      </c>
      <c r="D2285" s="1" t="s">
        <v>103</v>
      </c>
      <c r="E2285" s="1" t="s">
        <v>29</v>
      </c>
      <c r="F2285" s="5">
        <v>475000.0</v>
      </c>
      <c r="G2285" s="1" t="s">
        <v>7016</v>
      </c>
      <c r="H2285" s="1" t="s">
        <v>3777</v>
      </c>
      <c r="I2285" s="1" t="s">
        <v>152</v>
      </c>
      <c r="K2285" s="1">
        <v>0.0</v>
      </c>
      <c r="L2285" s="1" t="s">
        <v>3969</v>
      </c>
      <c r="M2285" s="1" t="str">
        <f>VLOOKUP(L2285,'Copy of PMD Workday Constants -'!B2284:W2970,22,false)</f>
        <v>#N/A</v>
      </c>
      <c r="N2285" s="1" t="s">
        <v>32</v>
      </c>
      <c r="O2285" s="1" t="s">
        <v>33</v>
      </c>
      <c r="P2285" s="1" t="s">
        <v>34</v>
      </c>
      <c r="Q2285" s="1" t="s">
        <v>34</v>
      </c>
      <c r="R2285" s="1" t="s">
        <v>35</v>
      </c>
      <c r="S2285" s="1" t="s">
        <v>36</v>
      </c>
      <c r="T2285" s="1">
        <v>1.00592741E8</v>
      </c>
      <c r="W2285" s="1" t="s">
        <v>37</v>
      </c>
      <c r="X2285" s="1" t="s">
        <v>3969</v>
      </c>
    </row>
    <row r="2286">
      <c r="A2286" s="1" t="s">
        <v>7111</v>
      </c>
      <c r="B2286" s="1" t="s">
        <v>2394</v>
      </c>
      <c r="C2286" s="1" t="s">
        <v>7112</v>
      </c>
      <c r="D2286" s="1" t="s">
        <v>28</v>
      </c>
      <c r="E2286" s="1" t="s">
        <v>29</v>
      </c>
      <c r="F2286" s="5">
        <v>475000.0</v>
      </c>
      <c r="G2286" s="1" t="s">
        <v>7016</v>
      </c>
      <c r="H2286" s="4">
        <v>44743.0</v>
      </c>
      <c r="I2286" s="4">
        <v>44872.0</v>
      </c>
      <c r="K2286" s="1">
        <v>0.0</v>
      </c>
      <c r="L2286" s="1" t="s">
        <v>3565</v>
      </c>
      <c r="M2286" s="1" t="str">
        <f>VLOOKUP(L2286,'Copy of PMD Workday Constants -'!B2285:W2971,22,false)</f>
        <v>#N/A</v>
      </c>
      <c r="N2286" s="1" t="s">
        <v>32</v>
      </c>
      <c r="O2286" s="1" t="s">
        <v>33</v>
      </c>
      <c r="P2286" s="1" t="s">
        <v>112</v>
      </c>
      <c r="Q2286" s="1" t="s">
        <v>112</v>
      </c>
      <c r="R2286" s="1" t="s">
        <v>113</v>
      </c>
      <c r="S2286" s="1" t="s">
        <v>114</v>
      </c>
      <c r="T2286" s="1">
        <v>1.00658777E8</v>
      </c>
      <c r="W2286" s="1" t="s">
        <v>250</v>
      </c>
      <c r="X2286" s="1" t="s">
        <v>5021</v>
      </c>
    </row>
    <row r="2287">
      <c r="A2287" s="1" t="s">
        <v>7113</v>
      </c>
      <c r="B2287" s="1" t="s">
        <v>2263</v>
      </c>
      <c r="C2287" s="1" t="s">
        <v>7114</v>
      </c>
      <c r="D2287" s="1" t="s">
        <v>51</v>
      </c>
      <c r="E2287" s="1" t="s">
        <v>29</v>
      </c>
      <c r="F2287" s="5">
        <v>474625.0</v>
      </c>
      <c r="G2287" s="1" t="s">
        <v>7016</v>
      </c>
      <c r="H2287" s="1" t="s">
        <v>587</v>
      </c>
      <c r="I2287" s="4">
        <v>44571.0</v>
      </c>
      <c r="K2287" s="1">
        <v>0.0</v>
      </c>
      <c r="L2287" s="1" t="s">
        <v>5257</v>
      </c>
      <c r="M2287" s="1" t="str">
        <f>VLOOKUP(L2287,'Copy of PMD Workday Constants -'!B2286:W2972,22,false)</f>
        <v>#N/A</v>
      </c>
      <c r="N2287" s="1" t="s">
        <v>32</v>
      </c>
      <c r="O2287" s="1" t="s">
        <v>33</v>
      </c>
      <c r="P2287" s="1" t="s">
        <v>210</v>
      </c>
      <c r="Q2287" s="1" t="s">
        <v>210</v>
      </c>
      <c r="R2287" s="1" t="s">
        <v>211</v>
      </c>
      <c r="S2287" s="1" t="s">
        <v>1313</v>
      </c>
      <c r="T2287" s="1">
        <v>1.00657831E8</v>
      </c>
      <c r="W2287" s="1" t="s">
        <v>577</v>
      </c>
      <c r="X2287" s="1" t="s">
        <v>7115</v>
      </c>
    </row>
    <row r="2288">
      <c r="A2288" s="1" t="s">
        <v>7116</v>
      </c>
      <c r="B2288" s="1" t="s">
        <v>2263</v>
      </c>
      <c r="C2288" s="1" t="s">
        <v>7117</v>
      </c>
      <c r="D2288" s="1" t="s">
        <v>51</v>
      </c>
      <c r="E2288" s="1" t="s">
        <v>29</v>
      </c>
      <c r="F2288" s="5">
        <v>474625.0</v>
      </c>
      <c r="G2288" s="1" t="s">
        <v>7016</v>
      </c>
      <c r="H2288" s="1" t="s">
        <v>587</v>
      </c>
      <c r="I2288" s="4">
        <v>44568.0</v>
      </c>
      <c r="K2288" s="1">
        <v>0.0</v>
      </c>
      <c r="L2288" s="1" t="s">
        <v>5257</v>
      </c>
      <c r="M2288" s="1" t="str">
        <f>VLOOKUP(L2288,'Copy of PMD Workday Constants -'!B2287:W2973,22,false)</f>
        <v>#N/A</v>
      </c>
      <c r="N2288" s="1" t="s">
        <v>32</v>
      </c>
      <c r="O2288" s="1" t="s">
        <v>33</v>
      </c>
      <c r="P2288" s="1" t="s">
        <v>210</v>
      </c>
      <c r="Q2288" s="1" t="s">
        <v>210</v>
      </c>
      <c r="R2288" s="1" t="s">
        <v>211</v>
      </c>
      <c r="S2288" s="1" t="s">
        <v>1313</v>
      </c>
      <c r="T2288" s="1">
        <v>1.00657831E8</v>
      </c>
      <c r="W2288" s="1" t="s">
        <v>577</v>
      </c>
      <c r="X2288" s="1" t="s">
        <v>7115</v>
      </c>
    </row>
    <row r="2289">
      <c r="A2289" s="1" t="s">
        <v>7118</v>
      </c>
      <c r="B2289" s="1" t="s">
        <v>776</v>
      </c>
      <c r="C2289" s="1" t="s">
        <v>7119</v>
      </c>
      <c r="D2289" s="1" t="s">
        <v>103</v>
      </c>
      <c r="E2289" s="1" t="s">
        <v>29</v>
      </c>
      <c r="F2289" s="5">
        <v>474000.0</v>
      </c>
      <c r="G2289" s="1" t="s">
        <v>7016</v>
      </c>
      <c r="H2289" s="1" t="s">
        <v>556</v>
      </c>
      <c r="I2289" s="1" t="s">
        <v>132</v>
      </c>
      <c r="K2289" s="1">
        <v>0.0</v>
      </c>
      <c r="L2289" s="1" t="s">
        <v>5265</v>
      </c>
      <c r="M2289" s="1" t="str">
        <f>VLOOKUP(L2289,'Copy of PMD Workday Constants -'!B2288:W2974,22,false)</f>
        <v>#N/A</v>
      </c>
      <c r="N2289" s="1" t="s">
        <v>32</v>
      </c>
      <c r="O2289" s="1" t="s">
        <v>33</v>
      </c>
      <c r="P2289" s="1" t="s">
        <v>173</v>
      </c>
      <c r="Q2289" s="1" t="s">
        <v>173</v>
      </c>
      <c r="R2289" s="1" t="s">
        <v>174</v>
      </c>
      <c r="T2289" s="1">
        <v>1.00644077E8</v>
      </c>
      <c r="W2289" s="1" t="s">
        <v>74</v>
      </c>
      <c r="X2289" s="1" t="s">
        <v>7120</v>
      </c>
    </row>
    <row r="2290">
      <c r="A2290" s="1" t="s">
        <v>7121</v>
      </c>
      <c r="B2290" s="1" t="s">
        <v>7122</v>
      </c>
      <c r="C2290" s="1" t="s">
        <v>7123</v>
      </c>
      <c r="D2290" s="1" t="s">
        <v>28</v>
      </c>
      <c r="E2290" s="1" t="s">
        <v>29</v>
      </c>
      <c r="F2290" s="5">
        <v>468000.0</v>
      </c>
      <c r="G2290" s="1" t="s">
        <v>7016</v>
      </c>
      <c r="H2290" s="4">
        <v>43778.0</v>
      </c>
      <c r="I2290" s="1" t="s">
        <v>80</v>
      </c>
      <c r="K2290" s="1">
        <v>0.0</v>
      </c>
      <c r="L2290" s="1" t="s">
        <v>3137</v>
      </c>
      <c r="M2290" s="1" t="str">
        <f>VLOOKUP(L2290,'Copy of PMD Workday Constants -'!B2289:W2975,22,false)</f>
        <v>#N/A</v>
      </c>
      <c r="N2290" s="1" t="s">
        <v>32</v>
      </c>
      <c r="O2290" s="1" t="s">
        <v>33</v>
      </c>
      <c r="P2290" s="1" t="s">
        <v>82</v>
      </c>
      <c r="Q2290" s="1" t="s">
        <v>82</v>
      </c>
      <c r="R2290" s="1" t="s">
        <v>83</v>
      </c>
      <c r="S2290" s="1" t="s">
        <v>180</v>
      </c>
      <c r="T2290" s="1">
        <v>1.00586452E8</v>
      </c>
      <c r="W2290" s="1" t="s">
        <v>85</v>
      </c>
      <c r="X2290" s="1" t="s">
        <v>3138</v>
      </c>
    </row>
    <row r="2291">
      <c r="A2291" s="1" t="s">
        <v>7124</v>
      </c>
      <c r="B2291" s="1" t="s">
        <v>5566</v>
      </c>
      <c r="C2291" s="1" t="s">
        <v>7125</v>
      </c>
      <c r="D2291" s="1" t="s">
        <v>103</v>
      </c>
      <c r="E2291" s="1" t="s">
        <v>29</v>
      </c>
      <c r="F2291" s="5">
        <v>465000.0</v>
      </c>
      <c r="G2291" s="1" t="s">
        <v>7016</v>
      </c>
      <c r="H2291" s="1" t="s">
        <v>3034</v>
      </c>
      <c r="I2291" s="1" t="s">
        <v>80</v>
      </c>
      <c r="K2291" s="1">
        <v>0.0</v>
      </c>
      <c r="L2291" s="1" t="s">
        <v>830</v>
      </c>
      <c r="M2291" s="1" t="str">
        <f>VLOOKUP(L2291,'Copy of PMD Workday Constants -'!B2290:W2976,22,false)</f>
        <v>#N/A</v>
      </c>
      <c r="N2291" s="1" t="s">
        <v>32</v>
      </c>
      <c r="O2291" s="1" t="s">
        <v>33</v>
      </c>
      <c r="P2291" s="1" t="s">
        <v>173</v>
      </c>
      <c r="Q2291" s="1" t="s">
        <v>173</v>
      </c>
      <c r="R2291" s="1" t="s">
        <v>174</v>
      </c>
      <c r="S2291" s="1" t="s">
        <v>612</v>
      </c>
      <c r="T2291" s="1">
        <v>1.00584422E8</v>
      </c>
      <c r="W2291" s="1" t="s">
        <v>147</v>
      </c>
      <c r="X2291" s="1" t="s">
        <v>4696</v>
      </c>
    </row>
    <row r="2292">
      <c r="A2292" s="1" t="s">
        <v>7126</v>
      </c>
      <c r="B2292" s="1" t="s">
        <v>324</v>
      </c>
      <c r="C2292" s="1" t="s">
        <v>7127</v>
      </c>
      <c r="D2292" s="1" t="s">
        <v>51</v>
      </c>
      <c r="E2292" s="1" t="s">
        <v>29</v>
      </c>
      <c r="F2292" s="5">
        <v>465000.0</v>
      </c>
      <c r="G2292" s="1" t="s">
        <v>7016</v>
      </c>
      <c r="H2292" s="4">
        <v>44623.0</v>
      </c>
      <c r="I2292" s="4">
        <v>44780.0</v>
      </c>
      <c r="K2292" s="1">
        <v>0.0</v>
      </c>
      <c r="L2292" s="1" t="s">
        <v>415</v>
      </c>
      <c r="M2292" s="1" t="str">
        <f>VLOOKUP(L2292,'Copy of PMD Workday Constants -'!B2291:W2977,22,false)</f>
        <v>#N/A</v>
      </c>
      <c r="N2292" s="1" t="s">
        <v>32</v>
      </c>
      <c r="O2292" s="1" t="s">
        <v>33</v>
      </c>
      <c r="P2292" s="1" t="s">
        <v>210</v>
      </c>
      <c r="Q2292" s="1" t="s">
        <v>210</v>
      </c>
      <c r="R2292" s="1" t="s">
        <v>211</v>
      </c>
      <c r="S2292" s="1" t="s">
        <v>1313</v>
      </c>
      <c r="T2292" s="1">
        <v>1.00650375E8</v>
      </c>
      <c r="W2292" s="1" t="s">
        <v>56</v>
      </c>
      <c r="X2292" s="1" t="s">
        <v>415</v>
      </c>
    </row>
    <row r="2293">
      <c r="A2293" s="1" t="s">
        <v>7128</v>
      </c>
      <c r="B2293" s="1" t="s">
        <v>954</v>
      </c>
      <c r="C2293" s="1" t="s">
        <v>7129</v>
      </c>
      <c r="D2293" s="1" t="s">
        <v>103</v>
      </c>
      <c r="E2293" s="1" t="s">
        <v>29</v>
      </c>
      <c r="F2293" s="5">
        <v>460000.0</v>
      </c>
      <c r="G2293" s="1" t="s">
        <v>7016</v>
      </c>
      <c r="H2293" s="1" t="s">
        <v>1134</v>
      </c>
      <c r="I2293" s="1" t="s">
        <v>80</v>
      </c>
      <c r="K2293" s="1">
        <v>0.0</v>
      </c>
      <c r="L2293" s="1" t="s">
        <v>2703</v>
      </c>
      <c r="M2293" s="1" t="str">
        <f>VLOOKUP(L2293,'Copy of PMD Workday Constants -'!B2292:W2978,22,false)</f>
        <v>#N/A</v>
      </c>
      <c r="N2293" s="1" t="s">
        <v>32</v>
      </c>
      <c r="O2293" s="1" t="s">
        <v>33</v>
      </c>
      <c r="P2293" s="1" t="s">
        <v>34</v>
      </c>
      <c r="Q2293" s="1" t="s">
        <v>34</v>
      </c>
      <c r="R2293" s="1" t="s">
        <v>35</v>
      </c>
      <c r="T2293" s="1">
        <v>1.00866856E8</v>
      </c>
      <c r="W2293" s="1" t="s">
        <v>147</v>
      </c>
      <c r="X2293" s="1" t="s">
        <v>7130</v>
      </c>
    </row>
    <row r="2294">
      <c r="A2294" s="1" t="s">
        <v>7131</v>
      </c>
      <c r="B2294" s="1" t="s">
        <v>241</v>
      </c>
      <c r="C2294" s="1" t="s">
        <v>7132</v>
      </c>
      <c r="D2294" s="1" t="s">
        <v>79</v>
      </c>
      <c r="E2294" s="1" t="s">
        <v>29</v>
      </c>
      <c r="F2294" s="5">
        <v>450000.0</v>
      </c>
      <c r="G2294" s="1" t="s">
        <v>7016</v>
      </c>
      <c r="H2294" s="1" t="s">
        <v>5674</v>
      </c>
      <c r="I2294" s="1" t="s">
        <v>248</v>
      </c>
      <c r="K2294" s="1">
        <v>0.0</v>
      </c>
      <c r="L2294" s="1" t="s">
        <v>986</v>
      </c>
      <c r="M2294" s="1" t="str">
        <f>VLOOKUP(L2294,'Copy of PMD Workday Constants -'!B2293:W2979,22,false)</f>
        <v>#N/A</v>
      </c>
      <c r="N2294" s="1" t="s">
        <v>32</v>
      </c>
      <c r="O2294" s="1" t="s">
        <v>33</v>
      </c>
      <c r="P2294" s="1" t="s">
        <v>64</v>
      </c>
      <c r="Q2294" s="1" t="s">
        <v>64</v>
      </c>
      <c r="R2294" s="1" t="s">
        <v>65</v>
      </c>
      <c r="S2294" s="1" t="s">
        <v>66</v>
      </c>
      <c r="T2294" s="1">
        <v>1.00651901E8</v>
      </c>
      <c r="W2294" s="1" t="s">
        <v>37</v>
      </c>
      <c r="X2294" s="1" t="s">
        <v>3194</v>
      </c>
    </row>
    <row r="2295">
      <c r="A2295" s="1" t="s">
        <v>7133</v>
      </c>
      <c r="B2295" s="1" t="s">
        <v>304</v>
      </c>
      <c r="C2295" s="1" t="s">
        <v>7134</v>
      </c>
      <c r="D2295" s="1" t="s">
        <v>51</v>
      </c>
      <c r="E2295" s="1" t="s">
        <v>29</v>
      </c>
      <c r="F2295" s="5">
        <v>450000.0</v>
      </c>
      <c r="G2295" s="1" t="s">
        <v>7016</v>
      </c>
      <c r="H2295" s="4">
        <v>44686.0</v>
      </c>
      <c r="I2295" s="4">
        <v>44840.0</v>
      </c>
      <c r="K2295" s="1">
        <v>0.0</v>
      </c>
      <c r="L2295" s="1" t="s">
        <v>7135</v>
      </c>
      <c r="M2295" s="1" t="str">
        <f>VLOOKUP(L2295,'Copy of PMD Workday Constants -'!B2294:W2980,22,false)</f>
        <v>#N/A</v>
      </c>
      <c r="N2295" s="1" t="s">
        <v>32</v>
      </c>
      <c r="O2295" s="1" t="s">
        <v>33</v>
      </c>
      <c r="P2295" s="1" t="s">
        <v>222</v>
      </c>
      <c r="Q2295" s="1" t="s">
        <v>222</v>
      </c>
      <c r="R2295" s="1" t="s">
        <v>223</v>
      </c>
      <c r="S2295" s="1" t="s">
        <v>482</v>
      </c>
      <c r="T2295" s="1">
        <v>1.0059632E8</v>
      </c>
      <c r="W2295" s="1" t="s">
        <v>308</v>
      </c>
      <c r="X2295" s="1" t="s">
        <v>7136</v>
      </c>
    </row>
    <row r="2296">
      <c r="A2296" s="1" t="s">
        <v>7137</v>
      </c>
      <c r="B2296" s="1" t="s">
        <v>4106</v>
      </c>
      <c r="C2296" s="1" t="s">
        <v>7138</v>
      </c>
      <c r="D2296" s="1" t="s">
        <v>51</v>
      </c>
      <c r="E2296" s="1" t="s">
        <v>29</v>
      </c>
      <c r="F2296" s="5">
        <v>450000.0</v>
      </c>
      <c r="G2296" s="1" t="s">
        <v>7016</v>
      </c>
      <c r="H2296" s="1" t="s">
        <v>7139</v>
      </c>
      <c r="I2296" s="1" t="s">
        <v>104</v>
      </c>
      <c r="K2296" s="1">
        <v>0.0</v>
      </c>
      <c r="L2296" s="1" t="s">
        <v>645</v>
      </c>
      <c r="M2296" s="1" t="str">
        <f>VLOOKUP(L2296,'Copy of PMD Workday Constants -'!B2295:W2981,22,false)</f>
        <v>#N/A</v>
      </c>
      <c r="N2296" s="1" t="s">
        <v>32</v>
      </c>
      <c r="O2296" s="1" t="s">
        <v>33</v>
      </c>
      <c r="P2296" s="1" t="s">
        <v>64</v>
      </c>
      <c r="Q2296" s="1" t="s">
        <v>64</v>
      </c>
      <c r="R2296" s="1" t="s">
        <v>65</v>
      </c>
      <c r="S2296" s="1" t="s">
        <v>98</v>
      </c>
      <c r="T2296" s="1">
        <v>1.00653597E8</v>
      </c>
      <c r="W2296" s="1" t="s">
        <v>436</v>
      </c>
      <c r="X2296" s="1" t="s">
        <v>645</v>
      </c>
    </row>
    <row r="2297">
      <c r="A2297" s="1" t="s">
        <v>7140</v>
      </c>
      <c r="B2297" s="1" t="s">
        <v>411</v>
      </c>
      <c r="C2297" s="1" t="s">
        <v>7141</v>
      </c>
      <c r="D2297" s="1" t="s">
        <v>103</v>
      </c>
      <c r="E2297" s="1" t="s">
        <v>29</v>
      </c>
      <c r="F2297" s="5">
        <v>450000.0</v>
      </c>
      <c r="G2297" s="1" t="s">
        <v>7016</v>
      </c>
      <c r="H2297" s="1" t="s">
        <v>2360</v>
      </c>
      <c r="I2297" s="1" t="s">
        <v>80</v>
      </c>
      <c r="K2297" s="1">
        <v>0.0</v>
      </c>
      <c r="L2297" s="1" t="s">
        <v>1739</v>
      </c>
      <c r="M2297" s="1" t="str">
        <f>VLOOKUP(L2297,'Copy of PMD Workday Constants -'!B2296:W2982,22,false)</f>
        <v>#N/A</v>
      </c>
      <c r="N2297" s="1" t="s">
        <v>32</v>
      </c>
      <c r="O2297" s="1" t="s">
        <v>33</v>
      </c>
      <c r="P2297" s="1" t="s">
        <v>210</v>
      </c>
      <c r="Q2297" s="1" t="s">
        <v>210</v>
      </c>
      <c r="R2297" s="1" t="s">
        <v>211</v>
      </c>
      <c r="T2297" s="1">
        <v>1.00964362E8</v>
      </c>
      <c r="W2297" s="1" t="s">
        <v>56</v>
      </c>
      <c r="X2297" s="1" t="s">
        <v>675</v>
      </c>
    </row>
    <row r="2298">
      <c r="A2298" s="1" t="s">
        <v>7142</v>
      </c>
      <c r="B2298" s="1" t="s">
        <v>3793</v>
      </c>
      <c r="C2298" s="1" t="s">
        <v>7143</v>
      </c>
      <c r="D2298" s="1" t="s">
        <v>51</v>
      </c>
      <c r="E2298" s="1" t="s">
        <v>29</v>
      </c>
      <c r="F2298" s="5">
        <v>450000.0</v>
      </c>
      <c r="G2298" s="1" t="s">
        <v>7016</v>
      </c>
      <c r="H2298" s="1" t="s">
        <v>778</v>
      </c>
      <c r="I2298" s="1" t="s">
        <v>104</v>
      </c>
      <c r="K2298" s="1">
        <v>0.0</v>
      </c>
      <c r="L2298" s="1" t="s">
        <v>2093</v>
      </c>
      <c r="M2298" s="1" t="str">
        <f>VLOOKUP(L2298,'Copy of PMD Workday Constants -'!B2297:W2983,22,false)</f>
        <v>#N/A</v>
      </c>
      <c r="N2298" s="1" t="s">
        <v>32</v>
      </c>
      <c r="O2298" s="1" t="s">
        <v>33</v>
      </c>
      <c r="P2298" s="1" t="s">
        <v>222</v>
      </c>
      <c r="Q2298" s="1" t="s">
        <v>222</v>
      </c>
      <c r="R2298" s="1" t="s">
        <v>223</v>
      </c>
      <c r="S2298" s="1" t="s">
        <v>646</v>
      </c>
      <c r="T2298" s="1">
        <v>1.00612055E8</v>
      </c>
      <c r="W2298" s="1" t="s">
        <v>947</v>
      </c>
      <c r="X2298" s="1" t="s">
        <v>2093</v>
      </c>
    </row>
    <row r="2299">
      <c r="A2299" s="1" t="s">
        <v>7144</v>
      </c>
      <c r="B2299" s="1" t="s">
        <v>7145</v>
      </c>
      <c r="C2299" s="1" t="s">
        <v>7146</v>
      </c>
      <c r="D2299" s="1" t="s">
        <v>103</v>
      </c>
      <c r="E2299" s="1" t="s">
        <v>29</v>
      </c>
      <c r="F2299" s="5">
        <v>450000.0</v>
      </c>
      <c r="G2299" s="1" t="s">
        <v>7016</v>
      </c>
      <c r="H2299" s="1" t="s">
        <v>1005</v>
      </c>
      <c r="I2299" s="1" t="s">
        <v>43</v>
      </c>
      <c r="K2299" s="1">
        <v>0.0</v>
      </c>
      <c r="L2299" s="1" t="s">
        <v>1844</v>
      </c>
      <c r="M2299" s="1" t="str">
        <f>VLOOKUP(L2299,'Copy of PMD Workday Constants -'!B2298:W2984,22,false)</f>
        <v>#N/A</v>
      </c>
      <c r="N2299" s="1" t="s">
        <v>32</v>
      </c>
      <c r="O2299" s="1" t="s">
        <v>33</v>
      </c>
      <c r="P2299" s="1" t="s">
        <v>82</v>
      </c>
      <c r="Q2299" s="1" t="s">
        <v>82</v>
      </c>
      <c r="R2299" s="1" t="s">
        <v>83</v>
      </c>
      <c r="S2299" s="1" t="s">
        <v>180</v>
      </c>
      <c r="T2299" s="1">
        <v>1.01152213E8</v>
      </c>
      <c r="W2299" s="1" t="s">
        <v>85</v>
      </c>
      <c r="X2299" s="1" t="s">
        <v>7147</v>
      </c>
    </row>
    <row r="2300">
      <c r="A2300" s="1" t="s">
        <v>7148</v>
      </c>
      <c r="B2300" s="1" t="s">
        <v>6183</v>
      </c>
      <c r="C2300" s="1" t="s">
        <v>7149</v>
      </c>
      <c r="D2300" s="1" t="s">
        <v>28</v>
      </c>
      <c r="E2300" s="1" t="s">
        <v>29</v>
      </c>
      <c r="F2300" s="5">
        <v>450000.0</v>
      </c>
      <c r="G2300" s="1" t="s">
        <v>7016</v>
      </c>
      <c r="H2300" s="1" t="s">
        <v>2935</v>
      </c>
      <c r="I2300" s="1" t="s">
        <v>132</v>
      </c>
      <c r="K2300" s="1">
        <v>0.0</v>
      </c>
      <c r="L2300" s="1" t="s">
        <v>3043</v>
      </c>
      <c r="M2300" s="1" t="str">
        <f>VLOOKUP(L2300,'Copy of PMD Workday Constants -'!B2299:W2985,22,false)</f>
        <v>#N/A</v>
      </c>
      <c r="N2300" s="1" t="s">
        <v>32</v>
      </c>
      <c r="O2300" s="1" t="s">
        <v>33</v>
      </c>
      <c r="P2300" s="1" t="s">
        <v>222</v>
      </c>
      <c r="Q2300" s="1" t="s">
        <v>222</v>
      </c>
      <c r="R2300" s="1" t="s">
        <v>223</v>
      </c>
      <c r="S2300" s="1" t="s">
        <v>90</v>
      </c>
      <c r="T2300" s="1">
        <v>1.00638978E8</v>
      </c>
      <c r="W2300" s="1" t="s">
        <v>1303</v>
      </c>
      <c r="X2300" s="1" t="s">
        <v>239</v>
      </c>
    </row>
    <row r="2301">
      <c r="A2301" s="1" t="s">
        <v>7150</v>
      </c>
      <c r="B2301" s="1" t="s">
        <v>7151</v>
      </c>
      <c r="C2301" s="1" t="s">
        <v>7152</v>
      </c>
      <c r="D2301" s="1" t="s">
        <v>28</v>
      </c>
      <c r="E2301" s="1" t="s">
        <v>29</v>
      </c>
      <c r="F2301" s="5">
        <v>450000.0</v>
      </c>
      <c r="G2301" s="1" t="s">
        <v>7016</v>
      </c>
      <c r="H2301" s="1" t="s">
        <v>301</v>
      </c>
      <c r="I2301" s="4">
        <v>44626.0</v>
      </c>
      <c r="K2301" s="1">
        <v>0.0</v>
      </c>
      <c r="L2301" s="1" t="s">
        <v>956</v>
      </c>
      <c r="M2301" s="1" t="str">
        <f>VLOOKUP(L2301,'Copy of PMD Workday Constants -'!B2300:W2986,22,false)</f>
        <v>#N/A</v>
      </c>
      <c r="N2301" s="1" t="s">
        <v>32</v>
      </c>
      <c r="O2301" s="1" t="s">
        <v>33</v>
      </c>
      <c r="P2301" s="1" t="s">
        <v>173</v>
      </c>
      <c r="Q2301" s="1" t="s">
        <v>173</v>
      </c>
      <c r="R2301" s="1" t="s">
        <v>174</v>
      </c>
      <c r="T2301" s="1">
        <v>1.00623421E8</v>
      </c>
      <c r="W2301" s="1" t="s">
        <v>308</v>
      </c>
      <c r="X2301" s="1" t="s">
        <v>956</v>
      </c>
    </row>
    <row r="2302">
      <c r="A2302" s="1" t="s">
        <v>7153</v>
      </c>
      <c r="B2302" s="1" t="s">
        <v>7154</v>
      </c>
      <c r="C2302" s="1" t="s">
        <v>7155</v>
      </c>
      <c r="D2302" s="1" t="s">
        <v>28</v>
      </c>
      <c r="E2302" s="1" t="s">
        <v>29</v>
      </c>
      <c r="F2302" s="5">
        <v>450000.0</v>
      </c>
      <c r="G2302" s="1" t="s">
        <v>7016</v>
      </c>
      <c r="H2302" s="4">
        <v>44809.0</v>
      </c>
      <c r="I2302" s="1" t="s">
        <v>132</v>
      </c>
      <c r="K2302" s="1">
        <v>0.0</v>
      </c>
      <c r="L2302" s="1" t="s">
        <v>7047</v>
      </c>
      <c r="M2302" s="1" t="str">
        <f>VLOOKUP(L2302,'Copy of PMD Workday Constants -'!B2301:W2987,22,false)</f>
        <v>#N/A</v>
      </c>
      <c r="N2302" s="1" t="s">
        <v>32</v>
      </c>
      <c r="O2302" s="1" t="s">
        <v>33</v>
      </c>
      <c r="P2302" s="1" t="s">
        <v>34</v>
      </c>
      <c r="Q2302" s="1" t="s">
        <v>34</v>
      </c>
      <c r="R2302" s="1" t="s">
        <v>35</v>
      </c>
      <c r="S2302" s="1" t="s">
        <v>791</v>
      </c>
      <c r="T2302" s="1">
        <v>1.01090216E8</v>
      </c>
      <c r="W2302" s="1" t="s">
        <v>456</v>
      </c>
      <c r="X2302" s="1" t="s">
        <v>7047</v>
      </c>
    </row>
    <row r="2303">
      <c r="A2303" s="1" t="s">
        <v>7156</v>
      </c>
      <c r="B2303" s="1" t="s">
        <v>1236</v>
      </c>
      <c r="C2303" s="1" t="s">
        <v>7157</v>
      </c>
      <c r="D2303" s="1" t="s">
        <v>51</v>
      </c>
      <c r="E2303" s="1" t="s">
        <v>29</v>
      </c>
      <c r="F2303" s="5">
        <v>450000.0</v>
      </c>
      <c r="G2303" s="1" t="s">
        <v>7016</v>
      </c>
      <c r="H2303" s="4">
        <v>44480.0</v>
      </c>
      <c r="I2303" s="1" t="s">
        <v>302</v>
      </c>
      <c r="K2303" s="1">
        <v>0.0</v>
      </c>
      <c r="L2303" s="1" t="s">
        <v>1238</v>
      </c>
      <c r="M2303" s="1" t="str">
        <f>VLOOKUP(L2303,'Copy of PMD Workday Constants -'!B2302:W2988,22,false)</f>
        <v>#N/A</v>
      </c>
      <c r="N2303" s="1" t="s">
        <v>32</v>
      </c>
      <c r="O2303" s="1" t="s">
        <v>33</v>
      </c>
      <c r="P2303" s="1" t="s">
        <v>210</v>
      </c>
      <c r="Q2303" s="1" t="s">
        <v>210</v>
      </c>
      <c r="R2303" s="1" t="s">
        <v>211</v>
      </c>
      <c r="S2303" s="1" t="s">
        <v>416</v>
      </c>
      <c r="T2303" s="1">
        <v>1.00586959E8</v>
      </c>
      <c r="W2303" s="1" t="s">
        <v>56</v>
      </c>
      <c r="X2303" s="1" t="s">
        <v>1238</v>
      </c>
    </row>
    <row r="2304">
      <c r="A2304" s="1" t="s">
        <v>7158</v>
      </c>
      <c r="B2304" s="1" t="s">
        <v>879</v>
      </c>
      <c r="C2304" s="1" t="s">
        <v>7159</v>
      </c>
      <c r="D2304" s="1" t="s">
        <v>51</v>
      </c>
      <c r="E2304" s="1" t="s">
        <v>29</v>
      </c>
      <c r="F2304" s="5">
        <v>450000.0</v>
      </c>
      <c r="G2304" s="1" t="s">
        <v>7016</v>
      </c>
      <c r="H2304" s="1" t="s">
        <v>644</v>
      </c>
      <c r="I2304" s="1" t="s">
        <v>1746</v>
      </c>
      <c r="K2304" s="1">
        <v>0.0</v>
      </c>
      <c r="L2304" s="1" t="s">
        <v>415</v>
      </c>
      <c r="M2304" s="1" t="str">
        <f>VLOOKUP(L2304,'Copy of PMD Workday Constants -'!B2303:W2989,22,false)</f>
        <v>#N/A</v>
      </c>
      <c r="N2304" s="1" t="s">
        <v>32</v>
      </c>
      <c r="O2304" s="1" t="s">
        <v>33</v>
      </c>
      <c r="P2304" s="1" t="s">
        <v>210</v>
      </c>
      <c r="Q2304" s="1" t="s">
        <v>210</v>
      </c>
      <c r="R2304" s="1" t="s">
        <v>211</v>
      </c>
      <c r="S2304" s="1" t="s">
        <v>36</v>
      </c>
      <c r="T2304" s="1">
        <v>1.00650375E8</v>
      </c>
      <c r="W2304" s="1" t="s">
        <v>37</v>
      </c>
      <c r="X2304" s="1" t="s">
        <v>415</v>
      </c>
    </row>
    <row r="2305">
      <c r="A2305" s="1" t="s">
        <v>7160</v>
      </c>
      <c r="B2305" s="1" t="s">
        <v>973</v>
      </c>
      <c r="C2305" s="1" t="s">
        <v>7161</v>
      </c>
      <c r="D2305" s="1" t="s">
        <v>79</v>
      </c>
      <c r="E2305" s="1" t="s">
        <v>29</v>
      </c>
      <c r="F2305" s="5">
        <v>450000.0</v>
      </c>
      <c r="G2305" s="1" t="s">
        <v>7016</v>
      </c>
      <c r="H2305" s="1" t="s">
        <v>3443</v>
      </c>
      <c r="I2305" s="1" t="s">
        <v>810</v>
      </c>
      <c r="K2305" s="1">
        <v>0.0</v>
      </c>
      <c r="L2305" s="1" t="s">
        <v>1747</v>
      </c>
      <c r="M2305" s="1" t="str">
        <f>VLOOKUP(L2305,'Copy of PMD Workday Constants -'!B2304:W2990,22,false)</f>
        <v>#N/A</v>
      </c>
      <c r="N2305" s="1" t="s">
        <v>32</v>
      </c>
      <c r="O2305" s="1" t="s">
        <v>33</v>
      </c>
      <c r="P2305" s="1" t="s">
        <v>173</v>
      </c>
      <c r="Q2305" s="1" t="s">
        <v>173</v>
      </c>
      <c r="R2305" s="1" t="s">
        <v>174</v>
      </c>
      <c r="S2305" s="1" t="s">
        <v>153</v>
      </c>
      <c r="T2305" s="1">
        <v>1.00639495E8</v>
      </c>
      <c r="W2305" s="1" t="s">
        <v>456</v>
      </c>
      <c r="X2305" s="1" t="s">
        <v>7162</v>
      </c>
    </row>
    <row r="2306">
      <c r="A2306" s="1" t="s">
        <v>7163</v>
      </c>
      <c r="B2306" s="1" t="s">
        <v>7164</v>
      </c>
      <c r="C2306" s="1" t="s">
        <v>7165</v>
      </c>
      <c r="D2306" s="1" t="s">
        <v>28</v>
      </c>
      <c r="E2306" s="1" t="s">
        <v>29</v>
      </c>
      <c r="F2306" s="5">
        <v>450000.0</v>
      </c>
      <c r="G2306" s="1" t="s">
        <v>7016</v>
      </c>
      <c r="H2306" s="1" t="s">
        <v>1662</v>
      </c>
      <c r="I2306" s="4">
        <v>44626.0</v>
      </c>
      <c r="K2306" s="1">
        <v>0.0</v>
      </c>
      <c r="L2306" s="1" t="s">
        <v>3100</v>
      </c>
      <c r="M2306" s="1" t="str">
        <f>VLOOKUP(L2306,'Copy of PMD Workday Constants -'!B2305:W2991,22,false)</f>
        <v>#N/A</v>
      </c>
      <c r="N2306" s="1" t="s">
        <v>32</v>
      </c>
      <c r="O2306" s="1" t="s">
        <v>33</v>
      </c>
      <c r="P2306" s="1" t="s">
        <v>210</v>
      </c>
      <c r="Q2306" s="1" t="s">
        <v>210</v>
      </c>
      <c r="R2306" s="1" t="s">
        <v>211</v>
      </c>
      <c r="T2306" s="1">
        <v>1.01093101E8</v>
      </c>
      <c r="W2306" s="1" t="s">
        <v>115</v>
      </c>
      <c r="X2306" s="1" t="s">
        <v>3100</v>
      </c>
    </row>
    <row r="2307">
      <c r="A2307" s="1" t="s">
        <v>7166</v>
      </c>
      <c r="B2307" s="1" t="s">
        <v>2108</v>
      </c>
      <c r="C2307" s="1" t="s">
        <v>7167</v>
      </c>
      <c r="D2307" s="1" t="s">
        <v>51</v>
      </c>
      <c r="E2307" s="1" t="s">
        <v>29</v>
      </c>
      <c r="F2307" s="5">
        <v>450000.0</v>
      </c>
      <c r="G2307" s="1" t="s">
        <v>7016</v>
      </c>
      <c r="H2307" s="4">
        <v>44656.0</v>
      </c>
      <c r="I2307" s="1" t="s">
        <v>104</v>
      </c>
      <c r="K2307" s="1">
        <v>0.0</v>
      </c>
      <c r="L2307" s="1" t="s">
        <v>4937</v>
      </c>
      <c r="M2307" s="1" t="str">
        <f>VLOOKUP(L2307,'Copy of PMD Workday Constants -'!B2306:W2992,22,false)</f>
        <v>#N/A</v>
      </c>
      <c r="N2307" s="1" t="s">
        <v>32</v>
      </c>
      <c r="O2307" s="1" t="s">
        <v>33</v>
      </c>
      <c r="P2307" s="1" t="s">
        <v>34</v>
      </c>
      <c r="Q2307" s="1" t="s">
        <v>34</v>
      </c>
      <c r="R2307" s="1" t="s">
        <v>35</v>
      </c>
      <c r="S2307" s="1" t="s">
        <v>1336</v>
      </c>
      <c r="T2307" s="1">
        <v>1.00644939E8</v>
      </c>
      <c r="W2307" s="1" t="s">
        <v>456</v>
      </c>
      <c r="X2307" s="1" t="s">
        <v>7168</v>
      </c>
    </row>
    <row r="2308">
      <c r="A2308" s="1" t="s">
        <v>7169</v>
      </c>
      <c r="B2308" s="1" t="s">
        <v>5515</v>
      </c>
      <c r="C2308" s="1" t="s">
        <v>7170</v>
      </c>
      <c r="D2308" s="1" t="s">
        <v>28</v>
      </c>
      <c r="E2308" s="1" t="s">
        <v>29</v>
      </c>
      <c r="F2308" s="5">
        <v>450000.0</v>
      </c>
      <c r="G2308" s="1" t="s">
        <v>7016</v>
      </c>
      <c r="H2308" s="1" t="s">
        <v>7171</v>
      </c>
      <c r="I2308" s="1" t="s">
        <v>80</v>
      </c>
      <c r="K2308" s="1">
        <v>0.0</v>
      </c>
      <c r="L2308" s="1" t="s">
        <v>5415</v>
      </c>
      <c r="M2308" s="1" t="str">
        <f>VLOOKUP(L2308,'Copy of PMD Workday Constants -'!B2307:W2993,22,false)</f>
        <v>#N/A</v>
      </c>
      <c r="N2308" s="1" t="s">
        <v>32</v>
      </c>
      <c r="O2308" s="1" t="s">
        <v>33</v>
      </c>
      <c r="P2308" s="1" t="s">
        <v>222</v>
      </c>
      <c r="Q2308" s="1" t="s">
        <v>222</v>
      </c>
      <c r="R2308" s="1" t="s">
        <v>223</v>
      </c>
      <c r="S2308" s="1" t="s">
        <v>601</v>
      </c>
      <c r="T2308" s="1">
        <v>1.00933537E8</v>
      </c>
      <c r="W2308" s="1" t="s">
        <v>456</v>
      </c>
      <c r="X2308" s="1" t="s">
        <v>7172</v>
      </c>
    </row>
    <row r="2309">
      <c r="A2309" s="1" t="s">
        <v>7173</v>
      </c>
      <c r="B2309" s="1" t="s">
        <v>7174</v>
      </c>
      <c r="C2309" s="1" t="s">
        <v>7175</v>
      </c>
      <c r="D2309" s="1" t="s">
        <v>51</v>
      </c>
      <c r="E2309" s="1" t="s">
        <v>29</v>
      </c>
      <c r="F2309" s="5">
        <v>450000.0</v>
      </c>
      <c r="G2309" s="1" t="s">
        <v>7016</v>
      </c>
      <c r="H2309" s="4">
        <v>44538.0</v>
      </c>
      <c r="I2309" s="4">
        <v>44601.0</v>
      </c>
      <c r="K2309" s="1">
        <v>0.0</v>
      </c>
      <c r="L2309" s="1" t="s">
        <v>1242</v>
      </c>
      <c r="M2309" s="1" t="str">
        <f>VLOOKUP(L2309,'Copy of PMD Workday Constants -'!B2308:W2994,22,false)</f>
        <v>#N/A</v>
      </c>
      <c r="N2309" s="1" t="s">
        <v>32</v>
      </c>
      <c r="O2309" s="1" t="s">
        <v>33</v>
      </c>
      <c r="P2309" s="1" t="s">
        <v>34</v>
      </c>
      <c r="Q2309" s="1" t="s">
        <v>34</v>
      </c>
      <c r="R2309" s="1" t="s">
        <v>35</v>
      </c>
      <c r="S2309" s="1" t="s">
        <v>383</v>
      </c>
      <c r="T2309" s="1">
        <v>1.00626898E8</v>
      </c>
      <c r="W2309" s="1" t="s">
        <v>140</v>
      </c>
      <c r="X2309" s="1" t="s">
        <v>1242</v>
      </c>
    </row>
    <row r="2310">
      <c r="A2310" s="1" t="s">
        <v>7176</v>
      </c>
      <c r="B2310" s="1" t="s">
        <v>1047</v>
      </c>
      <c r="C2310" s="1" t="s">
        <v>7177</v>
      </c>
      <c r="D2310" s="1" t="s">
        <v>51</v>
      </c>
      <c r="E2310" s="1" t="s">
        <v>29</v>
      </c>
      <c r="F2310" s="5">
        <v>450000.0</v>
      </c>
      <c r="G2310" s="1" t="s">
        <v>7016</v>
      </c>
      <c r="H2310" s="4">
        <v>44205.0</v>
      </c>
      <c r="I2310" s="1" t="s">
        <v>1673</v>
      </c>
      <c r="K2310" s="1">
        <v>0.0</v>
      </c>
      <c r="L2310" s="1" t="s">
        <v>1049</v>
      </c>
      <c r="M2310" s="1" t="str">
        <f>VLOOKUP(L2310,'Copy of PMD Workday Constants -'!B2309:W2995,22,false)</f>
        <v>#N/A</v>
      </c>
      <c r="N2310" s="1" t="s">
        <v>32</v>
      </c>
      <c r="O2310" s="1" t="s">
        <v>33</v>
      </c>
      <c r="P2310" s="1" t="s">
        <v>210</v>
      </c>
      <c r="Q2310" s="1" t="s">
        <v>210</v>
      </c>
      <c r="R2310" s="1" t="s">
        <v>211</v>
      </c>
      <c r="S2310" s="1" t="s">
        <v>297</v>
      </c>
      <c r="T2310" s="1">
        <v>1.00650344E8</v>
      </c>
      <c r="W2310" s="1" t="s">
        <v>258</v>
      </c>
      <c r="X2310" s="1" t="s">
        <v>7178</v>
      </c>
    </row>
    <row r="2311">
      <c r="A2311" s="1" t="s">
        <v>7179</v>
      </c>
      <c r="B2311" s="1" t="s">
        <v>160</v>
      </c>
      <c r="C2311" s="1" t="s">
        <v>7180</v>
      </c>
      <c r="D2311" s="1" t="s">
        <v>28</v>
      </c>
      <c r="E2311" s="1" t="s">
        <v>29</v>
      </c>
      <c r="F2311" s="5">
        <v>450000.0</v>
      </c>
      <c r="G2311" s="1" t="s">
        <v>7016</v>
      </c>
      <c r="H2311" s="4">
        <v>44837.0</v>
      </c>
      <c r="I2311" s="1" t="s">
        <v>132</v>
      </c>
      <c r="K2311" s="1">
        <v>0.0</v>
      </c>
      <c r="L2311" s="1" t="s">
        <v>570</v>
      </c>
      <c r="M2311" s="1" t="str">
        <f>VLOOKUP(L2311,'Copy of PMD Workday Constants -'!B2310:W2996,22,false)</f>
        <v>#N/A</v>
      </c>
      <c r="N2311" s="1" t="s">
        <v>32</v>
      </c>
      <c r="O2311" s="1" t="s">
        <v>33</v>
      </c>
      <c r="P2311" s="1" t="s">
        <v>112</v>
      </c>
      <c r="Q2311" s="1" t="s">
        <v>112</v>
      </c>
      <c r="R2311" s="1" t="s">
        <v>113</v>
      </c>
      <c r="S2311" s="1" t="s">
        <v>120</v>
      </c>
      <c r="T2311" s="1">
        <v>1.00625415E8</v>
      </c>
      <c r="W2311" s="1" t="s">
        <v>56</v>
      </c>
      <c r="X2311" s="1" t="s">
        <v>571</v>
      </c>
    </row>
    <row r="2312">
      <c r="A2312" s="1" t="s">
        <v>7181</v>
      </c>
      <c r="B2312" s="1" t="s">
        <v>7182</v>
      </c>
      <c r="C2312" s="1" t="s">
        <v>7183</v>
      </c>
      <c r="D2312" s="1" t="s">
        <v>103</v>
      </c>
      <c r="E2312" s="1" t="s">
        <v>29</v>
      </c>
      <c r="F2312" s="5">
        <v>450000.0</v>
      </c>
      <c r="G2312" s="1" t="s">
        <v>7016</v>
      </c>
      <c r="H2312" s="1" t="s">
        <v>509</v>
      </c>
      <c r="I2312" s="1" t="s">
        <v>104</v>
      </c>
      <c r="K2312" s="1">
        <v>0.0</v>
      </c>
      <c r="L2312" s="1" t="s">
        <v>7184</v>
      </c>
      <c r="M2312" s="1" t="str">
        <f>VLOOKUP(L2312,'Copy of PMD Workday Constants -'!B2311:W2997,22,false)</f>
        <v>#N/A</v>
      </c>
      <c r="N2312" s="1" t="s">
        <v>32</v>
      </c>
      <c r="O2312" s="1" t="s">
        <v>33</v>
      </c>
      <c r="P2312" s="1" t="s">
        <v>54</v>
      </c>
      <c r="Q2312" s="1" t="s">
        <v>54</v>
      </c>
      <c r="R2312" s="1" t="s">
        <v>55</v>
      </c>
      <c r="S2312" s="1" t="s">
        <v>492</v>
      </c>
      <c r="T2312" s="1">
        <v>1.00642211E8</v>
      </c>
      <c r="W2312" s="1" t="s">
        <v>4719</v>
      </c>
      <c r="X2312" s="1" t="s">
        <v>7185</v>
      </c>
    </row>
    <row r="2313">
      <c r="A2313" s="1" t="s">
        <v>7186</v>
      </c>
      <c r="B2313" s="1" t="s">
        <v>7187</v>
      </c>
      <c r="C2313" s="1" t="s">
        <v>7188</v>
      </c>
      <c r="D2313" s="1" t="s">
        <v>28</v>
      </c>
      <c r="E2313" s="1" t="s">
        <v>29</v>
      </c>
      <c r="F2313" s="5">
        <v>450000.0</v>
      </c>
      <c r="G2313" s="1" t="s">
        <v>7016</v>
      </c>
      <c r="H2313" s="1" t="s">
        <v>1215</v>
      </c>
      <c r="I2313" s="1" t="s">
        <v>152</v>
      </c>
      <c r="K2313" s="1">
        <v>0.0</v>
      </c>
      <c r="L2313" s="1" t="s">
        <v>319</v>
      </c>
      <c r="M2313" s="1" t="str">
        <f>VLOOKUP(L2313,'Copy of PMD Workday Constants -'!B2312:W2998,22,false)</f>
        <v>#N/A</v>
      </c>
      <c r="N2313" s="1" t="s">
        <v>32</v>
      </c>
      <c r="O2313" s="1" t="s">
        <v>33</v>
      </c>
      <c r="P2313" s="1" t="s">
        <v>82</v>
      </c>
      <c r="Q2313" s="1" t="s">
        <v>82</v>
      </c>
      <c r="R2313" s="1" t="s">
        <v>83</v>
      </c>
      <c r="S2313" s="1" t="s">
        <v>455</v>
      </c>
      <c r="T2313" s="1">
        <v>1.00654705E8</v>
      </c>
      <c r="W2313" s="1" t="s">
        <v>85</v>
      </c>
      <c r="X2313" s="1" t="s">
        <v>319</v>
      </c>
    </row>
    <row r="2314">
      <c r="A2314" s="1" t="s">
        <v>7189</v>
      </c>
      <c r="B2314" s="1" t="s">
        <v>1373</v>
      </c>
      <c r="C2314" s="1" t="s">
        <v>7190</v>
      </c>
      <c r="D2314" s="1" t="s">
        <v>51</v>
      </c>
      <c r="E2314" s="1" t="s">
        <v>29</v>
      </c>
      <c r="F2314" s="5">
        <v>450000.0</v>
      </c>
      <c r="G2314" s="1" t="s">
        <v>7016</v>
      </c>
      <c r="H2314" s="1" t="s">
        <v>273</v>
      </c>
      <c r="I2314" s="1" t="s">
        <v>227</v>
      </c>
      <c r="K2314" s="1">
        <v>0.0</v>
      </c>
      <c r="L2314" s="1" t="s">
        <v>1375</v>
      </c>
      <c r="M2314" s="1" t="str">
        <f>VLOOKUP(L2314,'Copy of PMD Workday Constants -'!B2313:W2999,22,false)</f>
        <v>#N/A</v>
      </c>
      <c r="N2314" s="1" t="s">
        <v>32</v>
      </c>
      <c r="O2314" s="1" t="s">
        <v>33</v>
      </c>
      <c r="P2314" s="1" t="s">
        <v>64</v>
      </c>
      <c r="Q2314" s="1" t="s">
        <v>64</v>
      </c>
      <c r="R2314" s="1" t="s">
        <v>65</v>
      </c>
      <c r="S2314" s="1" t="s">
        <v>185</v>
      </c>
      <c r="T2314" s="1">
        <v>1.00584032E8</v>
      </c>
      <c r="W2314" s="1" t="s">
        <v>74</v>
      </c>
      <c r="X2314" s="1" t="s">
        <v>1375</v>
      </c>
    </row>
    <row r="2315">
      <c r="A2315" s="1" t="s">
        <v>7191</v>
      </c>
      <c r="B2315" s="1" t="s">
        <v>77</v>
      </c>
      <c r="C2315" s="1" t="s">
        <v>7192</v>
      </c>
      <c r="D2315" s="1" t="s">
        <v>28</v>
      </c>
      <c r="E2315" s="1" t="s">
        <v>29</v>
      </c>
      <c r="F2315" s="5">
        <v>450000.0</v>
      </c>
      <c r="G2315" s="1" t="s">
        <v>7016</v>
      </c>
      <c r="H2315" s="4">
        <v>44654.0</v>
      </c>
      <c r="I2315" s="1" t="s">
        <v>661</v>
      </c>
      <c r="K2315" s="1">
        <v>0.0</v>
      </c>
      <c r="L2315" s="1" t="s">
        <v>7193</v>
      </c>
      <c r="M2315" s="1" t="str">
        <f>VLOOKUP(L2315,'Copy of PMD Workday Constants -'!B2314:W3000,22,false)</f>
        <v>#N/A</v>
      </c>
      <c r="N2315" s="1" t="s">
        <v>32</v>
      </c>
      <c r="O2315" s="1" t="s">
        <v>33</v>
      </c>
      <c r="P2315" s="1" t="s">
        <v>82</v>
      </c>
      <c r="Q2315" s="1" t="s">
        <v>82</v>
      </c>
      <c r="R2315" s="1" t="s">
        <v>83</v>
      </c>
      <c r="S2315" s="1" t="s">
        <v>84</v>
      </c>
      <c r="T2315" s="1">
        <v>1.00635527E8</v>
      </c>
      <c r="W2315" s="1" t="s">
        <v>85</v>
      </c>
      <c r="X2315" s="1" t="s">
        <v>7194</v>
      </c>
    </row>
    <row r="2316">
      <c r="A2316" s="1" t="s">
        <v>7195</v>
      </c>
      <c r="B2316" s="1" t="s">
        <v>1744</v>
      </c>
      <c r="C2316" s="1" t="s">
        <v>7196</v>
      </c>
      <c r="D2316" s="1" t="s">
        <v>103</v>
      </c>
      <c r="E2316" s="1" t="s">
        <v>29</v>
      </c>
      <c r="F2316" s="5">
        <v>450000.0</v>
      </c>
      <c r="G2316" s="1" t="s">
        <v>7016</v>
      </c>
      <c r="H2316" s="4">
        <v>44294.0</v>
      </c>
      <c r="I2316" s="1" t="s">
        <v>302</v>
      </c>
      <c r="K2316" s="1">
        <v>0.0</v>
      </c>
      <c r="L2316" s="1" t="s">
        <v>4699</v>
      </c>
      <c r="M2316" s="1" t="str">
        <f>VLOOKUP(L2316,'Copy of PMD Workday Constants -'!B2315:W3001,22,false)</f>
        <v>#N/A</v>
      </c>
      <c r="N2316" s="1" t="s">
        <v>32</v>
      </c>
      <c r="O2316" s="1" t="s">
        <v>33</v>
      </c>
      <c r="P2316" s="1" t="s">
        <v>222</v>
      </c>
      <c r="Q2316" s="1" t="s">
        <v>222</v>
      </c>
      <c r="R2316" s="1" t="s">
        <v>223</v>
      </c>
      <c r="S2316" s="1" t="s">
        <v>601</v>
      </c>
      <c r="T2316" s="1">
        <v>1.00986592E8</v>
      </c>
      <c r="W2316" s="1" t="s">
        <v>456</v>
      </c>
      <c r="X2316" s="1" t="s">
        <v>5748</v>
      </c>
    </row>
    <row r="2317">
      <c r="A2317" s="1" t="s">
        <v>7197</v>
      </c>
      <c r="B2317" s="1" t="s">
        <v>4820</v>
      </c>
      <c r="C2317" s="1" t="s">
        <v>7198</v>
      </c>
      <c r="D2317" s="1" t="s">
        <v>28</v>
      </c>
      <c r="E2317" s="1" t="s">
        <v>29</v>
      </c>
      <c r="F2317" s="5">
        <v>450000.0</v>
      </c>
      <c r="G2317" s="1" t="s">
        <v>7016</v>
      </c>
      <c r="H2317" s="1" t="s">
        <v>4388</v>
      </c>
      <c r="I2317" s="1" t="s">
        <v>264</v>
      </c>
      <c r="K2317" s="1">
        <v>0.0</v>
      </c>
      <c r="L2317" s="1" t="s">
        <v>1375</v>
      </c>
      <c r="M2317" s="1" t="str">
        <f>VLOOKUP(L2317,'Copy of PMD Workday Constants -'!B2316:W3002,22,false)</f>
        <v>#N/A</v>
      </c>
      <c r="N2317" s="1" t="s">
        <v>32</v>
      </c>
      <c r="O2317" s="1" t="s">
        <v>33</v>
      </c>
      <c r="P2317" s="1" t="s">
        <v>64</v>
      </c>
      <c r="Q2317" s="1" t="s">
        <v>64</v>
      </c>
      <c r="R2317" s="1" t="s">
        <v>65</v>
      </c>
      <c r="S2317" s="1" t="s">
        <v>185</v>
      </c>
      <c r="T2317" s="1">
        <v>1.00584032E8</v>
      </c>
      <c r="W2317" s="1" t="s">
        <v>74</v>
      </c>
      <c r="X2317" s="1" t="s">
        <v>1375</v>
      </c>
    </row>
    <row r="2318">
      <c r="A2318" s="1" t="s">
        <v>7199</v>
      </c>
      <c r="B2318" s="1" t="s">
        <v>7200</v>
      </c>
      <c r="C2318" s="1" t="s">
        <v>7201</v>
      </c>
      <c r="D2318" s="1" t="s">
        <v>103</v>
      </c>
      <c r="E2318" s="1" t="s">
        <v>29</v>
      </c>
      <c r="F2318" s="5">
        <v>450000.0</v>
      </c>
      <c r="G2318" s="1" t="s">
        <v>7016</v>
      </c>
      <c r="H2318" s="1" t="s">
        <v>1524</v>
      </c>
      <c r="I2318" s="1" t="s">
        <v>96</v>
      </c>
      <c r="K2318" s="1">
        <v>0.0</v>
      </c>
      <c r="L2318" s="1" t="s">
        <v>2747</v>
      </c>
      <c r="M2318" s="1" t="str">
        <f>VLOOKUP(L2318,'Copy of PMD Workday Constants -'!B2317:W3003,22,false)</f>
        <v>#N/A</v>
      </c>
      <c r="N2318" s="1" t="s">
        <v>32</v>
      </c>
      <c r="O2318" s="1" t="s">
        <v>33</v>
      </c>
      <c r="P2318" s="1" t="s">
        <v>64</v>
      </c>
      <c r="Q2318" s="1" t="s">
        <v>64</v>
      </c>
      <c r="R2318" s="1" t="s">
        <v>65</v>
      </c>
      <c r="T2318" s="1">
        <v>1.00586524E8</v>
      </c>
      <c r="W2318" s="1" t="s">
        <v>391</v>
      </c>
      <c r="X2318" s="1" t="s">
        <v>2747</v>
      </c>
    </row>
    <row r="2319">
      <c r="A2319" s="1" t="s">
        <v>7202</v>
      </c>
      <c r="B2319" s="1" t="s">
        <v>2267</v>
      </c>
      <c r="C2319" s="1" t="s">
        <v>7203</v>
      </c>
      <c r="D2319" s="1" t="s">
        <v>103</v>
      </c>
      <c r="E2319" s="1" t="s">
        <v>29</v>
      </c>
      <c r="F2319" s="5">
        <v>450000.0</v>
      </c>
      <c r="G2319" s="1" t="s">
        <v>7016</v>
      </c>
      <c r="H2319" s="1" t="s">
        <v>2142</v>
      </c>
      <c r="I2319" s="1" t="s">
        <v>302</v>
      </c>
      <c r="K2319" s="1">
        <v>0.0</v>
      </c>
      <c r="L2319" s="1" t="s">
        <v>3575</v>
      </c>
      <c r="M2319" s="1" t="str">
        <f>VLOOKUP(L2319,'Copy of PMD Workday Constants -'!B2318:W3004,22,false)</f>
        <v>#N/A</v>
      </c>
      <c r="N2319" s="1" t="s">
        <v>32</v>
      </c>
      <c r="O2319" s="1" t="s">
        <v>33</v>
      </c>
      <c r="P2319" s="1" t="s">
        <v>64</v>
      </c>
      <c r="Q2319" s="1" t="s">
        <v>64</v>
      </c>
      <c r="R2319" s="1" t="s">
        <v>65</v>
      </c>
      <c r="S2319" s="1" t="s">
        <v>229</v>
      </c>
      <c r="T2319" s="1">
        <v>1.00652666E8</v>
      </c>
      <c r="W2319" s="1" t="s">
        <v>85</v>
      </c>
      <c r="X2319" s="1" t="s">
        <v>3575</v>
      </c>
    </row>
    <row r="2320">
      <c r="A2320" s="1" t="s">
        <v>7204</v>
      </c>
      <c r="B2320" s="1" t="s">
        <v>4820</v>
      </c>
      <c r="C2320" s="1" t="s">
        <v>7205</v>
      </c>
      <c r="D2320" s="1" t="s">
        <v>28</v>
      </c>
      <c r="E2320" s="1" t="s">
        <v>29</v>
      </c>
      <c r="F2320" s="5">
        <v>450000.0</v>
      </c>
      <c r="G2320" s="1" t="s">
        <v>7016</v>
      </c>
      <c r="H2320" s="1" t="s">
        <v>4388</v>
      </c>
      <c r="I2320" s="1" t="s">
        <v>264</v>
      </c>
      <c r="K2320" s="1">
        <v>0.0</v>
      </c>
      <c r="L2320" s="1" t="s">
        <v>1375</v>
      </c>
      <c r="M2320" s="1" t="str">
        <f>VLOOKUP(L2320,'Copy of PMD Workday Constants -'!B2319:W3005,22,false)</f>
        <v>#N/A</v>
      </c>
      <c r="N2320" s="1" t="s">
        <v>32</v>
      </c>
      <c r="O2320" s="1" t="s">
        <v>33</v>
      </c>
      <c r="P2320" s="1" t="s">
        <v>64</v>
      </c>
      <c r="Q2320" s="1" t="s">
        <v>64</v>
      </c>
      <c r="R2320" s="1" t="s">
        <v>65</v>
      </c>
      <c r="S2320" s="1" t="s">
        <v>185</v>
      </c>
      <c r="T2320" s="1">
        <v>1.00584032E8</v>
      </c>
      <c r="W2320" s="1" t="s">
        <v>74</v>
      </c>
      <c r="X2320" s="1" t="s">
        <v>1375</v>
      </c>
    </row>
    <row r="2321">
      <c r="A2321" s="1" t="s">
        <v>7206</v>
      </c>
      <c r="B2321" s="1" t="s">
        <v>70</v>
      </c>
      <c r="C2321" s="1" t="s">
        <v>7207</v>
      </c>
      <c r="D2321" s="1" t="s">
        <v>28</v>
      </c>
      <c r="E2321" s="1" t="s">
        <v>29</v>
      </c>
      <c r="F2321" s="5">
        <v>450000.0</v>
      </c>
      <c r="G2321" s="1" t="s">
        <v>7016</v>
      </c>
      <c r="H2321" s="1" t="s">
        <v>4872</v>
      </c>
      <c r="I2321" s="1" t="s">
        <v>295</v>
      </c>
      <c r="K2321" s="1">
        <v>0.0</v>
      </c>
      <c r="L2321" s="1" t="s">
        <v>618</v>
      </c>
      <c r="M2321" s="1" t="str">
        <f>VLOOKUP(L2321,'Copy of PMD Workday Constants -'!B2320:W3006,22,false)</f>
        <v>#N/A</v>
      </c>
      <c r="N2321" s="1" t="s">
        <v>32</v>
      </c>
      <c r="O2321" s="1" t="s">
        <v>33</v>
      </c>
      <c r="P2321" s="1" t="s">
        <v>173</v>
      </c>
      <c r="Q2321" s="1" t="s">
        <v>173</v>
      </c>
      <c r="R2321" s="1" t="s">
        <v>174</v>
      </c>
      <c r="T2321" s="1">
        <v>1.00591141E8</v>
      </c>
      <c r="W2321" s="1" t="s">
        <v>74</v>
      </c>
      <c r="X2321" s="1" t="s">
        <v>75</v>
      </c>
    </row>
    <row r="2322">
      <c r="A2322" s="1" t="s">
        <v>7208</v>
      </c>
      <c r="B2322" s="1" t="s">
        <v>4820</v>
      </c>
      <c r="C2322" s="1" t="s">
        <v>7209</v>
      </c>
      <c r="D2322" s="1" t="s">
        <v>28</v>
      </c>
      <c r="E2322" s="1" t="s">
        <v>29</v>
      </c>
      <c r="F2322" s="5">
        <v>450000.0</v>
      </c>
      <c r="G2322" s="1" t="s">
        <v>7016</v>
      </c>
      <c r="H2322" s="1" t="s">
        <v>4388</v>
      </c>
      <c r="I2322" s="1" t="s">
        <v>264</v>
      </c>
      <c r="K2322" s="1">
        <v>0.0</v>
      </c>
      <c r="L2322" s="1" t="s">
        <v>1375</v>
      </c>
      <c r="M2322" s="1" t="str">
        <f>VLOOKUP(L2322,'Copy of PMD Workday Constants -'!B2321:W3007,22,false)</f>
        <v>#N/A</v>
      </c>
      <c r="N2322" s="1" t="s">
        <v>32</v>
      </c>
      <c r="O2322" s="1" t="s">
        <v>33</v>
      </c>
      <c r="P2322" s="1" t="s">
        <v>64</v>
      </c>
      <c r="Q2322" s="1" t="s">
        <v>64</v>
      </c>
      <c r="R2322" s="1" t="s">
        <v>65</v>
      </c>
      <c r="S2322" s="1" t="s">
        <v>185</v>
      </c>
      <c r="T2322" s="1">
        <v>1.00584032E8</v>
      </c>
      <c r="W2322" s="1" t="s">
        <v>74</v>
      </c>
      <c r="X2322" s="1" t="s">
        <v>1375</v>
      </c>
    </row>
    <row r="2323">
      <c r="A2323" s="1" t="s">
        <v>7210</v>
      </c>
      <c r="B2323" s="1" t="s">
        <v>3270</v>
      </c>
      <c r="C2323" s="1" t="s">
        <v>7211</v>
      </c>
      <c r="D2323" s="1" t="s">
        <v>28</v>
      </c>
      <c r="E2323" s="1" t="s">
        <v>29</v>
      </c>
      <c r="F2323" s="5">
        <v>450000.0</v>
      </c>
      <c r="G2323" s="1" t="s">
        <v>7016</v>
      </c>
      <c r="H2323" s="1" t="s">
        <v>2348</v>
      </c>
      <c r="I2323" s="4">
        <v>44840.0</v>
      </c>
      <c r="K2323" s="1">
        <v>0.0</v>
      </c>
      <c r="L2323" s="1" t="s">
        <v>3869</v>
      </c>
      <c r="M2323" s="1" t="str">
        <f>VLOOKUP(L2323,'Copy of PMD Workday Constants -'!B2322:W3008,22,false)</f>
        <v>#N/A</v>
      </c>
      <c r="N2323" s="1" t="s">
        <v>32</v>
      </c>
      <c r="O2323" s="1" t="s">
        <v>33</v>
      </c>
      <c r="P2323" s="1" t="s">
        <v>64</v>
      </c>
      <c r="Q2323" s="1" t="s">
        <v>64</v>
      </c>
      <c r="R2323" s="1" t="s">
        <v>65</v>
      </c>
      <c r="S2323" s="1" t="s">
        <v>185</v>
      </c>
      <c r="T2323" s="1">
        <v>1.00608164E8</v>
      </c>
      <c r="W2323" s="1" t="s">
        <v>74</v>
      </c>
      <c r="X2323" s="1" t="s">
        <v>3869</v>
      </c>
    </row>
    <row r="2324">
      <c r="A2324" s="1" t="s">
        <v>7212</v>
      </c>
      <c r="B2324" s="1" t="s">
        <v>1531</v>
      </c>
      <c r="C2324" s="1" t="s">
        <v>7213</v>
      </c>
      <c r="D2324" s="1" t="s">
        <v>51</v>
      </c>
      <c r="E2324" s="1" t="s">
        <v>29</v>
      </c>
      <c r="F2324" s="5">
        <v>450000.0</v>
      </c>
      <c r="G2324" s="1" t="s">
        <v>7016</v>
      </c>
      <c r="H2324" s="4">
        <v>44567.0</v>
      </c>
      <c r="I2324" s="1" t="s">
        <v>152</v>
      </c>
      <c r="K2324" s="1">
        <v>0.0</v>
      </c>
      <c r="L2324" s="1" t="s">
        <v>1534</v>
      </c>
      <c r="M2324" s="1" t="str">
        <f>VLOOKUP(L2324,'Copy of PMD Workday Constants -'!B2323:W3009,22,false)</f>
        <v>#N/A</v>
      </c>
      <c r="N2324" s="1" t="s">
        <v>32</v>
      </c>
      <c r="O2324" s="1" t="s">
        <v>33</v>
      </c>
      <c r="P2324" s="1" t="s">
        <v>82</v>
      </c>
      <c r="Q2324" s="1" t="s">
        <v>82</v>
      </c>
      <c r="R2324" s="1" t="s">
        <v>83</v>
      </c>
      <c r="S2324" s="1" t="s">
        <v>84</v>
      </c>
      <c r="T2324" s="1">
        <v>1.00618842E8</v>
      </c>
      <c r="W2324" s="1" t="s">
        <v>85</v>
      </c>
      <c r="X2324" s="1" t="s">
        <v>1534</v>
      </c>
    </row>
    <row r="2325">
      <c r="A2325" s="1" t="s">
        <v>7214</v>
      </c>
      <c r="B2325" s="1" t="s">
        <v>4986</v>
      </c>
      <c r="C2325" s="1" t="s">
        <v>7215</v>
      </c>
      <c r="D2325" s="1" t="s">
        <v>28</v>
      </c>
      <c r="E2325" s="1" t="s">
        <v>29</v>
      </c>
      <c r="F2325" s="5">
        <v>450000.0</v>
      </c>
      <c r="G2325" s="1" t="s">
        <v>7016</v>
      </c>
      <c r="H2325" s="1" t="s">
        <v>2559</v>
      </c>
      <c r="I2325" s="4">
        <v>44630.0</v>
      </c>
      <c r="K2325" s="1">
        <v>0.0</v>
      </c>
      <c r="L2325" s="1" t="s">
        <v>2020</v>
      </c>
      <c r="M2325" s="1" t="str">
        <f>VLOOKUP(L2325,'Copy of PMD Workday Constants -'!B2324:W3010,22,false)</f>
        <v>#N/A</v>
      </c>
      <c r="N2325" s="1" t="s">
        <v>32</v>
      </c>
      <c r="O2325" s="1" t="s">
        <v>33</v>
      </c>
      <c r="P2325" s="1" t="s">
        <v>34</v>
      </c>
      <c r="Q2325" s="1" t="s">
        <v>34</v>
      </c>
      <c r="R2325" s="1" t="s">
        <v>35</v>
      </c>
      <c r="S2325" s="1" t="s">
        <v>383</v>
      </c>
      <c r="T2325" s="1">
        <v>1.00893232E8</v>
      </c>
      <c r="W2325" s="1" t="s">
        <v>147</v>
      </c>
      <c r="X2325" s="1" t="s">
        <v>7216</v>
      </c>
    </row>
    <row r="2326">
      <c r="A2326" s="1" t="s">
        <v>7217</v>
      </c>
      <c r="B2326" s="1" t="s">
        <v>2263</v>
      </c>
      <c r="C2326" s="1" t="s">
        <v>7218</v>
      </c>
      <c r="D2326" s="1" t="s">
        <v>103</v>
      </c>
      <c r="E2326" s="1" t="s">
        <v>29</v>
      </c>
      <c r="F2326" s="5">
        <v>450000.0</v>
      </c>
      <c r="G2326" s="1" t="s">
        <v>7016</v>
      </c>
      <c r="H2326" s="4">
        <v>44868.0</v>
      </c>
      <c r="I2326" s="1" t="s">
        <v>1349</v>
      </c>
      <c r="K2326" s="1">
        <v>0.0</v>
      </c>
      <c r="L2326" s="1" t="s">
        <v>2655</v>
      </c>
      <c r="M2326" s="1" t="str">
        <f>VLOOKUP(L2326,'Copy of PMD Workday Constants -'!B2325:W3011,22,false)</f>
        <v>#N/A</v>
      </c>
      <c r="N2326" s="1" t="s">
        <v>32</v>
      </c>
      <c r="O2326" s="1" t="s">
        <v>33</v>
      </c>
      <c r="P2326" s="1" t="s">
        <v>210</v>
      </c>
      <c r="Q2326" s="1" t="s">
        <v>210</v>
      </c>
      <c r="R2326" s="1" t="s">
        <v>211</v>
      </c>
      <c r="S2326" s="1" t="s">
        <v>1313</v>
      </c>
      <c r="T2326" s="1">
        <v>1.0062606E8</v>
      </c>
      <c r="W2326" s="1" t="s">
        <v>577</v>
      </c>
      <c r="X2326" s="1" t="s">
        <v>5385</v>
      </c>
    </row>
    <row r="2327">
      <c r="A2327" s="1" t="s">
        <v>7219</v>
      </c>
      <c r="B2327" s="1" t="s">
        <v>5151</v>
      </c>
      <c r="C2327" s="1" t="s">
        <v>7220</v>
      </c>
      <c r="D2327" s="1" t="s">
        <v>28</v>
      </c>
      <c r="E2327" s="1" t="s">
        <v>29</v>
      </c>
      <c r="F2327" s="5">
        <v>450000.0</v>
      </c>
      <c r="G2327" s="1" t="s">
        <v>7016</v>
      </c>
      <c r="H2327" s="4">
        <v>44748.0</v>
      </c>
      <c r="I2327" s="4">
        <v>44572.0</v>
      </c>
      <c r="K2327" s="1">
        <v>0.0</v>
      </c>
      <c r="L2327" s="1" t="s">
        <v>6839</v>
      </c>
      <c r="M2327" s="1" t="str">
        <f>VLOOKUP(L2327,'Copy of PMD Workday Constants -'!B2326:W3012,22,false)</f>
        <v>#N/A</v>
      </c>
      <c r="N2327" s="1" t="s">
        <v>32</v>
      </c>
      <c r="O2327" s="1" t="s">
        <v>33</v>
      </c>
      <c r="P2327" s="1" t="s">
        <v>222</v>
      </c>
      <c r="Q2327" s="1" t="s">
        <v>222</v>
      </c>
      <c r="R2327" s="1" t="s">
        <v>223</v>
      </c>
      <c r="T2327" s="1">
        <v>1.00613669E8</v>
      </c>
      <c r="W2327" s="1" t="s">
        <v>947</v>
      </c>
      <c r="X2327" s="1" t="s">
        <v>5153</v>
      </c>
    </row>
    <row r="2328">
      <c r="A2328" s="1" t="s">
        <v>7221</v>
      </c>
      <c r="B2328" s="1" t="s">
        <v>5278</v>
      </c>
      <c r="C2328" s="1" t="s">
        <v>7222</v>
      </c>
      <c r="D2328" s="1" t="s">
        <v>51</v>
      </c>
      <c r="E2328" s="1" t="s">
        <v>29</v>
      </c>
      <c r="F2328" s="5">
        <v>450000.0</v>
      </c>
      <c r="G2328" s="1" t="s">
        <v>7016</v>
      </c>
      <c r="H2328" s="4">
        <v>44565.0</v>
      </c>
      <c r="I2328" s="4">
        <v>44626.0</v>
      </c>
      <c r="K2328" s="1">
        <v>0.0</v>
      </c>
      <c r="L2328" s="1" t="s">
        <v>909</v>
      </c>
      <c r="M2328" s="1" t="str">
        <f>VLOOKUP(L2328,'Copy of PMD Workday Constants -'!B2327:W3013,22,false)</f>
        <v>#N/A</v>
      </c>
      <c r="N2328" s="1" t="s">
        <v>32</v>
      </c>
      <c r="O2328" s="1" t="s">
        <v>33</v>
      </c>
      <c r="P2328" s="1" t="s">
        <v>82</v>
      </c>
      <c r="Q2328" s="1" t="s">
        <v>82</v>
      </c>
      <c r="R2328" s="1" t="s">
        <v>83</v>
      </c>
      <c r="S2328" s="1" t="s">
        <v>84</v>
      </c>
      <c r="T2328" s="1">
        <v>1.00649698E8</v>
      </c>
      <c r="W2328" s="1" t="s">
        <v>85</v>
      </c>
      <c r="X2328" s="1" t="s">
        <v>7223</v>
      </c>
    </row>
    <row r="2329">
      <c r="A2329" s="1" t="s">
        <v>7224</v>
      </c>
      <c r="B2329" s="1" t="s">
        <v>7225</v>
      </c>
      <c r="C2329" s="1" t="s">
        <v>7226</v>
      </c>
      <c r="D2329" s="1" t="s">
        <v>51</v>
      </c>
      <c r="E2329" s="1" t="s">
        <v>29</v>
      </c>
      <c r="F2329" s="5">
        <v>450000.0</v>
      </c>
      <c r="G2329" s="1" t="s">
        <v>7016</v>
      </c>
      <c r="H2329" s="1" t="s">
        <v>2510</v>
      </c>
      <c r="I2329" s="1" t="s">
        <v>810</v>
      </c>
      <c r="K2329" s="1">
        <v>0.0</v>
      </c>
      <c r="L2329" s="1" t="s">
        <v>5057</v>
      </c>
      <c r="M2329" s="1" t="str">
        <f>VLOOKUP(L2329,'Copy of PMD Workday Constants -'!B2328:W3014,22,false)</f>
        <v>#N/A</v>
      </c>
      <c r="N2329" s="1" t="s">
        <v>32</v>
      </c>
      <c r="O2329" s="1" t="s">
        <v>33</v>
      </c>
      <c r="P2329" s="1" t="s">
        <v>222</v>
      </c>
      <c r="Q2329" s="1" t="s">
        <v>222</v>
      </c>
      <c r="R2329" s="1" t="s">
        <v>223</v>
      </c>
      <c r="T2329" s="1">
        <v>1.01211068E8</v>
      </c>
      <c r="W2329" s="1" t="s">
        <v>56</v>
      </c>
      <c r="X2329" s="1" t="s">
        <v>7227</v>
      </c>
    </row>
    <row r="2330">
      <c r="A2330" s="1" t="s">
        <v>7228</v>
      </c>
      <c r="B2330" s="1" t="s">
        <v>7229</v>
      </c>
      <c r="C2330" s="1" t="s">
        <v>7230</v>
      </c>
      <c r="D2330" s="1" t="s">
        <v>103</v>
      </c>
      <c r="E2330" s="1" t="s">
        <v>29</v>
      </c>
      <c r="F2330" s="5">
        <v>450000.0</v>
      </c>
      <c r="G2330" s="1" t="s">
        <v>7016</v>
      </c>
      <c r="H2330" s="4">
        <v>44837.0</v>
      </c>
      <c r="I2330" s="1" t="s">
        <v>406</v>
      </c>
      <c r="K2330" s="1">
        <v>0.0</v>
      </c>
      <c r="L2330" s="1" t="s">
        <v>1292</v>
      </c>
      <c r="M2330" s="1" t="str">
        <f>VLOOKUP(L2330,'Copy of PMD Workday Constants -'!B2329:W3015,22,false)</f>
        <v>#N/A</v>
      </c>
      <c r="N2330" s="1" t="s">
        <v>32</v>
      </c>
      <c r="O2330" s="1" t="s">
        <v>33</v>
      </c>
      <c r="P2330" s="1" t="s">
        <v>82</v>
      </c>
      <c r="Q2330" s="1" t="s">
        <v>82</v>
      </c>
      <c r="R2330" s="1" t="s">
        <v>83</v>
      </c>
      <c r="S2330" s="1" t="s">
        <v>180</v>
      </c>
      <c r="T2330" s="1">
        <v>1.006299E8</v>
      </c>
      <c r="W2330" s="1" t="s">
        <v>1801</v>
      </c>
      <c r="X2330" s="1" t="s">
        <v>7231</v>
      </c>
    </row>
    <row r="2331">
      <c r="A2331" s="1" t="s">
        <v>7232</v>
      </c>
      <c r="B2331" s="1" t="s">
        <v>7233</v>
      </c>
      <c r="C2331" s="1" t="s">
        <v>7234</v>
      </c>
      <c r="D2331" s="1" t="s">
        <v>28</v>
      </c>
      <c r="E2331" s="1" t="s">
        <v>29</v>
      </c>
      <c r="F2331" s="5">
        <v>450000.0</v>
      </c>
      <c r="G2331" s="1" t="s">
        <v>7016</v>
      </c>
      <c r="H2331" s="4">
        <v>44567.0</v>
      </c>
      <c r="I2331" s="1" t="s">
        <v>302</v>
      </c>
      <c r="K2331" s="1">
        <v>0.0</v>
      </c>
      <c r="L2331" s="1" t="s">
        <v>5291</v>
      </c>
      <c r="M2331" s="1" t="str">
        <f>VLOOKUP(L2331,'Copy of PMD Workday Constants -'!B2330:W3016,22,false)</f>
        <v>#N/A</v>
      </c>
      <c r="N2331" s="1" t="s">
        <v>32</v>
      </c>
      <c r="O2331" s="1" t="s">
        <v>33</v>
      </c>
      <c r="P2331" s="1" t="s">
        <v>173</v>
      </c>
      <c r="Q2331" s="1" t="s">
        <v>173</v>
      </c>
      <c r="R2331" s="1" t="s">
        <v>174</v>
      </c>
      <c r="T2331" s="1">
        <v>1.00625563E8</v>
      </c>
      <c r="X2331" s="1" t="s">
        <v>7235</v>
      </c>
    </row>
    <row r="2332">
      <c r="A2332" s="1" t="s">
        <v>7236</v>
      </c>
      <c r="B2332" s="1" t="s">
        <v>7237</v>
      </c>
      <c r="C2332" s="1" t="s">
        <v>7238</v>
      </c>
      <c r="D2332" s="1" t="s">
        <v>28</v>
      </c>
      <c r="E2332" s="1" t="s">
        <v>29</v>
      </c>
      <c r="F2332" s="5">
        <v>450000.0</v>
      </c>
      <c r="G2332" s="1" t="s">
        <v>7016</v>
      </c>
      <c r="H2332" s="1" t="s">
        <v>1287</v>
      </c>
      <c r="I2332" s="1" t="s">
        <v>104</v>
      </c>
      <c r="K2332" s="1">
        <v>0.0</v>
      </c>
      <c r="L2332" s="1" t="s">
        <v>1375</v>
      </c>
      <c r="M2332" s="1" t="str">
        <f>VLOOKUP(L2332,'Copy of PMD Workday Constants -'!B2331:W3017,22,false)</f>
        <v>#N/A</v>
      </c>
      <c r="N2332" s="1" t="s">
        <v>32</v>
      </c>
      <c r="O2332" s="1" t="s">
        <v>33</v>
      </c>
      <c r="P2332" s="1" t="s">
        <v>64</v>
      </c>
      <c r="Q2332" s="1" t="s">
        <v>64</v>
      </c>
      <c r="R2332" s="1" t="s">
        <v>65</v>
      </c>
      <c r="T2332" s="1">
        <v>1.00584032E8</v>
      </c>
      <c r="W2332" s="1" t="s">
        <v>74</v>
      </c>
      <c r="X2332" s="1" t="s">
        <v>1375</v>
      </c>
    </row>
    <row r="2333">
      <c r="A2333" s="1" t="s">
        <v>7239</v>
      </c>
      <c r="B2333" s="1" t="s">
        <v>129</v>
      </c>
      <c r="C2333" s="1" t="s">
        <v>7240</v>
      </c>
      <c r="D2333" s="1" t="s">
        <v>51</v>
      </c>
      <c r="E2333" s="1" t="s">
        <v>29</v>
      </c>
      <c r="F2333" s="5">
        <v>450000.0</v>
      </c>
      <c r="G2333" s="1" t="s">
        <v>7016</v>
      </c>
      <c r="H2333" s="4">
        <v>44748.0</v>
      </c>
      <c r="I2333" s="4">
        <v>44780.0</v>
      </c>
      <c r="K2333" s="1">
        <v>0.0</v>
      </c>
      <c r="L2333" s="1" t="s">
        <v>1677</v>
      </c>
      <c r="M2333" s="1" t="str">
        <f>VLOOKUP(L2333,'Copy of PMD Workday Constants -'!B2332:W3018,22,false)</f>
        <v>#N/A</v>
      </c>
      <c r="N2333" s="1" t="s">
        <v>32</v>
      </c>
      <c r="O2333" s="1" t="s">
        <v>33</v>
      </c>
      <c r="P2333" s="1" t="s">
        <v>54</v>
      </c>
      <c r="Q2333" s="1" t="s">
        <v>54</v>
      </c>
      <c r="R2333" s="1" t="s">
        <v>55</v>
      </c>
      <c r="T2333" s="1">
        <v>1.00623248E8</v>
      </c>
      <c r="W2333" s="1" t="s">
        <v>74</v>
      </c>
      <c r="X2333" s="1" t="s">
        <v>7241</v>
      </c>
    </row>
    <row r="2334">
      <c r="A2334" s="1" t="s">
        <v>7242</v>
      </c>
      <c r="B2334" s="1" t="s">
        <v>756</v>
      </c>
      <c r="C2334" s="1" t="s">
        <v>7243</v>
      </c>
      <c r="D2334" s="1" t="s">
        <v>28</v>
      </c>
      <c r="E2334" s="1" t="s">
        <v>29</v>
      </c>
      <c r="F2334" s="5">
        <v>450000.0</v>
      </c>
      <c r="G2334" s="1" t="s">
        <v>7016</v>
      </c>
      <c r="H2334" s="1" t="s">
        <v>644</v>
      </c>
      <c r="I2334" s="1" t="s">
        <v>132</v>
      </c>
      <c r="K2334" s="1">
        <v>0.0</v>
      </c>
      <c r="L2334" s="1" t="s">
        <v>1344</v>
      </c>
      <c r="M2334" s="1" t="str">
        <f>VLOOKUP(L2334,'Copy of PMD Workday Constants -'!B2333:W3019,22,false)</f>
        <v>#N/A</v>
      </c>
      <c r="N2334" s="1" t="s">
        <v>32</v>
      </c>
      <c r="O2334" s="1" t="s">
        <v>33</v>
      </c>
      <c r="P2334" s="1" t="s">
        <v>112</v>
      </c>
      <c r="Q2334" s="1" t="s">
        <v>112</v>
      </c>
      <c r="R2334" s="1" t="s">
        <v>113</v>
      </c>
      <c r="S2334" s="1" t="s">
        <v>134</v>
      </c>
      <c r="T2334" s="1">
        <v>1.0061941E8</v>
      </c>
      <c r="W2334" s="1" t="s">
        <v>74</v>
      </c>
      <c r="X2334" s="1" t="s">
        <v>2238</v>
      </c>
    </row>
    <row r="2335">
      <c r="A2335" s="1" t="s">
        <v>7244</v>
      </c>
      <c r="B2335" s="1" t="s">
        <v>756</v>
      </c>
      <c r="C2335" s="1" t="s">
        <v>7245</v>
      </c>
      <c r="D2335" s="1" t="s">
        <v>28</v>
      </c>
      <c r="E2335" s="1" t="s">
        <v>29</v>
      </c>
      <c r="F2335" s="5">
        <v>450000.0</v>
      </c>
      <c r="G2335" s="1" t="s">
        <v>7016</v>
      </c>
      <c r="H2335" s="1" t="s">
        <v>644</v>
      </c>
      <c r="I2335" s="1" t="s">
        <v>43</v>
      </c>
      <c r="K2335" s="1">
        <v>0.0</v>
      </c>
      <c r="L2335" s="1" t="s">
        <v>1344</v>
      </c>
      <c r="M2335" s="1" t="str">
        <f>VLOOKUP(L2335,'Copy of PMD Workday Constants -'!B2334:W3020,22,false)</f>
        <v>#N/A</v>
      </c>
      <c r="N2335" s="1" t="s">
        <v>32</v>
      </c>
      <c r="O2335" s="1" t="s">
        <v>33</v>
      </c>
      <c r="P2335" s="1" t="s">
        <v>112</v>
      </c>
      <c r="Q2335" s="1" t="s">
        <v>112</v>
      </c>
      <c r="R2335" s="1" t="s">
        <v>113</v>
      </c>
      <c r="S2335" s="1" t="s">
        <v>134</v>
      </c>
      <c r="T2335" s="1">
        <v>1.0061941E8</v>
      </c>
      <c r="W2335" s="1" t="s">
        <v>74</v>
      </c>
      <c r="X2335" s="1" t="s">
        <v>2238</v>
      </c>
    </row>
    <row r="2336">
      <c r="A2336" s="1" t="s">
        <v>7246</v>
      </c>
      <c r="B2336" s="1" t="s">
        <v>289</v>
      </c>
      <c r="C2336" s="1" t="s">
        <v>7247</v>
      </c>
      <c r="D2336" s="1" t="s">
        <v>103</v>
      </c>
      <c r="E2336" s="1" t="s">
        <v>29</v>
      </c>
      <c r="F2336" s="5">
        <v>450000.0</v>
      </c>
      <c r="G2336" s="1" t="s">
        <v>7016</v>
      </c>
      <c r="H2336" s="1" t="s">
        <v>291</v>
      </c>
      <c r="I2336" s="4">
        <v>44903.0</v>
      </c>
      <c r="K2336" s="1">
        <v>0.0</v>
      </c>
      <c r="L2336" s="1" t="s">
        <v>645</v>
      </c>
      <c r="M2336" s="1" t="str">
        <f>VLOOKUP(L2336,'Copy of PMD Workday Constants -'!B2335:W3021,22,false)</f>
        <v>#N/A</v>
      </c>
      <c r="N2336" s="1" t="s">
        <v>32</v>
      </c>
      <c r="O2336" s="1" t="s">
        <v>33</v>
      </c>
      <c r="P2336" s="1" t="s">
        <v>64</v>
      </c>
      <c r="Q2336" s="1" t="s">
        <v>64</v>
      </c>
      <c r="R2336" s="1" t="s">
        <v>65</v>
      </c>
      <c r="S2336" s="1" t="s">
        <v>98</v>
      </c>
      <c r="T2336" s="1">
        <v>1.00653597E8</v>
      </c>
      <c r="W2336" s="1" t="s">
        <v>74</v>
      </c>
      <c r="X2336" s="1" t="s">
        <v>645</v>
      </c>
    </row>
    <row r="2337">
      <c r="A2337" s="1" t="s">
        <v>7248</v>
      </c>
      <c r="B2337" s="1" t="s">
        <v>756</v>
      </c>
      <c r="C2337" s="1" t="s">
        <v>7249</v>
      </c>
      <c r="D2337" s="1" t="s">
        <v>28</v>
      </c>
      <c r="E2337" s="1" t="s">
        <v>29</v>
      </c>
      <c r="F2337" s="5">
        <v>450000.0</v>
      </c>
      <c r="G2337" s="1" t="s">
        <v>7016</v>
      </c>
      <c r="H2337" s="1" t="s">
        <v>644</v>
      </c>
      <c r="I2337" s="1" t="s">
        <v>191</v>
      </c>
      <c r="K2337" s="1">
        <v>0.0</v>
      </c>
      <c r="L2337" s="1" t="s">
        <v>1344</v>
      </c>
      <c r="M2337" s="1" t="str">
        <f>VLOOKUP(L2337,'Copy of PMD Workday Constants -'!B2336:W3022,22,false)</f>
        <v>#N/A</v>
      </c>
      <c r="N2337" s="1" t="s">
        <v>32</v>
      </c>
      <c r="O2337" s="1" t="s">
        <v>33</v>
      </c>
      <c r="P2337" s="1" t="s">
        <v>112</v>
      </c>
      <c r="Q2337" s="1" t="s">
        <v>112</v>
      </c>
      <c r="R2337" s="1" t="s">
        <v>113</v>
      </c>
      <c r="S2337" s="1" t="s">
        <v>134</v>
      </c>
      <c r="T2337" s="1">
        <v>1.0061941E8</v>
      </c>
      <c r="W2337" s="1" t="s">
        <v>74</v>
      </c>
      <c r="X2337" s="1" t="s">
        <v>2238</v>
      </c>
    </row>
    <row r="2338">
      <c r="A2338" s="1" t="s">
        <v>7250</v>
      </c>
      <c r="B2338" s="1" t="s">
        <v>4129</v>
      </c>
      <c r="C2338" s="1" t="s">
        <v>7251</v>
      </c>
      <c r="D2338" s="1" t="s">
        <v>103</v>
      </c>
      <c r="E2338" s="1" t="s">
        <v>29</v>
      </c>
      <c r="F2338" s="5">
        <v>450000.0</v>
      </c>
      <c r="G2338" s="1" t="s">
        <v>7016</v>
      </c>
      <c r="H2338" s="4">
        <v>44471.0</v>
      </c>
      <c r="I2338" s="4">
        <v>44601.0</v>
      </c>
      <c r="K2338" s="1">
        <v>0.0</v>
      </c>
      <c r="L2338" s="1" t="s">
        <v>4490</v>
      </c>
      <c r="M2338" s="1" t="str">
        <f>VLOOKUP(L2338,'Copy of PMD Workday Constants -'!B2337:W3023,22,false)</f>
        <v>#N/A</v>
      </c>
      <c r="N2338" s="1" t="s">
        <v>32</v>
      </c>
      <c r="O2338" s="1" t="s">
        <v>33</v>
      </c>
      <c r="P2338" s="1" t="s">
        <v>54</v>
      </c>
      <c r="Q2338" s="1" t="s">
        <v>54</v>
      </c>
      <c r="R2338" s="1" t="s">
        <v>55</v>
      </c>
      <c r="S2338" s="1" t="s">
        <v>654</v>
      </c>
      <c r="T2338" s="1">
        <v>1.00646804E8</v>
      </c>
      <c r="W2338" s="1" t="s">
        <v>258</v>
      </c>
      <c r="X2338" s="1" t="s">
        <v>4357</v>
      </c>
    </row>
    <row r="2339">
      <c r="A2339" s="1" t="s">
        <v>7252</v>
      </c>
      <c r="B2339" s="1" t="s">
        <v>3549</v>
      </c>
      <c r="C2339" s="1" t="s">
        <v>7253</v>
      </c>
      <c r="D2339" s="1" t="s">
        <v>103</v>
      </c>
      <c r="E2339" s="1" t="s">
        <v>29</v>
      </c>
      <c r="F2339" s="5">
        <v>450000.0</v>
      </c>
      <c r="G2339" s="1" t="s">
        <v>7016</v>
      </c>
      <c r="H2339" s="4">
        <v>44622.0</v>
      </c>
      <c r="I2339" s="1" t="s">
        <v>1349</v>
      </c>
      <c r="J2339" s="6">
        <v>44564.28194444445</v>
      </c>
      <c r="K2339" s="1">
        <v>0.0</v>
      </c>
      <c r="L2339" s="1" t="s">
        <v>4432</v>
      </c>
      <c r="M2339" s="1" t="str">
        <f>VLOOKUP(L2339,'Copy of PMD Workday Constants -'!B2338:W3024,22,false)</f>
        <v>#N/A</v>
      </c>
      <c r="N2339" s="1" t="s">
        <v>32</v>
      </c>
      <c r="O2339" s="1" t="s">
        <v>33</v>
      </c>
      <c r="P2339" s="1" t="s">
        <v>34</v>
      </c>
      <c r="Q2339" s="1" t="s">
        <v>34</v>
      </c>
      <c r="R2339" s="1" t="s">
        <v>35</v>
      </c>
      <c r="T2339" s="1">
        <v>1.00586334E8</v>
      </c>
      <c r="W2339" s="1" t="s">
        <v>308</v>
      </c>
      <c r="X2339" s="1" t="s">
        <v>5225</v>
      </c>
    </row>
    <row r="2340">
      <c r="A2340" s="1" t="s">
        <v>7254</v>
      </c>
      <c r="B2340" s="1" t="s">
        <v>3811</v>
      </c>
      <c r="C2340" s="1" t="s">
        <v>7255</v>
      </c>
      <c r="D2340" s="1" t="s">
        <v>28</v>
      </c>
      <c r="E2340" s="1" t="s">
        <v>29</v>
      </c>
      <c r="F2340" s="5">
        <v>450000.0</v>
      </c>
      <c r="G2340" s="1" t="s">
        <v>7016</v>
      </c>
      <c r="H2340" s="4">
        <v>44623.0</v>
      </c>
      <c r="I2340" s="1" t="s">
        <v>414</v>
      </c>
      <c r="K2340" s="1">
        <v>0.0</v>
      </c>
      <c r="L2340" s="1" t="s">
        <v>3813</v>
      </c>
      <c r="M2340" s="1" t="str">
        <f>VLOOKUP(L2340,'Copy of PMD Workday Constants -'!B2339:W3025,22,false)</f>
        <v>#N/A</v>
      </c>
      <c r="N2340" s="1" t="s">
        <v>32</v>
      </c>
      <c r="O2340" s="1" t="s">
        <v>33</v>
      </c>
      <c r="P2340" s="1" t="s">
        <v>112</v>
      </c>
      <c r="Q2340" s="1" t="s">
        <v>112</v>
      </c>
      <c r="R2340" s="1" t="s">
        <v>113</v>
      </c>
      <c r="T2340" s="1">
        <v>1.00650841E8</v>
      </c>
      <c r="W2340" s="1" t="s">
        <v>456</v>
      </c>
      <c r="X2340" s="1" t="s">
        <v>3813</v>
      </c>
    </row>
    <row r="2341">
      <c r="A2341" s="1" t="s">
        <v>7256</v>
      </c>
      <c r="B2341" s="1" t="s">
        <v>324</v>
      </c>
      <c r="C2341" s="1" t="s">
        <v>7257</v>
      </c>
      <c r="D2341" s="1" t="s">
        <v>28</v>
      </c>
      <c r="E2341" s="1" t="s">
        <v>29</v>
      </c>
      <c r="F2341" s="5">
        <v>450000.0</v>
      </c>
      <c r="G2341" s="1" t="s">
        <v>7016</v>
      </c>
      <c r="H2341" s="1" t="s">
        <v>42</v>
      </c>
      <c r="I2341" s="4">
        <v>44573.0</v>
      </c>
      <c r="K2341" s="1">
        <v>0.0</v>
      </c>
      <c r="L2341" s="1" t="s">
        <v>5172</v>
      </c>
      <c r="M2341" s="1" t="str">
        <f>VLOOKUP(L2341,'Copy of PMD Workday Constants -'!B2340:W3026,22,false)</f>
        <v>#N/A</v>
      </c>
      <c r="N2341" s="1" t="s">
        <v>32</v>
      </c>
      <c r="O2341" s="1" t="s">
        <v>33</v>
      </c>
      <c r="P2341" s="1" t="s">
        <v>210</v>
      </c>
      <c r="Q2341" s="1" t="s">
        <v>210</v>
      </c>
      <c r="R2341" s="1" t="s">
        <v>211</v>
      </c>
      <c r="S2341" s="1" t="s">
        <v>1336</v>
      </c>
      <c r="T2341" s="1">
        <v>1.00620643E8</v>
      </c>
      <c r="W2341" s="1" t="s">
        <v>56</v>
      </c>
      <c r="X2341" s="1" t="s">
        <v>1337</v>
      </c>
    </row>
    <row r="2342">
      <c r="A2342" s="1" t="s">
        <v>7258</v>
      </c>
      <c r="B2342" s="1" t="s">
        <v>3603</v>
      </c>
      <c r="C2342" s="1" t="s">
        <v>7259</v>
      </c>
      <c r="D2342" s="1" t="s">
        <v>51</v>
      </c>
      <c r="E2342" s="1" t="s">
        <v>29</v>
      </c>
      <c r="F2342" s="5">
        <v>450000.0</v>
      </c>
      <c r="G2342" s="1" t="s">
        <v>7016</v>
      </c>
      <c r="H2342" s="1" t="s">
        <v>306</v>
      </c>
      <c r="I2342" s="1" t="s">
        <v>7260</v>
      </c>
      <c r="K2342" s="1">
        <v>0.0</v>
      </c>
      <c r="L2342" s="1" t="s">
        <v>2042</v>
      </c>
      <c r="M2342" s="1" t="str">
        <f>VLOOKUP(L2342,'Copy of PMD Workday Constants -'!B2341:W3027,22,false)</f>
        <v>#N/A</v>
      </c>
      <c r="N2342" s="1" t="s">
        <v>32</v>
      </c>
      <c r="O2342" s="1" t="s">
        <v>33</v>
      </c>
      <c r="P2342" s="1" t="s">
        <v>34</v>
      </c>
      <c r="Q2342" s="1" t="s">
        <v>34</v>
      </c>
      <c r="R2342" s="1" t="s">
        <v>35</v>
      </c>
      <c r="S2342" s="1" t="s">
        <v>126</v>
      </c>
      <c r="T2342" s="1">
        <v>1.00611284E8</v>
      </c>
      <c r="W2342" s="1" t="s">
        <v>47</v>
      </c>
      <c r="X2342" s="1" t="s">
        <v>2042</v>
      </c>
    </row>
    <row r="2343">
      <c r="A2343" s="1" t="s">
        <v>7261</v>
      </c>
      <c r="B2343" s="1" t="s">
        <v>7262</v>
      </c>
      <c r="C2343" s="1" t="s">
        <v>7263</v>
      </c>
      <c r="D2343" s="1" t="s">
        <v>51</v>
      </c>
      <c r="E2343" s="1" t="s">
        <v>29</v>
      </c>
      <c r="F2343" s="5">
        <v>450000.0</v>
      </c>
      <c r="G2343" s="1" t="s">
        <v>7016</v>
      </c>
      <c r="H2343" s="1" t="s">
        <v>3018</v>
      </c>
      <c r="I2343" s="4">
        <v>44568.0</v>
      </c>
      <c r="K2343" s="1">
        <v>0.0</v>
      </c>
      <c r="L2343" s="1" t="s">
        <v>5252</v>
      </c>
      <c r="M2343" s="1" t="str">
        <f>VLOOKUP(L2343,'Copy of PMD Workday Constants -'!B2342:W3028,22,false)</f>
        <v>#N/A</v>
      </c>
      <c r="N2343" s="1" t="s">
        <v>32</v>
      </c>
      <c r="O2343" s="1" t="s">
        <v>33</v>
      </c>
      <c r="P2343" s="1" t="s">
        <v>5253</v>
      </c>
      <c r="Q2343" s="1" t="s">
        <v>5253</v>
      </c>
      <c r="R2343" s="1" t="s">
        <v>65</v>
      </c>
      <c r="S2343" s="1" t="s">
        <v>66</v>
      </c>
      <c r="T2343" s="1">
        <v>1.00625588E8</v>
      </c>
      <c r="W2343" s="1" t="s">
        <v>287</v>
      </c>
      <c r="X2343" s="1" t="s">
        <v>7264</v>
      </c>
    </row>
    <row r="2344">
      <c r="A2344" s="1" t="s">
        <v>7265</v>
      </c>
      <c r="B2344" s="1" t="s">
        <v>4425</v>
      </c>
      <c r="C2344" s="1" t="s">
        <v>7266</v>
      </c>
      <c r="D2344" s="1" t="s">
        <v>51</v>
      </c>
      <c r="E2344" s="1" t="s">
        <v>29</v>
      </c>
      <c r="F2344" s="5">
        <v>450000.0</v>
      </c>
      <c r="G2344" s="1" t="s">
        <v>7016</v>
      </c>
      <c r="H2344" s="1" t="s">
        <v>1842</v>
      </c>
      <c r="I2344" s="1" t="s">
        <v>80</v>
      </c>
      <c r="K2344" s="1">
        <v>0.0</v>
      </c>
      <c r="L2344" s="1" t="s">
        <v>1380</v>
      </c>
      <c r="M2344" s="1" t="str">
        <f>VLOOKUP(L2344,'Copy of PMD Workday Constants -'!B2343:W3029,22,false)</f>
        <v>#N/A</v>
      </c>
      <c r="N2344" s="1" t="s">
        <v>32</v>
      </c>
      <c r="O2344" s="1" t="s">
        <v>33</v>
      </c>
      <c r="P2344" s="1" t="s">
        <v>34</v>
      </c>
      <c r="Q2344" s="1" t="s">
        <v>34</v>
      </c>
      <c r="R2344" s="1" t="s">
        <v>35</v>
      </c>
      <c r="S2344" s="1" t="s">
        <v>126</v>
      </c>
      <c r="T2344" s="1">
        <v>1.00587434E8</v>
      </c>
      <c r="X2344" s="1" t="s">
        <v>1380</v>
      </c>
    </row>
    <row r="2345">
      <c r="A2345" s="1" t="s">
        <v>7267</v>
      </c>
      <c r="B2345" s="1" t="s">
        <v>1047</v>
      </c>
      <c r="C2345" s="1" t="s">
        <v>7268</v>
      </c>
      <c r="D2345" s="1" t="s">
        <v>28</v>
      </c>
      <c r="E2345" s="1" t="s">
        <v>29</v>
      </c>
      <c r="F2345" s="5">
        <v>450000.0</v>
      </c>
      <c r="G2345" s="1" t="s">
        <v>7016</v>
      </c>
      <c r="H2345" s="4">
        <v>44266.0</v>
      </c>
      <c r="I2345" s="4">
        <v>44752.0</v>
      </c>
      <c r="K2345" s="1">
        <v>0.0</v>
      </c>
      <c r="L2345" s="1" t="s">
        <v>1049</v>
      </c>
      <c r="M2345" s="1" t="str">
        <f>VLOOKUP(L2345,'Copy of PMD Workday Constants -'!B2344:W3030,22,false)</f>
        <v>#N/A</v>
      </c>
      <c r="N2345" s="1" t="s">
        <v>32</v>
      </c>
      <c r="O2345" s="1" t="s">
        <v>33</v>
      </c>
      <c r="P2345" s="1" t="s">
        <v>210</v>
      </c>
      <c r="Q2345" s="1" t="s">
        <v>210</v>
      </c>
      <c r="R2345" s="1" t="s">
        <v>211</v>
      </c>
      <c r="S2345" s="1" t="s">
        <v>297</v>
      </c>
      <c r="T2345" s="1">
        <v>1.00650344E8</v>
      </c>
      <c r="W2345" s="1" t="s">
        <v>258</v>
      </c>
      <c r="X2345" s="1" t="s">
        <v>4651</v>
      </c>
    </row>
    <row r="2346">
      <c r="A2346" s="1" t="s">
        <v>7269</v>
      </c>
      <c r="B2346" s="1" t="s">
        <v>3684</v>
      </c>
      <c r="C2346" s="1" t="s">
        <v>7270</v>
      </c>
      <c r="D2346" s="1" t="s">
        <v>51</v>
      </c>
      <c r="E2346" s="1" t="s">
        <v>29</v>
      </c>
      <c r="F2346" s="5">
        <v>450000.0</v>
      </c>
      <c r="G2346" s="1" t="s">
        <v>7016</v>
      </c>
      <c r="H2346" s="1" t="s">
        <v>7271</v>
      </c>
      <c r="I2346" s="1" t="s">
        <v>104</v>
      </c>
      <c r="K2346" s="1">
        <v>0.0</v>
      </c>
      <c r="L2346" s="1" t="s">
        <v>5167</v>
      </c>
      <c r="M2346" s="1" t="str">
        <f>VLOOKUP(L2346,'Copy of PMD Workday Constants -'!B2345:W3031,22,false)</f>
        <v>#N/A</v>
      </c>
      <c r="N2346" s="1" t="s">
        <v>32</v>
      </c>
      <c r="O2346" s="1" t="s">
        <v>33</v>
      </c>
      <c r="P2346" s="1" t="s">
        <v>173</v>
      </c>
      <c r="Q2346" s="1" t="s">
        <v>173</v>
      </c>
      <c r="R2346" s="1" t="s">
        <v>174</v>
      </c>
      <c r="T2346" s="1">
        <v>1.00641485E8</v>
      </c>
      <c r="W2346" s="1" t="s">
        <v>250</v>
      </c>
      <c r="X2346" s="1" t="s">
        <v>7272</v>
      </c>
    </row>
    <row r="2347">
      <c r="A2347" s="1" t="s">
        <v>7273</v>
      </c>
      <c r="B2347" s="1" t="s">
        <v>7274</v>
      </c>
      <c r="C2347" s="1" t="s">
        <v>7275</v>
      </c>
      <c r="D2347" s="1" t="s">
        <v>103</v>
      </c>
      <c r="E2347" s="1" t="s">
        <v>29</v>
      </c>
      <c r="F2347" s="5">
        <v>445000.0</v>
      </c>
      <c r="G2347" s="1" t="s">
        <v>7016</v>
      </c>
      <c r="H2347" s="4">
        <v>44382.0</v>
      </c>
      <c r="I2347" s="1" t="s">
        <v>810</v>
      </c>
      <c r="K2347" s="1">
        <v>0.0</v>
      </c>
      <c r="L2347" s="1" t="s">
        <v>7276</v>
      </c>
      <c r="M2347" s="1" t="str">
        <f>VLOOKUP(L2347,'Copy of PMD Workday Constants -'!B2346:W3032,22,false)</f>
        <v>#N/A</v>
      </c>
      <c r="N2347" s="1" t="s">
        <v>32</v>
      </c>
      <c r="O2347" s="1" t="s">
        <v>33</v>
      </c>
      <c r="P2347" s="1" t="s">
        <v>64</v>
      </c>
      <c r="Q2347" s="1" t="s">
        <v>64</v>
      </c>
      <c r="R2347" s="1" t="s">
        <v>65</v>
      </c>
      <c r="S2347" s="1" t="s">
        <v>1336</v>
      </c>
      <c r="T2347" s="1">
        <v>1.00587219E8</v>
      </c>
      <c r="W2347" s="1" t="s">
        <v>308</v>
      </c>
      <c r="X2347" s="1" t="s">
        <v>7276</v>
      </c>
    </row>
    <row r="2348">
      <c r="A2348" s="1" t="s">
        <v>7277</v>
      </c>
      <c r="B2348" s="1" t="s">
        <v>3270</v>
      </c>
      <c r="C2348" s="1" t="s">
        <v>7278</v>
      </c>
      <c r="D2348" s="1" t="s">
        <v>103</v>
      </c>
      <c r="E2348" s="1" t="s">
        <v>29</v>
      </c>
      <c r="F2348" s="5">
        <v>443000.0</v>
      </c>
      <c r="G2348" s="1" t="s">
        <v>7016</v>
      </c>
      <c r="H2348" s="1" t="s">
        <v>5674</v>
      </c>
      <c r="I2348" s="1" t="s">
        <v>80</v>
      </c>
      <c r="K2348" s="1">
        <v>0.0</v>
      </c>
      <c r="L2348" s="1" t="s">
        <v>2540</v>
      </c>
      <c r="M2348" s="1" t="str">
        <f>VLOOKUP(L2348,'Copy of PMD Workday Constants -'!B2347:W3033,22,false)</f>
        <v>#N/A</v>
      </c>
      <c r="N2348" s="1" t="s">
        <v>32</v>
      </c>
      <c r="O2348" s="1" t="s">
        <v>33</v>
      </c>
      <c r="P2348" s="1" t="s">
        <v>222</v>
      </c>
      <c r="Q2348" s="1" t="s">
        <v>222</v>
      </c>
      <c r="R2348" s="1" t="s">
        <v>223</v>
      </c>
      <c r="S2348" s="1" t="s">
        <v>601</v>
      </c>
      <c r="T2348" s="1">
        <v>1.00599268E8</v>
      </c>
      <c r="W2348" s="1" t="s">
        <v>74</v>
      </c>
      <c r="X2348" s="1" t="s">
        <v>7279</v>
      </c>
    </row>
    <row r="2349">
      <c r="A2349" s="1" t="s">
        <v>7280</v>
      </c>
      <c r="B2349" s="1" t="s">
        <v>7281</v>
      </c>
      <c r="C2349" s="1" t="s">
        <v>7282</v>
      </c>
      <c r="D2349" s="1" t="s">
        <v>51</v>
      </c>
      <c r="E2349" s="1" t="s">
        <v>29</v>
      </c>
      <c r="F2349" s="5">
        <v>440000.0</v>
      </c>
      <c r="G2349" s="1" t="s">
        <v>7016</v>
      </c>
      <c r="H2349" s="4">
        <v>44656.0</v>
      </c>
      <c r="I2349" s="1" t="s">
        <v>810</v>
      </c>
      <c r="K2349" s="1">
        <v>0.0</v>
      </c>
      <c r="L2349" s="1" t="s">
        <v>7283</v>
      </c>
      <c r="M2349" s="1" t="str">
        <f>VLOOKUP(L2349,'Copy of PMD Workday Constants -'!B2348:W3034,22,false)</f>
        <v>#N/A</v>
      </c>
      <c r="N2349" s="1" t="s">
        <v>32</v>
      </c>
      <c r="O2349" s="1" t="s">
        <v>33</v>
      </c>
      <c r="P2349" s="1" t="s">
        <v>222</v>
      </c>
      <c r="Q2349" s="1" t="s">
        <v>222</v>
      </c>
      <c r="R2349" s="1" t="s">
        <v>223</v>
      </c>
      <c r="T2349" s="1">
        <v>1.00611501E8</v>
      </c>
      <c r="W2349" s="1" t="s">
        <v>115</v>
      </c>
      <c r="X2349" s="1" t="s">
        <v>7284</v>
      </c>
    </row>
    <row r="2350">
      <c r="A2350" s="1" t="s">
        <v>7285</v>
      </c>
      <c r="B2350" s="1" t="s">
        <v>93</v>
      </c>
      <c r="C2350" s="1" t="s">
        <v>7286</v>
      </c>
      <c r="D2350" s="1" t="s">
        <v>51</v>
      </c>
      <c r="E2350" s="1" t="s">
        <v>29</v>
      </c>
      <c r="F2350" s="5">
        <v>439854.0</v>
      </c>
      <c r="G2350" s="1" t="s">
        <v>7016</v>
      </c>
      <c r="H2350" s="4">
        <v>44836.0</v>
      </c>
      <c r="I2350" s="1" t="s">
        <v>865</v>
      </c>
      <c r="K2350" s="1">
        <v>0.0</v>
      </c>
      <c r="L2350" s="1" t="s">
        <v>3986</v>
      </c>
      <c r="M2350" s="1" t="str">
        <f>VLOOKUP(L2350,'Copy of PMD Workday Constants -'!B2349:W3035,22,false)</f>
        <v>#N/A</v>
      </c>
      <c r="N2350" s="1" t="s">
        <v>32</v>
      </c>
      <c r="O2350" s="1" t="s">
        <v>33</v>
      </c>
      <c r="P2350" s="1" t="s">
        <v>222</v>
      </c>
      <c r="Q2350" s="1" t="s">
        <v>222</v>
      </c>
      <c r="R2350" s="1" t="s">
        <v>223</v>
      </c>
      <c r="S2350" s="1" t="s">
        <v>601</v>
      </c>
      <c r="T2350" s="1">
        <v>1.00605616E8</v>
      </c>
      <c r="W2350" s="1" t="s">
        <v>56</v>
      </c>
      <c r="X2350" s="1" t="s">
        <v>3987</v>
      </c>
    </row>
    <row r="2351">
      <c r="A2351" s="1" t="s">
        <v>7287</v>
      </c>
      <c r="B2351" s="1" t="s">
        <v>7288</v>
      </c>
      <c r="C2351" s="1" t="s">
        <v>7289</v>
      </c>
      <c r="D2351" s="1" t="s">
        <v>51</v>
      </c>
      <c r="E2351" s="1" t="s">
        <v>29</v>
      </c>
      <c r="F2351" s="5">
        <v>435000.0</v>
      </c>
      <c r="G2351" s="1" t="s">
        <v>7016</v>
      </c>
      <c r="H2351" s="1" t="s">
        <v>7290</v>
      </c>
      <c r="I2351" s="1" t="s">
        <v>104</v>
      </c>
      <c r="K2351" s="1">
        <v>0.0</v>
      </c>
      <c r="L2351" s="1" t="s">
        <v>2602</v>
      </c>
      <c r="M2351" s="1" t="str">
        <f>VLOOKUP(L2351,'Copy of PMD Workday Constants -'!B2350:W3036,22,false)</f>
        <v>#N/A</v>
      </c>
      <c r="N2351" s="1" t="s">
        <v>32</v>
      </c>
      <c r="O2351" s="1" t="s">
        <v>33</v>
      </c>
      <c r="P2351" s="1" t="s">
        <v>173</v>
      </c>
      <c r="Q2351" s="1" t="s">
        <v>173</v>
      </c>
      <c r="R2351" s="1" t="s">
        <v>174</v>
      </c>
      <c r="S2351" s="1" t="s">
        <v>383</v>
      </c>
      <c r="T2351" s="1">
        <v>1.00611351E8</v>
      </c>
      <c r="W2351" s="1" t="s">
        <v>1303</v>
      </c>
      <c r="X2351" s="1" t="s">
        <v>2914</v>
      </c>
    </row>
    <row r="2352">
      <c r="A2352" s="1" t="s">
        <v>7291</v>
      </c>
      <c r="B2352" s="1" t="s">
        <v>1154</v>
      </c>
      <c r="C2352" s="1" t="s">
        <v>7292</v>
      </c>
      <c r="D2352" s="1" t="s">
        <v>79</v>
      </c>
      <c r="E2352" s="1" t="s">
        <v>29</v>
      </c>
      <c r="F2352" s="5">
        <v>430000.0</v>
      </c>
      <c r="G2352" s="1" t="s">
        <v>7016</v>
      </c>
      <c r="H2352" s="1" t="s">
        <v>3513</v>
      </c>
      <c r="I2352" s="4">
        <v>44569.0</v>
      </c>
      <c r="K2352" s="1">
        <v>0.0</v>
      </c>
      <c r="L2352" s="1" t="s">
        <v>2602</v>
      </c>
      <c r="M2352" s="1" t="str">
        <f>VLOOKUP(L2352,'Copy of PMD Workday Constants -'!B2351:W3037,22,false)</f>
        <v>#N/A</v>
      </c>
      <c r="N2352" s="1" t="s">
        <v>32</v>
      </c>
      <c r="O2352" s="1" t="s">
        <v>33</v>
      </c>
      <c r="P2352" s="1" t="s">
        <v>173</v>
      </c>
      <c r="Q2352" s="1" t="s">
        <v>173</v>
      </c>
      <c r="R2352" s="1" t="s">
        <v>174</v>
      </c>
      <c r="T2352" s="1">
        <v>1.00611351E8</v>
      </c>
      <c r="W2352" s="1" t="s">
        <v>947</v>
      </c>
      <c r="X2352" s="1" t="s">
        <v>2602</v>
      </c>
    </row>
    <row r="2353">
      <c r="A2353" s="1" t="s">
        <v>7293</v>
      </c>
      <c r="B2353" s="1" t="s">
        <v>129</v>
      </c>
      <c r="C2353" s="1" t="s">
        <v>7294</v>
      </c>
      <c r="D2353" s="1" t="s">
        <v>103</v>
      </c>
      <c r="E2353" s="1" t="s">
        <v>29</v>
      </c>
      <c r="F2353" s="5">
        <v>427450.0</v>
      </c>
      <c r="G2353" s="1" t="s">
        <v>7016</v>
      </c>
      <c r="H2353" s="4">
        <v>44657.0</v>
      </c>
      <c r="I2353" s="1" t="s">
        <v>132</v>
      </c>
      <c r="J2353" s="1" t="s">
        <v>7295</v>
      </c>
      <c r="K2353" s="1">
        <v>0.0</v>
      </c>
      <c r="L2353" s="1" t="s">
        <v>4785</v>
      </c>
      <c r="M2353" s="1" t="str">
        <f>VLOOKUP(L2353,'Copy of PMD Workday Constants -'!B2352:W3038,22,false)</f>
        <v>#N/A</v>
      </c>
      <c r="N2353" s="1" t="s">
        <v>32</v>
      </c>
      <c r="O2353" s="1" t="s">
        <v>33</v>
      </c>
      <c r="P2353" s="1" t="s">
        <v>173</v>
      </c>
      <c r="Q2353" s="1" t="s">
        <v>173</v>
      </c>
      <c r="R2353" s="1" t="s">
        <v>174</v>
      </c>
      <c r="T2353" s="1">
        <v>1.00609226E8</v>
      </c>
      <c r="W2353" s="1" t="s">
        <v>74</v>
      </c>
      <c r="X2353" s="1" t="s">
        <v>4786</v>
      </c>
    </row>
    <row r="2354">
      <c r="A2354" s="1" t="s">
        <v>7296</v>
      </c>
      <c r="B2354" s="1" t="s">
        <v>324</v>
      </c>
      <c r="C2354" s="1" t="s">
        <v>7297</v>
      </c>
      <c r="D2354" s="1" t="s">
        <v>79</v>
      </c>
      <c r="E2354" s="1" t="s">
        <v>29</v>
      </c>
      <c r="F2354" s="5">
        <v>425000.0</v>
      </c>
      <c r="G2354" s="1" t="s">
        <v>7016</v>
      </c>
      <c r="H2354" s="4">
        <v>44652.0</v>
      </c>
      <c r="I2354" s="1" t="s">
        <v>2485</v>
      </c>
      <c r="K2354" s="1">
        <v>0.0</v>
      </c>
      <c r="L2354" s="1" t="s">
        <v>415</v>
      </c>
      <c r="M2354" s="1" t="str">
        <f>VLOOKUP(L2354,'Copy of PMD Workday Constants -'!B2353:W3039,22,false)</f>
        <v>#N/A</v>
      </c>
      <c r="N2354" s="1" t="s">
        <v>32</v>
      </c>
      <c r="O2354" s="1" t="s">
        <v>33</v>
      </c>
      <c r="P2354" s="1" t="s">
        <v>210</v>
      </c>
      <c r="Q2354" s="1" t="s">
        <v>210</v>
      </c>
      <c r="R2354" s="1" t="s">
        <v>211</v>
      </c>
      <c r="S2354" s="1" t="s">
        <v>1313</v>
      </c>
      <c r="T2354" s="1">
        <v>1.00650375E8</v>
      </c>
      <c r="W2354" s="1" t="s">
        <v>56</v>
      </c>
      <c r="X2354" s="1" t="s">
        <v>3013</v>
      </c>
    </row>
    <row r="2355">
      <c r="A2355" s="1" t="s">
        <v>7298</v>
      </c>
      <c r="B2355" s="1" t="s">
        <v>3140</v>
      </c>
      <c r="C2355" s="1" t="s">
        <v>7299</v>
      </c>
      <c r="D2355" s="1" t="s">
        <v>28</v>
      </c>
      <c r="E2355" s="1" t="s">
        <v>29</v>
      </c>
      <c r="F2355" s="5">
        <v>425000.0</v>
      </c>
      <c r="G2355" s="1" t="s">
        <v>7016</v>
      </c>
      <c r="H2355" s="4">
        <v>44718.0</v>
      </c>
      <c r="I2355" s="1" t="s">
        <v>264</v>
      </c>
      <c r="K2355" s="1">
        <v>0.0</v>
      </c>
      <c r="L2355" s="1" t="s">
        <v>4240</v>
      </c>
      <c r="M2355" s="1" t="str">
        <f>VLOOKUP(L2355,'Copy of PMD Workday Constants -'!B2354:W3040,22,false)</f>
        <v>#N/A</v>
      </c>
      <c r="N2355" s="1" t="s">
        <v>32</v>
      </c>
      <c r="O2355" s="1" t="s">
        <v>33</v>
      </c>
      <c r="P2355" s="1" t="s">
        <v>210</v>
      </c>
      <c r="Q2355" s="1" t="s">
        <v>210</v>
      </c>
      <c r="R2355" s="1" t="s">
        <v>211</v>
      </c>
      <c r="S2355" s="1" t="s">
        <v>416</v>
      </c>
      <c r="T2355" s="1">
        <v>1.00625459E8</v>
      </c>
      <c r="W2355" s="1" t="s">
        <v>56</v>
      </c>
      <c r="X2355" s="1" t="s">
        <v>4240</v>
      </c>
    </row>
    <row r="2356">
      <c r="A2356" s="1" t="s">
        <v>7300</v>
      </c>
      <c r="B2356" s="1" t="s">
        <v>993</v>
      </c>
      <c r="C2356" s="1" t="s">
        <v>7301</v>
      </c>
      <c r="D2356" s="1" t="s">
        <v>103</v>
      </c>
      <c r="E2356" s="1" t="s">
        <v>29</v>
      </c>
      <c r="F2356" s="5">
        <v>425000.0</v>
      </c>
      <c r="G2356" s="1" t="s">
        <v>7016</v>
      </c>
      <c r="H2356" s="4">
        <v>44868.0</v>
      </c>
      <c r="I2356" s="1" t="s">
        <v>80</v>
      </c>
      <c r="K2356" s="1">
        <v>0.0</v>
      </c>
      <c r="L2356" s="1" t="s">
        <v>2381</v>
      </c>
      <c r="M2356" s="1" t="str">
        <f>VLOOKUP(L2356,'Copy of PMD Workday Constants -'!B2355:W3041,22,false)</f>
        <v>#N/A</v>
      </c>
      <c r="N2356" s="1" t="s">
        <v>32</v>
      </c>
      <c r="O2356" s="1" t="s">
        <v>33</v>
      </c>
      <c r="P2356" s="1" t="s">
        <v>112</v>
      </c>
      <c r="Q2356" s="1" t="s">
        <v>112</v>
      </c>
      <c r="R2356" s="1" t="s">
        <v>113</v>
      </c>
      <c r="S2356" s="1" t="s">
        <v>134</v>
      </c>
      <c r="T2356" s="1">
        <v>1.00625755E8</v>
      </c>
      <c r="W2356" s="1" t="s">
        <v>74</v>
      </c>
      <c r="X2356" s="1" t="s">
        <v>1278</v>
      </c>
    </row>
    <row r="2357">
      <c r="A2357" s="1" t="s">
        <v>7302</v>
      </c>
      <c r="B2357" s="1" t="s">
        <v>573</v>
      </c>
      <c r="C2357" s="1" t="s">
        <v>7303</v>
      </c>
      <c r="D2357" s="1" t="s">
        <v>51</v>
      </c>
      <c r="E2357" s="1" t="s">
        <v>29</v>
      </c>
      <c r="F2357" s="5">
        <v>425000.0</v>
      </c>
      <c r="G2357" s="1" t="s">
        <v>7016</v>
      </c>
      <c r="H2357" s="4">
        <v>44777.0</v>
      </c>
      <c r="I2357" s="1" t="s">
        <v>248</v>
      </c>
      <c r="K2357" s="1">
        <v>0.0</v>
      </c>
      <c r="L2357" s="1" t="s">
        <v>4723</v>
      </c>
      <c r="M2357" s="1" t="str">
        <f>VLOOKUP(L2357,'Copy of PMD Workday Constants -'!B2356:W3042,22,false)</f>
        <v>#N/A</v>
      </c>
      <c r="N2357" s="1" t="s">
        <v>32</v>
      </c>
      <c r="O2357" s="1" t="s">
        <v>33</v>
      </c>
      <c r="P2357" s="1" t="s">
        <v>210</v>
      </c>
      <c r="Q2357" s="1" t="s">
        <v>210</v>
      </c>
      <c r="R2357" s="1" t="s">
        <v>211</v>
      </c>
      <c r="S2357" s="1" t="s">
        <v>1313</v>
      </c>
      <c r="T2357" s="1">
        <v>1.00585834E8</v>
      </c>
      <c r="W2357" s="1" t="s">
        <v>436</v>
      </c>
      <c r="X2357" s="1" t="s">
        <v>5511</v>
      </c>
    </row>
    <row r="2358">
      <c r="A2358" s="1" t="s">
        <v>7304</v>
      </c>
      <c r="B2358" s="1" t="s">
        <v>4386</v>
      </c>
      <c r="C2358" s="1" t="s">
        <v>7305</v>
      </c>
      <c r="D2358" s="1" t="s">
        <v>51</v>
      </c>
      <c r="E2358" s="1" t="s">
        <v>29</v>
      </c>
      <c r="F2358" s="5">
        <v>420000.0</v>
      </c>
      <c r="G2358" s="1" t="s">
        <v>7016</v>
      </c>
      <c r="H2358" s="4">
        <v>44839.0</v>
      </c>
      <c r="I2358" s="1" t="s">
        <v>526</v>
      </c>
      <c r="K2358" s="1">
        <v>0.0</v>
      </c>
      <c r="L2358" s="1" t="s">
        <v>4873</v>
      </c>
      <c r="M2358" s="1" t="str">
        <f>VLOOKUP(L2358,'Copy of PMD Workday Constants -'!B2357:W3043,22,false)</f>
        <v>#N/A</v>
      </c>
      <c r="N2358" s="1" t="s">
        <v>32</v>
      </c>
      <c r="O2358" s="1" t="s">
        <v>33</v>
      </c>
      <c r="P2358" s="1" t="s">
        <v>34</v>
      </c>
      <c r="Q2358" s="1" t="s">
        <v>34</v>
      </c>
      <c r="R2358" s="1" t="s">
        <v>35</v>
      </c>
      <c r="T2358" s="1">
        <v>1.00587881E8</v>
      </c>
      <c r="W2358" s="1" t="s">
        <v>74</v>
      </c>
      <c r="X2358" s="1" t="s">
        <v>4873</v>
      </c>
    </row>
    <row r="2359">
      <c r="A2359" s="1" t="s">
        <v>7306</v>
      </c>
      <c r="B2359" s="1" t="s">
        <v>353</v>
      </c>
      <c r="C2359" s="1" t="s">
        <v>7307</v>
      </c>
      <c r="D2359" s="1" t="s">
        <v>51</v>
      </c>
      <c r="E2359" s="1" t="s">
        <v>29</v>
      </c>
      <c r="F2359" s="5">
        <v>420000.0</v>
      </c>
      <c r="G2359" s="1" t="s">
        <v>7016</v>
      </c>
      <c r="H2359" s="1" t="s">
        <v>1005</v>
      </c>
      <c r="I2359" s="1" t="s">
        <v>152</v>
      </c>
      <c r="K2359" s="1">
        <v>0.0</v>
      </c>
      <c r="L2359" s="1" t="s">
        <v>1902</v>
      </c>
      <c r="M2359" s="1" t="str">
        <f>VLOOKUP(L2359,'Copy of PMD Workday Constants -'!B2358:W3044,22,false)</f>
        <v>#N/A</v>
      </c>
      <c r="N2359" s="1" t="s">
        <v>32</v>
      </c>
      <c r="O2359" s="1" t="s">
        <v>33</v>
      </c>
      <c r="P2359" s="1" t="s">
        <v>173</v>
      </c>
      <c r="Q2359" s="1" t="s">
        <v>173</v>
      </c>
      <c r="R2359" s="1" t="s">
        <v>174</v>
      </c>
      <c r="S2359" s="1" t="s">
        <v>540</v>
      </c>
      <c r="T2359" s="1">
        <v>1.00956516E8</v>
      </c>
      <c r="W2359" s="1" t="s">
        <v>258</v>
      </c>
      <c r="X2359" s="1" t="s">
        <v>1903</v>
      </c>
    </row>
    <row r="2360">
      <c r="A2360" s="1" t="s">
        <v>7308</v>
      </c>
      <c r="B2360" s="1" t="s">
        <v>1109</v>
      </c>
      <c r="C2360" s="1" t="s">
        <v>7309</v>
      </c>
      <c r="D2360" s="1" t="s">
        <v>103</v>
      </c>
      <c r="E2360" s="1" t="s">
        <v>29</v>
      </c>
      <c r="F2360" s="5">
        <v>420000.0</v>
      </c>
      <c r="G2360" s="1" t="s">
        <v>7016</v>
      </c>
      <c r="H2360" s="1" t="s">
        <v>1672</v>
      </c>
      <c r="I2360" s="4">
        <v>44568.0</v>
      </c>
      <c r="K2360" s="1">
        <v>0.0</v>
      </c>
      <c r="L2360" s="1" t="s">
        <v>5194</v>
      </c>
      <c r="M2360" s="1" t="str">
        <f>VLOOKUP(L2360,'Copy of PMD Workday Constants -'!B2359:W3045,22,false)</f>
        <v>#N/A</v>
      </c>
      <c r="N2360" s="1" t="s">
        <v>32</v>
      </c>
      <c r="O2360" s="1" t="s">
        <v>33</v>
      </c>
      <c r="P2360" s="1" t="s">
        <v>173</v>
      </c>
      <c r="Q2360" s="1" t="s">
        <v>173</v>
      </c>
      <c r="R2360" s="1" t="s">
        <v>174</v>
      </c>
      <c r="S2360" s="1" t="s">
        <v>540</v>
      </c>
      <c r="T2360" s="1">
        <v>1.00609393E8</v>
      </c>
      <c r="W2360" s="1" t="s">
        <v>85</v>
      </c>
      <c r="X2360" s="1" t="s">
        <v>5195</v>
      </c>
    </row>
    <row r="2361">
      <c r="A2361" s="1" t="s">
        <v>7310</v>
      </c>
      <c r="B2361" s="1" t="s">
        <v>585</v>
      </c>
      <c r="C2361" s="1" t="s">
        <v>7311</v>
      </c>
      <c r="D2361" s="1" t="s">
        <v>103</v>
      </c>
      <c r="E2361" s="1" t="s">
        <v>29</v>
      </c>
      <c r="F2361" s="5">
        <v>415000.0</v>
      </c>
      <c r="G2361" s="1" t="s">
        <v>7016</v>
      </c>
      <c r="H2361" s="4">
        <v>44871.0</v>
      </c>
      <c r="I2361" s="1" t="s">
        <v>1350</v>
      </c>
      <c r="K2361" s="1">
        <v>0.0</v>
      </c>
      <c r="L2361" s="1" t="s">
        <v>499</v>
      </c>
      <c r="M2361" s="1" t="str">
        <f>VLOOKUP(L2361,'Copy of PMD Workday Constants -'!B2360:W3046,22,false)</f>
        <v>#N/A</v>
      </c>
      <c r="N2361" s="1" t="s">
        <v>32</v>
      </c>
      <c r="O2361" s="1" t="s">
        <v>33</v>
      </c>
      <c r="P2361" s="1" t="s">
        <v>34</v>
      </c>
      <c r="Q2361" s="1" t="s">
        <v>34</v>
      </c>
      <c r="R2361" s="1" t="s">
        <v>35</v>
      </c>
      <c r="T2361" s="1">
        <v>1.00627768E8</v>
      </c>
      <c r="W2361" s="1" t="s">
        <v>91</v>
      </c>
      <c r="X2361" s="1" t="s">
        <v>501</v>
      </c>
    </row>
    <row r="2362">
      <c r="A2362" s="1" t="s">
        <v>7312</v>
      </c>
      <c r="B2362" s="1" t="s">
        <v>1184</v>
      </c>
      <c r="C2362" s="1" t="s">
        <v>7313</v>
      </c>
      <c r="D2362" s="1" t="s">
        <v>28</v>
      </c>
      <c r="E2362" s="1" t="s">
        <v>29</v>
      </c>
      <c r="F2362" s="5">
        <v>405000.0</v>
      </c>
      <c r="G2362" s="1" t="s">
        <v>7016</v>
      </c>
      <c r="H2362" s="1" t="s">
        <v>42</v>
      </c>
      <c r="I2362" s="4">
        <v>44573.0</v>
      </c>
      <c r="K2362" s="1">
        <v>0.0</v>
      </c>
      <c r="L2362" s="1" t="s">
        <v>5172</v>
      </c>
      <c r="M2362" s="1" t="str">
        <f>VLOOKUP(L2362,'Copy of PMD Workday Constants -'!B2361:W3047,22,false)</f>
        <v>#N/A</v>
      </c>
      <c r="N2362" s="1" t="s">
        <v>32</v>
      </c>
      <c r="O2362" s="1" t="s">
        <v>33</v>
      </c>
      <c r="P2362" s="1" t="s">
        <v>210</v>
      </c>
      <c r="Q2362" s="1" t="s">
        <v>210</v>
      </c>
      <c r="R2362" s="1" t="s">
        <v>211</v>
      </c>
      <c r="S2362" s="1" t="s">
        <v>1336</v>
      </c>
      <c r="T2362" s="1">
        <v>1.00620643E8</v>
      </c>
      <c r="W2362" s="1" t="s">
        <v>56</v>
      </c>
      <c r="X2362" s="1" t="s">
        <v>1337</v>
      </c>
    </row>
    <row r="2363">
      <c r="A2363" s="1" t="s">
        <v>7314</v>
      </c>
      <c r="B2363" s="1" t="s">
        <v>765</v>
      </c>
      <c r="C2363" s="1" t="s">
        <v>7315</v>
      </c>
      <c r="D2363" s="1" t="s">
        <v>79</v>
      </c>
      <c r="E2363" s="1" t="s">
        <v>29</v>
      </c>
      <c r="F2363" s="5">
        <v>405000.0</v>
      </c>
      <c r="G2363" s="1" t="s">
        <v>7016</v>
      </c>
      <c r="H2363" s="4">
        <v>44597.0</v>
      </c>
      <c r="I2363" s="1" t="s">
        <v>1349</v>
      </c>
      <c r="K2363" s="1">
        <v>0.0</v>
      </c>
      <c r="L2363" s="1" t="s">
        <v>4202</v>
      </c>
      <c r="M2363" s="1" t="str">
        <f>VLOOKUP(L2363,'Copy of PMD Workday Constants -'!B2362:W3048,22,false)</f>
        <v>#N/A</v>
      </c>
      <c r="N2363" s="1" t="s">
        <v>32</v>
      </c>
      <c r="O2363" s="1" t="s">
        <v>33</v>
      </c>
      <c r="P2363" s="1" t="s">
        <v>173</v>
      </c>
      <c r="Q2363" s="1" t="s">
        <v>173</v>
      </c>
      <c r="R2363" s="1" t="s">
        <v>174</v>
      </c>
      <c r="T2363" s="1">
        <v>1.00914325E8</v>
      </c>
      <c r="W2363" s="1" t="s">
        <v>456</v>
      </c>
      <c r="X2363" s="1" t="s">
        <v>5035</v>
      </c>
    </row>
    <row r="2364">
      <c r="A2364" s="1" t="s">
        <v>7316</v>
      </c>
      <c r="B2364" s="1" t="s">
        <v>5427</v>
      </c>
      <c r="C2364" s="1" t="s">
        <v>7317</v>
      </c>
      <c r="D2364" s="1" t="s">
        <v>51</v>
      </c>
      <c r="E2364" s="1" t="s">
        <v>29</v>
      </c>
      <c r="F2364" s="5">
        <v>405000.0</v>
      </c>
      <c r="G2364" s="1" t="s">
        <v>7016</v>
      </c>
      <c r="H2364" s="4">
        <v>44900.0</v>
      </c>
      <c r="I2364" s="1" t="s">
        <v>526</v>
      </c>
      <c r="K2364" s="1">
        <v>0.0</v>
      </c>
      <c r="L2364" s="1" t="s">
        <v>7318</v>
      </c>
      <c r="M2364" s="1" t="str">
        <f>VLOOKUP(L2364,'Copy of PMD Workday Constants -'!B2363:W3049,22,false)</f>
        <v>#N/A</v>
      </c>
      <c r="N2364" s="1" t="s">
        <v>32</v>
      </c>
      <c r="O2364" s="1" t="s">
        <v>33</v>
      </c>
      <c r="P2364" s="1" t="s">
        <v>222</v>
      </c>
      <c r="Q2364" s="1" t="s">
        <v>222</v>
      </c>
      <c r="R2364" s="1" t="s">
        <v>223</v>
      </c>
      <c r="T2364" s="1">
        <v>1.00611212E8</v>
      </c>
      <c r="W2364" s="1" t="s">
        <v>47</v>
      </c>
      <c r="X2364" s="1" t="s">
        <v>7319</v>
      </c>
    </row>
    <row r="2365">
      <c r="A2365" s="1" t="s">
        <v>7320</v>
      </c>
      <c r="B2365" s="1" t="s">
        <v>2152</v>
      </c>
      <c r="C2365" s="1" t="s">
        <v>7321</v>
      </c>
      <c r="D2365" s="1" t="s">
        <v>51</v>
      </c>
      <c r="E2365" s="1" t="s">
        <v>29</v>
      </c>
      <c r="F2365" s="5">
        <v>400000.0</v>
      </c>
      <c r="G2365" s="1" t="s">
        <v>7016</v>
      </c>
      <c r="H2365" s="1" t="s">
        <v>2724</v>
      </c>
      <c r="I2365" s="4">
        <v>44626.0</v>
      </c>
      <c r="K2365" s="1">
        <v>0.0</v>
      </c>
      <c r="L2365" s="1" t="s">
        <v>2154</v>
      </c>
      <c r="M2365" s="1" t="str">
        <f>VLOOKUP(L2365,'Copy of PMD Workday Constants -'!B2364:W3050,22,false)</f>
        <v>#N/A</v>
      </c>
      <c r="N2365" s="1" t="s">
        <v>32</v>
      </c>
      <c r="O2365" s="1" t="s">
        <v>33</v>
      </c>
      <c r="P2365" s="1" t="s">
        <v>173</v>
      </c>
      <c r="Q2365" s="1" t="s">
        <v>173</v>
      </c>
      <c r="R2365" s="1" t="s">
        <v>174</v>
      </c>
      <c r="T2365" s="1">
        <v>1.00639477E8</v>
      </c>
      <c r="W2365" s="1" t="s">
        <v>456</v>
      </c>
      <c r="X2365" s="1" t="s">
        <v>7322</v>
      </c>
    </row>
    <row r="2366">
      <c r="A2366" s="1" t="s">
        <v>7323</v>
      </c>
      <c r="B2366" s="1" t="s">
        <v>1062</v>
      </c>
      <c r="C2366" s="1" t="s">
        <v>7324</v>
      </c>
      <c r="D2366" s="1" t="s">
        <v>28</v>
      </c>
      <c r="E2366" s="1" t="s">
        <v>29</v>
      </c>
      <c r="F2366" s="5">
        <v>400000.0</v>
      </c>
      <c r="G2366" s="1" t="s">
        <v>7016</v>
      </c>
      <c r="H2366" s="4">
        <v>44718.0</v>
      </c>
      <c r="I2366" s="1" t="s">
        <v>80</v>
      </c>
      <c r="K2366" s="1">
        <v>0.0</v>
      </c>
      <c r="L2366" s="1" t="s">
        <v>4873</v>
      </c>
      <c r="M2366" s="1" t="str">
        <f>VLOOKUP(L2366,'Copy of PMD Workday Constants -'!B2365:W3051,22,false)</f>
        <v>#N/A</v>
      </c>
      <c r="N2366" s="1" t="s">
        <v>32</v>
      </c>
      <c r="O2366" s="1" t="s">
        <v>33</v>
      </c>
      <c r="P2366" s="1" t="s">
        <v>34</v>
      </c>
      <c r="Q2366" s="1" t="s">
        <v>34</v>
      </c>
      <c r="R2366" s="1" t="s">
        <v>35</v>
      </c>
      <c r="T2366" s="1">
        <v>1.00587881E8</v>
      </c>
      <c r="W2366" s="1" t="s">
        <v>493</v>
      </c>
      <c r="X2366" s="1" t="s">
        <v>1377</v>
      </c>
    </row>
    <row r="2367">
      <c r="A2367" s="1" t="s">
        <v>7325</v>
      </c>
      <c r="B2367" s="1" t="s">
        <v>6034</v>
      </c>
      <c r="C2367" s="1" t="s">
        <v>7326</v>
      </c>
      <c r="D2367" s="1" t="s">
        <v>51</v>
      </c>
      <c r="E2367" s="1" t="s">
        <v>29</v>
      </c>
      <c r="F2367" s="5">
        <v>400000.0</v>
      </c>
      <c r="G2367" s="1" t="s">
        <v>7016</v>
      </c>
      <c r="H2367" s="1" t="s">
        <v>1553</v>
      </c>
      <c r="I2367" s="1" t="s">
        <v>1349</v>
      </c>
      <c r="K2367" s="1">
        <v>0.0</v>
      </c>
      <c r="L2367" s="1" t="s">
        <v>2174</v>
      </c>
      <c r="M2367" s="1" t="str">
        <f>VLOOKUP(L2367,'Copy of PMD Workday Constants -'!B2366:W3052,22,false)</f>
        <v>#N/A</v>
      </c>
      <c r="N2367" s="1" t="s">
        <v>32</v>
      </c>
      <c r="O2367" s="1" t="s">
        <v>33</v>
      </c>
      <c r="P2367" s="1" t="s">
        <v>112</v>
      </c>
      <c r="Q2367" s="1" t="s">
        <v>112</v>
      </c>
      <c r="R2367" s="1" t="s">
        <v>113</v>
      </c>
      <c r="S2367" s="1" t="s">
        <v>134</v>
      </c>
      <c r="T2367" s="1">
        <v>1.00631322E8</v>
      </c>
      <c r="W2367" s="1" t="s">
        <v>74</v>
      </c>
      <c r="X2367" s="1" t="s">
        <v>2238</v>
      </c>
    </row>
    <row r="2368">
      <c r="A2368" s="1" t="s">
        <v>7327</v>
      </c>
      <c r="B2368" s="1" t="s">
        <v>2375</v>
      </c>
      <c r="C2368" s="1" t="s">
        <v>7328</v>
      </c>
      <c r="D2368" s="1" t="s">
        <v>28</v>
      </c>
      <c r="E2368" s="1" t="s">
        <v>29</v>
      </c>
      <c r="F2368" s="5">
        <v>400000.0</v>
      </c>
      <c r="G2368" s="1" t="s">
        <v>7016</v>
      </c>
      <c r="H2368" s="4">
        <v>44471.0</v>
      </c>
      <c r="I2368" s="1" t="s">
        <v>4147</v>
      </c>
      <c r="K2368" s="1">
        <v>0.0</v>
      </c>
      <c r="L2368" s="1" t="s">
        <v>2201</v>
      </c>
      <c r="M2368" s="1" t="str">
        <f>VLOOKUP(L2368,'Copy of PMD Workday Constants -'!B2367:W3053,22,false)</f>
        <v>#N/A</v>
      </c>
      <c r="N2368" s="1" t="s">
        <v>32</v>
      </c>
      <c r="O2368" s="1" t="s">
        <v>33</v>
      </c>
      <c r="P2368" s="1" t="s">
        <v>64</v>
      </c>
      <c r="Q2368" s="1" t="s">
        <v>64</v>
      </c>
      <c r="R2368" s="1" t="s">
        <v>65</v>
      </c>
      <c r="S2368" s="1" t="s">
        <v>1496</v>
      </c>
      <c r="T2368" s="1">
        <v>1.00649936E8</v>
      </c>
      <c r="W2368" s="1" t="s">
        <v>258</v>
      </c>
      <c r="X2368" s="1" t="s">
        <v>3024</v>
      </c>
    </row>
    <row r="2369">
      <c r="A2369" s="1" t="s">
        <v>7329</v>
      </c>
      <c r="B2369" s="1" t="s">
        <v>7330</v>
      </c>
      <c r="C2369" s="1" t="s">
        <v>7331</v>
      </c>
      <c r="D2369" s="1" t="s">
        <v>103</v>
      </c>
      <c r="E2369" s="1" t="s">
        <v>29</v>
      </c>
      <c r="F2369" s="5">
        <v>400000.0</v>
      </c>
      <c r="G2369" s="1" t="s">
        <v>7016</v>
      </c>
      <c r="H2369" s="1" t="s">
        <v>413</v>
      </c>
      <c r="I2369" s="1" t="s">
        <v>132</v>
      </c>
      <c r="K2369" s="1">
        <v>0.0</v>
      </c>
      <c r="L2369" s="1" t="s">
        <v>4723</v>
      </c>
      <c r="M2369" s="1" t="str">
        <f>VLOOKUP(L2369,'Copy of PMD Workday Constants -'!B2368:W3054,22,false)</f>
        <v>#N/A</v>
      </c>
      <c r="N2369" s="1" t="s">
        <v>32</v>
      </c>
      <c r="O2369" s="1" t="s">
        <v>33</v>
      </c>
      <c r="P2369" s="1" t="s">
        <v>210</v>
      </c>
      <c r="Q2369" s="1" t="s">
        <v>210</v>
      </c>
      <c r="R2369" s="1" t="s">
        <v>211</v>
      </c>
      <c r="S2369" s="1" t="s">
        <v>1313</v>
      </c>
      <c r="T2369" s="1">
        <v>1.00585834E8</v>
      </c>
      <c r="W2369" s="1" t="s">
        <v>56</v>
      </c>
      <c r="X2369" s="1" t="s">
        <v>7332</v>
      </c>
    </row>
    <row r="2370">
      <c r="A2370" s="1" t="s">
        <v>7333</v>
      </c>
      <c r="B2370" s="1" t="s">
        <v>973</v>
      </c>
      <c r="C2370" s="1" t="s">
        <v>7334</v>
      </c>
      <c r="D2370" s="1" t="s">
        <v>51</v>
      </c>
      <c r="E2370" s="1" t="s">
        <v>29</v>
      </c>
      <c r="F2370" s="5">
        <v>400000.0</v>
      </c>
      <c r="G2370" s="1" t="s">
        <v>7016</v>
      </c>
      <c r="H2370" s="1" t="s">
        <v>3386</v>
      </c>
      <c r="I2370" s="1" t="s">
        <v>1746</v>
      </c>
      <c r="K2370" s="1">
        <v>0.0</v>
      </c>
      <c r="L2370" s="1" t="s">
        <v>1505</v>
      </c>
      <c r="M2370" s="1" t="str">
        <f>VLOOKUP(L2370,'Copy of PMD Workday Constants -'!B2369:W3055,22,false)</f>
        <v>#N/A</v>
      </c>
      <c r="N2370" s="1" t="s">
        <v>32</v>
      </c>
      <c r="O2370" s="1" t="s">
        <v>33</v>
      </c>
      <c r="P2370" s="1" t="s">
        <v>112</v>
      </c>
      <c r="Q2370" s="1" t="s">
        <v>112</v>
      </c>
      <c r="R2370" s="1" t="s">
        <v>113</v>
      </c>
      <c r="S2370" s="1" t="s">
        <v>455</v>
      </c>
      <c r="T2370" s="1">
        <v>1.00651554E8</v>
      </c>
      <c r="W2370" s="1" t="s">
        <v>456</v>
      </c>
      <c r="X2370" s="1" t="s">
        <v>7335</v>
      </c>
    </row>
    <row r="2371">
      <c r="A2371" s="1" t="s">
        <v>7336</v>
      </c>
      <c r="B2371" s="1" t="s">
        <v>1062</v>
      </c>
      <c r="C2371" s="1" t="s">
        <v>7337</v>
      </c>
      <c r="D2371" s="1" t="s">
        <v>51</v>
      </c>
      <c r="E2371" s="1" t="s">
        <v>29</v>
      </c>
      <c r="F2371" s="5">
        <v>400000.0</v>
      </c>
      <c r="G2371" s="1" t="s">
        <v>7016</v>
      </c>
      <c r="H2371" s="1" t="s">
        <v>3386</v>
      </c>
      <c r="I2371" s="4">
        <v>44569.0</v>
      </c>
      <c r="K2371" s="1">
        <v>0.0</v>
      </c>
      <c r="L2371" s="1" t="s">
        <v>4873</v>
      </c>
      <c r="M2371" s="1" t="str">
        <f>VLOOKUP(L2371,'Copy of PMD Workday Constants -'!B2370:W3056,22,false)</f>
        <v>#N/A</v>
      </c>
      <c r="N2371" s="1" t="s">
        <v>32</v>
      </c>
      <c r="O2371" s="1" t="s">
        <v>33</v>
      </c>
      <c r="P2371" s="1" t="s">
        <v>34</v>
      </c>
      <c r="Q2371" s="1" t="s">
        <v>34</v>
      </c>
      <c r="R2371" s="1" t="s">
        <v>35</v>
      </c>
      <c r="S2371" s="1" t="s">
        <v>601</v>
      </c>
      <c r="T2371" s="1">
        <v>1.00587881E8</v>
      </c>
      <c r="W2371" s="1" t="s">
        <v>493</v>
      </c>
      <c r="X2371" s="1" t="s">
        <v>4873</v>
      </c>
    </row>
    <row r="2372">
      <c r="A2372" s="1" t="s">
        <v>7338</v>
      </c>
      <c r="B2372" s="1" t="s">
        <v>6073</v>
      </c>
      <c r="C2372" s="1" t="s">
        <v>7339</v>
      </c>
      <c r="D2372" s="1" t="s">
        <v>103</v>
      </c>
      <c r="E2372" s="1" t="s">
        <v>29</v>
      </c>
      <c r="F2372" s="5">
        <v>400000.0</v>
      </c>
      <c r="G2372" s="1" t="s">
        <v>7016</v>
      </c>
      <c r="H2372" s="1" t="s">
        <v>3234</v>
      </c>
      <c r="I2372" s="1" t="s">
        <v>80</v>
      </c>
      <c r="K2372" s="1">
        <v>0.0</v>
      </c>
      <c r="L2372" s="1" t="s">
        <v>1916</v>
      </c>
      <c r="M2372" s="1" t="str">
        <f>VLOOKUP(L2372,'Copy of PMD Workday Constants -'!B2371:W3057,22,false)</f>
        <v>#N/A</v>
      </c>
      <c r="N2372" s="1" t="s">
        <v>32</v>
      </c>
      <c r="O2372" s="1" t="s">
        <v>33</v>
      </c>
      <c r="P2372" s="1" t="s">
        <v>222</v>
      </c>
      <c r="Q2372" s="1" t="s">
        <v>222</v>
      </c>
      <c r="R2372" s="1" t="s">
        <v>223</v>
      </c>
      <c r="S2372" s="1" t="s">
        <v>601</v>
      </c>
      <c r="T2372" s="1">
        <v>1.00955805E8</v>
      </c>
      <c r="W2372" s="1" t="s">
        <v>74</v>
      </c>
      <c r="X2372" s="1" t="s">
        <v>3862</v>
      </c>
    </row>
    <row r="2373">
      <c r="A2373" s="1" t="s">
        <v>7340</v>
      </c>
      <c r="B2373" s="1" t="s">
        <v>317</v>
      </c>
      <c r="C2373" s="1" t="s">
        <v>7341</v>
      </c>
      <c r="D2373" s="1" t="s">
        <v>79</v>
      </c>
      <c r="E2373" s="1" t="s">
        <v>29</v>
      </c>
      <c r="F2373" s="5">
        <v>400000.0</v>
      </c>
      <c r="G2373" s="1" t="s">
        <v>7016</v>
      </c>
      <c r="H2373" s="4">
        <v>44594.0</v>
      </c>
      <c r="I2373" s="1" t="s">
        <v>80</v>
      </c>
      <c r="K2373" s="1">
        <v>0.0</v>
      </c>
      <c r="L2373" s="1" t="s">
        <v>2143</v>
      </c>
      <c r="M2373" s="1" t="str">
        <f>VLOOKUP(L2373,'Copy of PMD Workday Constants -'!B2372:W3058,22,false)</f>
        <v>#N/A</v>
      </c>
      <c r="N2373" s="1" t="s">
        <v>32</v>
      </c>
      <c r="O2373" s="1" t="s">
        <v>33</v>
      </c>
      <c r="P2373" s="1" t="s">
        <v>82</v>
      </c>
      <c r="Q2373" s="1" t="s">
        <v>82</v>
      </c>
      <c r="R2373" s="1" t="s">
        <v>83</v>
      </c>
      <c r="S2373" s="1" t="s">
        <v>84</v>
      </c>
      <c r="T2373" s="1">
        <v>1.00612395E8</v>
      </c>
      <c r="W2373" s="1" t="s">
        <v>85</v>
      </c>
      <c r="X2373" s="1" t="s">
        <v>7342</v>
      </c>
    </row>
    <row r="2374">
      <c r="A2374" s="1" t="s">
        <v>7343</v>
      </c>
      <c r="B2374" s="1" t="s">
        <v>143</v>
      </c>
      <c r="C2374" s="1" t="s">
        <v>7344</v>
      </c>
      <c r="D2374" s="1" t="s">
        <v>103</v>
      </c>
      <c r="E2374" s="1" t="s">
        <v>29</v>
      </c>
      <c r="F2374" s="5">
        <v>400000.0</v>
      </c>
      <c r="G2374" s="1" t="s">
        <v>7016</v>
      </c>
      <c r="H2374" s="1" t="s">
        <v>545</v>
      </c>
      <c r="I2374" s="4">
        <v>44903.0</v>
      </c>
      <c r="K2374" s="1">
        <v>0.0</v>
      </c>
      <c r="L2374" s="1" t="s">
        <v>3465</v>
      </c>
      <c r="M2374" s="1" t="str">
        <f>VLOOKUP(L2374,'Copy of PMD Workday Constants -'!B2373:W3059,22,false)</f>
        <v>#N/A</v>
      </c>
      <c r="N2374" s="1" t="s">
        <v>32</v>
      </c>
      <c r="O2374" s="1" t="s">
        <v>33</v>
      </c>
      <c r="P2374" s="1" t="s">
        <v>34</v>
      </c>
      <c r="Q2374" s="1" t="s">
        <v>34</v>
      </c>
      <c r="R2374" s="1" t="s">
        <v>35</v>
      </c>
      <c r="S2374" s="1" t="s">
        <v>1336</v>
      </c>
      <c r="T2374" s="1">
        <v>1.00588959E8</v>
      </c>
      <c r="W2374" s="1" t="s">
        <v>147</v>
      </c>
      <c r="X2374" s="1" t="s">
        <v>7345</v>
      </c>
    </row>
    <row r="2375">
      <c r="A2375" s="1" t="s">
        <v>7346</v>
      </c>
      <c r="B2375" s="1" t="s">
        <v>776</v>
      </c>
      <c r="C2375" s="1" t="s">
        <v>7347</v>
      </c>
      <c r="D2375" s="1" t="s">
        <v>51</v>
      </c>
      <c r="E2375" s="1" t="s">
        <v>29</v>
      </c>
      <c r="F2375" s="5">
        <v>400000.0</v>
      </c>
      <c r="G2375" s="1" t="s">
        <v>7016</v>
      </c>
      <c r="H2375" s="1" t="s">
        <v>1245</v>
      </c>
      <c r="I2375" s="1" t="s">
        <v>80</v>
      </c>
      <c r="K2375" s="1">
        <v>0.0</v>
      </c>
      <c r="L2375" s="1" t="s">
        <v>5265</v>
      </c>
      <c r="M2375" s="1" t="str">
        <f>VLOOKUP(L2375,'Copy of PMD Workday Constants -'!B2374:W3060,22,false)</f>
        <v>#N/A</v>
      </c>
      <c r="N2375" s="1" t="s">
        <v>32</v>
      </c>
      <c r="O2375" s="1" t="s">
        <v>33</v>
      </c>
      <c r="P2375" s="1" t="s">
        <v>173</v>
      </c>
      <c r="Q2375" s="1" t="s">
        <v>173</v>
      </c>
      <c r="R2375" s="1" t="s">
        <v>174</v>
      </c>
      <c r="T2375" s="1">
        <v>1.00644077E8</v>
      </c>
      <c r="W2375" s="1" t="s">
        <v>74</v>
      </c>
      <c r="X2375" s="1" t="s">
        <v>5265</v>
      </c>
    </row>
    <row r="2376">
      <c r="A2376" s="1" t="s">
        <v>7348</v>
      </c>
      <c r="B2376" s="1" t="s">
        <v>1429</v>
      </c>
      <c r="C2376" s="1" t="s">
        <v>7349</v>
      </c>
      <c r="D2376" s="1" t="s">
        <v>51</v>
      </c>
      <c r="E2376" s="1" t="s">
        <v>29</v>
      </c>
      <c r="F2376" s="5">
        <v>400000.0</v>
      </c>
      <c r="G2376" s="1" t="s">
        <v>7016</v>
      </c>
      <c r="H2376" s="4">
        <v>43562.0</v>
      </c>
      <c r="I2376" s="1" t="s">
        <v>43</v>
      </c>
      <c r="K2376" s="1">
        <v>0.0</v>
      </c>
      <c r="L2376" s="1" t="s">
        <v>968</v>
      </c>
      <c r="M2376" s="1" t="str">
        <f>VLOOKUP(L2376,'Copy of PMD Workday Constants -'!B2375:W3061,22,false)</f>
        <v>#N/A</v>
      </c>
      <c r="N2376" s="1" t="s">
        <v>32</v>
      </c>
      <c r="O2376" s="1" t="s">
        <v>33</v>
      </c>
      <c r="P2376" s="1" t="s">
        <v>210</v>
      </c>
      <c r="Q2376" s="1" t="s">
        <v>210</v>
      </c>
      <c r="R2376" s="1" t="s">
        <v>211</v>
      </c>
      <c r="S2376" s="1" t="s">
        <v>416</v>
      </c>
      <c r="T2376" s="1">
        <v>1.00647262E8</v>
      </c>
      <c r="W2376" s="1" t="s">
        <v>56</v>
      </c>
      <c r="X2376" s="1" t="s">
        <v>1558</v>
      </c>
    </row>
    <row r="2377">
      <c r="A2377" s="1" t="s">
        <v>7350</v>
      </c>
      <c r="B2377" s="1" t="s">
        <v>2785</v>
      </c>
      <c r="C2377" s="1" t="s">
        <v>7351</v>
      </c>
      <c r="D2377" s="1" t="s">
        <v>28</v>
      </c>
      <c r="E2377" s="1" t="s">
        <v>29</v>
      </c>
      <c r="F2377" s="5">
        <v>400000.0</v>
      </c>
      <c r="G2377" s="1" t="s">
        <v>7016</v>
      </c>
      <c r="H2377" s="1" t="s">
        <v>7352</v>
      </c>
      <c r="I2377" s="1" t="s">
        <v>80</v>
      </c>
      <c r="K2377" s="1">
        <v>0.0</v>
      </c>
      <c r="L2377" s="1" t="s">
        <v>3137</v>
      </c>
      <c r="M2377" s="1" t="str">
        <f>VLOOKUP(L2377,'Copy of PMD Workday Constants -'!B2376:W3062,22,false)</f>
        <v>#N/A</v>
      </c>
      <c r="N2377" s="1" t="s">
        <v>32</v>
      </c>
      <c r="O2377" s="1" t="s">
        <v>33</v>
      </c>
      <c r="P2377" s="1" t="s">
        <v>82</v>
      </c>
      <c r="Q2377" s="1" t="s">
        <v>82</v>
      </c>
      <c r="R2377" s="1" t="s">
        <v>83</v>
      </c>
      <c r="S2377" s="1" t="s">
        <v>180</v>
      </c>
      <c r="T2377" s="1">
        <v>1.00586452E8</v>
      </c>
      <c r="W2377" s="1" t="s">
        <v>85</v>
      </c>
      <c r="X2377" s="1" t="s">
        <v>3138</v>
      </c>
    </row>
    <row r="2378">
      <c r="A2378" s="1" t="s">
        <v>7353</v>
      </c>
      <c r="B2378" s="1" t="s">
        <v>40</v>
      </c>
      <c r="C2378" s="1" t="s">
        <v>7354</v>
      </c>
      <c r="D2378" s="1" t="s">
        <v>28</v>
      </c>
      <c r="E2378" s="1" t="s">
        <v>29</v>
      </c>
      <c r="F2378" s="5">
        <v>400000.0</v>
      </c>
      <c r="G2378" s="1" t="s">
        <v>7016</v>
      </c>
      <c r="H2378" s="1" t="s">
        <v>2463</v>
      </c>
      <c r="I2378" s="1" t="s">
        <v>152</v>
      </c>
      <c r="K2378" s="1">
        <v>0.0</v>
      </c>
      <c r="L2378" s="1" t="s">
        <v>983</v>
      </c>
      <c r="M2378" s="1" t="str">
        <f>VLOOKUP(L2378,'Copy of PMD Workday Constants -'!B2377:W3063,22,false)</f>
        <v>#N/A</v>
      </c>
      <c r="N2378" s="1" t="s">
        <v>32</v>
      </c>
      <c r="O2378" s="1" t="s">
        <v>33</v>
      </c>
      <c r="P2378" s="1" t="s">
        <v>112</v>
      </c>
      <c r="Q2378" s="1" t="s">
        <v>112</v>
      </c>
      <c r="R2378" s="1" t="s">
        <v>113</v>
      </c>
      <c r="S2378" s="1" t="s">
        <v>307</v>
      </c>
      <c r="T2378" s="1">
        <v>1.00607644E8</v>
      </c>
      <c r="W2378" s="1" t="s">
        <v>47</v>
      </c>
      <c r="X2378" s="1" t="s">
        <v>826</v>
      </c>
    </row>
    <row r="2379">
      <c r="A2379" s="1" t="s">
        <v>7355</v>
      </c>
      <c r="B2379" s="1" t="s">
        <v>7356</v>
      </c>
      <c r="C2379" s="1" t="s">
        <v>7357</v>
      </c>
      <c r="D2379" s="1" t="s">
        <v>51</v>
      </c>
      <c r="E2379" s="1" t="s">
        <v>29</v>
      </c>
      <c r="F2379" s="5">
        <v>400000.0</v>
      </c>
      <c r="G2379" s="1" t="s">
        <v>7016</v>
      </c>
      <c r="H2379" s="1" t="s">
        <v>263</v>
      </c>
      <c r="I2379" s="1" t="s">
        <v>453</v>
      </c>
      <c r="K2379" s="1">
        <v>0.0</v>
      </c>
      <c r="L2379" s="1" t="s">
        <v>319</v>
      </c>
      <c r="M2379" s="1" t="str">
        <f>VLOOKUP(L2379,'Copy of PMD Workday Constants -'!B2378:W3064,22,false)</f>
        <v>#N/A</v>
      </c>
      <c r="N2379" s="1" t="s">
        <v>32</v>
      </c>
      <c r="O2379" s="1" t="s">
        <v>33</v>
      </c>
      <c r="P2379" s="1" t="s">
        <v>82</v>
      </c>
      <c r="Q2379" s="1" t="s">
        <v>82</v>
      </c>
      <c r="R2379" s="1" t="s">
        <v>83</v>
      </c>
      <c r="S2379" s="1" t="s">
        <v>84</v>
      </c>
      <c r="T2379" s="1">
        <v>1.00654705E8</v>
      </c>
      <c r="W2379" s="1" t="s">
        <v>493</v>
      </c>
      <c r="X2379" s="1" t="s">
        <v>319</v>
      </c>
    </row>
    <row r="2380">
      <c r="A2380" s="1" t="s">
        <v>7358</v>
      </c>
      <c r="B2380" s="1" t="s">
        <v>1387</v>
      </c>
      <c r="C2380" s="1" t="s">
        <v>7359</v>
      </c>
      <c r="D2380" s="1" t="s">
        <v>28</v>
      </c>
      <c r="E2380" s="1" t="s">
        <v>29</v>
      </c>
      <c r="F2380" s="5">
        <v>400000.0</v>
      </c>
      <c r="G2380" s="1" t="s">
        <v>7016</v>
      </c>
      <c r="H2380" s="4">
        <v>44266.0</v>
      </c>
      <c r="I2380" s="4">
        <v>44718.0</v>
      </c>
      <c r="K2380" s="1">
        <v>0.0</v>
      </c>
      <c r="L2380" s="1" t="s">
        <v>1389</v>
      </c>
      <c r="M2380" s="1" t="str">
        <f>VLOOKUP(L2380,'Copy of PMD Workday Constants -'!B2379:W3065,22,false)</f>
        <v>#N/A</v>
      </c>
      <c r="N2380" s="1" t="s">
        <v>32</v>
      </c>
      <c r="O2380" s="1" t="s">
        <v>33</v>
      </c>
      <c r="P2380" s="1" t="s">
        <v>64</v>
      </c>
      <c r="Q2380" s="1" t="s">
        <v>64</v>
      </c>
      <c r="R2380" s="1" t="s">
        <v>65</v>
      </c>
      <c r="S2380" s="1" t="s">
        <v>1336</v>
      </c>
      <c r="T2380" s="1">
        <v>1.00610014E8</v>
      </c>
      <c r="W2380" s="1" t="s">
        <v>91</v>
      </c>
      <c r="X2380" s="1" t="s">
        <v>7360</v>
      </c>
    </row>
    <row r="2381">
      <c r="A2381" s="1" t="s">
        <v>7361</v>
      </c>
      <c r="B2381" s="1" t="s">
        <v>673</v>
      </c>
      <c r="C2381" s="1" t="s">
        <v>7362</v>
      </c>
      <c r="D2381" s="1" t="s">
        <v>103</v>
      </c>
      <c r="E2381" s="1" t="s">
        <v>29</v>
      </c>
      <c r="F2381" s="5">
        <v>400000.0</v>
      </c>
      <c r="G2381" s="1" t="s">
        <v>7016</v>
      </c>
      <c r="H2381" s="4">
        <v>44807.0</v>
      </c>
      <c r="I2381" s="1" t="s">
        <v>80</v>
      </c>
      <c r="K2381" s="1">
        <v>0.0</v>
      </c>
      <c r="L2381" s="1" t="s">
        <v>5317</v>
      </c>
      <c r="M2381" s="1" t="str">
        <f>VLOOKUP(L2381,'Copy of PMD Workday Constants -'!B2380:W3066,22,false)</f>
        <v>#N/A</v>
      </c>
      <c r="N2381" s="1" t="s">
        <v>32</v>
      </c>
      <c r="O2381" s="1" t="s">
        <v>33</v>
      </c>
      <c r="P2381" s="1" t="s">
        <v>112</v>
      </c>
      <c r="Q2381" s="1" t="s">
        <v>112</v>
      </c>
      <c r="R2381" s="1" t="s">
        <v>113</v>
      </c>
      <c r="T2381" s="1">
        <v>1.00569225E8</v>
      </c>
      <c r="W2381" s="1" t="s">
        <v>47</v>
      </c>
      <c r="X2381" s="1" t="s">
        <v>675</v>
      </c>
    </row>
    <row r="2382">
      <c r="A2382" s="1" t="s">
        <v>7363</v>
      </c>
      <c r="B2382" s="1" t="s">
        <v>40</v>
      </c>
      <c r="C2382" s="1" t="s">
        <v>7364</v>
      </c>
      <c r="D2382" s="1" t="s">
        <v>28</v>
      </c>
      <c r="E2382" s="1" t="s">
        <v>29</v>
      </c>
      <c r="F2382" s="5">
        <v>400000.0</v>
      </c>
      <c r="G2382" s="1" t="s">
        <v>7016</v>
      </c>
      <c r="H2382" s="1" t="s">
        <v>5610</v>
      </c>
      <c r="I2382" s="1" t="s">
        <v>152</v>
      </c>
      <c r="K2382" s="1">
        <v>0.0</v>
      </c>
      <c r="L2382" s="1" t="s">
        <v>44</v>
      </c>
      <c r="M2382" s="1" t="str">
        <f>VLOOKUP(L2382,'Copy of PMD Workday Constants -'!B2381:W3067,22,false)</f>
        <v>#N/A</v>
      </c>
      <c r="N2382" s="1" t="s">
        <v>32</v>
      </c>
      <c r="O2382" s="1" t="s">
        <v>33</v>
      </c>
      <c r="P2382" s="1" t="s">
        <v>34</v>
      </c>
      <c r="Q2382" s="1" t="s">
        <v>34</v>
      </c>
      <c r="R2382" s="1" t="s">
        <v>35</v>
      </c>
      <c r="S2382" s="1" t="s">
        <v>126</v>
      </c>
      <c r="T2382" s="1">
        <v>1.00587944E8</v>
      </c>
      <c r="W2382" s="1" t="s">
        <v>47</v>
      </c>
      <c r="X2382" s="1" t="s">
        <v>127</v>
      </c>
    </row>
    <row r="2383">
      <c r="A2383" s="1" t="s">
        <v>7365</v>
      </c>
      <c r="B2383" s="1" t="s">
        <v>7366</v>
      </c>
      <c r="C2383" s="1" t="s">
        <v>7367</v>
      </c>
      <c r="D2383" s="1" t="s">
        <v>28</v>
      </c>
      <c r="E2383" s="1" t="s">
        <v>29</v>
      </c>
      <c r="F2383" s="5">
        <v>400000.0</v>
      </c>
      <c r="G2383" s="1" t="s">
        <v>7016</v>
      </c>
      <c r="H2383" s="1" t="s">
        <v>4988</v>
      </c>
      <c r="I2383" s="1" t="s">
        <v>302</v>
      </c>
      <c r="K2383" s="1">
        <v>0.0</v>
      </c>
      <c r="L2383" s="1" t="s">
        <v>1622</v>
      </c>
      <c r="M2383" s="1" t="str">
        <f>VLOOKUP(L2383,'Copy of PMD Workday Constants -'!B2382:W3068,22,false)</f>
        <v>#N/A</v>
      </c>
      <c r="N2383" s="1" t="s">
        <v>32</v>
      </c>
      <c r="O2383" s="1" t="s">
        <v>33</v>
      </c>
      <c r="P2383" s="1" t="s">
        <v>173</v>
      </c>
      <c r="Q2383" s="1" t="s">
        <v>173</v>
      </c>
      <c r="R2383" s="1" t="s">
        <v>174</v>
      </c>
      <c r="S2383" s="1" t="s">
        <v>153</v>
      </c>
      <c r="T2383" s="1">
        <v>1.00643454E8</v>
      </c>
      <c r="W2383" s="1" t="s">
        <v>140</v>
      </c>
      <c r="X2383" s="1" t="s">
        <v>1622</v>
      </c>
    </row>
    <row r="2384">
      <c r="A2384" s="1" t="s">
        <v>7368</v>
      </c>
      <c r="B2384" s="1" t="s">
        <v>2785</v>
      </c>
      <c r="C2384" s="1" t="s">
        <v>7369</v>
      </c>
      <c r="D2384" s="1" t="s">
        <v>51</v>
      </c>
      <c r="E2384" s="1" t="s">
        <v>29</v>
      </c>
      <c r="F2384" s="5">
        <v>400000.0</v>
      </c>
      <c r="G2384" s="1" t="s">
        <v>7016</v>
      </c>
      <c r="H2384" s="1" t="s">
        <v>7370</v>
      </c>
      <c r="I2384" s="4">
        <v>44813.0</v>
      </c>
      <c r="K2384" s="1">
        <v>0.0</v>
      </c>
      <c r="L2384" s="1" t="s">
        <v>1036</v>
      </c>
      <c r="M2384" s="1" t="str">
        <f>VLOOKUP(L2384,'Copy of PMD Workday Constants -'!B2383:W3069,22,false)</f>
        <v>#N/A</v>
      </c>
      <c r="N2384" s="1" t="s">
        <v>32</v>
      </c>
      <c r="O2384" s="1" t="s">
        <v>33</v>
      </c>
      <c r="P2384" s="1" t="s">
        <v>82</v>
      </c>
      <c r="Q2384" s="1" t="s">
        <v>82</v>
      </c>
      <c r="R2384" s="1" t="s">
        <v>83</v>
      </c>
      <c r="S2384" s="1" t="s">
        <v>180</v>
      </c>
      <c r="T2384" s="1">
        <v>1.0090037E8</v>
      </c>
      <c r="W2384" s="1" t="s">
        <v>85</v>
      </c>
      <c r="X2384" s="1" t="s">
        <v>5970</v>
      </c>
    </row>
    <row r="2385">
      <c r="A2385" s="1" t="s">
        <v>7371</v>
      </c>
      <c r="B2385" s="1" t="s">
        <v>1085</v>
      </c>
      <c r="C2385" s="1" t="s">
        <v>2137</v>
      </c>
      <c r="D2385" s="1" t="s">
        <v>51</v>
      </c>
      <c r="E2385" s="1" t="s">
        <v>29</v>
      </c>
      <c r="F2385" s="5">
        <v>400000.0</v>
      </c>
      <c r="G2385" s="1" t="s">
        <v>7016</v>
      </c>
      <c r="H2385" s="4">
        <v>44450.0</v>
      </c>
      <c r="I2385" s="1" t="s">
        <v>80</v>
      </c>
      <c r="K2385" s="1">
        <v>0.0</v>
      </c>
      <c r="L2385" s="1" t="s">
        <v>2136</v>
      </c>
      <c r="M2385" s="1" t="str">
        <f>VLOOKUP(L2385,'Copy of PMD Workday Constants -'!B2384:W3070,22,false)</f>
        <v>#N/A</v>
      </c>
      <c r="N2385" s="1" t="s">
        <v>32</v>
      </c>
      <c r="O2385" s="1" t="s">
        <v>33</v>
      </c>
      <c r="P2385" s="1" t="s">
        <v>34</v>
      </c>
      <c r="Q2385" s="1" t="s">
        <v>34</v>
      </c>
      <c r="R2385" s="1" t="s">
        <v>35</v>
      </c>
      <c r="S2385" s="1" t="s">
        <v>126</v>
      </c>
      <c r="T2385" s="1">
        <v>1.00610903E8</v>
      </c>
      <c r="V2385" s="1" t="s">
        <v>67</v>
      </c>
      <c r="W2385" s="1" t="s">
        <v>308</v>
      </c>
      <c r="X2385" s="1" t="s">
        <v>2136</v>
      </c>
    </row>
    <row r="2386">
      <c r="A2386" s="1" t="s">
        <v>7372</v>
      </c>
      <c r="B2386" s="1" t="s">
        <v>101</v>
      </c>
      <c r="C2386" s="1" t="s">
        <v>7373</v>
      </c>
      <c r="D2386" s="1" t="s">
        <v>103</v>
      </c>
      <c r="E2386" s="1" t="s">
        <v>29</v>
      </c>
      <c r="F2386" s="5">
        <v>400000.0</v>
      </c>
      <c r="G2386" s="1" t="s">
        <v>7016</v>
      </c>
      <c r="H2386" s="1" t="s">
        <v>2069</v>
      </c>
      <c r="I2386" s="4">
        <v>44626.0</v>
      </c>
      <c r="K2386" s="1">
        <v>0.0</v>
      </c>
      <c r="L2386" s="1" t="s">
        <v>4197</v>
      </c>
      <c r="M2386" s="1" t="str">
        <f>VLOOKUP(L2386,'Copy of PMD Workday Constants -'!B2385:W3071,22,false)</f>
        <v>#N/A</v>
      </c>
      <c r="N2386" s="1" t="s">
        <v>32</v>
      </c>
      <c r="O2386" s="1" t="s">
        <v>33</v>
      </c>
      <c r="P2386" s="1" t="s">
        <v>222</v>
      </c>
      <c r="Q2386" s="1" t="s">
        <v>222</v>
      </c>
      <c r="R2386" s="1" t="s">
        <v>223</v>
      </c>
      <c r="S2386" s="1" t="s">
        <v>601</v>
      </c>
      <c r="T2386" s="1">
        <v>1.00657185E8</v>
      </c>
      <c r="W2386" s="1" t="s">
        <v>37</v>
      </c>
      <c r="X2386" s="1" t="s">
        <v>5040</v>
      </c>
    </row>
    <row r="2387">
      <c r="A2387" s="1" t="s">
        <v>7374</v>
      </c>
      <c r="B2387" s="1" t="s">
        <v>1347</v>
      </c>
      <c r="C2387" s="1" t="s">
        <v>7375</v>
      </c>
      <c r="D2387" s="1" t="s">
        <v>51</v>
      </c>
      <c r="E2387" s="1" t="s">
        <v>29</v>
      </c>
      <c r="F2387" s="5">
        <v>400000.0</v>
      </c>
      <c r="G2387" s="1" t="s">
        <v>7016</v>
      </c>
      <c r="H2387" s="4">
        <v>44657.0</v>
      </c>
      <c r="I2387" s="1" t="s">
        <v>104</v>
      </c>
      <c r="K2387" s="1">
        <v>0.0</v>
      </c>
      <c r="L2387" s="1" t="s">
        <v>1611</v>
      </c>
      <c r="M2387" s="1" t="str">
        <f>VLOOKUP(L2387,'Copy of PMD Workday Constants -'!B2386:W3072,22,false)</f>
        <v>#N/A</v>
      </c>
      <c r="N2387" s="1" t="s">
        <v>32</v>
      </c>
      <c r="O2387" s="1" t="s">
        <v>33</v>
      </c>
      <c r="P2387" s="1" t="s">
        <v>34</v>
      </c>
      <c r="Q2387" s="1" t="s">
        <v>34</v>
      </c>
      <c r="R2387" s="1" t="s">
        <v>35</v>
      </c>
      <c r="T2387" s="1">
        <v>1.00645852E8</v>
      </c>
      <c r="W2387" s="1" t="s">
        <v>391</v>
      </c>
      <c r="X2387" s="1" t="s">
        <v>2680</v>
      </c>
    </row>
    <row r="2388">
      <c r="A2388" s="1" t="s">
        <v>7376</v>
      </c>
      <c r="B2388" s="1" t="s">
        <v>7377</v>
      </c>
      <c r="C2388" s="1" t="s">
        <v>7378</v>
      </c>
      <c r="D2388" s="1" t="s">
        <v>51</v>
      </c>
      <c r="E2388" s="1" t="s">
        <v>29</v>
      </c>
      <c r="F2388" s="5">
        <v>400000.0</v>
      </c>
      <c r="G2388" s="1" t="s">
        <v>7016</v>
      </c>
      <c r="H2388" s="1" t="s">
        <v>7379</v>
      </c>
      <c r="I2388" s="1" t="s">
        <v>43</v>
      </c>
      <c r="K2388" s="1">
        <v>0.0</v>
      </c>
      <c r="L2388" s="1" t="s">
        <v>1558</v>
      </c>
      <c r="M2388" s="1" t="str">
        <f>VLOOKUP(L2388,'Copy of PMD Workday Constants -'!B2387:W3073,22,false)</f>
        <v>#N/A</v>
      </c>
      <c r="N2388" s="1" t="s">
        <v>32</v>
      </c>
      <c r="O2388" s="1" t="s">
        <v>33</v>
      </c>
      <c r="P2388" s="1" t="s">
        <v>210</v>
      </c>
      <c r="Q2388" s="1" t="s">
        <v>210</v>
      </c>
      <c r="R2388" s="1" t="s">
        <v>211</v>
      </c>
      <c r="S2388" s="1" t="s">
        <v>416</v>
      </c>
      <c r="T2388" s="1">
        <v>1.00639226E8</v>
      </c>
      <c r="W2388" s="1" t="s">
        <v>56</v>
      </c>
      <c r="X2388" s="1" t="s">
        <v>1558</v>
      </c>
    </row>
    <row r="2389">
      <c r="A2389" s="1" t="s">
        <v>7380</v>
      </c>
      <c r="B2389" s="1" t="s">
        <v>3478</v>
      </c>
      <c r="C2389" s="1" t="s">
        <v>6059</v>
      </c>
      <c r="D2389" s="1" t="s">
        <v>51</v>
      </c>
      <c r="E2389" s="1" t="s">
        <v>29</v>
      </c>
      <c r="F2389" s="5">
        <v>400000.0</v>
      </c>
      <c r="G2389" s="1" t="s">
        <v>7016</v>
      </c>
      <c r="H2389" s="1" t="s">
        <v>5928</v>
      </c>
      <c r="I2389" s="1" t="s">
        <v>406</v>
      </c>
      <c r="J2389" s="6">
        <v>44717.23888888889</v>
      </c>
      <c r="K2389" s="1">
        <v>0.0</v>
      </c>
      <c r="L2389" s="1" t="s">
        <v>836</v>
      </c>
      <c r="M2389" s="1" t="str">
        <f>VLOOKUP(L2389,'Copy of PMD Workday Constants -'!B2388:W3074,22,false)</f>
        <v>#N/A</v>
      </c>
      <c r="N2389" s="1" t="s">
        <v>32</v>
      </c>
      <c r="O2389" s="1" t="s">
        <v>33</v>
      </c>
      <c r="P2389" s="1" t="s">
        <v>173</v>
      </c>
      <c r="Q2389" s="1" t="s">
        <v>173</v>
      </c>
      <c r="R2389" s="1" t="s">
        <v>174</v>
      </c>
      <c r="S2389" s="1" t="s">
        <v>612</v>
      </c>
      <c r="T2389" s="1">
        <v>1.00648457E8</v>
      </c>
      <c r="U2389" s="1" t="s">
        <v>6090</v>
      </c>
      <c r="V2389" s="1" t="s">
        <v>187</v>
      </c>
      <c r="W2389" s="1" t="s">
        <v>947</v>
      </c>
      <c r="X2389" s="1" t="s">
        <v>6060</v>
      </c>
    </row>
    <row r="2390">
      <c r="A2390" s="1" t="s">
        <v>7381</v>
      </c>
      <c r="B2390" s="1" t="s">
        <v>2027</v>
      </c>
      <c r="C2390" s="1" t="s">
        <v>7382</v>
      </c>
      <c r="D2390" s="1" t="s">
        <v>51</v>
      </c>
      <c r="E2390" s="1" t="s">
        <v>29</v>
      </c>
      <c r="F2390" s="5">
        <v>400000.0</v>
      </c>
      <c r="G2390" s="1" t="s">
        <v>7016</v>
      </c>
      <c r="H2390" s="4">
        <v>44716.0</v>
      </c>
      <c r="I2390" s="4">
        <v>44813.0</v>
      </c>
      <c r="K2390" s="1">
        <v>0.0</v>
      </c>
      <c r="L2390" s="1" t="s">
        <v>319</v>
      </c>
      <c r="M2390" s="1" t="str">
        <f>VLOOKUP(L2390,'Copy of PMD Workday Constants -'!B2389:W3075,22,false)</f>
        <v>#N/A</v>
      </c>
      <c r="N2390" s="1" t="s">
        <v>32</v>
      </c>
      <c r="O2390" s="1" t="s">
        <v>33</v>
      </c>
      <c r="P2390" s="1" t="s">
        <v>82</v>
      </c>
      <c r="Q2390" s="1" t="s">
        <v>82</v>
      </c>
      <c r="R2390" s="1" t="s">
        <v>83</v>
      </c>
      <c r="S2390" s="1" t="s">
        <v>84</v>
      </c>
      <c r="T2390" s="1">
        <v>1.00654705E8</v>
      </c>
      <c r="W2390" s="1" t="s">
        <v>85</v>
      </c>
      <c r="X2390" s="1" t="s">
        <v>319</v>
      </c>
    </row>
    <row r="2391">
      <c r="A2391" s="1" t="s">
        <v>7383</v>
      </c>
      <c r="B2391" s="1" t="s">
        <v>3885</v>
      </c>
      <c r="C2391" s="1" t="s">
        <v>7384</v>
      </c>
      <c r="D2391" s="1" t="s">
        <v>28</v>
      </c>
      <c r="E2391" s="1" t="s">
        <v>29</v>
      </c>
      <c r="F2391" s="5">
        <v>400000.0</v>
      </c>
      <c r="G2391" s="1" t="s">
        <v>7016</v>
      </c>
      <c r="H2391" s="1" t="s">
        <v>480</v>
      </c>
      <c r="I2391" s="1" t="s">
        <v>80</v>
      </c>
      <c r="K2391" s="1">
        <v>0.0</v>
      </c>
      <c r="L2391" s="1" t="s">
        <v>588</v>
      </c>
      <c r="M2391" s="1" t="str">
        <f>VLOOKUP(L2391,'Copy of PMD Workday Constants -'!B2390:W3076,22,false)</f>
        <v>#N/A</v>
      </c>
      <c r="N2391" s="1" t="s">
        <v>32</v>
      </c>
      <c r="O2391" s="1" t="s">
        <v>33</v>
      </c>
      <c r="P2391" s="1" t="s">
        <v>34</v>
      </c>
      <c r="Q2391" s="1" t="s">
        <v>34</v>
      </c>
      <c r="R2391" s="1" t="s">
        <v>35</v>
      </c>
      <c r="T2391" s="1">
        <v>1.00609607E8</v>
      </c>
      <c r="W2391" s="1" t="s">
        <v>533</v>
      </c>
      <c r="X2391" s="1" t="s">
        <v>7385</v>
      </c>
    </row>
    <row r="2392">
      <c r="A2392" s="1" t="s">
        <v>7386</v>
      </c>
      <c r="B2392" s="1" t="s">
        <v>7387</v>
      </c>
      <c r="C2392" s="1" t="s">
        <v>7388</v>
      </c>
      <c r="D2392" s="1" t="s">
        <v>51</v>
      </c>
      <c r="E2392" s="1" t="s">
        <v>29</v>
      </c>
      <c r="F2392" s="5">
        <v>400000.0</v>
      </c>
      <c r="G2392" s="1" t="s">
        <v>7016</v>
      </c>
      <c r="H2392" s="1" t="s">
        <v>865</v>
      </c>
      <c r="I2392" s="1" t="s">
        <v>152</v>
      </c>
      <c r="K2392" s="1">
        <v>0.0</v>
      </c>
      <c r="L2392" s="1" t="s">
        <v>5252</v>
      </c>
      <c r="M2392" s="1" t="str">
        <f>VLOOKUP(L2392,'Copy of PMD Workday Constants -'!B2391:W3077,22,false)</f>
        <v>#N/A</v>
      </c>
      <c r="N2392" s="1" t="s">
        <v>32</v>
      </c>
      <c r="O2392" s="1" t="s">
        <v>33</v>
      </c>
      <c r="P2392" s="1" t="s">
        <v>5253</v>
      </c>
      <c r="Q2392" s="1" t="s">
        <v>5253</v>
      </c>
      <c r="R2392" s="1" t="s">
        <v>65</v>
      </c>
      <c r="T2392" s="1">
        <v>1.00625588E8</v>
      </c>
      <c r="W2392" s="1" t="s">
        <v>1303</v>
      </c>
      <c r="X2392" s="1" t="s">
        <v>5254</v>
      </c>
    </row>
    <row r="2393">
      <c r="A2393" s="1" t="s">
        <v>7389</v>
      </c>
      <c r="B2393" s="1" t="s">
        <v>361</v>
      </c>
      <c r="C2393" s="1" t="s">
        <v>7390</v>
      </c>
      <c r="D2393" s="1" t="s">
        <v>51</v>
      </c>
      <c r="E2393" s="1" t="s">
        <v>29</v>
      </c>
      <c r="F2393" s="5">
        <v>400000.0</v>
      </c>
      <c r="G2393" s="1" t="s">
        <v>7016</v>
      </c>
      <c r="H2393" s="4">
        <v>44263.0</v>
      </c>
      <c r="I2393" s="1" t="s">
        <v>941</v>
      </c>
      <c r="K2393" s="1">
        <v>0.0</v>
      </c>
      <c r="L2393" s="1" t="s">
        <v>2417</v>
      </c>
      <c r="M2393" s="1" t="str">
        <f>VLOOKUP(L2393,'Copy of PMD Workday Constants -'!B2392:W3078,22,false)</f>
        <v>#N/A</v>
      </c>
      <c r="N2393" s="1" t="s">
        <v>32</v>
      </c>
      <c r="O2393" s="1" t="s">
        <v>33</v>
      </c>
      <c r="P2393" s="1" t="s">
        <v>34</v>
      </c>
      <c r="Q2393" s="1" t="s">
        <v>34</v>
      </c>
      <c r="R2393" s="1" t="s">
        <v>35</v>
      </c>
      <c r="T2393" s="1">
        <v>1.00642238E8</v>
      </c>
      <c r="W2393" s="1" t="s">
        <v>258</v>
      </c>
      <c r="X2393" s="1" t="s">
        <v>3112</v>
      </c>
    </row>
    <row r="2394">
      <c r="A2394" s="1" t="s">
        <v>7391</v>
      </c>
      <c r="B2394" s="1" t="s">
        <v>219</v>
      </c>
      <c r="C2394" s="1" t="s">
        <v>7392</v>
      </c>
      <c r="D2394" s="1" t="s">
        <v>103</v>
      </c>
      <c r="E2394" s="1" t="s">
        <v>29</v>
      </c>
      <c r="F2394" s="5">
        <v>400000.0</v>
      </c>
      <c r="G2394" s="1" t="s">
        <v>7016</v>
      </c>
      <c r="H2394" s="4">
        <v>44266.0</v>
      </c>
      <c r="I2394" s="1" t="s">
        <v>132</v>
      </c>
      <c r="K2394" s="1">
        <v>0.0</v>
      </c>
      <c r="L2394" s="1" t="s">
        <v>157</v>
      </c>
      <c r="M2394" s="1" t="str">
        <f>VLOOKUP(L2394,'Copy of PMD Workday Constants -'!B2393:W3079,22,false)</f>
        <v>#N/A</v>
      </c>
      <c r="N2394" s="1" t="s">
        <v>32</v>
      </c>
      <c r="O2394" s="1" t="s">
        <v>33</v>
      </c>
      <c r="P2394" s="1" t="s">
        <v>112</v>
      </c>
      <c r="Q2394" s="1" t="s">
        <v>112</v>
      </c>
      <c r="R2394" s="1" t="s">
        <v>113</v>
      </c>
      <c r="S2394" s="1" t="s">
        <v>204</v>
      </c>
      <c r="T2394" s="1">
        <v>1.00658522E8</v>
      </c>
      <c r="W2394" s="1" t="s">
        <v>91</v>
      </c>
      <c r="X2394" s="1" t="s">
        <v>2166</v>
      </c>
    </row>
    <row r="2395">
      <c r="A2395" s="1" t="s">
        <v>7393</v>
      </c>
      <c r="B2395" s="1" t="s">
        <v>1556</v>
      </c>
      <c r="C2395" s="1" t="s">
        <v>7394</v>
      </c>
      <c r="D2395" s="1" t="s">
        <v>103</v>
      </c>
      <c r="E2395" s="1" t="s">
        <v>29</v>
      </c>
      <c r="F2395" s="5">
        <v>400000.0</v>
      </c>
      <c r="G2395" s="1" t="s">
        <v>7016</v>
      </c>
      <c r="H2395" s="4">
        <v>44508.0</v>
      </c>
      <c r="I2395" s="4">
        <v>44601.0</v>
      </c>
      <c r="K2395" s="1">
        <v>0.0</v>
      </c>
      <c r="L2395" s="1" t="s">
        <v>968</v>
      </c>
      <c r="M2395" s="1" t="str">
        <f>VLOOKUP(L2395,'Copy of PMD Workday Constants -'!B2394:W3080,22,false)</f>
        <v>#N/A</v>
      </c>
      <c r="N2395" s="1" t="s">
        <v>32</v>
      </c>
      <c r="O2395" s="1" t="s">
        <v>33</v>
      </c>
      <c r="P2395" s="1" t="s">
        <v>210</v>
      </c>
      <c r="Q2395" s="1" t="s">
        <v>210</v>
      </c>
      <c r="R2395" s="1" t="s">
        <v>211</v>
      </c>
      <c r="S2395" s="1" t="s">
        <v>416</v>
      </c>
      <c r="T2395" s="1">
        <v>1.00647262E8</v>
      </c>
      <c r="W2395" s="1" t="s">
        <v>56</v>
      </c>
      <c r="X2395" s="1" t="s">
        <v>1558</v>
      </c>
    </row>
    <row r="2396">
      <c r="A2396" s="1" t="s">
        <v>7395</v>
      </c>
      <c r="B2396" s="1" t="s">
        <v>458</v>
      </c>
      <c r="C2396" s="1" t="s">
        <v>7396</v>
      </c>
      <c r="D2396" s="1" t="s">
        <v>51</v>
      </c>
      <c r="E2396" s="1" t="s">
        <v>29</v>
      </c>
      <c r="F2396" s="5">
        <v>400000.0</v>
      </c>
      <c r="G2396" s="1" t="s">
        <v>7016</v>
      </c>
      <c r="H2396" s="4">
        <v>44053.0</v>
      </c>
      <c r="I2396" s="1" t="s">
        <v>80</v>
      </c>
      <c r="K2396" s="1">
        <v>0.0</v>
      </c>
      <c r="L2396" s="1" t="s">
        <v>3656</v>
      </c>
      <c r="M2396" s="1" t="str">
        <f>VLOOKUP(L2396,'Copy of PMD Workday Constants -'!B2395:W3081,22,false)</f>
        <v>#N/A</v>
      </c>
      <c r="N2396" s="1" t="s">
        <v>32</v>
      </c>
      <c r="O2396" s="1" t="s">
        <v>33</v>
      </c>
      <c r="P2396" s="1" t="s">
        <v>210</v>
      </c>
      <c r="Q2396" s="1" t="s">
        <v>210</v>
      </c>
      <c r="R2396" s="1" t="s">
        <v>211</v>
      </c>
      <c r="S2396" s="1" t="s">
        <v>416</v>
      </c>
      <c r="T2396" s="1">
        <v>1.00658814E8</v>
      </c>
      <c r="W2396" s="1" t="s">
        <v>56</v>
      </c>
      <c r="X2396" s="1" t="s">
        <v>7397</v>
      </c>
    </row>
    <row r="2397">
      <c r="A2397" s="1" t="s">
        <v>7398</v>
      </c>
      <c r="B2397" s="1" t="s">
        <v>7377</v>
      </c>
      <c r="C2397" s="1" t="s">
        <v>7399</v>
      </c>
      <c r="D2397" s="1" t="s">
        <v>51</v>
      </c>
      <c r="E2397" s="1" t="s">
        <v>29</v>
      </c>
      <c r="F2397" s="5">
        <v>400000.0</v>
      </c>
      <c r="G2397" s="1" t="s">
        <v>7016</v>
      </c>
      <c r="H2397" s="1" t="s">
        <v>7400</v>
      </c>
      <c r="I2397" s="1" t="s">
        <v>43</v>
      </c>
      <c r="K2397" s="1">
        <v>0.0</v>
      </c>
      <c r="L2397" s="1" t="s">
        <v>1558</v>
      </c>
      <c r="M2397" s="1" t="str">
        <f>VLOOKUP(L2397,'Copy of PMD Workday Constants -'!B2396:W3082,22,false)</f>
        <v>#N/A</v>
      </c>
      <c r="N2397" s="1" t="s">
        <v>32</v>
      </c>
      <c r="O2397" s="1" t="s">
        <v>33</v>
      </c>
      <c r="P2397" s="1" t="s">
        <v>210</v>
      </c>
      <c r="Q2397" s="1" t="s">
        <v>210</v>
      </c>
      <c r="R2397" s="1" t="s">
        <v>211</v>
      </c>
      <c r="S2397" s="1" t="s">
        <v>416</v>
      </c>
      <c r="T2397" s="1">
        <v>1.00639226E8</v>
      </c>
      <c r="W2397" s="1" t="s">
        <v>56</v>
      </c>
      <c r="X2397" s="1" t="s">
        <v>1558</v>
      </c>
    </row>
    <row r="2398">
      <c r="A2398" s="1" t="s">
        <v>7401</v>
      </c>
      <c r="B2398" s="1" t="s">
        <v>954</v>
      </c>
      <c r="C2398" s="1" t="s">
        <v>7402</v>
      </c>
      <c r="D2398" s="1" t="s">
        <v>51</v>
      </c>
      <c r="E2398" s="1" t="s">
        <v>29</v>
      </c>
      <c r="F2398" s="5">
        <v>400000.0</v>
      </c>
      <c r="G2398" s="1" t="s">
        <v>7016</v>
      </c>
      <c r="H2398" s="1" t="s">
        <v>556</v>
      </c>
      <c r="I2398" s="4">
        <v>44569.0</v>
      </c>
      <c r="K2398" s="1">
        <v>0.0</v>
      </c>
      <c r="L2398" s="1" t="s">
        <v>2942</v>
      </c>
      <c r="M2398" s="1" t="str">
        <f>VLOOKUP(L2398,'Copy of PMD Workday Constants -'!B2397:W3083,22,false)</f>
        <v>#N/A</v>
      </c>
      <c r="N2398" s="1" t="s">
        <v>32</v>
      </c>
      <c r="O2398" s="1" t="s">
        <v>33</v>
      </c>
      <c r="P2398" s="1" t="s">
        <v>173</v>
      </c>
      <c r="Q2398" s="1" t="s">
        <v>173</v>
      </c>
      <c r="R2398" s="1" t="s">
        <v>174</v>
      </c>
      <c r="T2398" s="1">
        <v>1.00650064E8</v>
      </c>
      <c r="W2398" s="1" t="s">
        <v>147</v>
      </c>
      <c r="X2398" s="1" t="s">
        <v>2704</v>
      </c>
    </row>
    <row r="2399">
      <c r="A2399" s="1" t="s">
        <v>7403</v>
      </c>
      <c r="B2399" s="1" t="s">
        <v>489</v>
      </c>
      <c r="C2399" s="1" t="s">
        <v>7404</v>
      </c>
      <c r="D2399" s="1" t="s">
        <v>103</v>
      </c>
      <c r="E2399" s="1" t="s">
        <v>29</v>
      </c>
      <c r="F2399" s="5">
        <v>400000.0</v>
      </c>
      <c r="G2399" s="1" t="s">
        <v>7016</v>
      </c>
      <c r="H2399" s="4">
        <v>44810.0</v>
      </c>
      <c r="I2399" s="1" t="s">
        <v>326</v>
      </c>
      <c r="K2399" s="1">
        <v>0.0</v>
      </c>
      <c r="L2399" s="1" t="s">
        <v>847</v>
      </c>
      <c r="M2399" s="1" t="str">
        <f>VLOOKUP(L2399,'Copy of PMD Workday Constants -'!B2398:W3084,22,false)</f>
        <v>#N/A</v>
      </c>
      <c r="N2399" s="1" t="s">
        <v>32</v>
      </c>
      <c r="O2399" s="1" t="s">
        <v>33</v>
      </c>
      <c r="P2399" s="1" t="s">
        <v>173</v>
      </c>
      <c r="Q2399" s="1" t="s">
        <v>173</v>
      </c>
      <c r="R2399" s="1" t="s">
        <v>174</v>
      </c>
      <c r="T2399" s="1">
        <v>1.00586701E8</v>
      </c>
      <c r="W2399" s="1" t="s">
        <v>493</v>
      </c>
      <c r="X2399" s="1" t="s">
        <v>848</v>
      </c>
    </row>
    <row r="2400">
      <c r="A2400" s="1" t="s">
        <v>7405</v>
      </c>
      <c r="B2400" s="1" t="s">
        <v>6344</v>
      </c>
      <c r="C2400" s="1" t="s">
        <v>7406</v>
      </c>
      <c r="D2400" s="1" t="s">
        <v>28</v>
      </c>
      <c r="E2400" s="1" t="s">
        <v>29</v>
      </c>
      <c r="F2400" s="5">
        <v>400000.0</v>
      </c>
      <c r="G2400" s="1" t="s">
        <v>7016</v>
      </c>
      <c r="H2400" s="1" t="s">
        <v>4739</v>
      </c>
      <c r="I2400" s="1" t="s">
        <v>5582</v>
      </c>
      <c r="K2400" s="1">
        <v>0.0</v>
      </c>
      <c r="L2400" s="1" t="s">
        <v>319</v>
      </c>
      <c r="M2400" s="1" t="str">
        <f>VLOOKUP(L2400,'Copy of PMD Workday Constants -'!B2399:W3085,22,false)</f>
        <v>#N/A</v>
      </c>
      <c r="N2400" s="1" t="s">
        <v>32</v>
      </c>
      <c r="O2400" s="1" t="s">
        <v>33</v>
      </c>
      <c r="P2400" s="1" t="s">
        <v>82</v>
      </c>
      <c r="Q2400" s="1" t="s">
        <v>82</v>
      </c>
      <c r="R2400" s="1" t="s">
        <v>83</v>
      </c>
      <c r="S2400" s="1" t="s">
        <v>84</v>
      </c>
      <c r="T2400" s="1">
        <v>1.00654705E8</v>
      </c>
      <c r="W2400" s="1" t="s">
        <v>85</v>
      </c>
      <c r="X2400" s="1" t="s">
        <v>319</v>
      </c>
    </row>
    <row r="2401">
      <c r="A2401" s="1" t="s">
        <v>7407</v>
      </c>
      <c r="B2401" s="1" t="s">
        <v>503</v>
      </c>
      <c r="C2401" s="1" t="s">
        <v>7408</v>
      </c>
      <c r="D2401" s="1" t="s">
        <v>28</v>
      </c>
      <c r="E2401" s="1" t="s">
        <v>29</v>
      </c>
      <c r="F2401" s="5">
        <v>400000.0</v>
      </c>
      <c r="G2401" s="1" t="s">
        <v>7016</v>
      </c>
      <c r="H2401" s="1" t="s">
        <v>7409</v>
      </c>
      <c r="I2401" s="4">
        <v>45171.0</v>
      </c>
      <c r="K2401" s="1">
        <v>0.0</v>
      </c>
      <c r="L2401" s="1" t="s">
        <v>1413</v>
      </c>
      <c r="M2401" s="1" t="str">
        <f>VLOOKUP(L2401,'Copy of PMD Workday Constants -'!B2400:W3086,22,false)</f>
        <v>#N/A</v>
      </c>
      <c r="N2401" s="1" t="s">
        <v>32</v>
      </c>
      <c r="O2401" s="1" t="s">
        <v>33</v>
      </c>
      <c r="P2401" s="1" t="s">
        <v>34</v>
      </c>
      <c r="Q2401" s="1" t="s">
        <v>34</v>
      </c>
      <c r="R2401" s="1" t="s">
        <v>35</v>
      </c>
      <c r="S2401" s="1" t="s">
        <v>126</v>
      </c>
      <c r="T2401" s="1">
        <v>1.00643044E8</v>
      </c>
      <c r="W2401" s="1" t="s">
        <v>391</v>
      </c>
      <c r="X2401" s="1" t="s">
        <v>2050</v>
      </c>
    </row>
    <row r="2402">
      <c r="A2402" s="1" t="s">
        <v>7410</v>
      </c>
      <c r="B2402" s="1" t="s">
        <v>1778</v>
      </c>
      <c r="C2402" s="1" t="s">
        <v>7411</v>
      </c>
      <c r="D2402" s="1" t="s">
        <v>103</v>
      </c>
      <c r="E2402" s="1" t="s">
        <v>29</v>
      </c>
      <c r="F2402" s="5">
        <v>400000.0</v>
      </c>
      <c r="G2402" s="1" t="s">
        <v>7016</v>
      </c>
      <c r="H2402" s="1" t="s">
        <v>7412</v>
      </c>
      <c r="I2402" s="4">
        <v>44840.0</v>
      </c>
      <c r="K2402" s="1">
        <v>0.0</v>
      </c>
      <c r="L2402" s="1" t="s">
        <v>1780</v>
      </c>
      <c r="M2402" s="1" t="str">
        <f>VLOOKUP(L2402,'Copy of PMD Workday Constants -'!B2401:W3087,22,false)</f>
        <v>#N/A</v>
      </c>
      <c r="N2402" s="1" t="s">
        <v>32</v>
      </c>
      <c r="O2402" s="1" t="s">
        <v>33</v>
      </c>
      <c r="P2402" s="1" t="s">
        <v>82</v>
      </c>
      <c r="Q2402" s="1" t="s">
        <v>82</v>
      </c>
      <c r="R2402" s="1" t="s">
        <v>83</v>
      </c>
      <c r="S2402" s="1" t="s">
        <v>583</v>
      </c>
      <c r="T2402" s="1">
        <v>1.00617113E8</v>
      </c>
      <c r="U2402" s="1" t="s">
        <v>7413</v>
      </c>
      <c r="V2402" s="1" t="s">
        <v>781</v>
      </c>
      <c r="W2402" s="1" t="s">
        <v>456</v>
      </c>
      <c r="X2402" s="1" t="s">
        <v>7414</v>
      </c>
    </row>
    <row r="2403">
      <c r="A2403" s="1" t="s">
        <v>7415</v>
      </c>
      <c r="B2403" s="1" t="s">
        <v>7416</v>
      </c>
      <c r="C2403" s="1" t="s">
        <v>7417</v>
      </c>
      <c r="D2403" s="1" t="s">
        <v>51</v>
      </c>
      <c r="E2403" s="1" t="s">
        <v>29</v>
      </c>
      <c r="F2403" s="5">
        <v>400000.0</v>
      </c>
      <c r="G2403" s="1" t="s">
        <v>7016</v>
      </c>
      <c r="H2403" s="1" t="s">
        <v>569</v>
      </c>
      <c r="I2403" s="4">
        <v>44568.0</v>
      </c>
      <c r="K2403" s="1">
        <v>0.0</v>
      </c>
      <c r="L2403" s="1" t="s">
        <v>7418</v>
      </c>
      <c r="M2403" s="1" t="str">
        <f>VLOOKUP(L2403,'Copy of PMD Workday Constants -'!B2402:W3088,22,false)</f>
        <v>#N/A</v>
      </c>
      <c r="N2403" s="1" t="s">
        <v>32</v>
      </c>
      <c r="O2403" s="1" t="s">
        <v>33</v>
      </c>
      <c r="P2403" s="1" t="s">
        <v>112</v>
      </c>
      <c r="Q2403" s="1" t="s">
        <v>112</v>
      </c>
      <c r="R2403" s="1" t="s">
        <v>113</v>
      </c>
      <c r="T2403" s="1">
        <v>1.01077583E8</v>
      </c>
      <c r="X2403" s="1" t="s">
        <v>7419</v>
      </c>
    </row>
    <row r="2404">
      <c r="A2404" s="1" t="s">
        <v>7420</v>
      </c>
      <c r="B2404" s="1" t="s">
        <v>7421</v>
      </c>
      <c r="C2404" s="1" t="s">
        <v>7422</v>
      </c>
      <c r="D2404" s="1" t="s">
        <v>28</v>
      </c>
      <c r="E2404" s="1" t="s">
        <v>29</v>
      </c>
      <c r="F2404" s="5">
        <v>400000.0</v>
      </c>
      <c r="G2404" s="1" t="s">
        <v>7016</v>
      </c>
      <c r="H2404" s="1" t="s">
        <v>110</v>
      </c>
      <c r="I2404" s="1" t="s">
        <v>104</v>
      </c>
      <c r="K2404" s="1">
        <v>0.0</v>
      </c>
      <c r="L2404" s="1" t="s">
        <v>5184</v>
      </c>
      <c r="M2404" s="1" t="str">
        <f>VLOOKUP(L2404,'Copy of PMD Workday Constants -'!B2403:W3089,22,false)</f>
        <v>#N/A</v>
      </c>
      <c r="N2404" s="1" t="s">
        <v>32</v>
      </c>
      <c r="O2404" s="1" t="s">
        <v>33</v>
      </c>
      <c r="P2404" s="1" t="s">
        <v>64</v>
      </c>
      <c r="Q2404" s="1" t="s">
        <v>64</v>
      </c>
      <c r="R2404" s="1" t="s">
        <v>65</v>
      </c>
      <c r="T2404" s="1">
        <v>1.00568413E8</v>
      </c>
      <c r="W2404" s="1" t="s">
        <v>85</v>
      </c>
      <c r="X2404" s="1" t="s">
        <v>5184</v>
      </c>
    </row>
    <row r="2405">
      <c r="A2405" s="1" t="s">
        <v>7423</v>
      </c>
      <c r="B2405" s="1" t="s">
        <v>26</v>
      </c>
      <c r="C2405" s="1" t="s">
        <v>7424</v>
      </c>
      <c r="D2405" s="1" t="s">
        <v>51</v>
      </c>
      <c r="E2405" s="1" t="s">
        <v>29</v>
      </c>
      <c r="F2405" s="5">
        <v>400000.0</v>
      </c>
      <c r="G2405" s="1" t="s">
        <v>7016</v>
      </c>
      <c r="H2405" s="1" t="s">
        <v>131</v>
      </c>
      <c r="I2405" s="1" t="s">
        <v>1350</v>
      </c>
      <c r="K2405" s="1">
        <v>0.0</v>
      </c>
      <c r="L2405" s="1" t="s">
        <v>172</v>
      </c>
      <c r="M2405" s="1" t="str">
        <f>VLOOKUP(L2405,'Copy of PMD Workday Constants -'!B2404:W3090,22,false)</f>
        <v>#N/A</v>
      </c>
      <c r="N2405" s="1" t="s">
        <v>32</v>
      </c>
      <c r="O2405" s="1" t="s">
        <v>33</v>
      </c>
      <c r="P2405" s="1" t="s">
        <v>173</v>
      </c>
      <c r="Q2405" s="1" t="s">
        <v>173</v>
      </c>
      <c r="R2405" s="1" t="s">
        <v>174</v>
      </c>
      <c r="T2405" s="1">
        <v>1.00619165E8</v>
      </c>
      <c r="W2405" s="1" t="s">
        <v>37</v>
      </c>
      <c r="X2405" s="1" t="s">
        <v>7425</v>
      </c>
    </row>
    <row r="2406">
      <c r="A2406" s="1" t="s">
        <v>7426</v>
      </c>
      <c r="B2406" s="1" t="s">
        <v>324</v>
      </c>
      <c r="C2406" s="1" t="s">
        <v>7427</v>
      </c>
      <c r="D2406" s="1" t="s">
        <v>28</v>
      </c>
      <c r="E2406" s="1" t="s">
        <v>29</v>
      </c>
      <c r="F2406" s="5">
        <v>400000.0</v>
      </c>
      <c r="G2406" s="1" t="s">
        <v>7016</v>
      </c>
      <c r="H2406" s="4">
        <v>44567.0</v>
      </c>
      <c r="I2406" s="1" t="s">
        <v>152</v>
      </c>
      <c r="K2406" s="1">
        <v>0.0</v>
      </c>
      <c r="L2406" s="1" t="s">
        <v>5194</v>
      </c>
      <c r="M2406" s="1" t="str">
        <f>VLOOKUP(L2406,'Copy of PMD Workday Constants -'!B2405:W3091,22,false)</f>
        <v>#N/A</v>
      </c>
      <c r="N2406" s="1" t="s">
        <v>32</v>
      </c>
      <c r="O2406" s="1" t="s">
        <v>33</v>
      </c>
      <c r="P2406" s="1" t="s">
        <v>173</v>
      </c>
      <c r="Q2406" s="1" t="s">
        <v>173</v>
      </c>
      <c r="R2406" s="1" t="s">
        <v>174</v>
      </c>
      <c r="S2406" s="1" t="s">
        <v>540</v>
      </c>
      <c r="T2406" s="1">
        <v>1.00609393E8</v>
      </c>
      <c r="W2406" s="1" t="s">
        <v>56</v>
      </c>
      <c r="X2406" s="1" t="s">
        <v>2487</v>
      </c>
    </row>
    <row r="2407">
      <c r="A2407" s="1" t="s">
        <v>7428</v>
      </c>
      <c r="B2407" s="1" t="s">
        <v>143</v>
      </c>
      <c r="C2407" s="1" t="s">
        <v>7429</v>
      </c>
      <c r="D2407" s="1" t="s">
        <v>103</v>
      </c>
      <c r="E2407" s="1" t="s">
        <v>29</v>
      </c>
      <c r="F2407" s="5">
        <v>400000.0</v>
      </c>
      <c r="G2407" s="1" t="s">
        <v>7016</v>
      </c>
      <c r="H2407" s="1" t="s">
        <v>2724</v>
      </c>
      <c r="I2407" s="1" t="s">
        <v>732</v>
      </c>
      <c r="K2407" s="1">
        <v>0.0</v>
      </c>
      <c r="L2407" s="1" t="s">
        <v>2133</v>
      </c>
      <c r="M2407" s="1" t="str">
        <f>VLOOKUP(L2407,'Copy of PMD Workday Constants -'!B2406:W3092,22,false)</f>
        <v>#N/A</v>
      </c>
      <c r="N2407" s="1" t="s">
        <v>32</v>
      </c>
      <c r="O2407" s="1" t="s">
        <v>33</v>
      </c>
      <c r="P2407" s="1" t="s">
        <v>64</v>
      </c>
      <c r="Q2407" s="1" t="s">
        <v>64</v>
      </c>
      <c r="R2407" s="1" t="s">
        <v>65</v>
      </c>
      <c r="T2407" s="1">
        <v>1.00653977E8</v>
      </c>
      <c r="W2407" s="1" t="s">
        <v>147</v>
      </c>
      <c r="X2407" s="1" t="s">
        <v>3834</v>
      </c>
    </row>
    <row r="2408">
      <c r="A2408" s="1" t="s">
        <v>7430</v>
      </c>
      <c r="B2408" s="1" t="s">
        <v>2534</v>
      </c>
      <c r="C2408" s="1" t="s">
        <v>7431</v>
      </c>
      <c r="D2408" s="1" t="s">
        <v>51</v>
      </c>
      <c r="E2408" s="1" t="s">
        <v>29</v>
      </c>
      <c r="F2408" s="5">
        <v>400000.0</v>
      </c>
      <c r="G2408" s="1" t="s">
        <v>7016</v>
      </c>
      <c r="H2408" s="1" t="s">
        <v>2724</v>
      </c>
      <c r="I2408" s="1" t="s">
        <v>1843</v>
      </c>
      <c r="K2408" s="1">
        <v>0.0</v>
      </c>
      <c r="L2408" s="1" t="s">
        <v>3148</v>
      </c>
      <c r="M2408" s="1" t="str">
        <f>VLOOKUP(L2408,'Copy of PMD Workday Constants -'!B2407:W3093,22,false)</f>
        <v>#N/A</v>
      </c>
      <c r="N2408" s="1" t="s">
        <v>32</v>
      </c>
      <c r="O2408" s="1" t="s">
        <v>33</v>
      </c>
      <c r="P2408" s="1" t="s">
        <v>112</v>
      </c>
      <c r="Q2408" s="1" t="s">
        <v>112</v>
      </c>
      <c r="R2408" s="1" t="s">
        <v>113</v>
      </c>
      <c r="S2408" s="1" t="s">
        <v>455</v>
      </c>
      <c r="T2408" s="1">
        <v>1.00620159E8</v>
      </c>
      <c r="W2408" s="1" t="s">
        <v>456</v>
      </c>
      <c r="X2408" s="1" t="s">
        <v>7432</v>
      </c>
    </row>
    <row r="2409">
      <c r="A2409" s="1" t="s">
        <v>7433</v>
      </c>
      <c r="B2409" s="1" t="s">
        <v>859</v>
      </c>
      <c r="C2409" s="1" t="s">
        <v>7434</v>
      </c>
      <c r="D2409" s="1" t="s">
        <v>28</v>
      </c>
      <c r="E2409" s="1" t="s">
        <v>29</v>
      </c>
      <c r="F2409" s="5">
        <v>400000.0</v>
      </c>
      <c r="G2409" s="1" t="s">
        <v>7016</v>
      </c>
      <c r="H2409" s="4">
        <v>44685.0</v>
      </c>
      <c r="I2409" s="1" t="s">
        <v>302</v>
      </c>
      <c r="K2409" s="1">
        <v>0.0</v>
      </c>
      <c r="L2409" s="1" t="s">
        <v>7435</v>
      </c>
      <c r="M2409" s="1" t="str">
        <f>VLOOKUP(L2409,'Copy of PMD Workday Constants -'!B2408:W3094,22,false)</f>
        <v>#N/A</v>
      </c>
      <c r="N2409" s="1" t="s">
        <v>32</v>
      </c>
      <c r="O2409" s="1" t="s">
        <v>33</v>
      </c>
      <c r="P2409" s="1" t="s">
        <v>34</v>
      </c>
      <c r="Q2409" s="1" t="s">
        <v>34</v>
      </c>
      <c r="R2409" s="1" t="s">
        <v>35</v>
      </c>
      <c r="T2409" s="1">
        <v>1.00642202E8</v>
      </c>
      <c r="W2409" s="1" t="s">
        <v>147</v>
      </c>
      <c r="X2409" s="1" t="s">
        <v>3423</v>
      </c>
    </row>
    <row r="2410">
      <c r="A2410" s="1" t="s">
        <v>7436</v>
      </c>
      <c r="B2410" s="1" t="s">
        <v>3036</v>
      </c>
      <c r="C2410" s="1" t="s">
        <v>7437</v>
      </c>
      <c r="D2410" s="1" t="s">
        <v>51</v>
      </c>
      <c r="E2410" s="1" t="s">
        <v>29</v>
      </c>
      <c r="F2410" s="5">
        <v>400000.0</v>
      </c>
      <c r="G2410" s="1" t="s">
        <v>7016</v>
      </c>
      <c r="H2410" s="1" t="s">
        <v>2837</v>
      </c>
      <c r="I2410" s="1" t="s">
        <v>80</v>
      </c>
      <c r="K2410" s="1">
        <v>0.0</v>
      </c>
      <c r="L2410" s="1" t="s">
        <v>1380</v>
      </c>
      <c r="M2410" s="1" t="str">
        <f>VLOOKUP(L2410,'Copy of PMD Workday Constants -'!B2409:W3095,22,false)</f>
        <v>#N/A</v>
      </c>
      <c r="N2410" s="1" t="s">
        <v>32</v>
      </c>
      <c r="O2410" s="1" t="s">
        <v>33</v>
      </c>
      <c r="P2410" s="1" t="s">
        <v>34</v>
      </c>
      <c r="Q2410" s="1" t="s">
        <v>34</v>
      </c>
      <c r="R2410" s="1" t="s">
        <v>35</v>
      </c>
      <c r="S2410" s="1" t="s">
        <v>126</v>
      </c>
      <c r="T2410" s="1">
        <v>1.00587434E8</v>
      </c>
      <c r="W2410" s="1" t="s">
        <v>74</v>
      </c>
      <c r="X2410" s="1" t="s">
        <v>1380</v>
      </c>
    </row>
    <row r="2411">
      <c r="A2411" s="1" t="s">
        <v>7438</v>
      </c>
      <c r="B2411" s="1" t="s">
        <v>7439</v>
      </c>
      <c r="C2411" s="1" t="s">
        <v>7440</v>
      </c>
      <c r="D2411" s="1" t="s">
        <v>79</v>
      </c>
      <c r="E2411" s="1" t="s">
        <v>29</v>
      </c>
      <c r="F2411" s="5">
        <v>400000.0</v>
      </c>
      <c r="G2411" s="1" t="s">
        <v>7016</v>
      </c>
      <c r="H2411" s="1" t="s">
        <v>1708</v>
      </c>
      <c r="I2411" s="4">
        <v>44872.0</v>
      </c>
      <c r="J2411" s="1" t="s">
        <v>4187</v>
      </c>
      <c r="K2411" s="1">
        <v>0.0</v>
      </c>
      <c r="L2411" s="1" t="s">
        <v>2522</v>
      </c>
      <c r="M2411" s="1" t="str">
        <f>VLOOKUP(L2411,'Copy of PMD Workday Constants -'!B2410:W3096,22,false)</f>
        <v>#N/A</v>
      </c>
      <c r="N2411" s="1" t="s">
        <v>32</v>
      </c>
      <c r="O2411" s="1" t="s">
        <v>33</v>
      </c>
      <c r="P2411" s="1" t="s">
        <v>173</v>
      </c>
      <c r="Q2411" s="1" t="s">
        <v>173</v>
      </c>
      <c r="R2411" s="1" t="s">
        <v>174</v>
      </c>
      <c r="S2411" s="1" t="s">
        <v>612</v>
      </c>
      <c r="T2411" s="1">
        <v>1.00590772E8</v>
      </c>
      <c r="W2411" s="1" t="s">
        <v>47</v>
      </c>
      <c r="X2411" s="1" t="s">
        <v>7441</v>
      </c>
    </row>
    <row r="2412">
      <c r="A2412" s="1" t="s">
        <v>7442</v>
      </c>
      <c r="B2412" s="1" t="s">
        <v>77</v>
      </c>
      <c r="C2412" s="1" t="s">
        <v>7443</v>
      </c>
      <c r="D2412" s="1" t="s">
        <v>51</v>
      </c>
      <c r="E2412" s="1" t="s">
        <v>29</v>
      </c>
      <c r="F2412" s="5">
        <v>400000.0</v>
      </c>
      <c r="G2412" s="1" t="s">
        <v>7016</v>
      </c>
      <c r="H2412" s="1" t="s">
        <v>1134</v>
      </c>
      <c r="I2412" s="1" t="s">
        <v>132</v>
      </c>
      <c r="K2412" s="1">
        <v>0.0</v>
      </c>
      <c r="L2412" s="1" t="s">
        <v>4027</v>
      </c>
      <c r="M2412" s="1" t="str">
        <f>VLOOKUP(L2412,'Copy of PMD Workday Constants -'!B2411:W3097,22,false)</f>
        <v>#N/A</v>
      </c>
      <c r="N2412" s="1" t="s">
        <v>32</v>
      </c>
      <c r="O2412" s="1" t="s">
        <v>33</v>
      </c>
      <c r="P2412" s="1" t="s">
        <v>82</v>
      </c>
      <c r="Q2412" s="1" t="s">
        <v>82</v>
      </c>
      <c r="R2412" s="1" t="s">
        <v>83</v>
      </c>
      <c r="T2412" s="1">
        <v>1.00607635E8</v>
      </c>
      <c r="W2412" s="1" t="s">
        <v>85</v>
      </c>
      <c r="X2412" s="1" t="s">
        <v>7444</v>
      </c>
    </row>
    <row r="2413">
      <c r="A2413" s="1" t="s">
        <v>7445</v>
      </c>
      <c r="B2413" s="1" t="s">
        <v>7446</v>
      </c>
      <c r="C2413" s="1" t="s">
        <v>7447</v>
      </c>
      <c r="D2413" s="1" t="s">
        <v>28</v>
      </c>
      <c r="E2413" s="1" t="s">
        <v>29</v>
      </c>
      <c r="F2413" s="5">
        <v>400000.0</v>
      </c>
      <c r="G2413" s="1" t="s">
        <v>7016</v>
      </c>
      <c r="H2413" s="1" t="s">
        <v>5581</v>
      </c>
      <c r="I2413" s="1" t="s">
        <v>661</v>
      </c>
      <c r="K2413" s="1">
        <v>0.0</v>
      </c>
      <c r="L2413" s="1" t="s">
        <v>1344</v>
      </c>
      <c r="M2413" s="1" t="str">
        <f>VLOOKUP(L2413,'Copy of PMD Workday Constants -'!B2412:W3098,22,false)</f>
        <v>#N/A</v>
      </c>
      <c r="N2413" s="1" t="s">
        <v>32</v>
      </c>
      <c r="O2413" s="1" t="s">
        <v>33</v>
      </c>
      <c r="P2413" s="1" t="s">
        <v>112</v>
      </c>
      <c r="Q2413" s="1" t="s">
        <v>112</v>
      </c>
      <c r="R2413" s="1" t="s">
        <v>113</v>
      </c>
      <c r="S2413" s="1" t="s">
        <v>134</v>
      </c>
      <c r="T2413" s="1">
        <v>1.0061941E8</v>
      </c>
      <c r="W2413" s="1" t="s">
        <v>74</v>
      </c>
      <c r="X2413" s="1" t="s">
        <v>7448</v>
      </c>
    </row>
    <row r="2414">
      <c r="A2414" s="1" t="s">
        <v>7449</v>
      </c>
      <c r="B2414" s="1" t="s">
        <v>7450</v>
      </c>
      <c r="C2414" s="1" t="s">
        <v>7451</v>
      </c>
      <c r="D2414" s="1" t="s">
        <v>51</v>
      </c>
      <c r="E2414" s="1" t="s">
        <v>29</v>
      </c>
      <c r="F2414" s="5">
        <v>400000.0</v>
      </c>
      <c r="G2414" s="1" t="s">
        <v>7016</v>
      </c>
      <c r="H2414" s="1" t="s">
        <v>1474</v>
      </c>
      <c r="I2414" s="1" t="s">
        <v>104</v>
      </c>
      <c r="K2414" s="1">
        <v>0.0</v>
      </c>
      <c r="L2414" s="1" t="s">
        <v>1740</v>
      </c>
      <c r="M2414" s="1" t="str">
        <f>VLOOKUP(L2414,'Copy of PMD Workday Constants -'!B2413:W3099,22,false)</f>
        <v>#N/A</v>
      </c>
      <c r="N2414" s="1" t="s">
        <v>32</v>
      </c>
      <c r="O2414" s="1" t="s">
        <v>33</v>
      </c>
      <c r="P2414" s="1" t="s">
        <v>210</v>
      </c>
      <c r="Q2414" s="1" t="s">
        <v>210</v>
      </c>
      <c r="R2414" s="1" t="s">
        <v>211</v>
      </c>
      <c r="S2414" s="1" t="s">
        <v>416</v>
      </c>
      <c r="T2414" s="1">
        <v>1.01102846E8</v>
      </c>
      <c r="W2414" s="1" t="s">
        <v>56</v>
      </c>
      <c r="X2414" s="1" t="s">
        <v>7452</v>
      </c>
    </row>
    <row r="2415">
      <c r="A2415" s="1" t="s">
        <v>7453</v>
      </c>
      <c r="B2415" s="1" t="s">
        <v>7454</v>
      </c>
      <c r="C2415" s="1" t="s">
        <v>7455</v>
      </c>
      <c r="D2415" s="1" t="s">
        <v>51</v>
      </c>
      <c r="E2415" s="1" t="s">
        <v>29</v>
      </c>
      <c r="F2415" s="5">
        <v>400000.0</v>
      </c>
      <c r="G2415" s="1" t="s">
        <v>7016</v>
      </c>
      <c r="H2415" s="1" t="s">
        <v>2290</v>
      </c>
      <c r="I2415" s="1" t="s">
        <v>301</v>
      </c>
      <c r="K2415" s="1">
        <v>0.0</v>
      </c>
      <c r="L2415" s="1" t="s">
        <v>871</v>
      </c>
      <c r="M2415" s="1" t="str">
        <f>VLOOKUP(L2415,'Copy of PMD Workday Constants -'!B2414:W3100,22,false)</f>
        <v>#N/A</v>
      </c>
      <c r="N2415" s="1" t="s">
        <v>32</v>
      </c>
      <c r="O2415" s="1" t="s">
        <v>33</v>
      </c>
      <c r="P2415" s="1" t="s">
        <v>64</v>
      </c>
      <c r="Q2415" s="1" t="s">
        <v>64</v>
      </c>
      <c r="R2415" s="1" t="s">
        <v>65</v>
      </c>
      <c r="T2415" s="1">
        <v>1.00653785E8</v>
      </c>
      <c r="W2415" s="1" t="s">
        <v>37</v>
      </c>
      <c r="X2415" s="1" t="s">
        <v>871</v>
      </c>
    </row>
    <row r="2416">
      <c r="A2416" s="1" t="s">
        <v>7456</v>
      </c>
      <c r="B2416" s="1" t="s">
        <v>5120</v>
      </c>
      <c r="C2416" s="1" t="s">
        <v>7457</v>
      </c>
      <c r="D2416" s="1" t="s">
        <v>51</v>
      </c>
      <c r="E2416" s="1" t="s">
        <v>29</v>
      </c>
      <c r="F2416" s="5">
        <v>400000.0</v>
      </c>
      <c r="G2416" s="1" t="s">
        <v>7016</v>
      </c>
      <c r="H2416" s="1" t="s">
        <v>7458</v>
      </c>
      <c r="I2416" s="1" t="s">
        <v>326</v>
      </c>
      <c r="K2416" s="1">
        <v>0.0</v>
      </c>
      <c r="L2416" s="1" t="s">
        <v>2284</v>
      </c>
      <c r="M2416" s="1" t="str">
        <f>VLOOKUP(L2416,'Copy of PMD Workday Constants -'!B2415:W3101,22,false)</f>
        <v>#N/A</v>
      </c>
      <c r="N2416" s="1" t="s">
        <v>32</v>
      </c>
      <c r="O2416" s="1" t="s">
        <v>33</v>
      </c>
      <c r="P2416" s="1" t="s">
        <v>173</v>
      </c>
      <c r="Q2416" s="1" t="s">
        <v>173</v>
      </c>
      <c r="R2416" s="1" t="s">
        <v>174</v>
      </c>
      <c r="S2416" s="1" t="s">
        <v>612</v>
      </c>
      <c r="T2416" s="1">
        <v>1.00650678E8</v>
      </c>
      <c r="W2416" s="1" t="s">
        <v>147</v>
      </c>
      <c r="X2416" s="1" t="s">
        <v>831</v>
      </c>
    </row>
    <row r="2417">
      <c r="A2417" s="1" t="s">
        <v>7459</v>
      </c>
      <c r="B2417" s="1" t="s">
        <v>129</v>
      </c>
      <c r="C2417" s="1" t="s">
        <v>7460</v>
      </c>
      <c r="D2417" s="1" t="s">
        <v>51</v>
      </c>
      <c r="E2417" s="1" t="s">
        <v>29</v>
      </c>
      <c r="F2417" s="5">
        <v>400000.0</v>
      </c>
      <c r="G2417" s="1" t="s">
        <v>7016</v>
      </c>
      <c r="H2417" s="4">
        <v>44810.0</v>
      </c>
      <c r="I2417" s="1" t="s">
        <v>80</v>
      </c>
      <c r="K2417" s="1">
        <v>0.0</v>
      </c>
      <c r="L2417" s="1" t="s">
        <v>1357</v>
      </c>
      <c r="M2417" s="1" t="str">
        <f>VLOOKUP(L2417,'Copy of PMD Workday Constants -'!B2416:W3102,22,false)</f>
        <v>#N/A</v>
      </c>
      <c r="N2417" s="1" t="s">
        <v>32</v>
      </c>
      <c r="O2417" s="1" t="s">
        <v>33</v>
      </c>
      <c r="P2417" s="1" t="s">
        <v>64</v>
      </c>
      <c r="Q2417" s="1" t="s">
        <v>64</v>
      </c>
      <c r="R2417" s="1" t="s">
        <v>65</v>
      </c>
      <c r="T2417" s="1">
        <v>1.00589587E8</v>
      </c>
      <c r="W2417" s="1" t="s">
        <v>74</v>
      </c>
      <c r="X2417" s="1" t="s">
        <v>1357</v>
      </c>
    </row>
    <row r="2418">
      <c r="A2418" s="1" t="s">
        <v>7461</v>
      </c>
      <c r="B2418" s="1" t="s">
        <v>521</v>
      </c>
      <c r="C2418" s="1" t="s">
        <v>7462</v>
      </c>
      <c r="D2418" s="1" t="s">
        <v>28</v>
      </c>
      <c r="E2418" s="1" t="s">
        <v>29</v>
      </c>
      <c r="F2418" s="5">
        <v>400000.0</v>
      </c>
      <c r="G2418" s="1" t="s">
        <v>7016</v>
      </c>
      <c r="H2418" s="4">
        <v>44779.0</v>
      </c>
      <c r="I2418" s="1" t="s">
        <v>248</v>
      </c>
      <c r="K2418" s="1">
        <v>0.0</v>
      </c>
      <c r="L2418" s="1" t="s">
        <v>7463</v>
      </c>
      <c r="M2418" s="1" t="str">
        <f>VLOOKUP(L2418,'Copy of PMD Workday Constants -'!B2417:W3103,22,false)</f>
        <v>#N/A</v>
      </c>
      <c r="N2418" s="1" t="s">
        <v>32</v>
      </c>
      <c r="O2418" s="1" t="s">
        <v>33</v>
      </c>
      <c r="P2418" s="1" t="s">
        <v>64</v>
      </c>
      <c r="Q2418" s="1" t="s">
        <v>64</v>
      </c>
      <c r="R2418" s="1" t="s">
        <v>65</v>
      </c>
      <c r="S2418" s="1" t="s">
        <v>229</v>
      </c>
      <c r="T2418" s="1">
        <v>1.00650162E8</v>
      </c>
      <c r="W2418" s="1" t="s">
        <v>85</v>
      </c>
      <c r="X2418" s="1" t="s">
        <v>4207</v>
      </c>
    </row>
    <row r="2419">
      <c r="A2419" s="1" t="s">
        <v>7464</v>
      </c>
      <c r="B2419" s="1" t="s">
        <v>7465</v>
      </c>
      <c r="C2419" s="1" t="s">
        <v>7466</v>
      </c>
      <c r="D2419" s="1" t="s">
        <v>28</v>
      </c>
      <c r="E2419" s="1" t="s">
        <v>29</v>
      </c>
      <c r="F2419" s="5">
        <v>400000.0</v>
      </c>
      <c r="G2419" s="1" t="s">
        <v>7016</v>
      </c>
      <c r="H2419" s="4">
        <v>44779.0</v>
      </c>
      <c r="I2419" s="4">
        <v>44570.0</v>
      </c>
      <c r="K2419" s="1">
        <v>0.0</v>
      </c>
      <c r="L2419" s="1" t="s">
        <v>909</v>
      </c>
      <c r="M2419" s="1" t="str">
        <f>VLOOKUP(L2419,'Copy of PMD Workday Constants -'!B2418:W3104,22,false)</f>
        <v>#N/A</v>
      </c>
      <c r="N2419" s="1" t="s">
        <v>32</v>
      </c>
      <c r="O2419" s="1" t="s">
        <v>33</v>
      </c>
      <c r="P2419" s="1" t="s">
        <v>82</v>
      </c>
      <c r="Q2419" s="1" t="s">
        <v>82</v>
      </c>
      <c r="R2419" s="1" t="s">
        <v>83</v>
      </c>
      <c r="S2419" s="1" t="s">
        <v>84</v>
      </c>
      <c r="T2419" s="1">
        <v>1.00649698E8</v>
      </c>
      <c r="X2419" s="1" t="s">
        <v>909</v>
      </c>
    </row>
    <row r="2420">
      <c r="A2420" s="1" t="s">
        <v>7467</v>
      </c>
      <c r="B2420" s="1" t="s">
        <v>7468</v>
      </c>
      <c r="C2420" s="1" t="s">
        <v>7469</v>
      </c>
      <c r="D2420" s="1" t="s">
        <v>51</v>
      </c>
      <c r="E2420" s="1" t="s">
        <v>29</v>
      </c>
      <c r="F2420" s="5">
        <v>400000.0</v>
      </c>
      <c r="G2420" s="1" t="s">
        <v>7016</v>
      </c>
      <c r="H2420" s="4">
        <v>44511.0</v>
      </c>
      <c r="I2420" s="1" t="s">
        <v>1349</v>
      </c>
      <c r="K2420" s="1">
        <v>0.0</v>
      </c>
      <c r="L2420" s="1" t="s">
        <v>2838</v>
      </c>
      <c r="M2420" s="1" t="str">
        <f>VLOOKUP(L2420,'Copy of PMD Workday Constants -'!B2419:W3105,22,false)</f>
        <v>#N/A</v>
      </c>
      <c r="N2420" s="1" t="s">
        <v>32</v>
      </c>
      <c r="O2420" s="1" t="s">
        <v>33</v>
      </c>
      <c r="P2420" s="1" t="s">
        <v>112</v>
      </c>
      <c r="Q2420" s="1" t="s">
        <v>112</v>
      </c>
      <c r="R2420" s="1" t="s">
        <v>113</v>
      </c>
      <c r="S2420" s="1" t="s">
        <v>204</v>
      </c>
      <c r="T2420" s="1">
        <v>1.00654835E8</v>
      </c>
      <c r="W2420" s="1" t="s">
        <v>533</v>
      </c>
      <c r="X2420" s="1" t="s">
        <v>2838</v>
      </c>
    </row>
    <row r="2421">
      <c r="A2421" s="1" t="s">
        <v>7470</v>
      </c>
      <c r="B2421" s="1" t="s">
        <v>7471</v>
      </c>
      <c r="C2421" s="1" t="s">
        <v>7472</v>
      </c>
      <c r="D2421" s="1" t="s">
        <v>51</v>
      </c>
      <c r="E2421" s="1" t="s">
        <v>29</v>
      </c>
      <c r="F2421" s="5">
        <v>400000.0</v>
      </c>
      <c r="G2421" s="1" t="s">
        <v>7016</v>
      </c>
      <c r="H2421" s="4">
        <v>43443.0</v>
      </c>
      <c r="I2421" s="1" t="s">
        <v>941</v>
      </c>
      <c r="K2421" s="1">
        <v>0.0</v>
      </c>
      <c r="L2421" s="1" t="s">
        <v>2284</v>
      </c>
      <c r="M2421" s="1" t="str">
        <f>VLOOKUP(L2421,'Copy of PMD Workday Constants -'!B2420:W3106,22,false)</f>
        <v>#N/A</v>
      </c>
      <c r="N2421" s="1" t="s">
        <v>32</v>
      </c>
      <c r="O2421" s="1" t="s">
        <v>33</v>
      </c>
      <c r="P2421" s="1" t="s">
        <v>173</v>
      </c>
      <c r="Q2421" s="1" t="s">
        <v>173</v>
      </c>
      <c r="R2421" s="1" t="s">
        <v>174</v>
      </c>
      <c r="S2421" s="1" t="s">
        <v>612</v>
      </c>
      <c r="T2421" s="1">
        <v>1.00650678E8</v>
      </c>
      <c r="W2421" s="1" t="s">
        <v>147</v>
      </c>
      <c r="X2421" s="1" t="s">
        <v>2284</v>
      </c>
    </row>
    <row r="2422">
      <c r="A2422" s="1" t="s">
        <v>7473</v>
      </c>
      <c r="B2422" s="1" t="s">
        <v>1132</v>
      </c>
      <c r="C2422" s="1" t="s">
        <v>7474</v>
      </c>
      <c r="D2422" s="1" t="s">
        <v>28</v>
      </c>
      <c r="E2422" s="1" t="s">
        <v>29</v>
      </c>
      <c r="F2422" s="5">
        <v>400000.0</v>
      </c>
      <c r="G2422" s="1" t="s">
        <v>7016</v>
      </c>
      <c r="H2422" s="4">
        <v>44897.0</v>
      </c>
      <c r="I2422" s="1" t="s">
        <v>104</v>
      </c>
      <c r="K2422" s="1">
        <v>0.0</v>
      </c>
      <c r="L2422" s="1" t="s">
        <v>645</v>
      </c>
      <c r="M2422" s="1" t="str">
        <f>VLOOKUP(L2422,'Copy of PMD Workday Constants -'!B2421:W3107,22,false)</f>
        <v>#N/A</v>
      </c>
      <c r="N2422" s="1" t="s">
        <v>32</v>
      </c>
      <c r="O2422" s="1" t="s">
        <v>33</v>
      </c>
      <c r="P2422" s="1" t="s">
        <v>64</v>
      </c>
      <c r="Q2422" s="1" t="s">
        <v>64</v>
      </c>
      <c r="R2422" s="1" t="s">
        <v>65</v>
      </c>
      <c r="S2422" s="1" t="s">
        <v>98</v>
      </c>
      <c r="T2422" s="1">
        <v>1.00653597E8</v>
      </c>
      <c r="W2422" s="1" t="s">
        <v>56</v>
      </c>
      <c r="X2422" s="1" t="s">
        <v>1101</v>
      </c>
    </row>
    <row r="2423">
      <c r="A2423" s="1" t="s">
        <v>7475</v>
      </c>
      <c r="B2423" s="1" t="s">
        <v>6427</v>
      </c>
      <c r="C2423" s="1" t="s">
        <v>7476</v>
      </c>
      <c r="D2423" s="1" t="s">
        <v>28</v>
      </c>
      <c r="E2423" s="1" t="s">
        <v>29</v>
      </c>
      <c r="F2423" s="5">
        <v>400000.0</v>
      </c>
      <c r="G2423" s="1" t="s">
        <v>7016</v>
      </c>
      <c r="H2423" s="1" t="s">
        <v>698</v>
      </c>
      <c r="I2423" s="1" t="s">
        <v>96</v>
      </c>
      <c r="K2423" s="1">
        <v>0.0</v>
      </c>
      <c r="L2423" s="1" t="s">
        <v>6429</v>
      </c>
      <c r="M2423" s="1" t="str">
        <f>VLOOKUP(L2423,'Copy of PMD Workday Constants -'!B2422:W3108,22,false)</f>
        <v>#N/A</v>
      </c>
      <c r="N2423" s="1" t="s">
        <v>32</v>
      </c>
      <c r="O2423" s="1" t="s">
        <v>33</v>
      </c>
      <c r="P2423" s="1" t="s">
        <v>210</v>
      </c>
      <c r="Q2423" s="1" t="s">
        <v>210</v>
      </c>
      <c r="R2423" s="1" t="s">
        <v>211</v>
      </c>
      <c r="T2423" s="1">
        <v>1.01161608E8</v>
      </c>
      <c r="W2423" s="1" t="s">
        <v>258</v>
      </c>
      <c r="X2423" s="1" t="s">
        <v>6430</v>
      </c>
    </row>
    <row r="2424">
      <c r="A2424" s="1" t="s">
        <v>7477</v>
      </c>
      <c r="B2424" s="1" t="s">
        <v>219</v>
      </c>
      <c r="C2424" s="1" t="s">
        <v>7478</v>
      </c>
      <c r="D2424" s="1" t="s">
        <v>28</v>
      </c>
      <c r="E2424" s="1" t="s">
        <v>29</v>
      </c>
      <c r="F2424" s="5">
        <v>400000.0</v>
      </c>
      <c r="G2424" s="1" t="s">
        <v>7016</v>
      </c>
      <c r="H2424" s="1" t="s">
        <v>2837</v>
      </c>
      <c r="I2424" s="1" t="s">
        <v>132</v>
      </c>
      <c r="K2424" s="1">
        <v>0.0</v>
      </c>
      <c r="L2424" s="1" t="s">
        <v>221</v>
      </c>
      <c r="M2424" s="1" t="str">
        <f>VLOOKUP(L2424,'Copy of PMD Workday Constants -'!B2423:W3109,22,false)</f>
        <v>#N/A</v>
      </c>
      <c r="N2424" s="1" t="s">
        <v>32</v>
      </c>
      <c r="O2424" s="1" t="s">
        <v>33</v>
      </c>
      <c r="P2424" s="1" t="s">
        <v>222</v>
      </c>
      <c r="Q2424" s="1" t="s">
        <v>222</v>
      </c>
      <c r="R2424" s="1" t="s">
        <v>223</v>
      </c>
      <c r="S2424" s="1" t="s">
        <v>204</v>
      </c>
      <c r="T2424" s="1">
        <v>1.00660017E8</v>
      </c>
      <c r="W2424" s="1" t="s">
        <v>91</v>
      </c>
      <c r="X2424" s="1" t="s">
        <v>221</v>
      </c>
    </row>
    <row r="2425">
      <c r="A2425" s="1" t="s">
        <v>7479</v>
      </c>
      <c r="B2425" s="1" t="s">
        <v>485</v>
      </c>
      <c r="C2425" s="1" t="s">
        <v>7480</v>
      </c>
      <c r="D2425" s="1" t="s">
        <v>51</v>
      </c>
      <c r="E2425" s="1" t="s">
        <v>29</v>
      </c>
      <c r="F2425" s="5">
        <v>400000.0</v>
      </c>
      <c r="G2425" s="1" t="s">
        <v>7016</v>
      </c>
      <c r="H2425" s="4">
        <v>44626.0</v>
      </c>
      <c r="I2425" s="1" t="s">
        <v>152</v>
      </c>
      <c r="K2425" s="1">
        <v>0.0</v>
      </c>
      <c r="L2425" s="1" t="s">
        <v>481</v>
      </c>
      <c r="M2425" s="1" t="str">
        <f>VLOOKUP(L2425,'Copy of PMD Workday Constants -'!B2424:W3110,22,false)</f>
        <v>#N/A</v>
      </c>
      <c r="N2425" s="1" t="s">
        <v>32</v>
      </c>
      <c r="O2425" s="1" t="s">
        <v>33</v>
      </c>
      <c r="P2425" s="1" t="s">
        <v>222</v>
      </c>
      <c r="Q2425" s="1" t="s">
        <v>222</v>
      </c>
      <c r="R2425" s="1" t="s">
        <v>223</v>
      </c>
      <c r="S2425" s="1" t="s">
        <v>482</v>
      </c>
      <c r="T2425" s="1">
        <v>1.00654864E8</v>
      </c>
      <c r="W2425" s="1" t="s">
        <v>115</v>
      </c>
      <c r="X2425" s="1" t="s">
        <v>7481</v>
      </c>
    </row>
    <row r="2426">
      <c r="A2426" s="1" t="s">
        <v>7482</v>
      </c>
      <c r="B2426" s="1" t="s">
        <v>1516</v>
      </c>
      <c r="C2426" s="1" t="s">
        <v>7483</v>
      </c>
      <c r="D2426" s="1" t="s">
        <v>28</v>
      </c>
      <c r="E2426" s="1" t="s">
        <v>29</v>
      </c>
      <c r="F2426" s="5">
        <v>400000.0</v>
      </c>
      <c r="G2426" s="1" t="s">
        <v>7016</v>
      </c>
      <c r="H2426" s="1" t="s">
        <v>644</v>
      </c>
      <c r="I2426" s="1" t="s">
        <v>104</v>
      </c>
      <c r="K2426" s="1">
        <v>0.0</v>
      </c>
      <c r="L2426" s="1" t="s">
        <v>1486</v>
      </c>
      <c r="M2426" s="1" t="str">
        <f>VLOOKUP(L2426,'Copy of PMD Workday Constants -'!B2425:W3111,22,false)</f>
        <v>#N/A</v>
      </c>
      <c r="N2426" s="1" t="s">
        <v>32</v>
      </c>
      <c r="O2426" s="1" t="s">
        <v>33</v>
      </c>
      <c r="P2426" s="1" t="s">
        <v>82</v>
      </c>
      <c r="Q2426" s="1" t="s">
        <v>82</v>
      </c>
      <c r="R2426" s="1" t="s">
        <v>83</v>
      </c>
      <c r="S2426" s="1" t="s">
        <v>583</v>
      </c>
      <c r="T2426" s="1">
        <v>1.006324E8</v>
      </c>
      <c r="W2426" s="1" t="s">
        <v>456</v>
      </c>
      <c r="X2426" s="1" t="s">
        <v>1486</v>
      </c>
    </row>
    <row r="2427">
      <c r="A2427" s="1" t="s">
        <v>7484</v>
      </c>
      <c r="B2427" s="1" t="s">
        <v>2641</v>
      </c>
      <c r="C2427" s="1" t="s">
        <v>7485</v>
      </c>
      <c r="D2427" s="1" t="s">
        <v>51</v>
      </c>
      <c r="E2427" s="1" t="s">
        <v>29</v>
      </c>
      <c r="F2427" s="5">
        <v>400000.0</v>
      </c>
      <c r="G2427" s="1" t="s">
        <v>7016</v>
      </c>
      <c r="H2427" s="1" t="s">
        <v>1349</v>
      </c>
      <c r="I2427" s="1" t="s">
        <v>104</v>
      </c>
      <c r="K2427" s="1">
        <v>0.0</v>
      </c>
      <c r="L2427" s="1" t="s">
        <v>2970</v>
      </c>
      <c r="M2427" s="1" t="str">
        <f>VLOOKUP(L2427,'Copy of PMD Workday Constants -'!B2426:W3112,22,false)</f>
        <v>#N/A</v>
      </c>
      <c r="N2427" s="1" t="s">
        <v>32</v>
      </c>
      <c r="O2427" s="1" t="s">
        <v>33</v>
      </c>
      <c r="P2427" s="1" t="s">
        <v>173</v>
      </c>
      <c r="Q2427" s="1" t="s">
        <v>173</v>
      </c>
      <c r="R2427" s="1" t="s">
        <v>174</v>
      </c>
      <c r="T2427" s="1">
        <v>1.00616377E8</v>
      </c>
      <c r="W2427" s="1" t="s">
        <v>456</v>
      </c>
      <c r="X2427" s="1" t="s">
        <v>7486</v>
      </c>
    </row>
    <row r="2428">
      <c r="A2428" s="1" t="s">
        <v>7487</v>
      </c>
      <c r="B2428" s="1" t="s">
        <v>1817</v>
      </c>
      <c r="C2428" s="1" t="s">
        <v>7488</v>
      </c>
      <c r="D2428" s="1" t="s">
        <v>51</v>
      </c>
      <c r="E2428" s="1" t="s">
        <v>29</v>
      </c>
      <c r="F2428" s="5">
        <v>400000.0</v>
      </c>
      <c r="G2428" s="1" t="s">
        <v>7016</v>
      </c>
      <c r="H2428" s="1" t="s">
        <v>3083</v>
      </c>
      <c r="I2428" s="4">
        <v>44568.0</v>
      </c>
      <c r="K2428" s="1">
        <v>0.0</v>
      </c>
      <c r="L2428" s="1" t="s">
        <v>350</v>
      </c>
      <c r="M2428" s="1" t="str">
        <f>VLOOKUP(L2428,'Copy of PMD Workday Constants -'!B2427:W3113,22,false)</f>
        <v>#N/A</v>
      </c>
      <c r="N2428" s="1" t="s">
        <v>32</v>
      </c>
      <c r="O2428" s="1" t="s">
        <v>33</v>
      </c>
      <c r="P2428" s="1" t="s">
        <v>82</v>
      </c>
      <c r="Q2428" s="1" t="s">
        <v>82</v>
      </c>
      <c r="R2428" s="1" t="s">
        <v>83</v>
      </c>
      <c r="S2428" s="1" t="s">
        <v>180</v>
      </c>
      <c r="T2428" s="1">
        <v>1.00582847E8</v>
      </c>
      <c r="W2428" s="1" t="s">
        <v>85</v>
      </c>
      <c r="X2428" s="1" t="s">
        <v>350</v>
      </c>
    </row>
    <row r="2429">
      <c r="A2429" s="1" t="s">
        <v>7489</v>
      </c>
      <c r="B2429" s="1" t="s">
        <v>973</v>
      </c>
      <c r="C2429" s="1" t="s">
        <v>7490</v>
      </c>
      <c r="D2429" s="1" t="s">
        <v>51</v>
      </c>
      <c r="E2429" s="1" t="s">
        <v>29</v>
      </c>
      <c r="F2429" s="5">
        <v>400000.0</v>
      </c>
      <c r="G2429" s="1" t="s">
        <v>7016</v>
      </c>
      <c r="H2429" s="1" t="s">
        <v>2077</v>
      </c>
      <c r="I2429" s="1" t="s">
        <v>80</v>
      </c>
      <c r="K2429" s="1">
        <v>0.0</v>
      </c>
      <c r="L2429" s="1" t="s">
        <v>1747</v>
      </c>
      <c r="M2429" s="1" t="str">
        <f>VLOOKUP(L2429,'Copy of PMD Workday Constants -'!B2428:W3114,22,false)</f>
        <v>#N/A</v>
      </c>
      <c r="N2429" s="1" t="s">
        <v>32</v>
      </c>
      <c r="O2429" s="1" t="s">
        <v>33</v>
      </c>
      <c r="P2429" s="1" t="s">
        <v>173</v>
      </c>
      <c r="Q2429" s="1" t="s">
        <v>173</v>
      </c>
      <c r="R2429" s="1" t="s">
        <v>174</v>
      </c>
      <c r="S2429" s="1" t="s">
        <v>153</v>
      </c>
      <c r="T2429" s="1">
        <v>1.00639495E8</v>
      </c>
      <c r="W2429" s="1" t="s">
        <v>456</v>
      </c>
      <c r="X2429" s="1" t="s">
        <v>7162</v>
      </c>
    </row>
    <row r="2430">
      <c r="A2430" s="1" t="s">
        <v>7491</v>
      </c>
      <c r="B2430" s="1" t="s">
        <v>7492</v>
      </c>
      <c r="C2430" s="1" t="s">
        <v>7493</v>
      </c>
      <c r="D2430" s="1" t="s">
        <v>28</v>
      </c>
      <c r="E2430" s="1" t="s">
        <v>29</v>
      </c>
      <c r="F2430" s="5">
        <v>400000.0</v>
      </c>
      <c r="G2430" s="1" t="s">
        <v>7016</v>
      </c>
      <c r="H2430" s="1" t="s">
        <v>1662</v>
      </c>
      <c r="I2430" s="1" t="s">
        <v>96</v>
      </c>
      <c r="K2430" s="1">
        <v>0.0</v>
      </c>
      <c r="L2430" s="1" t="s">
        <v>3100</v>
      </c>
      <c r="M2430" s="1" t="str">
        <f>VLOOKUP(L2430,'Copy of PMD Workday Constants -'!B2429:W3115,22,false)</f>
        <v>#N/A</v>
      </c>
      <c r="N2430" s="1" t="s">
        <v>32</v>
      </c>
      <c r="O2430" s="1" t="s">
        <v>33</v>
      </c>
      <c r="P2430" s="1" t="s">
        <v>210</v>
      </c>
      <c r="Q2430" s="1" t="s">
        <v>210</v>
      </c>
      <c r="R2430" s="1" t="s">
        <v>211</v>
      </c>
      <c r="T2430" s="1">
        <v>1.01093101E8</v>
      </c>
      <c r="W2430" s="1" t="s">
        <v>56</v>
      </c>
      <c r="X2430" s="1" t="s">
        <v>3100</v>
      </c>
    </row>
    <row r="2431">
      <c r="A2431" s="1" t="s">
        <v>7494</v>
      </c>
      <c r="B2431" s="1" t="s">
        <v>1132</v>
      </c>
      <c r="C2431" s="1" t="s">
        <v>7495</v>
      </c>
      <c r="D2431" s="1" t="s">
        <v>28</v>
      </c>
      <c r="E2431" s="1" t="s">
        <v>29</v>
      </c>
      <c r="F2431" s="5">
        <v>400000.0</v>
      </c>
      <c r="G2431" s="1" t="s">
        <v>7016</v>
      </c>
      <c r="H2431" s="1" t="s">
        <v>7496</v>
      </c>
      <c r="I2431" s="4">
        <v>44752.0</v>
      </c>
      <c r="K2431" s="1">
        <v>0.0</v>
      </c>
      <c r="L2431" s="1" t="s">
        <v>415</v>
      </c>
      <c r="M2431" s="1" t="str">
        <f>VLOOKUP(L2431,'Copy of PMD Workday Constants -'!B2430:W3116,22,false)</f>
        <v>#N/A</v>
      </c>
      <c r="N2431" s="1" t="s">
        <v>32</v>
      </c>
      <c r="O2431" s="1" t="s">
        <v>33</v>
      </c>
      <c r="P2431" s="1" t="s">
        <v>210</v>
      </c>
      <c r="Q2431" s="1" t="s">
        <v>210</v>
      </c>
      <c r="R2431" s="1" t="s">
        <v>211</v>
      </c>
      <c r="S2431" s="1" t="s">
        <v>1313</v>
      </c>
      <c r="T2431" s="1">
        <v>1.00650375E8</v>
      </c>
      <c r="W2431" s="1" t="s">
        <v>56</v>
      </c>
      <c r="X2431" s="1" t="s">
        <v>415</v>
      </c>
    </row>
    <row r="2432">
      <c r="A2432" s="1" t="s">
        <v>7497</v>
      </c>
      <c r="B2432" s="1" t="s">
        <v>143</v>
      </c>
      <c r="C2432" s="1" t="s">
        <v>7498</v>
      </c>
      <c r="D2432" s="1" t="s">
        <v>51</v>
      </c>
      <c r="E2432" s="1" t="s">
        <v>29</v>
      </c>
      <c r="F2432" s="5">
        <v>400000.0</v>
      </c>
      <c r="G2432" s="1" t="s">
        <v>7016</v>
      </c>
      <c r="H2432" s="1" t="s">
        <v>1287</v>
      </c>
      <c r="I2432" s="1" t="s">
        <v>941</v>
      </c>
      <c r="K2432" s="1">
        <v>0.0</v>
      </c>
      <c r="L2432" s="1" t="s">
        <v>2284</v>
      </c>
      <c r="M2432" s="1" t="str">
        <f>VLOOKUP(L2432,'Copy of PMD Workday Constants -'!B2431:W3117,22,false)</f>
        <v>#N/A</v>
      </c>
      <c r="N2432" s="1" t="s">
        <v>32</v>
      </c>
      <c r="O2432" s="1" t="s">
        <v>33</v>
      </c>
      <c r="P2432" s="1" t="s">
        <v>173</v>
      </c>
      <c r="Q2432" s="1" t="s">
        <v>173</v>
      </c>
      <c r="R2432" s="1" t="s">
        <v>174</v>
      </c>
      <c r="T2432" s="1">
        <v>1.00650678E8</v>
      </c>
      <c r="W2432" s="1" t="s">
        <v>147</v>
      </c>
      <c r="X2432" s="1" t="s">
        <v>2194</v>
      </c>
    </row>
    <row r="2433">
      <c r="A2433" s="1" t="s">
        <v>7499</v>
      </c>
      <c r="B2433" s="1" t="s">
        <v>7500</v>
      </c>
      <c r="C2433" s="1" t="s">
        <v>7501</v>
      </c>
      <c r="D2433" s="1" t="s">
        <v>28</v>
      </c>
      <c r="E2433" s="1" t="s">
        <v>29</v>
      </c>
      <c r="F2433" s="5">
        <v>400000.0</v>
      </c>
      <c r="G2433" s="1" t="s">
        <v>7016</v>
      </c>
      <c r="H2433" s="1" t="s">
        <v>413</v>
      </c>
      <c r="I2433" s="1" t="s">
        <v>80</v>
      </c>
      <c r="K2433" s="1">
        <v>0.0</v>
      </c>
      <c r="L2433" s="1" t="s">
        <v>7502</v>
      </c>
      <c r="M2433" s="1" t="str">
        <f>VLOOKUP(L2433,'Copy of PMD Workday Constants -'!B2432:W3118,22,false)</f>
        <v>#N/A</v>
      </c>
      <c r="N2433" s="1" t="s">
        <v>32</v>
      </c>
      <c r="O2433" s="1" t="s">
        <v>33</v>
      </c>
      <c r="P2433" s="1" t="s">
        <v>173</v>
      </c>
      <c r="Q2433" s="1" t="s">
        <v>173</v>
      </c>
      <c r="R2433" s="1" t="s">
        <v>174</v>
      </c>
      <c r="S2433" s="1" t="s">
        <v>612</v>
      </c>
      <c r="T2433" s="1">
        <v>1.00869655E8</v>
      </c>
      <c r="W2433" s="1" t="s">
        <v>4719</v>
      </c>
      <c r="X2433" s="1" t="s">
        <v>7503</v>
      </c>
    </row>
    <row r="2434">
      <c r="A2434" s="1" t="s">
        <v>7504</v>
      </c>
      <c r="B2434" s="1" t="s">
        <v>751</v>
      </c>
      <c r="C2434" s="1" t="s">
        <v>7505</v>
      </c>
      <c r="D2434" s="1" t="s">
        <v>28</v>
      </c>
      <c r="E2434" s="1" t="s">
        <v>29</v>
      </c>
      <c r="F2434" s="5">
        <v>400000.0</v>
      </c>
      <c r="G2434" s="1" t="s">
        <v>7016</v>
      </c>
      <c r="H2434" s="4">
        <v>44748.0</v>
      </c>
      <c r="I2434" s="1" t="s">
        <v>661</v>
      </c>
      <c r="K2434" s="1">
        <v>0.0</v>
      </c>
      <c r="L2434" s="1" t="s">
        <v>6503</v>
      </c>
      <c r="M2434" s="1" t="str">
        <f>VLOOKUP(L2434,'Copy of PMD Workday Constants -'!B2433:W3119,22,false)</f>
        <v>#N/A</v>
      </c>
      <c r="N2434" s="1" t="s">
        <v>32</v>
      </c>
      <c r="O2434" s="1" t="s">
        <v>33</v>
      </c>
      <c r="P2434" s="1" t="s">
        <v>82</v>
      </c>
      <c r="Q2434" s="1" t="s">
        <v>82</v>
      </c>
      <c r="R2434" s="1" t="s">
        <v>83</v>
      </c>
      <c r="S2434" s="1" t="s">
        <v>180</v>
      </c>
      <c r="T2434" s="1">
        <v>1.00593964E8</v>
      </c>
      <c r="U2434" s="1" t="s">
        <v>6504</v>
      </c>
      <c r="V2434" s="1" t="s">
        <v>781</v>
      </c>
      <c r="W2434" s="1" t="s">
        <v>85</v>
      </c>
      <c r="X2434" s="1" t="s">
        <v>6505</v>
      </c>
    </row>
    <row r="2435">
      <c r="A2435" s="1" t="s">
        <v>7506</v>
      </c>
      <c r="B2435" s="1" t="s">
        <v>317</v>
      </c>
      <c r="C2435" s="1" t="s">
        <v>7507</v>
      </c>
      <c r="D2435" s="1" t="s">
        <v>28</v>
      </c>
      <c r="E2435" s="1" t="s">
        <v>29</v>
      </c>
      <c r="F2435" s="5">
        <v>400000.0</v>
      </c>
      <c r="G2435" s="1" t="s">
        <v>7016</v>
      </c>
      <c r="H2435" s="4">
        <v>44321.0</v>
      </c>
      <c r="I2435" s="1" t="s">
        <v>6546</v>
      </c>
      <c r="K2435" s="1">
        <v>0.0</v>
      </c>
      <c r="L2435" s="1" t="s">
        <v>2143</v>
      </c>
      <c r="M2435" s="1" t="str">
        <f>VLOOKUP(L2435,'Copy of PMD Workday Constants -'!B2434:W3120,22,false)</f>
        <v>#N/A</v>
      </c>
      <c r="N2435" s="1" t="s">
        <v>32</v>
      </c>
      <c r="O2435" s="1" t="s">
        <v>33</v>
      </c>
      <c r="P2435" s="1" t="s">
        <v>82</v>
      </c>
      <c r="Q2435" s="1" t="s">
        <v>82</v>
      </c>
      <c r="R2435" s="1" t="s">
        <v>83</v>
      </c>
      <c r="S2435" s="1" t="s">
        <v>84</v>
      </c>
      <c r="T2435" s="1">
        <v>1.00612395E8</v>
      </c>
      <c r="W2435" s="1" t="s">
        <v>85</v>
      </c>
      <c r="X2435" s="1" t="s">
        <v>3841</v>
      </c>
    </row>
    <row r="2436">
      <c r="A2436" s="1" t="s">
        <v>7508</v>
      </c>
      <c r="B2436" s="1" t="s">
        <v>143</v>
      </c>
      <c r="C2436" s="1" t="s">
        <v>7509</v>
      </c>
      <c r="D2436" s="1" t="s">
        <v>103</v>
      </c>
      <c r="E2436" s="1" t="s">
        <v>29</v>
      </c>
      <c r="F2436" s="5">
        <v>400000.0</v>
      </c>
      <c r="G2436" s="1" t="s">
        <v>7016</v>
      </c>
      <c r="H2436" s="1" t="s">
        <v>3443</v>
      </c>
      <c r="I2436" s="1" t="s">
        <v>526</v>
      </c>
      <c r="K2436" s="1">
        <v>0.0</v>
      </c>
      <c r="L2436" s="1" t="s">
        <v>3465</v>
      </c>
      <c r="M2436" s="1" t="str">
        <f>VLOOKUP(L2436,'Copy of PMD Workday Constants -'!B2435:W3121,22,false)</f>
        <v>#N/A</v>
      </c>
      <c r="N2436" s="1" t="s">
        <v>32</v>
      </c>
      <c r="O2436" s="1" t="s">
        <v>33</v>
      </c>
      <c r="P2436" s="1" t="s">
        <v>34</v>
      </c>
      <c r="Q2436" s="1" t="s">
        <v>34</v>
      </c>
      <c r="R2436" s="1" t="s">
        <v>35</v>
      </c>
      <c r="T2436" s="1">
        <v>1.00588959E8</v>
      </c>
      <c r="W2436" s="1" t="s">
        <v>147</v>
      </c>
      <c r="X2436" s="1" t="s">
        <v>3465</v>
      </c>
    </row>
    <row r="2437">
      <c r="A2437" s="1" t="s">
        <v>7510</v>
      </c>
      <c r="B2437" s="1" t="s">
        <v>7511</v>
      </c>
      <c r="C2437" s="1" t="s">
        <v>7512</v>
      </c>
      <c r="D2437" s="1" t="s">
        <v>51</v>
      </c>
      <c r="E2437" s="1" t="s">
        <v>29</v>
      </c>
      <c r="F2437" s="5">
        <v>400000.0</v>
      </c>
      <c r="G2437" s="1" t="s">
        <v>7016</v>
      </c>
      <c r="H2437" s="1" t="s">
        <v>413</v>
      </c>
      <c r="I2437" s="1" t="s">
        <v>104</v>
      </c>
      <c r="K2437" s="1">
        <v>0.0</v>
      </c>
      <c r="L2437" s="1" t="s">
        <v>2097</v>
      </c>
      <c r="M2437" s="1" t="str">
        <f>VLOOKUP(L2437,'Copy of PMD Workday Constants -'!B2436:W3122,22,false)</f>
        <v>#N/A</v>
      </c>
      <c r="N2437" s="1" t="s">
        <v>32</v>
      </c>
      <c r="O2437" s="1" t="s">
        <v>33</v>
      </c>
      <c r="P2437" s="1" t="s">
        <v>82</v>
      </c>
      <c r="Q2437" s="1" t="s">
        <v>82</v>
      </c>
      <c r="R2437" s="1" t="s">
        <v>83</v>
      </c>
      <c r="S2437" s="1" t="s">
        <v>180</v>
      </c>
      <c r="T2437" s="1">
        <v>1.00619607E8</v>
      </c>
      <c r="W2437" s="1" t="s">
        <v>2098</v>
      </c>
      <c r="X2437" s="1" t="s">
        <v>2097</v>
      </c>
    </row>
    <row r="2438">
      <c r="A2438" s="1" t="s">
        <v>7513</v>
      </c>
      <c r="B2438" s="1" t="s">
        <v>7514</v>
      </c>
      <c r="C2438" s="1" t="s">
        <v>7515</v>
      </c>
      <c r="D2438" s="1" t="s">
        <v>28</v>
      </c>
      <c r="E2438" s="1" t="s">
        <v>29</v>
      </c>
      <c r="F2438" s="5">
        <v>400000.0</v>
      </c>
      <c r="G2438" s="1" t="s">
        <v>7016</v>
      </c>
      <c r="H2438" s="1" t="s">
        <v>2348</v>
      </c>
      <c r="I2438" s="1" t="s">
        <v>80</v>
      </c>
      <c r="K2438" s="1">
        <v>0.0</v>
      </c>
      <c r="L2438" s="1" t="s">
        <v>1622</v>
      </c>
      <c r="M2438" s="1" t="str">
        <f>VLOOKUP(L2438,'Copy of PMD Workday Constants -'!B2437:W3123,22,false)</f>
        <v>#N/A</v>
      </c>
      <c r="N2438" s="1" t="s">
        <v>32</v>
      </c>
      <c r="O2438" s="1" t="s">
        <v>33</v>
      </c>
      <c r="P2438" s="1" t="s">
        <v>173</v>
      </c>
      <c r="Q2438" s="1" t="s">
        <v>173</v>
      </c>
      <c r="R2438" s="1" t="s">
        <v>174</v>
      </c>
      <c r="S2438" s="1" t="s">
        <v>612</v>
      </c>
      <c r="T2438" s="1">
        <v>1.00643454E8</v>
      </c>
      <c r="W2438" s="1" t="s">
        <v>456</v>
      </c>
      <c r="X2438" s="1" t="s">
        <v>4384</v>
      </c>
    </row>
    <row r="2439">
      <c r="A2439" s="1" t="s">
        <v>7516</v>
      </c>
      <c r="B2439" s="1" t="s">
        <v>7517</v>
      </c>
      <c r="C2439" s="1" t="s">
        <v>7518</v>
      </c>
      <c r="D2439" s="1" t="s">
        <v>28</v>
      </c>
      <c r="E2439" s="1" t="s">
        <v>29</v>
      </c>
      <c r="F2439" s="5">
        <v>400000.0</v>
      </c>
      <c r="G2439" s="1" t="s">
        <v>7016</v>
      </c>
      <c r="H2439" s="4">
        <v>44684.0</v>
      </c>
      <c r="I2439" s="4">
        <v>44568.0</v>
      </c>
      <c r="K2439" s="1">
        <v>0.0</v>
      </c>
      <c r="L2439" s="1" t="s">
        <v>3063</v>
      </c>
      <c r="M2439" s="1" t="str">
        <f>VLOOKUP(L2439,'Copy of PMD Workday Constants -'!B2438:W3124,22,false)</f>
        <v>#N/A</v>
      </c>
      <c r="N2439" s="1" t="s">
        <v>32</v>
      </c>
      <c r="O2439" s="1" t="s">
        <v>33</v>
      </c>
      <c r="P2439" s="1" t="s">
        <v>34</v>
      </c>
      <c r="Q2439" s="1" t="s">
        <v>34</v>
      </c>
      <c r="R2439" s="1" t="s">
        <v>35</v>
      </c>
      <c r="S2439" s="1" t="s">
        <v>36</v>
      </c>
      <c r="T2439" s="1">
        <v>1.00622716E8</v>
      </c>
      <c r="W2439" s="1" t="s">
        <v>37</v>
      </c>
      <c r="X2439" s="1" t="s">
        <v>3063</v>
      </c>
    </row>
    <row r="2440">
      <c r="A2440" s="1" t="s">
        <v>7519</v>
      </c>
      <c r="B2440" s="1" t="s">
        <v>2079</v>
      </c>
      <c r="C2440" s="1" t="s">
        <v>7520</v>
      </c>
      <c r="D2440" s="1" t="s">
        <v>51</v>
      </c>
      <c r="E2440" s="1" t="s">
        <v>29</v>
      </c>
      <c r="F2440" s="5">
        <v>400000.0</v>
      </c>
      <c r="G2440" s="1" t="s">
        <v>7016</v>
      </c>
      <c r="H2440" s="1" t="s">
        <v>569</v>
      </c>
      <c r="I2440" s="1" t="s">
        <v>80</v>
      </c>
      <c r="K2440" s="1">
        <v>0.0</v>
      </c>
      <c r="L2440" s="1" t="s">
        <v>3656</v>
      </c>
      <c r="M2440" s="1" t="str">
        <f>VLOOKUP(L2440,'Copy of PMD Workday Constants -'!B2439:W3125,22,false)</f>
        <v>#N/A</v>
      </c>
      <c r="N2440" s="1" t="s">
        <v>32</v>
      </c>
      <c r="O2440" s="1" t="s">
        <v>33</v>
      </c>
      <c r="P2440" s="1" t="s">
        <v>210</v>
      </c>
      <c r="Q2440" s="1" t="s">
        <v>210</v>
      </c>
      <c r="R2440" s="1" t="s">
        <v>211</v>
      </c>
      <c r="T2440" s="1">
        <v>1.00658814E8</v>
      </c>
      <c r="W2440" s="1" t="s">
        <v>258</v>
      </c>
      <c r="X2440" s="1" t="s">
        <v>3905</v>
      </c>
    </row>
    <row r="2441">
      <c r="A2441" s="1" t="s">
        <v>7521</v>
      </c>
      <c r="B2441" s="1" t="s">
        <v>1047</v>
      </c>
      <c r="C2441" s="1" t="s">
        <v>7522</v>
      </c>
      <c r="D2441" s="1" t="s">
        <v>103</v>
      </c>
      <c r="E2441" s="1" t="s">
        <v>29</v>
      </c>
      <c r="F2441" s="5">
        <v>400000.0</v>
      </c>
      <c r="G2441" s="1" t="s">
        <v>7016</v>
      </c>
      <c r="H2441" s="4">
        <v>44809.0</v>
      </c>
      <c r="I2441" s="4">
        <v>44626.0</v>
      </c>
      <c r="K2441" s="1">
        <v>0.0</v>
      </c>
      <c r="L2441" s="1" t="s">
        <v>2417</v>
      </c>
      <c r="M2441" s="1" t="str">
        <f>VLOOKUP(L2441,'Copy of PMD Workday Constants -'!B2440:W3126,22,false)</f>
        <v>#N/A</v>
      </c>
      <c r="N2441" s="1" t="s">
        <v>32</v>
      </c>
      <c r="O2441" s="1" t="s">
        <v>33</v>
      </c>
      <c r="P2441" s="1" t="s">
        <v>34</v>
      </c>
      <c r="Q2441" s="1" t="s">
        <v>34</v>
      </c>
      <c r="R2441" s="1" t="s">
        <v>35</v>
      </c>
      <c r="S2441" s="1" t="s">
        <v>383</v>
      </c>
      <c r="T2441" s="1">
        <v>1.00642238E8</v>
      </c>
      <c r="W2441" s="1" t="s">
        <v>258</v>
      </c>
      <c r="X2441" s="1" t="s">
        <v>4647</v>
      </c>
    </row>
    <row r="2442">
      <c r="A2442" s="1" t="s">
        <v>7523</v>
      </c>
      <c r="B2442" s="1" t="s">
        <v>7524</v>
      </c>
      <c r="C2442" s="1" t="s">
        <v>7525</v>
      </c>
      <c r="D2442" s="1" t="s">
        <v>28</v>
      </c>
      <c r="E2442" s="1" t="s">
        <v>29</v>
      </c>
      <c r="F2442" s="5">
        <v>400000.0</v>
      </c>
      <c r="G2442" s="1" t="s">
        <v>7016</v>
      </c>
      <c r="H2442" s="1" t="s">
        <v>7526</v>
      </c>
      <c r="I2442" s="1" t="s">
        <v>104</v>
      </c>
      <c r="K2442" s="1">
        <v>0.0</v>
      </c>
      <c r="L2442" s="1" t="s">
        <v>319</v>
      </c>
      <c r="M2442" s="1" t="str">
        <f>VLOOKUP(L2442,'Copy of PMD Workday Constants -'!B2441:W3127,22,false)</f>
        <v>#N/A</v>
      </c>
      <c r="N2442" s="1" t="s">
        <v>32</v>
      </c>
      <c r="O2442" s="1" t="s">
        <v>33</v>
      </c>
      <c r="P2442" s="1" t="s">
        <v>82</v>
      </c>
      <c r="Q2442" s="1" t="s">
        <v>82</v>
      </c>
      <c r="R2442" s="1" t="s">
        <v>83</v>
      </c>
      <c r="S2442" s="1" t="s">
        <v>84</v>
      </c>
      <c r="T2442" s="1">
        <v>1.00654705E8</v>
      </c>
      <c r="W2442" s="1" t="s">
        <v>85</v>
      </c>
      <c r="X2442" s="1" t="s">
        <v>319</v>
      </c>
    </row>
    <row r="2443">
      <c r="A2443" s="1" t="s">
        <v>7527</v>
      </c>
      <c r="B2443" s="1" t="s">
        <v>289</v>
      </c>
      <c r="C2443" s="1" t="s">
        <v>7528</v>
      </c>
      <c r="D2443" s="1" t="s">
        <v>103</v>
      </c>
      <c r="E2443" s="1" t="s">
        <v>29</v>
      </c>
      <c r="F2443" s="5">
        <v>400000.0</v>
      </c>
      <c r="G2443" s="1" t="s">
        <v>7016</v>
      </c>
      <c r="H2443" s="1" t="s">
        <v>2142</v>
      </c>
      <c r="I2443" s="4">
        <v>44625.0</v>
      </c>
      <c r="K2443" s="1">
        <v>0.0</v>
      </c>
      <c r="L2443" s="1" t="s">
        <v>3784</v>
      </c>
      <c r="M2443" s="1" t="str">
        <f>VLOOKUP(L2443,'Copy of PMD Workday Constants -'!B2442:W3128,22,false)</f>
        <v>#N/A</v>
      </c>
      <c r="N2443" s="1" t="s">
        <v>32</v>
      </c>
      <c r="O2443" s="1" t="s">
        <v>33</v>
      </c>
      <c r="P2443" s="1" t="s">
        <v>210</v>
      </c>
      <c r="Q2443" s="1" t="s">
        <v>210</v>
      </c>
      <c r="R2443" s="1" t="s">
        <v>211</v>
      </c>
      <c r="S2443" s="1" t="s">
        <v>416</v>
      </c>
      <c r="T2443" s="1">
        <v>1.00637651E8</v>
      </c>
      <c r="V2443" s="1" t="s">
        <v>67</v>
      </c>
      <c r="W2443" s="1" t="s">
        <v>74</v>
      </c>
      <c r="X2443" s="1" t="s">
        <v>852</v>
      </c>
    </row>
    <row r="2444">
      <c r="A2444" s="1" t="s">
        <v>7529</v>
      </c>
      <c r="B2444" s="1" t="s">
        <v>1713</v>
      </c>
      <c r="C2444" s="1" t="s">
        <v>7530</v>
      </c>
      <c r="D2444" s="1" t="s">
        <v>28</v>
      </c>
      <c r="E2444" s="1" t="s">
        <v>29</v>
      </c>
      <c r="F2444" s="5">
        <v>400000.0</v>
      </c>
      <c r="G2444" s="1" t="s">
        <v>7016</v>
      </c>
      <c r="H2444" s="4">
        <v>44140.0</v>
      </c>
      <c r="I2444" s="1" t="s">
        <v>152</v>
      </c>
      <c r="K2444" s="1">
        <v>0.0</v>
      </c>
      <c r="L2444" s="1" t="s">
        <v>588</v>
      </c>
      <c r="M2444" s="1" t="str">
        <f>VLOOKUP(L2444,'Copy of PMD Workday Constants -'!B2443:W3129,22,false)</f>
        <v>#N/A</v>
      </c>
      <c r="N2444" s="1" t="s">
        <v>32</v>
      </c>
      <c r="O2444" s="1" t="s">
        <v>33</v>
      </c>
      <c r="P2444" s="1" t="s">
        <v>34</v>
      </c>
      <c r="Q2444" s="1" t="s">
        <v>34</v>
      </c>
      <c r="R2444" s="1" t="s">
        <v>35</v>
      </c>
      <c r="T2444" s="1">
        <v>1.00609607E8</v>
      </c>
      <c r="W2444" s="1" t="s">
        <v>91</v>
      </c>
      <c r="X2444" s="1" t="s">
        <v>1879</v>
      </c>
    </row>
    <row r="2445">
      <c r="A2445" s="1" t="s">
        <v>7531</v>
      </c>
      <c r="B2445" s="1" t="s">
        <v>1928</v>
      </c>
      <c r="C2445" s="1" t="s">
        <v>7532</v>
      </c>
      <c r="D2445" s="1" t="s">
        <v>103</v>
      </c>
      <c r="E2445" s="1" t="s">
        <v>29</v>
      </c>
      <c r="F2445" s="5">
        <v>400000.0</v>
      </c>
      <c r="G2445" s="1" t="s">
        <v>7016</v>
      </c>
      <c r="H2445" s="1" t="s">
        <v>698</v>
      </c>
      <c r="I2445" s="4">
        <v>44569.0</v>
      </c>
      <c r="K2445" s="1">
        <v>0.0</v>
      </c>
      <c r="L2445" s="1" t="s">
        <v>963</v>
      </c>
      <c r="M2445" s="1" t="str">
        <f>VLOOKUP(L2445,'Copy of PMD Workday Constants -'!B2444:W3130,22,false)</f>
        <v>#N/A</v>
      </c>
      <c r="N2445" s="1" t="s">
        <v>32</v>
      </c>
      <c r="O2445" s="1" t="s">
        <v>33</v>
      </c>
      <c r="P2445" s="1" t="s">
        <v>173</v>
      </c>
      <c r="Q2445" s="1" t="s">
        <v>173</v>
      </c>
      <c r="R2445" s="1" t="s">
        <v>174</v>
      </c>
      <c r="S2445" s="1" t="s">
        <v>612</v>
      </c>
      <c r="T2445" s="1">
        <v>1.00708984E8</v>
      </c>
      <c r="W2445" s="1" t="s">
        <v>147</v>
      </c>
      <c r="X2445" s="1" t="s">
        <v>7533</v>
      </c>
    </row>
    <row r="2446">
      <c r="A2446" s="1" t="s">
        <v>7534</v>
      </c>
      <c r="B2446" s="1" t="s">
        <v>7535</v>
      </c>
      <c r="C2446" s="1" t="s">
        <v>7536</v>
      </c>
      <c r="D2446" s="1" t="s">
        <v>103</v>
      </c>
      <c r="E2446" s="1" t="s">
        <v>29</v>
      </c>
      <c r="F2446" s="5">
        <v>400000.0</v>
      </c>
      <c r="G2446" s="1" t="s">
        <v>7016</v>
      </c>
      <c r="H2446" s="1" t="s">
        <v>1005</v>
      </c>
      <c r="I2446" s="1" t="s">
        <v>1349</v>
      </c>
      <c r="K2446" s="1">
        <v>0.0</v>
      </c>
      <c r="L2446" s="1" t="s">
        <v>2477</v>
      </c>
      <c r="M2446" s="1" t="str">
        <f>VLOOKUP(L2446,'Copy of PMD Workday Constants -'!B2445:W3131,22,false)</f>
        <v>#N/A</v>
      </c>
      <c r="N2446" s="1" t="s">
        <v>32</v>
      </c>
      <c r="O2446" s="1" t="s">
        <v>33</v>
      </c>
      <c r="P2446" s="1" t="s">
        <v>112</v>
      </c>
      <c r="Q2446" s="1" t="s">
        <v>112</v>
      </c>
      <c r="R2446" s="1" t="s">
        <v>113</v>
      </c>
      <c r="S2446" s="1" t="s">
        <v>601</v>
      </c>
      <c r="T2446" s="1">
        <v>1.00660092E8</v>
      </c>
      <c r="U2446" s="1" t="s">
        <v>7537</v>
      </c>
      <c r="V2446" s="1" t="s">
        <v>187</v>
      </c>
      <c r="W2446" s="1" t="s">
        <v>74</v>
      </c>
      <c r="X2446" s="1" t="s">
        <v>2477</v>
      </c>
    </row>
    <row r="2447">
      <c r="A2447" s="1" t="s">
        <v>7538</v>
      </c>
      <c r="B2447" s="1" t="s">
        <v>1316</v>
      </c>
      <c r="C2447" s="1" t="s">
        <v>7539</v>
      </c>
      <c r="D2447" s="1" t="s">
        <v>28</v>
      </c>
      <c r="E2447" s="1" t="s">
        <v>29</v>
      </c>
      <c r="F2447" s="5">
        <v>400000.0</v>
      </c>
      <c r="G2447" s="1" t="s">
        <v>7016</v>
      </c>
      <c r="H2447" s="4">
        <v>44540.0</v>
      </c>
      <c r="I2447" s="1" t="s">
        <v>104</v>
      </c>
      <c r="K2447" s="1">
        <v>0.0</v>
      </c>
      <c r="L2447" s="1" t="s">
        <v>1916</v>
      </c>
      <c r="M2447" s="1" t="str">
        <f>VLOOKUP(L2447,'Copy of PMD Workday Constants -'!B2446:W3132,22,false)</f>
        <v>#N/A</v>
      </c>
      <c r="N2447" s="1" t="s">
        <v>32</v>
      </c>
      <c r="O2447" s="1" t="s">
        <v>33</v>
      </c>
      <c r="P2447" s="1" t="s">
        <v>222</v>
      </c>
      <c r="Q2447" s="1" t="s">
        <v>222</v>
      </c>
      <c r="R2447" s="1" t="s">
        <v>223</v>
      </c>
      <c r="S2447" s="1" t="s">
        <v>601</v>
      </c>
      <c r="T2447" s="1">
        <v>1.00955805E8</v>
      </c>
      <c r="W2447" s="1" t="s">
        <v>436</v>
      </c>
      <c r="X2447" s="1" t="s">
        <v>7540</v>
      </c>
    </row>
    <row r="2448">
      <c r="A2448" s="1" t="s">
        <v>7541</v>
      </c>
      <c r="B2448" s="1" t="s">
        <v>6796</v>
      </c>
      <c r="C2448" s="1" t="s">
        <v>7542</v>
      </c>
      <c r="D2448" s="1" t="s">
        <v>51</v>
      </c>
      <c r="E2448" s="1" t="s">
        <v>29</v>
      </c>
      <c r="F2448" s="5">
        <v>400000.0</v>
      </c>
      <c r="G2448" s="1" t="s">
        <v>7016</v>
      </c>
      <c r="H2448" s="4">
        <v>44839.0</v>
      </c>
      <c r="I2448" s="4">
        <v>44840.0</v>
      </c>
      <c r="K2448" s="1">
        <v>0.0</v>
      </c>
      <c r="L2448" s="1" t="s">
        <v>618</v>
      </c>
      <c r="M2448" s="1" t="str">
        <f>VLOOKUP(L2448,'Copy of PMD Workday Constants -'!B2447:W3133,22,false)</f>
        <v>#N/A</v>
      </c>
      <c r="N2448" s="1" t="s">
        <v>32</v>
      </c>
      <c r="O2448" s="1" t="s">
        <v>33</v>
      </c>
      <c r="P2448" s="1" t="s">
        <v>173</v>
      </c>
      <c r="Q2448" s="1" t="s">
        <v>173</v>
      </c>
      <c r="R2448" s="1" t="s">
        <v>174</v>
      </c>
      <c r="T2448" s="1">
        <v>1.00591141E8</v>
      </c>
      <c r="W2448" s="1" t="s">
        <v>74</v>
      </c>
      <c r="X2448" s="1" t="s">
        <v>5731</v>
      </c>
    </row>
    <row r="2449">
      <c r="A2449" s="1" t="s">
        <v>7543</v>
      </c>
      <c r="B2449" s="1" t="s">
        <v>4642</v>
      </c>
      <c r="C2449" s="1" t="s">
        <v>7544</v>
      </c>
      <c r="D2449" s="1" t="s">
        <v>51</v>
      </c>
      <c r="E2449" s="1" t="s">
        <v>29</v>
      </c>
      <c r="F2449" s="5">
        <v>400000.0</v>
      </c>
      <c r="G2449" s="1" t="s">
        <v>7016</v>
      </c>
      <c r="H2449" s="4">
        <v>44412.0</v>
      </c>
      <c r="I2449" s="1" t="s">
        <v>302</v>
      </c>
      <c r="K2449" s="1">
        <v>0.0</v>
      </c>
      <c r="L2449" s="1" t="s">
        <v>2417</v>
      </c>
      <c r="M2449" s="1" t="str">
        <f>VLOOKUP(L2449,'Copy of PMD Workday Constants -'!B2448:W3134,22,false)</f>
        <v>#N/A</v>
      </c>
      <c r="N2449" s="1" t="s">
        <v>32</v>
      </c>
      <c r="O2449" s="1" t="s">
        <v>33</v>
      </c>
      <c r="P2449" s="1" t="s">
        <v>34</v>
      </c>
      <c r="Q2449" s="1" t="s">
        <v>34</v>
      </c>
      <c r="R2449" s="1" t="s">
        <v>35</v>
      </c>
      <c r="S2449" s="1" t="s">
        <v>1336</v>
      </c>
      <c r="T2449" s="1">
        <v>1.00642238E8</v>
      </c>
      <c r="W2449" s="1" t="s">
        <v>56</v>
      </c>
      <c r="X2449" s="1" t="s">
        <v>7545</v>
      </c>
    </row>
    <row r="2450">
      <c r="A2450" s="1" t="s">
        <v>7546</v>
      </c>
      <c r="B2450" s="1" t="s">
        <v>2728</v>
      </c>
      <c r="C2450" s="1" t="s">
        <v>7547</v>
      </c>
      <c r="D2450" s="1" t="s">
        <v>51</v>
      </c>
      <c r="E2450" s="1" t="s">
        <v>29</v>
      </c>
      <c r="F2450" s="5">
        <v>400000.0</v>
      </c>
      <c r="G2450" s="1" t="s">
        <v>7016</v>
      </c>
      <c r="H2450" s="1" t="s">
        <v>3574</v>
      </c>
      <c r="I2450" s="1" t="s">
        <v>191</v>
      </c>
      <c r="K2450" s="1">
        <v>0.0</v>
      </c>
      <c r="L2450" s="1" t="s">
        <v>491</v>
      </c>
      <c r="M2450" s="1" t="str">
        <f>VLOOKUP(L2450,'Copy of PMD Workday Constants -'!B2449:W3135,22,false)</f>
        <v>#N/A</v>
      </c>
      <c r="N2450" s="1" t="s">
        <v>32</v>
      </c>
      <c r="O2450" s="1" t="s">
        <v>33</v>
      </c>
      <c r="P2450" s="1" t="s">
        <v>112</v>
      </c>
      <c r="Q2450" s="1" t="s">
        <v>112</v>
      </c>
      <c r="R2450" s="1" t="s">
        <v>113</v>
      </c>
      <c r="S2450" s="1" t="s">
        <v>1336</v>
      </c>
      <c r="T2450" s="1">
        <v>1.00623914E8</v>
      </c>
      <c r="W2450" s="1" t="s">
        <v>91</v>
      </c>
      <c r="X2450" s="1" t="s">
        <v>491</v>
      </c>
    </row>
    <row r="2451">
      <c r="A2451" s="1" t="s">
        <v>7548</v>
      </c>
      <c r="B2451" s="1" t="s">
        <v>615</v>
      </c>
      <c r="C2451" s="1" t="s">
        <v>7549</v>
      </c>
      <c r="D2451" s="1" t="s">
        <v>51</v>
      </c>
      <c r="E2451" s="1" t="s">
        <v>29</v>
      </c>
      <c r="F2451" s="5">
        <v>400000.0</v>
      </c>
      <c r="G2451" s="1" t="s">
        <v>7016</v>
      </c>
      <c r="H2451" s="1" t="s">
        <v>170</v>
      </c>
      <c r="I2451" s="1" t="s">
        <v>152</v>
      </c>
      <c r="K2451" s="1">
        <v>0.0</v>
      </c>
      <c r="L2451" s="1" t="s">
        <v>1823</v>
      </c>
      <c r="M2451" s="1" t="str">
        <f>VLOOKUP(L2451,'Copy of PMD Workday Constants -'!B2450:W3136,22,false)</f>
        <v>#N/A</v>
      </c>
      <c r="N2451" s="1" t="s">
        <v>32</v>
      </c>
      <c r="O2451" s="1" t="s">
        <v>33</v>
      </c>
      <c r="P2451" s="1" t="s">
        <v>222</v>
      </c>
      <c r="Q2451" s="1" t="s">
        <v>222</v>
      </c>
      <c r="R2451" s="1" t="s">
        <v>223</v>
      </c>
      <c r="S2451" s="1" t="s">
        <v>601</v>
      </c>
      <c r="T2451" s="1">
        <v>1.0064195E8</v>
      </c>
      <c r="W2451" s="1" t="s">
        <v>74</v>
      </c>
      <c r="X2451" s="1" t="s">
        <v>7550</v>
      </c>
    </row>
    <row r="2452">
      <c r="A2452" s="1" t="s">
        <v>7551</v>
      </c>
      <c r="B2452" s="1" t="s">
        <v>1580</v>
      </c>
      <c r="C2452" s="1" t="s">
        <v>7552</v>
      </c>
      <c r="D2452" s="1" t="s">
        <v>28</v>
      </c>
      <c r="E2452" s="1" t="s">
        <v>29</v>
      </c>
      <c r="F2452" s="5">
        <v>400000.0</v>
      </c>
      <c r="G2452" s="1" t="s">
        <v>7016</v>
      </c>
      <c r="H2452" s="4">
        <v>44565.0</v>
      </c>
      <c r="I2452" s="4">
        <v>44568.0</v>
      </c>
      <c r="K2452" s="1">
        <v>0.0</v>
      </c>
      <c r="L2452" s="1" t="s">
        <v>1587</v>
      </c>
      <c r="M2452" s="1" t="str">
        <f>VLOOKUP(L2452,'Copy of PMD Workday Constants -'!B2451:W3137,22,false)</f>
        <v>#N/A</v>
      </c>
      <c r="N2452" s="1" t="s">
        <v>32</v>
      </c>
      <c r="O2452" s="1" t="s">
        <v>33</v>
      </c>
      <c r="P2452" s="1" t="s">
        <v>64</v>
      </c>
      <c r="Q2452" s="1" t="s">
        <v>64</v>
      </c>
      <c r="R2452" s="1" t="s">
        <v>65</v>
      </c>
      <c r="S2452" s="1" t="s">
        <v>1336</v>
      </c>
      <c r="T2452" s="1">
        <v>1.01141441E8</v>
      </c>
      <c r="W2452" s="1" t="s">
        <v>91</v>
      </c>
      <c r="X2452" s="1" t="s">
        <v>3349</v>
      </c>
    </row>
    <row r="2453">
      <c r="A2453" s="1" t="s">
        <v>7553</v>
      </c>
      <c r="B2453" s="1" t="s">
        <v>585</v>
      </c>
      <c r="C2453" s="1" t="s">
        <v>7554</v>
      </c>
      <c r="D2453" s="1" t="s">
        <v>28</v>
      </c>
      <c r="E2453" s="1" t="s">
        <v>29</v>
      </c>
      <c r="F2453" s="5">
        <v>400000.0</v>
      </c>
      <c r="G2453" s="1" t="s">
        <v>7016</v>
      </c>
      <c r="H2453" s="1" t="s">
        <v>1245</v>
      </c>
      <c r="I2453" s="4">
        <v>44600.0</v>
      </c>
      <c r="K2453" s="1">
        <v>0.0</v>
      </c>
      <c r="L2453" s="1" t="s">
        <v>1611</v>
      </c>
      <c r="M2453" s="1" t="str">
        <f>VLOOKUP(L2453,'Copy of PMD Workday Constants -'!B2452:W3138,22,false)</f>
        <v>#N/A</v>
      </c>
      <c r="N2453" s="1" t="s">
        <v>32</v>
      </c>
      <c r="O2453" s="1" t="s">
        <v>33</v>
      </c>
      <c r="P2453" s="1" t="s">
        <v>34</v>
      </c>
      <c r="Q2453" s="1" t="s">
        <v>34</v>
      </c>
      <c r="R2453" s="1" t="s">
        <v>35</v>
      </c>
      <c r="S2453" s="1" t="s">
        <v>36</v>
      </c>
      <c r="T2453" s="1">
        <v>1.00645852E8</v>
      </c>
      <c r="W2453" s="1" t="s">
        <v>91</v>
      </c>
      <c r="X2453" s="1" t="s">
        <v>1611</v>
      </c>
    </row>
    <row r="2454">
      <c r="A2454" s="1" t="s">
        <v>7555</v>
      </c>
      <c r="B2454" s="1" t="s">
        <v>1305</v>
      </c>
      <c r="C2454" s="1" t="s">
        <v>7556</v>
      </c>
      <c r="D2454" s="1" t="s">
        <v>28</v>
      </c>
      <c r="E2454" s="1" t="s">
        <v>29</v>
      </c>
      <c r="F2454" s="5">
        <v>400000.0</v>
      </c>
      <c r="G2454" s="1" t="s">
        <v>7016</v>
      </c>
      <c r="H2454" s="4">
        <v>44420.0</v>
      </c>
      <c r="I2454" s="4">
        <v>44693.0</v>
      </c>
      <c r="K2454" s="1">
        <v>0.0</v>
      </c>
      <c r="L2454" s="1" t="s">
        <v>1486</v>
      </c>
      <c r="M2454" s="1" t="str">
        <f>VLOOKUP(L2454,'Copy of PMD Workday Constants -'!B2453:W3139,22,false)</f>
        <v>#N/A</v>
      </c>
      <c r="N2454" s="1" t="s">
        <v>32</v>
      </c>
      <c r="O2454" s="1" t="s">
        <v>33</v>
      </c>
      <c r="P2454" s="1" t="s">
        <v>82</v>
      </c>
      <c r="Q2454" s="1" t="s">
        <v>82</v>
      </c>
      <c r="R2454" s="1" t="s">
        <v>83</v>
      </c>
      <c r="S2454" s="1" t="s">
        <v>583</v>
      </c>
      <c r="T2454" s="1">
        <v>1.006324E8</v>
      </c>
      <c r="W2454" s="1" t="s">
        <v>456</v>
      </c>
      <c r="X2454" s="1" t="s">
        <v>768</v>
      </c>
    </row>
    <row r="2455">
      <c r="A2455" s="1" t="s">
        <v>7557</v>
      </c>
      <c r="B2455" s="1" t="s">
        <v>2976</v>
      </c>
      <c r="C2455" s="1" t="s">
        <v>7558</v>
      </c>
      <c r="D2455" s="1" t="s">
        <v>103</v>
      </c>
      <c r="E2455" s="1" t="s">
        <v>29</v>
      </c>
      <c r="F2455" s="5">
        <v>400000.0</v>
      </c>
      <c r="G2455" s="1" t="s">
        <v>7016</v>
      </c>
      <c r="H2455" s="1" t="s">
        <v>2142</v>
      </c>
      <c r="I2455" s="1" t="s">
        <v>302</v>
      </c>
      <c r="K2455" s="1">
        <v>0.0</v>
      </c>
      <c r="L2455" s="1" t="s">
        <v>7559</v>
      </c>
      <c r="M2455" s="1" t="str">
        <f>VLOOKUP(L2455,'Copy of PMD Workday Constants -'!B2454:W3140,22,false)</f>
        <v>#N/A</v>
      </c>
      <c r="N2455" s="1" t="s">
        <v>32</v>
      </c>
      <c r="O2455" s="1" t="s">
        <v>33</v>
      </c>
      <c r="P2455" s="1" t="s">
        <v>173</v>
      </c>
      <c r="Q2455" s="1" t="s">
        <v>173</v>
      </c>
      <c r="R2455" s="1" t="s">
        <v>174</v>
      </c>
      <c r="T2455" s="1">
        <v>1.00653494E8</v>
      </c>
      <c r="W2455" s="1" t="s">
        <v>250</v>
      </c>
      <c r="X2455" s="1" t="s">
        <v>7559</v>
      </c>
    </row>
    <row r="2456">
      <c r="A2456" s="1" t="s">
        <v>7560</v>
      </c>
      <c r="B2456" s="1" t="s">
        <v>1429</v>
      </c>
      <c r="C2456" s="1" t="s">
        <v>7561</v>
      </c>
      <c r="D2456" s="1" t="s">
        <v>28</v>
      </c>
      <c r="E2456" s="1" t="s">
        <v>29</v>
      </c>
      <c r="F2456" s="5">
        <v>400000.0</v>
      </c>
      <c r="G2456" s="1" t="s">
        <v>7016</v>
      </c>
      <c r="H2456" s="1" t="s">
        <v>110</v>
      </c>
      <c r="I2456" s="1" t="s">
        <v>406</v>
      </c>
      <c r="K2456" s="1">
        <v>0.0</v>
      </c>
      <c r="L2456" s="1" t="s">
        <v>967</v>
      </c>
      <c r="M2456" s="1" t="str">
        <f>VLOOKUP(L2456,'Copy of PMD Workday Constants -'!B2455:W3141,22,false)</f>
        <v>#N/A</v>
      </c>
      <c r="N2456" s="1" t="s">
        <v>32</v>
      </c>
      <c r="O2456" s="1" t="s">
        <v>33</v>
      </c>
      <c r="P2456" s="1" t="s">
        <v>210</v>
      </c>
      <c r="Q2456" s="1" t="s">
        <v>210</v>
      </c>
      <c r="R2456" s="1" t="s">
        <v>211</v>
      </c>
      <c r="S2456" s="1" t="s">
        <v>416</v>
      </c>
      <c r="T2456" s="1">
        <v>1.00608243E8</v>
      </c>
      <c r="W2456" s="1" t="s">
        <v>56</v>
      </c>
      <c r="X2456" s="1" t="s">
        <v>968</v>
      </c>
    </row>
    <row r="2457">
      <c r="A2457" s="1" t="s">
        <v>7562</v>
      </c>
      <c r="B2457" s="1" t="s">
        <v>7563</v>
      </c>
      <c r="C2457" s="1" t="s">
        <v>7564</v>
      </c>
      <c r="D2457" s="1" t="s">
        <v>28</v>
      </c>
      <c r="E2457" s="1" t="s">
        <v>29</v>
      </c>
      <c r="F2457" s="5">
        <v>400000.0</v>
      </c>
      <c r="G2457" s="1" t="s">
        <v>7016</v>
      </c>
      <c r="H2457" s="4">
        <v>44596.0</v>
      </c>
      <c r="I2457" s="1" t="s">
        <v>152</v>
      </c>
      <c r="K2457" s="1">
        <v>0.0</v>
      </c>
      <c r="L2457" s="1" t="s">
        <v>3019</v>
      </c>
      <c r="M2457" s="1" t="str">
        <f>VLOOKUP(L2457,'Copy of PMD Workday Constants -'!B2456:W3142,22,false)</f>
        <v>#N/A</v>
      </c>
      <c r="N2457" s="1" t="s">
        <v>32</v>
      </c>
      <c r="O2457" s="1" t="s">
        <v>33</v>
      </c>
      <c r="P2457" s="1" t="s">
        <v>112</v>
      </c>
      <c r="Q2457" s="1" t="s">
        <v>112</v>
      </c>
      <c r="R2457" s="1" t="s">
        <v>113</v>
      </c>
      <c r="T2457" s="1">
        <v>1.00627256E8</v>
      </c>
      <c r="W2457" s="1" t="s">
        <v>47</v>
      </c>
      <c r="X2457" s="1" t="s">
        <v>3019</v>
      </c>
    </row>
    <row r="2458">
      <c r="A2458" s="1" t="s">
        <v>7565</v>
      </c>
      <c r="B2458" s="1" t="s">
        <v>7566</v>
      </c>
      <c r="C2458" s="1" t="s">
        <v>7567</v>
      </c>
      <c r="D2458" s="1" t="s">
        <v>51</v>
      </c>
      <c r="E2458" s="1" t="s">
        <v>29</v>
      </c>
      <c r="F2458" s="5">
        <v>400000.0</v>
      </c>
      <c r="G2458" s="1" t="s">
        <v>7016</v>
      </c>
      <c r="H2458" s="1" t="s">
        <v>3574</v>
      </c>
      <c r="I2458" s="4">
        <v>44573.0</v>
      </c>
      <c r="K2458" s="1">
        <v>0.0</v>
      </c>
      <c r="L2458" s="1" t="s">
        <v>1065</v>
      </c>
      <c r="M2458" s="1" t="str">
        <f>VLOOKUP(L2458,'Copy of PMD Workday Constants -'!B2457:W3143,22,false)</f>
        <v>#N/A</v>
      </c>
      <c r="N2458" s="1" t="s">
        <v>32</v>
      </c>
      <c r="O2458" s="1" t="s">
        <v>33</v>
      </c>
      <c r="P2458" s="1" t="s">
        <v>173</v>
      </c>
      <c r="Q2458" s="1" t="s">
        <v>173</v>
      </c>
      <c r="R2458" s="1" t="s">
        <v>174</v>
      </c>
      <c r="S2458" s="1" t="s">
        <v>540</v>
      </c>
      <c r="T2458" s="1">
        <v>1.00594872E8</v>
      </c>
      <c r="W2458" s="1" t="s">
        <v>493</v>
      </c>
      <c r="X2458" s="1" t="s">
        <v>1065</v>
      </c>
    </row>
    <row r="2459">
      <c r="A2459" s="1" t="s">
        <v>7568</v>
      </c>
      <c r="B2459" s="1" t="s">
        <v>485</v>
      </c>
      <c r="C2459" s="1" t="s">
        <v>7569</v>
      </c>
      <c r="D2459" s="1" t="s">
        <v>28</v>
      </c>
      <c r="E2459" s="1" t="s">
        <v>29</v>
      </c>
      <c r="F2459" s="5">
        <v>400000.0</v>
      </c>
      <c r="G2459" s="1" t="s">
        <v>7016</v>
      </c>
      <c r="H2459" s="4">
        <v>44598.0</v>
      </c>
      <c r="I2459" s="1" t="s">
        <v>152</v>
      </c>
      <c r="K2459" s="1">
        <v>0.0</v>
      </c>
      <c r="L2459" s="1" t="s">
        <v>7570</v>
      </c>
      <c r="M2459" s="1" t="str">
        <f>VLOOKUP(L2459,'Copy of PMD Workday Constants -'!B2458:W3144,22,false)</f>
        <v>#N/A</v>
      </c>
      <c r="N2459" s="1" t="s">
        <v>32</v>
      </c>
      <c r="O2459" s="1" t="s">
        <v>33</v>
      </c>
      <c r="P2459" s="1" t="s">
        <v>82</v>
      </c>
      <c r="Q2459" s="1" t="s">
        <v>82</v>
      </c>
      <c r="R2459" s="1" t="s">
        <v>83</v>
      </c>
      <c r="S2459" s="1" t="s">
        <v>180</v>
      </c>
      <c r="T2459" s="1">
        <v>1.00611377E8</v>
      </c>
      <c r="W2459" s="1" t="s">
        <v>85</v>
      </c>
      <c r="X2459" s="1" t="s">
        <v>7570</v>
      </c>
    </row>
    <row r="2460">
      <c r="A2460" s="1" t="s">
        <v>7571</v>
      </c>
      <c r="B2460" s="1" t="s">
        <v>2263</v>
      </c>
      <c r="C2460" s="1" t="s">
        <v>7572</v>
      </c>
      <c r="D2460" s="1" t="s">
        <v>103</v>
      </c>
      <c r="E2460" s="1" t="s">
        <v>29</v>
      </c>
      <c r="F2460" s="5">
        <v>400000.0</v>
      </c>
      <c r="G2460" s="1" t="s">
        <v>7016</v>
      </c>
      <c r="H2460" s="1" t="s">
        <v>2510</v>
      </c>
      <c r="I2460" s="1" t="s">
        <v>301</v>
      </c>
      <c r="K2460" s="1">
        <v>0.0</v>
      </c>
      <c r="L2460" s="1" t="s">
        <v>4644</v>
      </c>
      <c r="M2460" s="1" t="str">
        <f>VLOOKUP(L2460,'Copy of PMD Workday Constants -'!B2459:W3145,22,false)</f>
        <v>#N/A</v>
      </c>
      <c r="N2460" s="1" t="s">
        <v>32</v>
      </c>
      <c r="O2460" s="1" t="s">
        <v>33</v>
      </c>
      <c r="P2460" s="1" t="s">
        <v>210</v>
      </c>
      <c r="Q2460" s="1" t="s">
        <v>210</v>
      </c>
      <c r="R2460" s="1" t="s">
        <v>211</v>
      </c>
      <c r="T2460" s="1">
        <v>1.00637587E8</v>
      </c>
      <c r="W2460" s="1" t="s">
        <v>577</v>
      </c>
      <c r="X2460" s="1" t="s">
        <v>5385</v>
      </c>
    </row>
    <row r="2461">
      <c r="A2461" s="1" t="s">
        <v>7573</v>
      </c>
      <c r="B2461" s="1" t="s">
        <v>1721</v>
      </c>
      <c r="C2461" s="1" t="s">
        <v>7574</v>
      </c>
      <c r="D2461" s="1" t="s">
        <v>103</v>
      </c>
      <c r="E2461" s="1" t="s">
        <v>29</v>
      </c>
      <c r="F2461" s="5">
        <v>400000.0</v>
      </c>
      <c r="G2461" s="1" t="s">
        <v>7016</v>
      </c>
      <c r="H2461" s="1" t="s">
        <v>1514</v>
      </c>
      <c r="I2461" s="1" t="s">
        <v>80</v>
      </c>
      <c r="K2461" s="1">
        <v>0.0</v>
      </c>
      <c r="L2461" s="1" t="s">
        <v>3201</v>
      </c>
      <c r="M2461" s="1" t="str">
        <f>VLOOKUP(L2461,'Copy of PMD Workday Constants -'!B2460:W3146,22,false)</f>
        <v>#N/A</v>
      </c>
      <c r="N2461" s="1" t="s">
        <v>32</v>
      </c>
      <c r="O2461" s="1" t="s">
        <v>33</v>
      </c>
      <c r="P2461" s="1" t="s">
        <v>34</v>
      </c>
      <c r="Q2461" s="1" t="s">
        <v>34</v>
      </c>
      <c r="R2461" s="1" t="s">
        <v>35</v>
      </c>
      <c r="S2461" s="1" t="s">
        <v>126</v>
      </c>
      <c r="T2461" s="1">
        <v>1.00651946E8</v>
      </c>
      <c r="W2461" s="1" t="s">
        <v>391</v>
      </c>
      <c r="X2461" s="1" t="s">
        <v>7575</v>
      </c>
    </row>
    <row r="2462">
      <c r="A2462" s="1" t="s">
        <v>7576</v>
      </c>
      <c r="B2462" s="1" t="s">
        <v>2267</v>
      </c>
      <c r="C2462" s="1" t="s">
        <v>7577</v>
      </c>
      <c r="D2462" s="1" t="s">
        <v>28</v>
      </c>
      <c r="E2462" s="1" t="s">
        <v>29</v>
      </c>
      <c r="F2462" s="5">
        <v>400000.0</v>
      </c>
      <c r="G2462" s="1" t="s">
        <v>7016</v>
      </c>
      <c r="H2462" s="4">
        <v>44745.0</v>
      </c>
      <c r="I2462" s="1" t="s">
        <v>810</v>
      </c>
      <c r="K2462" s="1">
        <v>0.0</v>
      </c>
      <c r="L2462" s="1" t="s">
        <v>893</v>
      </c>
      <c r="M2462" s="1" t="str">
        <f>VLOOKUP(L2462,'Copy of PMD Workday Constants -'!B2461:W3147,22,false)</f>
        <v>#N/A</v>
      </c>
      <c r="N2462" s="1" t="s">
        <v>32</v>
      </c>
      <c r="O2462" s="1" t="s">
        <v>33</v>
      </c>
      <c r="P2462" s="1" t="s">
        <v>82</v>
      </c>
      <c r="Q2462" s="1" t="s">
        <v>82</v>
      </c>
      <c r="R2462" s="1" t="s">
        <v>83</v>
      </c>
      <c r="T2462" s="1">
        <v>1.0112897E8</v>
      </c>
      <c r="W2462" s="1" t="s">
        <v>85</v>
      </c>
      <c r="X2462" s="1" t="s">
        <v>893</v>
      </c>
    </row>
    <row r="2463">
      <c r="A2463" s="1" t="s">
        <v>7578</v>
      </c>
      <c r="B2463" s="1" t="s">
        <v>5151</v>
      </c>
      <c r="C2463" s="1" t="s">
        <v>7579</v>
      </c>
      <c r="D2463" s="1" t="s">
        <v>28</v>
      </c>
      <c r="E2463" s="1" t="s">
        <v>29</v>
      </c>
      <c r="F2463" s="5">
        <v>400000.0</v>
      </c>
      <c r="G2463" s="1" t="s">
        <v>7016</v>
      </c>
      <c r="H2463" s="4">
        <v>44748.0</v>
      </c>
      <c r="I2463" s="1" t="s">
        <v>302</v>
      </c>
      <c r="K2463" s="1">
        <v>0.0</v>
      </c>
      <c r="L2463" s="1" t="s">
        <v>6839</v>
      </c>
      <c r="M2463" s="1" t="str">
        <f>VLOOKUP(L2463,'Copy of PMD Workday Constants -'!B2462:W3148,22,false)</f>
        <v>#N/A</v>
      </c>
      <c r="N2463" s="1" t="s">
        <v>32</v>
      </c>
      <c r="O2463" s="1" t="s">
        <v>33</v>
      </c>
      <c r="P2463" s="1" t="s">
        <v>222</v>
      </c>
      <c r="Q2463" s="1" t="s">
        <v>222</v>
      </c>
      <c r="R2463" s="1" t="s">
        <v>223</v>
      </c>
      <c r="T2463" s="1">
        <v>1.00613669E8</v>
      </c>
      <c r="W2463" s="1" t="s">
        <v>947</v>
      </c>
      <c r="X2463" s="1" t="s">
        <v>5153</v>
      </c>
    </row>
    <row r="2464">
      <c r="A2464" s="1" t="s">
        <v>7580</v>
      </c>
      <c r="B2464" s="1" t="s">
        <v>40</v>
      </c>
      <c r="C2464" s="1" t="s">
        <v>7581</v>
      </c>
      <c r="D2464" s="1" t="s">
        <v>51</v>
      </c>
      <c r="E2464" s="1" t="s">
        <v>29</v>
      </c>
      <c r="F2464" s="5">
        <v>400000.0</v>
      </c>
      <c r="G2464" s="1" t="s">
        <v>7016</v>
      </c>
      <c r="H2464" s="4">
        <v>44870.0</v>
      </c>
      <c r="I2464" s="1" t="s">
        <v>104</v>
      </c>
      <c r="K2464" s="1">
        <v>0.0</v>
      </c>
      <c r="L2464" s="1" t="s">
        <v>1413</v>
      </c>
      <c r="M2464" s="1" t="str">
        <f>VLOOKUP(L2464,'Copy of PMD Workday Constants -'!B2463:W3149,22,false)</f>
        <v>#N/A</v>
      </c>
      <c r="N2464" s="1" t="s">
        <v>32</v>
      </c>
      <c r="O2464" s="1" t="s">
        <v>33</v>
      </c>
      <c r="P2464" s="1" t="s">
        <v>34</v>
      </c>
      <c r="Q2464" s="1" t="s">
        <v>34</v>
      </c>
      <c r="R2464" s="1" t="s">
        <v>35</v>
      </c>
      <c r="S2464" s="1" t="s">
        <v>126</v>
      </c>
      <c r="T2464" s="1">
        <v>1.00643044E8</v>
      </c>
      <c r="W2464" s="1" t="s">
        <v>47</v>
      </c>
      <c r="X2464" s="1" t="s">
        <v>127</v>
      </c>
    </row>
    <row r="2465">
      <c r="A2465" s="1" t="s">
        <v>7582</v>
      </c>
      <c r="B2465" s="1" t="s">
        <v>7583</v>
      </c>
      <c r="C2465" s="1" t="s">
        <v>7584</v>
      </c>
      <c r="D2465" s="1" t="s">
        <v>51</v>
      </c>
      <c r="E2465" s="1" t="s">
        <v>29</v>
      </c>
      <c r="F2465" s="5">
        <v>400000.0</v>
      </c>
      <c r="G2465" s="1" t="s">
        <v>7016</v>
      </c>
      <c r="H2465" s="1" t="s">
        <v>556</v>
      </c>
      <c r="I2465" s="4">
        <v>44568.0</v>
      </c>
      <c r="K2465" s="1">
        <v>0.0</v>
      </c>
      <c r="L2465" s="1" t="s">
        <v>7585</v>
      </c>
      <c r="M2465" s="1" t="str">
        <f>VLOOKUP(L2465,'Copy of PMD Workday Constants -'!B2464:W3150,22,false)</f>
        <v>#N/A</v>
      </c>
      <c r="N2465" s="1" t="s">
        <v>32</v>
      </c>
      <c r="O2465" s="1" t="s">
        <v>33</v>
      </c>
      <c r="P2465" s="1" t="s">
        <v>173</v>
      </c>
      <c r="Q2465" s="1" t="s">
        <v>173</v>
      </c>
      <c r="R2465" s="1" t="s">
        <v>174</v>
      </c>
      <c r="T2465" s="1">
        <v>1.01237665E8</v>
      </c>
      <c r="W2465" s="1" t="s">
        <v>115</v>
      </c>
      <c r="X2465" s="1" t="s">
        <v>7585</v>
      </c>
    </row>
    <row r="2466">
      <c r="A2466" s="1" t="s">
        <v>7586</v>
      </c>
      <c r="B2466" s="1" t="s">
        <v>4106</v>
      </c>
      <c r="C2466" s="1" t="s">
        <v>7587</v>
      </c>
      <c r="D2466" s="1" t="s">
        <v>28</v>
      </c>
      <c r="E2466" s="1" t="s">
        <v>29</v>
      </c>
      <c r="F2466" s="5">
        <v>400000.0</v>
      </c>
      <c r="G2466" s="1" t="s">
        <v>7016</v>
      </c>
      <c r="H2466" s="1" t="s">
        <v>460</v>
      </c>
      <c r="I2466" s="1" t="s">
        <v>301</v>
      </c>
      <c r="K2466" s="1">
        <v>0.0</v>
      </c>
      <c r="L2466" s="1" t="s">
        <v>1188</v>
      </c>
      <c r="M2466" s="1" t="str">
        <f>VLOOKUP(L2466,'Copy of PMD Workday Constants -'!B2465:W3151,22,false)</f>
        <v>#N/A</v>
      </c>
      <c r="N2466" s="1" t="s">
        <v>32</v>
      </c>
      <c r="O2466" s="1" t="s">
        <v>33</v>
      </c>
      <c r="P2466" s="1" t="s">
        <v>64</v>
      </c>
      <c r="Q2466" s="1" t="s">
        <v>64</v>
      </c>
      <c r="R2466" s="1" t="s">
        <v>65</v>
      </c>
      <c r="S2466" s="1" t="s">
        <v>98</v>
      </c>
      <c r="T2466" s="1">
        <v>1.00968114E8</v>
      </c>
      <c r="W2466" s="1" t="s">
        <v>436</v>
      </c>
      <c r="X2466" s="1" t="s">
        <v>4318</v>
      </c>
    </row>
    <row r="2467">
      <c r="A2467" s="1" t="s">
        <v>7588</v>
      </c>
      <c r="B2467" s="1" t="s">
        <v>7439</v>
      </c>
      <c r="C2467" s="1" t="s">
        <v>7589</v>
      </c>
      <c r="D2467" s="1" t="s">
        <v>103</v>
      </c>
      <c r="E2467" s="1" t="s">
        <v>29</v>
      </c>
      <c r="F2467" s="5">
        <v>400000.0</v>
      </c>
      <c r="G2467" s="1" t="s">
        <v>7016</v>
      </c>
      <c r="H2467" s="1" t="s">
        <v>1765</v>
      </c>
      <c r="I2467" s="4">
        <v>44872.0</v>
      </c>
      <c r="K2467" s="1">
        <v>0.0</v>
      </c>
      <c r="L2467" s="1" t="s">
        <v>2522</v>
      </c>
      <c r="M2467" s="1" t="str">
        <f>VLOOKUP(L2467,'Copy of PMD Workday Constants -'!B2466:W3152,22,false)</f>
        <v>#N/A</v>
      </c>
      <c r="N2467" s="1" t="s">
        <v>32</v>
      </c>
      <c r="O2467" s="1" t="s">
        <v>33</v>
      </c>
      <c r="P2467" s="1" t="s">
        <v>173</v>
      </c>
      <c r="Q2467" s="1" t="s">
        <v>173</v>
      </c>
      <c r="R2467" s="1" t="s">
        <v>174</v>
      </c>
      <c r="S2467" s="1" t="s">
        <v>612</v>
      </c>
      <c r="T2467" s="1">
        <v>1.00590772E8</v>
      </c>
      <c r="W2467" s="1" t="s">
        <v>47</v>
      </c>
      <c r="X2467" s="1" t="s">
        <v>7590</v>
      </c>
    </row>
    <row r="2468">
      <c r="A2468" s="1" t="s">
        <v>7591</v>
      </c>
      <c r="B2468" s="1" t="s">
        <v>6344</v>
      </c>
      <c r="C2468" s="1" t="s">
        <v>7592</v>
      </c>
      <c r="D2468" s="1" t="s">
        <v>28</v>
      </c>
      <c r="E2468" s="1" t="s">
        <v>29</v>
      </c>
      <c r="F2468" s="5">
        <v>400000.0</v>
      </c>
      <c r="G2468" s="1" t="s">
        <v>7016</v>
      </c>
      <c r="H2468" s="1" t="s">
        <v>1765</v>
      </c>
      <c r="I2468" s="1" t="s">
        <v>152</v>
      </c>
      <c r="K2468" s="1">
        <v>0.0</v>
      </c>
      <c r="L2468" s="1" t="s">
        <v>3623</v>
      </c>
      <c r="M2468" s="1" t="str">
        <f>VLOOKUP(L2468,'Copy of PMD Workday Constants -'!B2467:W3153,22,false)</f>
        <v>#N/A</v>
      </c>
      <c r="N2468" s="1" t="s">
        <v>32</v>
      </c>
      <c r="O2468" s="1" t="s">
        <v>33</v>
      </c>
      <c r="P2468" s="1" t="s">
        <v>82</v>
      </c>
      <c r="Q2468" s="1" t="s">
        <v>82</v>
      </c>
      <c r="R2468" s="1" t="s">
        <v>83</v>
      </c>
      <c r="S2468" s="1" t="s">
        <v>84</v>
      </c>
      <c r="T2468" s="1">
        <v>1.00929557E8</v>
      </c>
      <c r="W2468" s="1" t="s">
        <v>85</v>
      </c>
      <c r="X2468" s="1" t="s">
        <v>3623</v>
      </c>
    </row>
    <row r="2469">
      <c r="A2469" s="1" t="s">
        <v>7593</v>
      </c>
      <c r="B2469" s="1" t="s">
        <v>1968</v>
      </c>
      <c r="C2469" s="1" t="s">
        <v>7594</v>
      </c>
      <c r="D2469" s="1" t="s">
        <v>28</v>
      </c>
      <c r="E2469" s="1" t="s">
        <v>29</v>
      </c>
      <c r="F2469" s="5">
        <v>400000.0</v>
      </c>
      <c r="G2469" s="1" t="s">
        <v>7016</v>
      </c>
      <c r="H2469" s="4">
        <v>44900.0</v>
      </c>
      <c r="I2469" s="1" t="s">
        <v>264</v>
      </c>
      <c r="K2469" s="1">
        <v>0.0</v>
      </c>
      <c r="L2469" s="1" t="s">
        <v>6791</v>
      </c>
      <c r="M2469" s="1" t="str">
        <f>VLOOKUP(L2469,'Copy of PMD Workday Constants -'!B2468:W3154,22,false)</f>
        <v>#N/A</v>
      </c>
      <c r="N2469" s="1" t="s">
        <v>32</v>
      </c>
      <c r="O2469" s="1" t="s">
        <v>33</v>
      </c>
      <c r="P2469" s="1" t="s">
        <v>82</v>
      </c>
      <c r="Q2469" s="1" t="s">
        <v>82</v>
      </c>
      <c r="R2469" s="1" t="s">
        <v>83</v>
      </c>
      <c r="S2469" s="1" t="s">
        <v>84</v>
      </c>
      <c r="T2469" s="1">
        <v>1.00594243E8</v>
      </c>
      <c r="W2469" s="1" t="s">
        <v>85</v>
      </c>
      <c r="X2469" s="1" t="s">
        <v>6791</v>
      </c>
    </row>
    <row r="2470">
      <c r="A2470" s="1" t="s">
        <v>7595</v>
      </c>
      <c r="B2470" s="1" t="s">
        <v>1968</v>
      </c>
      <c r="C2470" s="1" t="s">
        <v>7596</v>
      </c>
      <c r="D2470" s="1" t="s">
        <v>103</v>
      </c>
      <c r="E2470" s="1" t="s">
        <v>29</v>
      </c>
      <c r="F2470" s="5">
        <v>400000.0</v>
      </c>
      <c r="G2470" s="1" t="s">
        <v>7016</v>
      </c>
      <c r="H2470" s="4">
        <v>44389.0</v>
      </c>
      <c r="I2470" s="1" t="s">
        <v>941</v>
      </c>
      <c r="K2470" s="1">
        <v>0.0</v>
      </c>
      <c r="L2470" s="1" t="s">
        <v>319</v>
      </c>
      <c r="M2470" s="1" t="str">
        <f>VLOOKUP(L2470,'Copy of PMD Workday Constants -'!B2469:W3155,22,false)</f>
        <v>#N/A</v>
      </c>
      <c r="N2470" s="1" t="s">
        <v>32</v>
      </c>
      <c r="O2470" s="1" t="s">
        <v>33</v>
      </c>
      <c r="P2470" s="1" t="s">
        <v>82</v>
      </c>
      <c r="Q2470" s="1" t="s">
        <v>82</v>
      </c>
      <c r="R2470" s="1" t="s">
        <v>83</v>
      </c>
      <c r="S2470" s="1" t="s">
        <v>84</v>
      </c>
      <c r="T2470" s="1">
        <v>1.00654705E8</v>
      </c>
      <c r="W2470" s="1" t="s">
        <v>85</v>
      </c>
      <c r="X2470" s="1" t="s">
        <v>319</v>
      </c>
    </row>
    <row r="2471">
      <c r="A2471" s="1" t="s">
        <v>7597</v>
      </c>
      <c r="B2471" s="1" t="s">
        <v>317</v>
      </c>
      <c r="C2471" s="1" t="s">
        <v>7598</v>
      </c>
      <c r="D2471" s="1" t="s">
        <v>51</v>
      </c>
      <c r="E2471" s="1" t="s">
        <v>29</v>
      </c>
      <c r="F2471" s="5">
        <v>400000.0</v>
      </c>
      <c r="G2471" s="1" t="s">
        <v>7016</v>
      </c>
      <c r="H2471" s="4">
        <v>44567.0</v>
      </c>
      <c r="I2471" s="1" t="s">
        <v>96</v>
      </c>
      <c r="K2471" s="1">
        <v>0.0</v>
      </c>
      <c r="L2471" s="1" t="s">
        <v>1697</v>
      </c>
      <c r="M2471" s="1" t="str">
        <f>VLOOKUP(L2471,'Copy of PMD Workday Constants -'!B2470:W3156,22,false)</f>
        <v>#N/A</v>
      </c>
      <c r="N2471" s="1" t="s">
        <v>32</v>
      </c>
      <c r="O2471" s="1" t="s">
        <v>33</v>
      </c>
      <c r="P2471" s="1" t="s">
        <v>82</v>
      </c>
      <c r="Q2471" s="1" t="s">
        <v>82</v>
      </c>
      <c r="R2471" s="1" t="s">
        <v>83</v>
      </c>
      <c r="S2471" s="1" t="s">
        <v>84</v>
      </c>
      <c r="T2471" s="1">
        <v>1.00589728E8</v>
      </c>
      <c r="W2471" s="1" t="s">
        <v>85</v>
      </c>
      <c r="X2471" s="1" t="s">
        <v>1697</v>
      </c>
    </row>
    <row r="2472">
      <c r="A2472" s="1" t="s">
        <v>7599</v>
      </c>
      <c r="B2472" s="1" t="s">
        <v>317</v>
      </c>
      <c r="C2472" s="1" t="s">
        <v>7600</v>
      </c>
      <c r="D2472" s="1" t="s">
        <v>28</v>
      </c>
      <c r="E2472" s="1" t="s">
        <v>29</v>
      </c>
      <c r="F2472" s="5">
        <v>400000.0</v>
      </c>
      <c r="G2472" s="1" t="s">
        <v>7016</v>
      </c>
      <c r="H2472" s="4">
        <v>44239.0</v>
      </c>
      <c r="I2472" s="1" t="s">
        <v>302</v>
      </c>
      <c r="K2472" s="1">
        <v>0.0</v>
      </c>
      <c r="L2472" s="1" t="s">
        <v>3623</v>
      </c>
      <c r="M2472" s="1" t="str">
        <f>VLOOKUP(L2472,'Copy of PMD Workday Constants -'!B2471:W3157,22,false)</f>
        <v>#N/A</v>
      </c>
      <c r="N2472" s="1" t="s">
        <v>32</v>
      </c>
      <c r="O2472" s="1" t="s">
        <v>33</v>
      </c>
      <c r="P2472" s="1" t="s">
        <v>82</v>
      </c>
      <c r="Q2472" s="1" t="s">
        <v>82</v>
      </c>
      <c r="R2472" s="1" t="s">
        <v>83</v>
      </c>
      <c r="S2472" s="1" t="s">
        <v>7601</v>
      </c>
      <c r="T2472" s="1">
        <v>1.00929557E8</v>
      </c>
      <c r="W2472" s="1" t="s">
        <v>85</v>
      </c>
      <c r="X2472" s="1" t="s">
        <v>7602</v>
      </c>
    </row>
    <row r="2473">
      <c r="A2473" s="1" t="s">
        <v>7603</v>
      </c>
      <c r="B2473" s="1" t="s">
        <v>1109</v>
      </c>
      <c r="C2473" s="1" t="s">
        <v>7604</v>
      </c>
      <c r="D2473" s="1" t="s">
        <v>103</v>
      </c>
      <c r="E2473" s="1" t="s">
        <v>29</v>
      </c>
      <c r="F2473" s="5">
        <v>400000.0</v>
      </c>
      <c r="G2473" s="1" t="s">
        <v>7016</v>
      </c>
      <c r="H2473" s="4">
        <v>44239.0</v>
      </c>
      <c r="I2473" s="1" t="s">
        <v>414</v>
      </c>
      <c r="K2473" s="1">
        <v>0.0</v>
      </c>
      <c r="L2473" s="1" t="s">
        <v>3623</v>
      </c>
      <c r="M2473" s="1" t="str">
        <f>VLOOKUP(L2473,'Copy of PMD Workday Constants -'!B2472:W3158,22,false)</f>
        <v>#N/A</v>
      </c>
      <c r="N2473" s="1" t="s">
        <v>32</v>
      </c>
      <c r="O2473" s="1" t="s">
        <v>33</v>
      </c>
      <c r="P2473" s="1" t="s">
        <v>82</v>
      </c>
      <c r="Q2473" s="1" t="s">
        <v>82</v>
      </c>
      <c r="R2473" s="1" t="s">
        <v>83</v>
      </c>
      <c r="S2473" s="1" t="s">
        <v>84</v>
      </c>
      <c r="T2473" s="1">
        <v>1.00929557E8</v>
      </c>
      <c r="W2473" s="1" t="s">
        <v>85</v>
      </c>
      <c r="X2473" s="1" t="s">
        <v>7602</v>
      </c>
    </row>
    <row r="2474">
      <c r="A2474" s="1" t="s">
        <v>7605</v>
      </c>
      <c r="B2474" s="1" t="s">
        <v>7606</v>
      </c>
      <c r="C2474" s="1" t="s">
        <v>7607</v>
      </c>
      <c r="D2474" s="1" t="s">
        <v>51</v>
      </c>
      <c r="E2474" s="1" t="s">
        <v>29</v>
      </c>
      <c r="F2474" s="5">
        <v>400000.0</v>
      </c>
      <c r="G2474" s="1" t="s">
        <v>7016</v>
      </c>
      <c r="H2474" s="1" t="s">
        <v>3605</v>
      </c>
      <c r="I2474" s="1" t="s">
        <v>43</v>
      </c>
      <c r="K2474" s="1">
        <v>0.0</v>
      </c>
      <c r="L2474" s="1" t="s">
        <v>968</v>
      </c>
      <c r="M2474" s="1" t="str">
        <f>VLOOKUP(L2474,'Copy of PMD Workday Constants -'!B2473:W3159,22,false)</f>
        <v>#N/A</v>
      </c>
      <c r="N2474" s="1" t="s">
        <v>32</v>
      </c>
      <c r="O2474" s="1" t="s">
        <v>33</v>
      </c>
      <c r="P2474" s="1" t="s">
        <v>210</v>
      </c>
      <c r="Q2474" s="1" t="s">
        <v>210</v>
      </c>
      <c r="R2474" s="1" t="s">
        <v>211</v>
      </c>
      <c r="S2474" s="1" t="s">
        <v>416</v>
      </c>
      <c r="T2474" s="1">
        <v>1.00647262E8</v>
      </c>
      <c r="W2474" s="1" t="s">
        <v>56</v>
      </c>
      <c r="X2474" s="1" t="s">
        <v>1558</v>
      </c>
    </row>
    <row r="2475">
      <c r="A2475" s="1" t="s">
        <v>7608</v>
      </c>
      <c r="B2475" s="1" t="s">
        <v>7465</v>
      </c>
      <c r="C2475" s="1" t="s">
        <v>7609</v>
      </c>
      <c r="D2475" s="1" t="s">
        <v>103</v>
      </c>
      <c r="E2475" s="1" t="s">
        <v>29</v>
      </c>
      <c r="F2475" s="5">
        <v>400000.0</v>
      </c>
      <c r="G2475" s="1" t="s">
        <v>7016</v>
      </c>
      <c r="H2475" s="4">
        <v>44511.0</v>
      </c>
      <c r="I2475" s="1" t="s">
        <v>302</v>
      </c>
      <c r="K2475" s="1">
        <v>0.0</v>
      </c>
      <c r="L2475" s="1" t="s">
        <v>909</v>
      </c>
      <c r="M2475" s="1" t="str">
        <f>VLOOKUP(L2475,'Copy of PMD Workday Constants -'!B2474:W3160,22,false)</f>
        <v>#N/A</v>
      </c>
      <c r="N2475" s="1" t="s">
        <v>32</v>
      </c>
      <c r="O2475" s="1" t="s">
        <v>33</v>
      </c>
      <c r="P2475" s="1" t="s">
        <v>82</v>
      </c>
      <c r="Q2475" s="1" t="s">
        <v>82</v>
      </c>
      <c r="R2475" s="1" t="s">
        <v>83</v>
      </c>
      <c r="S2475" s="1" t="s">
        <v>84</v>
      </c>
      <c r="T2475" s="1">
        <v>1.00649698E8</v>
      </c>
      <c r="X2475" s="1" t="s">
        <v>909</v>
      </c>
    </row>
    <row r="2476">
      <c r="A2476" s="1" t="s">
        <v>7610</v>
      </c>
      <c r="B2476" s="1" t="s">
        <v>954</v>
      </c>
      <c r="C2476" s="1" t="s">
        <v>7611</v>
      </c>
      <c r="D2476" s="1" t="s">
        <v>51</v>
      </c>
      <c r="E2476" s="1" t="s">
        <v>29</v>
      </c>
      <c r="F2476" s="5">
        <v>400000.0</v>
      </c>
      <c r="G2476" s="1" t="s">
        <v>7016</v>
      </c>
      <c r="H2476" s="1" t="s">
        <v>2691</v>
      </c>
      <c r="I2476" s="1" t="s">
        <v>302</v>
      </c>
      <c r="K2476" s="1">
        <v>0.0</v>
      </c>
      <c r="L2476" s="1" t="s">
        <v>2983</v>
      </c>
      <c r="M2476" s="1" t="str">
        <f>VLOOKUP(L2476,'Copy of PMD Workday Constants -'!B2475:W3161,22,false)</f>
        <v>#N/A</v>
      </c>
      <c r="N2476" s="1" t="s">
        <v>32</v>
      </c>
      <c r="O2476" s="1" t="s">
        <v>33</v>
      </c>
      <c r="P2476" s="1" t="s">
        <v>34</v>
      </c>
      <c r="Q2476" s="1" t="s">
        <v>34</v>
      </c>
      <c r="R2476" s="1" t="s">
        <v>35</v>
      </c>
      <c r="S2476" s="1" t="s">
        <v>383</v>
      </c>
      <c r="T2476" s="1">
        <v>1.00650568E8</v>
      </c>
      <c r="W2476" s="1" t="s">
        <v>147</v>
      </c>
      <c r="X2476" s="1" t="s">
        <v>3809</v>
      </c>
    </row>
    <row r="2477">
      <c r="A2477" s="1" t="s">
        <v>7612</v>
      </c>
      <c r="B2477" s="1" t="s">
        <v>411</v>
      </c>
      <c r="C2477" s="1" t="s">
        <v>7613</v>
      </c>
      <c r="D2477" s="1" t="s">
        <v>51</v>
      </c>
      <c r="E2477" s="1" t="s">
        <v>29</v>
      </c>
      <c r="F2477" s="5">
        <v>400000.0</v>
      </c>
      <c r="G2477" s="1" t="s">
        <v>7016</v>
      </c>
      <c r="H2477" s="4">
        <v>44208.0</v>
      </c>
      <c r="I2477" s="1" t="s">
        <v>302</v>
      </c>
      <c r="K2477" s="1">
        <v>0.0</v>
      </c>
      <c r="L2477" s="1" t="s">
        <v>963</v>
      </c>
      <c r="M2477" s="1" t="str">
        <f>VLOOKUP(L2477,'Copy of PMD Workday Constants -'!B2476:W3162,22,false)</f>
        <v>#N/A</v>
      </c>
      <c r="N2477" s="1" t="s">
        <v>32</v>
      </c>
      <c r="O2477" s="1" t="s">
        <v>33</v>
      </c>
      <c r="P2477" s="1" t="s">
        <v>173</v>
      </c>
      <c r="Q2477" s="1" t="s">
        <v>173</v>
      </c>
      <c r="R2477" s="1" t="s">
        <v>174</v>
      </c>
      <c r="S2477" s="1" t="s">
        <v>612</v>
      </c>
      <c r="T2477" s="1">
        <v>1.00708984E8</v>
      </c>
      <c r="W2477" s="1" t="s">
        <v>56</v>
      </c>
      <c r="X2477" s="1" t="s">
        <v>7614</v>
      </c>
    </row>
    <row r="2478">
      <c r="A2478" s="1" t="s">
        <v>7615</v>
      </c>
      <c r="B2478" s="1" t="s">
        <v>6616</v>
      </c>
      <c r="C2478" s="1" t="s">
        <v>7616</v>
      </c>
      <c r="D2478" s="1" t="s">
        <v>28</v>
      </c>
      <c r="E2478" s="1" t="s">
        <v>29</v>
      </c>
      <c r="F2478" s="5">
        <v>400000.0</v>
      </c>
      <c r="G2478" s="1" t="s">
        <v>7016</v>
      </c>
      <c r="H2478" s="4">
        <v>44563.0</v>
      </c>
      <c r="I2478" s="1" t="s">
        <v>152</v>
      </c>
      <c r="K2478" s="1">
        <v>0.0</v>
      </c>
      <c r="L2478" s="1" t="s">
        <v>2477</v>
      </c>
      <c r="M2478" s="1" t="str">
        <f>VLOOKUP(L2478,'Copy of PMD Workday Constants -'!B2477:W3163,22,false)</f>
        <v>#N/A</v>
      </c>
      <c r="N2478" s="1" t="s">
        <v>32</v>
      </c>
      <c r="O2478" s="1" t="s">
        <v>33</v>
      </c>
      <c r="P2478" s="1" t="s">
        <v>112</v>
      </c>
      <c r="Q2478" s="1" t="s">
        <v>112</v>
      </c>
      <c r="R2478" s="1" t="s">
        <v>113</v>
      </c>
      <c r="S2478" s="1" t="s">
        <v>134</v>
      </c>
      <c r="T2478" s="1">
        <v>1.00660092E8</v>
      </c>
      <c r="W2478" s="1" t="s">
        <v>250</v>
      </c>
      <c r="X2478" s="1" t="s">
        <v>2238</v>
      </c>
    </row>
    <row r="2479">
      <c r="A2479" s="1" t="s">
        <v>7617</v>
      </c>
      <c r="B2479" s="1" t="s">
        <v>7618</v>
      </c>
      <c r="C2479" s="1" t="s">
        <v>7619</v>
      </c>
      <c r="D2479" s="1" t="s">
        <v>28</v>
      </c>
      <c r="E2479" s="1" t="s">
        <v>29</v>
      </c>
      <c r="F2479" s="5">
        <v>400000.0</v>
      </c>
      <c r="G2479" s="1" t="s">
        <v>7016</v>
      </c>
      <c r="H2479" s="1" t="s">
        <v>1349</v>
      </c>
      <c r="I2479" s="1" t="s">
        <v>152</v>
      </c>
      <c r="K2479" s="1">
        <v>0.0</v>
      </c>
      <c r="L2479" s="1" t="s">
        <v>5650</v>
      </c>
      <c r="M2479" s="1" t="str">
        <f>VLOOKUP(L2479,'Copy of PMD Workday Constants -'!B2478:W3164,22,false)</f>
        <v>#N/A</v>
      </c>
      <c r="N2479" s="1" t="s">
        <v>32</v>
      </c>
      <c r="O2479" s="1" t="s">
        <v>33</v>
      </c>
      <c r="P2479" s="1" t="s">
        <v>34</v>
      </c>
      <c r="Q2479" s="1" t="s">
        <v>34</v>
      </c>
      <c r="R2479" s="1" t="s">
        <v>35</v>
      </c>
      <c r="S2479" s="1" t="s">
        <v>126</v>
      </c>
      <c r="T2479" s="1">
        <v>1.00597272E8</v>
      </c>
      <c r="W2479" s="1" t="s">
        <v>391</v>
      </c>
      <c r="X2479" s="1" t="s">
        <v>7620</v>
      </c>
    </row>
    <row r="2480">
      <c r="A2480" s="1" t="s">
        <v>7621</v>
      </c>
      <c r="B2480" s="1" t="s">
        <v>1247</v>
      </c>
      <c r="C2480" s="1" t="s">
        <v>3759</v>
      </c>
      <c r="D2480" s="1" t="s">
        <v>28</v>
      </c>
      <c r="E2480" s="1" t="s">
        <v>29</v>
      </c>
      <c r="F2480" s="5">
        <v>400000.0</v>
      </c>
      <c r="G2480" s="1" t="s">
        <v>7016</v>
      </c>
      <c r="H2480" s="1" t="s">
        <v>4736</v>
      </c>
      <c r="I2480" s="1" t="s">
        <v>1859</v>
      </c>
      <c r="K2480" s="1">
        <v>0.0</v>
      </c>
      <c r="L2480" s="1" t="s">
        <v>3762</v>
      </c>
      <c r="M2480" s="1" t="str">
        <f>VLOOKUP(L2480,'Copy of PMD Workday Constants -'!B2479:W3165,22,false)</f>
        <v>#N/A</v>
      </c>
      <c r="N2480" s="1" t="s">
        <v>32</v>
      </c>
      <c r="O2480" s="1" t="s">
        <v>33</v>
      </c>
      <c r="P2480" s="1" t="s">
        <v>112</v>
      </c>
      <c r="Q2480" s="1" t="s">
        <v>112</v>
      </c>
      <c r="R2480" s="1" t="s">
        <v>113</v>
      </c>
      <c r="S2480" s="1" t="s">
        <v>3763</v>
      </c>
      <c r="T2480" s="1">
        <v>1.00953783E8</v>
      </c>
      <c r="W2480" s="1" t="s">
        <v>140</v>
      </c>
      <c r="X2480" s="1" t="s">
        <v>2596</v>
      </c>
    </row>
    <row r="2481">
      <c r="A2481" s="1" t="s">
        <v>7622</v>
      </c>
      <c r="B2481" s="1" t="s">
        <v>3026</v>
      </c>
      <c r="C2481" s="1" t="s">
        <v>7623</v>
      </c>
      <c r="D2481" s="1" t="s">
        <v>28</v>
      </c>
      <c r="E2481" s="1" t="s">
        <v>29</v>
      </c>
      <c r="F2481" s="5">
        <v>400000.0</v>
      </c>
      <c r="G2481" s="1" t="s">
        <v>7016</v>
      </c>
      <c r="H2481" s="1" t="s">
        <v>1186</v>
      </c>
      <c r="I2481" s="1" t="s">
        <v>302</v>
      </c>
      <c r="K2481" s="1">
        <v>0.0</v>
      </c>
      <c r="L2481" s="1" t="s">
        <v>7624</v>
      </c>
      <c r="M2481" s="1" t="str">
        <f>VLOOKUP(L2481,'Copy of PMD Workday Constants -'!B2480:W3166,22,false)</f>
        <v>#N/A</v>
      </c>
      <c r="N2481" s="1" t="s">
        <v>32</v>
      </c>
      <c r="O2481" s="1" t="s">
        <v>33</v>
      </c>
      <c r="P2481" s="1" t="s">
        <v>64</v>
      </c>
      <c r="Q2481" s="1" t="s">
        <v>64</v>
      </c>
      <c r="R2481" s="1" t="s">
        <v>65</v>
      </c>
      <c r="S2481" s="1" t="s">
        <v>1496</v>
      </c>
      <c r="T2481" s="1">
        <v>1.00650967E8</v>
      </c>
      <c r="W2481" s="1" t="s">
        <v>258</v>
      </c>
      <c r="X2481" s="1" t="s">
        <v>3024</v>
      </c>
    </row>
    <row r="2482">
      <c r="A2482" s="1" t="s">
        <v>7625</v>
      </c>
      <c r="B2482" s="1" t="s">
        <v>3684</v>
      </c>
      <c r="C2482" s="1" t="s">
        <v>7626</v>
      </c>
      <c r="D2482" s="1" t="s">
        <v>79</v>
      </c>
      <c r="E2482" s="1" t="s">
        <v>29</v>
      </c>
      <c r="F2482" s="5">
        <v>400000.0</v>
      </c>
      <c r="G2482" s="1" t="s">
        <v>7016</v>
      </c>
      <c r="H2482" s="4">
        <v>44746.0</v>
      </c>
      <c r="I2482" s="1" t="s">
        <v>466</v>
      </c>
      <c r="K2482" s="1">
        <v>0.0</v>
      </c>
      <c r="L2482" s="1" t="s">
        <v>2547</v>
      </c>
      <c r="M2482" s="1" t="str">
        <f>VLOOKUP(L2482,'Copy of PMD Workday Constants -'!B2481:W3167,22,false)</f>
        <v>#N/A</v>
      </c>
      <c r="N2482" s="1" t="s">
        <v>32</v>
      </c>
      <c r="O2482" s="1" t="s">
        <v>33</v>
      </c>
      <c r="P2482" s="1" t="s">
        <v>64</v>
      </c>
      <c r="Q2482" s="1" t="s">
        <v>64</v>
      </c>
      <c r="R2482" s="1" t="s">
        <v>65</v>
      </c>
      <c r="T2482" s="1">
        <v>1.00592932E8</v>
      </c>
      <c r="W2482" s="1" t="s">
        <v>250</v>
      </c>
      <c r="X2482" s="1" t="s">
        <v>7627</v>
      </c>
    </row>
    <row r="2483">
      <c r="A2483" s="1" t="s">
        <v>7628</v>
      </c>
      <c r="B2483" s="1" t="s">
        <v>3003</v>
      </c>
      <c r="C2483" s="1" t="s">
        <v>7629</v>
      </c>
      <c r="D2483" s="1" t="s">
        <v>103</v>
      </c>
      <c r="E2483" s="1" t="s">
        <v>29</v>
      </c>
      <c r="F2483" s="5">
        <v>400000.0</v>
      </c>
      <c r="G2483" s="1" t="s">
        <v>7016</v>
      </c>
      <c r="H2483" s="4">
        <v>44595.0</v>
      </c>
      <c r="I2483" s="1" t="s">
        <v>301</v>
      </c>
      <c r="K2483" s="1">
        <v>0.0</v>
      </c>
      <c r="L2483" s="1" t="s">
        <v>3784</v>
      </c>
      <c r="M2483" s="1" t="str">
        <f>VLOOKUP(L2483,'Copy of PMD Workday Constants -'!B2482:W3168,22,false)</f>
        <v>#N/A</v>
      </c>
      <c r="N2483" s="1" t="s">
        <v>32</v>
      </c>
      <c r="O2483" s="1" t="s">
        <v>33</v>
      </c>
      <c r="P2483" s="1" t="s">
        <v>210</v>
      </c>
      <c r="Q2483" s="1" t="s">
        <v>210</v>
      </c>
      <c r="R2483" s="1" t="s">
        <v>211</v>
      </c>
      <c r="S2483" s="1" t="s">
        <v>416</v>
      </c>
      <c r="T2483" s="1">
        <v>1.00637651E8</v>
      </c>
      <c r="W2483" s="1" t="s">
        <v>56</v>
      </c>
      <c r="X2483" s="1" t="s">
        <v>3784</v>
      </c>
    </row>
    <row r="2484">
      <c r="A2484" s="1" t="s">
        <v>7630</v>
      </c>
      <c r="B2484" s="1" t="s">
        <v>4340</v>
      </c>
      <c r="C2484" s="1" t="s">
        <v>7631</v>
      </c>
      <c r="D2484" s="1" t="s">
        <v>51</v>
      </c>
      <c r="E2484" s="1" t="s">
        <v>29</v>
      </c>
      <c r="F2484" s="5">
        <v>400000.0</v>
      </c>
      <c r="G2484" s="1" t="s">
        <v>7016</v>
      </c>
      <c r="H2484" s="4">
        <v>44472.0</v>
      </c>
      <c r="I2484" s="1" t="s">
        <v>217</v>
      </c>
      <c r="K2484" s="1">
        <v>0.0</v>
      </c>
      <c r="L2484" s="1" t="s">
        <v>2093</v>
      </c>
      <c r="M2484" s="1" t="str">
        <f>VLOOKUP(L2484,'Copy of PMD Workday Constants -'!B2483:W3169,22,false)</f>
        <v>#N/A</v>
      </c>
      <c r="N2484" s="1" t="s">
        <v>32</v>
      </c>
      <c r="O2484" s="1" t="s">
        <v>33</v>
      </c>
      <c r="P2484" s="1" t="s">
        <v>222</v>
      </c>
      <c r="Q2484" s="1" t="s">
        <v>222</v>
      </c>
      <c r="R2484" s="1" t="s">
        <v>223</v>
      </c>
      <c r="S2484" s="1" t="s">
        <v>646</v>
      </c>
      <c r="T2484" s="1">
        <v>1.00612055E8</v>
      </c>
      <c r="W2484" s="1" t="s">
        <v>115</v>
      </c>
      <c r="X2484" s="1" t="s">
        <v>2093</v>
      </c>
    </row>
    <row r="2485">
      <c r="A2485" s="1" t="s">
        <v>7632</v>
      </c>
      <c r="B2485" s="1" t="s">
        <v>993</v>
      </c>
      <c r="C2485" s="1" t="s">
        <v>7633</v>
      </c>
      <c r="D2485" s="1" t="s">
        <v>103</v>
      </c>
      <c r="E2485" s="1" t="s">
        <v>29</v>
      </c>
      <c r="F2485" s="5">
        <v>400000.0</v>
      </c>
      <c r="G2485" s="1" t="s">
        <v>7016</v>
      </c>
      <c r="H2485" s="1" t="s">
        <v>1245</v>
      </c>
      <c r="I2485" s="4">
        <v>44568.0</v>
      </c>
      <c r="K2485" s="1">
        <v>0.0</v>
      </c>
      <c r="L2485" s="1" t="s">
        <v>2540</v>
      </c>
      <c r="M2485" s="1" t="str">
        <f>VLOOKUP(L2485,'Copy of PMD Workday Constants -'!B2484:W3170,22,false)</f>
        <v>#N/A</v>
      </c>
      <c r="N2485" s="1" t="s">
        <v>32</v>
      </c>
      <c r="O2485" s="1" t="s">
        <v>33</v>
      </c>
      <c r="P2485" s="1" t="s">
        <v>222</v>
      </c>
      <c r="Q2485" s="1" t="s">
        <v>222</v>
      </c>
      <c r="R2485" s="1" t="s">
        <v>223</v>
      </c>
      <c r="S2485" s="1" t="s">
        <v>601</v>
      </c>
      <c r="T2485" s="1">
        <v>1.00599268E8</v>
      </c>
      <c r="W2485" s="1" t="s">
        <v>74</v>
      </c>
      <c r="X2485" s="1" t="s">
        <v>7634</v>
      </c>
    </row>
    <row r="2486">
      <c r="A2486" s="1" t="s">
        <v>7635</v>
      </c>
      <c r="B2486" s="1" t="s">
        <v>3154</v>
      </c>
      <c r="C2486" s="1" t="s">
        <v>7636</v>
      </c>
      <c r="D2486" s="1" t="s">
        <v>28</v>
      </c>
      <c r="E2486" s="1" t="s">
        <v>29</v>
      </c>
      <c r="F2486" s="5">
        <v>400000.0</v>
      </c>
      <c r="G2486" s="1" t="s">
        <v>7016</v>
      </c>
      <c r="H2486" s="4">
        <v>44867.0</v>
      </c>
      <c r="I2486" s="1" t="s">
        <v>810</v>
      </c>
      <c r="K2486" s="1">
        <v>0.0</v>
      </c>
      <c r="L2486" s="1" t="s">
        <v>7637</v>
      </c>
      <c r="M2486" s="1" t="str">
        <f>VLOOKUP(L2486,'Copy of PMD Workday Constants -'!B2485:W3171,22,false)</f>
        <v>#N/A</v>
      </c>
      <c r="N2486" s="1" t="s">
        <v>32</v>
      </c>
      <c r="O2486" s="1" t="s">
        <v>33</v>
      </c>
      <c r="P2486" s="1" t="s">
        <v>5253</v>
      </c>
      <c r="Q2486" s="1" t="s">
        <v>5253</v>
      </c>
      <c r="R2486" s="1" t="s">
        <v>35</v>
      </c>
      <c r="T2486" s="1">
        <v>1.00613849E8</v>
      </c>
      <c r="W2486" s="1" t="s">
        <v>147</v>
      </c>
      <c r="X2486" s="1" t="s">
        <v>7638</v>
      </c>
    </row>
    <row r="2487">
      <c r="A2487" s="1" t="s">
        <v>7639</v>
      </c>
      <c r="B2487" s="1" t="s">
        <v>155</v>
      </c>
      <c r="C2487" s="1" t="s">
        <v>7640</v>
      </c>
      <c r="D2487" s="1" t="s">
        <v>51</v>
      </c>
      <c r="E2487" s="1" t="s">
        <v>29</v>
      </c>
      <c r="F2487" s="5">
        <v>400000.0</v>
      </c>
      <c r="G2487" s="1" t="s">
        <v>7016</v>
      </c>
      <c r="H2487" s="4">
        <v>44623.0</v>
      </c>
      <c r="I2487" s="1" t="s">
        <v>810</v>
      </c>
      <c r="K2487" s="1">
        <v>0.0</v>
      </c>
      <c r="L2487" s="1" t="s">
        <v>4112</v>
      </c>
      <c r="M2487" s="1" t="str">
        <f>VLOOKUP(L2487,'Copy of PMD Workday Constants -'!B2486:W3172,22,false)</f>
        <v>#N/A</v>
      </c>
      <c r="N2487" s="1" t="s">
        <v>32</v>
      </c>
      <c r="O2487" s="1" t="s">
        <v>33</v>
      </c>
      <c r="P2487" s="1" t="s">
        <v>34</v>
      </c>
      <c r="Q2487" s="1" t="s">
        <v>34</v>
      </c>
      <c r="R2487" s="1" t="s">
        <v>35</v>
      </c>
      <c r="T2487" s="1">
        <v>1.00584558E8</v>
      </c>
      <c r="W2487" s="1" t="s">
        <v>91</v>
      </c>
      <c r="X2487" s="1" t="s">
        <v>158</v>
      </c>
    </row>
    <row r="2488">
      <c r="A2488" s="1" t="s">
        <v>7641</v>
      </c>
      <c r="B2488" s="1" t="s">
        <v>77</v>
      </c>
      <c r="C2488" s="1" t="s">
        <v>7642</v>
      </c>
      <c r="D2488" s="1" t="s">
        <v>51</v>
      </c>
      <c r="E2488" s="1" t="s">
        <v>29</v>
      </c>
      <c r="F2488" s="5">
        <v>400000.0</v>
      </c>
      <c r="G2488" s="1" t="s">
        <v>7016</v>
      </c>
      <c r="H2488" s="4">
        <v>44623.0</v>
      </c>
      <c r="I2488" s="1" t="s">
        <v>96</v>
      </c>
      <c r="K2488" s="1">
        <v>0.0</v>
      </c>
      <c r="L2488" s="1" t="s">
        <v>319</v>
      </c>
      <c r="M2488" s="1" t="str">
        <f>VLOOKUP(L2488,'Copy of PMD Workday Constants -'!B2487:W3173,22,false)</f>
        <v>#N/A</v>
      </c>
      <c r="N2488" s="1" t="s">
        <v>32</v>
      </c>
      <c r="O2488" s="1" t="s">
        <v>33</v>
      </c>
      <c r="P2488" s="1" t="s">
        <v>82</v>
      </c>
      <c r="Q2488" s="1" t="s">
        <v>82</v>
      </c>
      <c r="R2488" s="1" t="s">
        <v>83</v>
      </c>
      <c r="S2488" s="1" t="s">
        <v>84</v>
      </c>
      <c r="T2488" s="1">
        <v>1.00654705E8</v>
      </c>
      <c r="W2488" s="1" t="s">
        <v>85</v>
      </c>
      <c r="X2488" s="1" t="s">
        <v>319</v>
      </c>
    </row>
    <row r="2489">
      <c r="A2489" s="1" t="s">
        <v>7643</v>
      </c>
      <c r="B2489" s="1" t="s">
        <v>6237</v>
      </c>
      <c r="C2489" s="1" t="s">
        <v>7644</v>
      </c>
      <c r="D2489" s="1" t="s">
        <v>103</v>
      </c>
      <c r="E2489" s="1" t="s">
        <v>29</v>
      </c>
      <c r="F2489" s="5">
        <v>400000.0</v>
      </c>
      <c r="G2489" s="1" t="s">
        <v>7016</v>
      </c>
      <c r="H2489" s="1" t="s">
        <v>3083</v>
      </c>
      <c r="I2489" s="4">
        <v>44872.0</v>
      </c>
      <c r="K2489" s="1">
        <v>0.0</v>
      </c>
      <c r="L2489" s="1" t="s">
        <v>1370</v>
      </c>
      <c r="M2489" s="1" t="str">
        <f>VLOOKUP(L2489,'Copy of PMD Workday Constants -'!B2488:W3174,22,false)</f>
        <v>#N/A</v>
      </c>
      <c r="N2489" s="1" t="s">
        <v>32</v>
      </c>
      <c r="O2489" s="1" t="s">
        <v>33</v>
      </c>
      <c r="P2489" s="1" t="s">
        <v>173</v>
      </c>
      <c r="Q2489" s="1" t="s">
        <v>173</v>
      </c>
      <c r="R2489" s="1" t="s">
        <v>174</v>
      </c>
      <c r="S2489" s="1" t="s">
        <v>153</v>
      </c>
      <c r="T2489" s="1">
        <v>1.00869794E8</v>
      </c>
      <c r="W2489" s="1" t="s">
        <v>47</v>
      </c>
      <c r="X2489" s="1" t="s">
        <v>1370</v>
      </c>
    </row>
    <row r="2490">
      <c r="A2490" s="1" t="s">
        <v>7645</v>
      </c>
      <c r="B2490" s="1" t="s">
        <v>7646</v>
      </c>
      <c r="C2490" s="1" t="s">
        <v>7647</v>
      </c>
      <c r="D2490" s="1" t="s">
        <v>28</v>
      </c>
      <c r="E2490" s="1" t="s">
        <v>29</v>
      </c>
      <c r="F2490" s="5">
        <v>400000.0</v>
      </c>
      <c r="G2490" s="1" t="s">
        <v>7016</v>
      </c>
      <c r="H2490" s="4">
        <v>44777.0</v>
      </c>
      <c r="I2490" s="1" t="s">
        <v>302</v>
      </c>
      <c r="K2490" s="1">
        <v>0.0</v>
      </c>
      <c r="L2490" s="1" t="s">
        <v>759</v>
      </c>
      <c r="M2490" s="1" t="str">
        <f>VLOOKUP(L2490,'Copy of PMD Workday Constants -'!B2489:W3175,22,false)</f>
        <v>#N/A</v>
      </c>
      <c r="N2490" s="1" t="s">
        <v>32</v>
      </c>
      <c r="O2490" s="1" t="s">
        <v>33</v>
      </c>
      <c r="P2490" s="1" t="s">
        <v>64</v>
      </c>
      <c r="Q2490" s="1" t="s">
        <v>64</v>
      </c>
      <c r="R2490" s="1" t="s">
        <v>65</v>
      </c>
      <c r="T2490" s="1">
        <v>1.00610205E8</v>
      </c>
      <c r="W2490" s="1" t="s">
        <v>391</v>
      </c>
      <c r="X2490" s="1" t="s">
        <v>759</v>
      </c>
    </row>
    <row r="2491">
      <c r="A2491" s="1" t="s">
        <v>7648</v>
      </c>
      <c r="B2491" s="1" t="s">
        <v>580</v>
      </c>
      <c r="C2491" s="1" t="s">
        <v>7649</v>
      </c>
      <c r="D2491" s="1" t="s">
        <v>51</v>
      </c>
      <c r="E2491" s="1" t="s">
        <v>29</v>
      </c>
      <c r="F2491" s="5">
        <v>400000.0</v>
      </c>
      <c r="G2491" s="1" t="s">
        <v>7016</v>
      </c>
      <c r="H2491" s="1" t="s">
        <v>170</v>
      </c>
      <c r="I2491" s="1" t="s">
        <v>104</v>
      </c>
      <c r="K2491" s="1">
        <v>0.0</v>
      </c>
      <c r="L2491" s="1" t="s">
        <v>1486</v>
      </c>
      <c r="M2491" s="1" t="str">
        <f>VLOOKUP(L2491,'Copy of PMD Workday Constants -'!B2490:W3176,22,false)</f>
        <v>#N/A</v>
      </c>
      <c r="N2491" s="1" t="s">
        <v>32</v>
      </c>
      <c r="O2491" s="1" t="s">
        <v>33</v>
      </c>
      <c r="P2491" s="1" t="s">
        <v>82</v>
      </c>
      <c r="Q2491" s="1" t="s">
        <v>82</v>
      </c>
      <c r="R2491" s="1" t="s">
        <v>83</v>
      </c>
      <c r="S2491" s="1" t="s">
        <v>583</v>
      </c>
      <c r="T2491" s="1">
        <v>1.006324E8</v>
      </c>
      <c r="W2491" s="1" t="s">
        <v>456</v>
      </c>
      <c r="X2491" s="1" t="s">
        <v>1486</v>
      </c>
    </row>
    <row r="2492">
      <c r="A2492" s="1" t="s">
        <v>7650</v>
      </c>
      <c r="B2492" s="1" t="s">
        <v>5250</v>
      </c>
      <c r="C2492" s="1" t="s">
        <v>7651</v>
      </c>
      <c r="D2492" s="1" t="s">
        <v>51</v>
      </c>
      <c r="E2492" s="1" t="s">
        <v>29</v>
      </c>
      <c r="F2492" s="5">
        <v>400000.0</v>
      </c>
      <c r="G2492" s="1" t="s">
        <v>7016</v>
      </c>
      <c r="H2492" s="1" t="s">
        <v>569</v>
      </c>
      <c r="I2492" s="1" t="s">
        <v>302</v>
      </c>
      <c r="K2492" s="1">
        <v>0.0</v>
      </c>
      <c r="L2492" s="1" t="s">
        <v>5252</v>
      </c>
      <c r="M2492" s="1" t="str">
        <f>VLOOKUP(L2492,'Copy of PMD Workday Constants -'!B2491:W3177,22,false)</f>
        <v>#N/A</v>
      </c>
      <c r="N2492" s="1" t="s">
        <v>32</v>
      </c>
      <c r="O2492" s="1" t="s">
        <v>33</v>
      </c>
      <c r="P2492" s="1" t="s">
        <v>5253</v>
      </c>
      <c r="Q2492" s="1" t="s">
        <v>5253</v>
      </c>
      <c r="R2492" s="1" t="s">
        <v>65</v>
      </c>
      <c r="T2492" s="1">
        <v>1.00625588E8</v>
      </c>
      <c r="W2492" s="1" t="s">
        <v>287</v>
      </c>
      <c r="X2492" s="1" t="s">
        <v>5252</v>
      </c>
    </row>
    <row r="2493">
      <c r="A2493" s="1" t="s">
        <v>7652</v>
      </c>
      <c r="B2493" s="1" t="s">
        <v>1968</v>
      </c>
      <c r="C2493" s="1" t="s">
        <v>7653</v>
      </c>
      <c r="D2493" s="1" t="s">
        <v>103</v>
      </c>
      <c r="E2493" s="1" t="s">
        <v>29</v>
      </c>
      <c r="F2493" s="5">
        <v>400000.0</v>
      </c>
      <c r="G2493" s="1" t="s">
        <v>7016</v>
      </c>
      <c r="H2493" s="1" t="s">
        <v>1436</v>
      </c>
      <c r="I2493" s="1" t="s">
        <v>732</v>
      </c>
      <c r="K2493" s="1">
        <v>0.0</v>
      </c>
      <c r="L2493" s="1" t="s">
        <v>737</v>
      </c>
      <c r="M2493" s="1" t="str">
        <f>VLOOKUP(L2493,'Copy of PMD Workday Constants -'!B2492:W3178,22,false)</f>
        <v>#N/A</v>
      </c>
      <c r="N2493" s="1" t="s">
        <v>32</v>
      </c>
      <c r="O2493" s="1" t="s">
        <v>33</v>
      </c>
      <c r="P2493" s="1" t="s">
        <v>112</v>
      </c>
      <c r="Q2493" s="1" t="s">
        <v>112</v>
      </c>
      <c r="R2493" s="1" t="s">
        <v>113</v>
      </c>
      <c r="S2493" s="1" t="s">
        <v>455</v>
      </c>
      <c r="T2493" s="1">
        <v>1.00629729E8</v>
      </c>
      <c r="W2493" s="1" t="s">
        <v>85</v>
      </c>
      <c r="X2493" s="1" t="s">
        <v>737</v>
      </c>
    </row>
    <row r="2494">
      <c r="A2494" s="1" t="s">
        <v>7654</v>
      </c>
      <c r="B2494" s="1" t="s">
        <v>2375</v>
      </c>
      <c r="C2494" s="1" t="s">
        <v>7655</v>
      </c>
      <c r="D2494" s="1" t="s">
        <v>28</v>
      </c>
      <c r="E2494" s="1" t="s">
        <v>29</v>
      </c>
      <c r="F2494" s="5">
        <v>400000.0</v>
      </c>
      <c r="G2494" s="1" t="s">
        <v>7016</v>
      </c>
      <c r="H2494" s="1" t="s">
        <v>526</v>
      </c>
      <c r="I2494" s="1" t="s">
        <v>217</v>
      </c>
      <c r="K2494" s="1">
        <v>0.0</v>
      </c>
      <c r="L2494" s="1" t="s">
        <v>7656</v>
      </c>
      <c r="M2494" s="1" t="str">
        <f>VLOOKUP(L2494,'Copy of PMD Workday Constants -'!B2493:W3179,22,false)</f>
        <v>#N/A</v>
      </c>
      <c r="N2494" s="1" t="s">
        <v>32</v>
      </c>
      <c r="O2494" s="1" t="s">
        <v>33</v>
      </c>
      <c r="P2494" s="1" t="s">
        <v>222</v>
      </c>
      <c r="Q2494" s="1" t="s">
        <v>222</v>
      </c>
      <c r="R2494" s="1" t="s">
        <v>223</v>
      </c>
      <c r="S2494" s="1" t="s">
        <v>1496</v>
      </c>
      <c r="T2494" s="1">
        <v>1.01154613E8</v>
      </c>
      <c r="W2494" s="1" t="s">
        <v>258</v>
      </c>
      <c r="X2494" s="1" t="s">
        <v>3024</v>
      </c>
    </row>
    <row r="2495">
      <c r="A2495" s="1" t="s">
        <v>7657</v>
      </c>
      <c r="B2495" s="1" t="s">
        <v>2375</v>
      </c>
      <c r="C2495" s="1" t="s">
        <v>7658</v>
      </c>
      <c r="D2495" s="1" t="s">
        <v>28</v>
      </c>
      <c r="E2495" s="1" t="s">
        <v>29</v>
      </c>
      <c r="F2495" s="5">
        <v>400000.0</v>
      </c>
      <c r="G2495" s="1" t="s">
        <v>7016</v>
      </c>
      <c r="H2495" s="1" t="s">
        <v>526</v>
      </c>
      <c r="I2495" s="1" t="s">
        <v>217</v>
      </c>
      <c r="K2495" s="1">
        <v>0.0</v>
      </c>
      <c r="L2495" s="1" t="s">
        <v>7659</v>
      </c>
      <c r="M2495" s="1" t="str">
        <f>VLOOKUP(L2495,'Copy of PMD Workday Constants -'!B2494:W3180,22,false)</f>
        <v>#N/A</v>
      </c>
      <c r="N2495" s="1" t="s">
        <v>32</v>
      </c>
      <c r="O2495" s="1" t="s">
        <v>33</v>
      </c>
      <c r="P2495" s="1" t="s">
        <v>64</v>
      </c>
      <c r="Q2495" s="1" t="s">
        <v>64</v>
      </c>
      <c r="R2495" s="1" t="s">
        <v>65</v>
      </c>
      <c r="S2495" s="1" t="s">
        <v>1496</v>
      </c>
      <c r="T2495" s="1">
        <v>1.00983419E8</v>
      </c>
      <c r="W2495" s="1" t="s">
        <v>258</v>
      </c>
      <c r="X2495" s="1" t="s">
        <v>3024</v>
      </c>
    </row>
    <row r="2496">
      <c r="A2496" s="1" t="s">
        <v>7660</v>
      </c>
      <c r="B2496" s="1" t="s">
        <v>2375</v>
      </c>
      <c r="C2496" s="1" t="s">
        <v>7661</v>
      </c>
      <c r="D2496" s="1" t="s">
        <v>28</v>
      </c>
      <c r="E2496" s="1" t="s">
        <v>29</v>
      </c>
      <c r="F2496" s="5">
        <v>400000.0</v>
      </c>
      <c r="G2496" s="1" t="s">
        <v>7016</v>
      </c>
      <c r="H2496" s="1" t="s">
        <v>526</v>
      </c>
      <c r="I2496" s="1" t="s">
        <v>217</v>
      </c>
      <c r="K2496" s="1">
        <v>0.0</v>
      </c>
      <c r="L2496" s="1" t="s">
        <v>4217</v>
      </c>
      <c r="M2496" s="1" t="str">
        <f>VLOOKUP(L2496,'Copy of PMD Workday Constants -'!B2495:W3181,22,false)</f>
        <v>#N/A</v>
      </c>
      <c r="N2496" s="1" t="s">
        <v>32</v>
      </c>
      <c r="O2496" s="1" t="s">
        <v>33</v>
      </c>
      <c r="P2496" s="1" t="s">
        <v>222</v>
      </c>
      <c r="Q2496" s="1" t="s">
        <v>222</v>
      </c>
      <c r="R2496" s="1" t="s">
        <v>223</v>
      </c>
      <c r="S2496" s="1" t="s">
        <v>1496</v>
      </c>
      <c r="T2496" s="1">
        <v>1.0065605E8</v>
      </c>
      <c r="W2496" s="1" t="s">
        <v>258</v>
      </c>
      <c r="X2496" s="1" t="s">
        <v>3024</v>
      </c>
    </row>
    <row r="2497">
      <c r="A2497" s="1" t="s">
        <v>7662</v>
      </c>
      <c r="B2497" s="1" t="s">
        <v>2375</v>
      </c>
      <c r="C2497" s="1" t="s">
        <v>7663</v>
      </c>
      <c r="D2497" s="1" t="s">
        <v>28</v>
      </c>
      <c r="E2497" s="1" t="s">
        <v>29</v>
      </c>
      <c r="F2497" s="5">
        <v>400000.0</v>
      </c>
      <c r="G2497" s="1" t="s">
        <v>7016</v>
      </c>
      <c r="H2497" s="1" t="s">
        <v>526</v>
      </c>
      <c r="I2497" s="1" t="s">
        <v>217</v>
      </c>
      <c r="K2497" s="1">
        <v>0.0</v>
      </c>
      <c r="L2497" s="1" t="s">
        <v>7664</v>
      </c>
      <c r="M2497" s="1" t="str">
        <f>VLOOKUP(L2497,'Copy of PMD Workday Constants -'!B2496:W3182,22,false)</f>
        <v>#N/A</v>
      </c>
      <c r="N2497" s="1" t="s">
        <v>32</v>
      </c>
      <c r="O2497" s="1" t="s">
        <v>33</v>
      </c>
      <c r="P2497" s="1" t="s">
        <v>222</v>
      </c>
      <c r="Q2497" s="1" t="s">
        <v>222</v>
      </c>
      <c r="R2497" s="1" t="s">
        <v>223</v>
      </c>
      <c r="S2497" s="1" t="s">
        <v>1496</v>
      </c>
      <c r="T2497" s="1">
        <v>1.00882877E8</v>
      </c>
      <c r="W2497" s="1" t="s">
        <v>258</v>
      </c>
      <c r="X2497" s="1" t="s">
        <v>3024</v>
      </c>
    </row>
    <row r="2498">
      <c r="A2498" s="1" t="s">
        <v>7665</v>
      </c>
      <c r="B2498" s="1" t="s">
        <v>1062</v>
      </c>
      <c r="C2498" s="1" t="s">
        <v>7666</v>
      </c>
      <c r="D2498" s="1" t="s">
        <v>28</v>
      </c>
      <c r="E2498" s="1" t="s">
        <v>29</v>
      </c>
      <c r="F2498" s="5">
        <v>400000.0</v>
      </c>
      <c r="G2498" s="1" t="s">
        <v>7016</v>
      </c>
      <c r="H2498" s="1" t="s">
        <v>61</v>
      </c>
      <c r="I2498" s="1" t="s">
        <v>80</v>
      </c>
      <c r="K2498" s="1">
        <v>0.0</v>
      </c>
      <c r="L2498" s="1" t="s">
        <v>2606</v>
      </c>
      <c r="M2498" s="1" t="str">
        <f>VLOOKUP(L2498,'Copy of PMD Workday Constants -'!B2497:W3183,22,false)</f>
        <v>#N/A</v>
      </c>
      <c r="N2498" s="1" t="s">
        <v>32</v>
      </c>
      <c r="O2498" s="1" t="s">
        <v>33</v>
      </c>
      <c r="P2498" s="1" t="s">
        <v>34</v>
      </c>
      <c r="Q2498" s="1" t="s">
        <v>34</v>
      </c>
      <c r="R2498" s="1" t="s">
        <v>35</v>
      </c>
      <c r="T2498" s="1">
        <v>1.00690563E8</v>
      </c>
      <c r="W2498" s="1" t="s">
        <v>493</v>
      </c>
      <c r="X2498" s="1" t="s">
        <v>2606</v>
      </c>
    </row>
    <row r="2499">
      <c r="A2499" s="1" t="s">
        <v>7667</v>
      </c>
      <c r="B2499" s="1" t="s">
        <v>1062</v>
      </c>
      <c r="C2499" s="1" t="s">
        <v>7668</v>
      </c>
      <c r="D2499" s="1" t="s">
        <v>51</v>
      </c>
      <c r="E2499" s="1" t="s">
        <v>29</v>
      </c>
      <c r="F2499" s="5">
        <v>400000.0</v>
      </c>
      <c r="G2499" s="1" t="s">
        <v>7016</v>
      </c>
      <c r="H2499" s="4">
        <v>44899.0</v>
      </c>
      <c r="I2499" s="1" t="s">
        <v>7669</v>
      </c>
      <c r="K2499" s="1">
        <v>0.0</v>
      </c>
      <c r="L2499" s="1" t="s">
        <v>1065</v>
      </c>
      <c r="M2499" s="1" t="str">
        <f>VLOOKUP(L2499,'Copy of PMD Workday Constants -'!B2498:W3184,22,false)</f>
        <v>#N/A</v>
      </c>
      <c r="N2499" s="1" t="s">
        <v>32</v>
      </c>
      <c r="O2499" s="1" t="s">
        <v>33</v>
      </c>
      <c r="P2499" s="1" t="s">
        <v>173</v>
      </c>
      <c r="Q2499" s="1" t="s">
        <v>173</v>
      </c>
      <c r="R2499" s="1" t="s">
        <v>174</v>
      </c>
      <c r="S2499" s="1" t="s">
        <v>540</v>
      </c>
      <c r="T2499" s="1">
        <v>1.00594872E8</v>
      </c>
      <c r="W2499" s="1" t="s">
        <v>493</v>
      </c>
      <c r="X2499" s="1" t="s">
        <v>1065</v>
      </c>
    </row>
    <row r="2500">
      <c r="A2500" s="1" t="s">
        <v>7670</v>
      </c>
      <c r="B2500" s="1" t="s">
        <v>1062</v>
      </c>
      <c r="C2500" s="1" t="s">
        <v>7671</v>
      </c>
      <c r="D2500" s="1" t="s">
        <v>51</v>
      </c>
      <c r="E2500" s="1" t="s">
        <v>29</v>
      </c>
      <c r="F2500" s="5">
        <v>400000.0</v>
      </c>
      <c r="G2500" s="1" t="s">
        <v>7016</v>
      </c>
      <c r="H2500" s="4">
        <v>44748.0</v>
      </c>
      <c r="I2500" s="1" t="s">
        <v>104</v>
      </c>
      <c r="K2500" s="1">
        <v>0.0</v>
      </c>
      <c r="L2500" s="1" t="s">
        <v>1065</v>
      </c>
      <c r="M2500" s="1" t="str">
        <f>VLOOKUP(L2500,'Copy of PMD Workday Constants -'!B2499:W3185,22,false)</f>
        <v>#N/A</v>
      </c>
      <c r="N2500" s="1" t="s">
        <v>32</v>
      </c>
      <c r="O2500" s="1" t="s">
        <v>33</v>
      </c>
      <c r="P2500" s="1" t="s">
        <v>173</v>
      </c>
      <c r="Q2500" s="1" t="s">
        <v>173</v>
      </c>
      <c r="R2500" s="1" t="s">
        <v>174</v>
      </c>
      <c r="S2500" s="1" t="s">
        <v>540</v>
      </c>
      <c r="T2500" s="1">
        <v>1.00594872E8</v>
      </c>
      <c r="W2500" s="1" t="s">
        <v>493</v>
      </c>
      <c r="X2500" s="1" t="s">
        <v>1065</v>
      </c>
    </row>
    <row r="2501">
      <c r="A2501" s="1" t="s">
        <v>7672</v>
      </c>
      <c r="B2501" s="1" t="s">
        <v>40</v>
      </c>
      <c r="C2501" s="1" t="s">
        <v>7673</v>
      </c>
      <c r="D2501" s="1" t="s">
        <v>103</v>
      </c>
      <c r="E2501" s="1" t="s">
        <v>29</v>
      </c>
      <c r="F2501" s="5">
        <v>400000.0</v>
      </c>
      <c r="G2501" s="1" t="s">
        <v>7016</v>
      </c>
      <c r="H2501" s="1" t="s">
        <v>375</v>
      </c>
      <c r="I2501" s="1" t="s">
        <v>132</v>
      </c>
      <c r="K2501" s="1">
        <v>0.0</v>
      </c>
      <c r="L2501" s="1" t="s">
        <v>5295</v>
      </c>
      <c r="M2501" s="1" t="str">
        <f>VLOOKUP(L2501,'Copy of PMD Workday Constants -'!B2500:W3186,22,false)</f>
        <v>#N/A</v>
      </c>
      <c r="N2501" s="1" t="s">
        <v>32</v>
      </c>
      <c r="O2501" s="1" t="s">
        <v>33</v>
      </c>
      <c r="P2501" s="1" t="s">
        <v>222</v>
      </c>
      <c r="Q2501" s="1" t="s">
        <v>222</v>
      </c>
      <c r="R2501" s="1" t="s">
        <v>223</v>
      </c>
      <c r="S2501" s="1" t="s">
        <v>482</v>
      </c>
      <c r="T2501" s="1">
        <v>1.00605581E8</v>
      </c>
      <c r="W2501" s="1" t="s">
        <v>47</v>
      </c>
      <c r="X2501" s="1" t="s">
        <v>5295</v>
      </c>
    </row>
    <row r="2502">
      <c r="A2502" s="1" t="s">
        <v>7674</v>
      </c>
      <c r="B2502" s="1" t="s">
        <v>432</v>
      </c>
      <c r="C2502" s="1" t="s">
        <v>7675</v>
      </c>
      <c r="D2502" s="1" t="s">
        <v>79</v>
      </c>
      <c r="E2502" s="1" t="s">
        <v>29</v>
      </c>
      <c r="F2502" s="5">
        <v>400000.0</v>
      </c>
      <c r="G2502" s="1" t="s">
        <v>7016</v>
      </c>
      <c r="H2502" s="4">
        <v>44597.0</v>
      </c>
      <c r="I2502" s="1" t="s">
        <v>80</v>
      </c>
      <c r="K2502" s="1">
        <v>0.0</v>
      </c>
      <c r="L2502" s="1" t="s">
        <v>435</v>
      </c>
      <c r="M2502" s="1" t="str">
        <f>VLOOKUP(L2502,'Copy of PMD Workday Constants -'!B2501:W3187,22,false)</f>
        <v>#N/A</v>
      </c>
      <c r="N2502" s="1" t="s">
        <v>32</v>
      </c>
      <c r="O2502" s="1" t="s">
        <v>33</v>
      </c>
      <c r="P2502" s="1" t="s">
        <v>64</v>
      </c>
      <c r="Q2502" s="1" t="s">
        <v>64</v>
      </c>
      <c r="R2502" s="1" t="s">
        <v>65</v>
      </c>
      <c r="S2502" s="1" t="s">
        <v>98</v>
      </c>
      <c r="T2502" s="1">
        <v>1.00653756E8</v>
      </c>
      <c r="W2502" s="1" t="s">
        <v>436</v>
      </c>
      <c r="X2502" s="1" t="s">
        <v>437</v>
      </c>
    </row>
    <row r="2503">
      <c r="A2503" s="1" t="s">
        <v>7676</v>
      </c>
      <c r="B2503" s="1" t="s">
        <v>2790</v>
      </c>
      <c r="C2503" s="1" t="s">
        <v>7677</v>
      </c>
      <c r="D2503" s="1" t="s">
        <v>28</v>
      </c>
      <c r="E2503" s="1" t="s">
        <v>29</v>
      </c>
      <c r="F2503" s="5">
        <v>400000.0</v>
      </c>
      <c r="G2503" s="1" t="s">
        <v>7016</v>
      </c>
      <c r="H2503" s="4">
        <v>43989.0</v>
      </c>
      <c r="I2503" s="1" t="s">
        <v>692</v>
      </c>
      <c r="K2503" s="1">
        <v>0.0</v>
      </c>
      <c r="L2503" s="1" t="s">
        <v>319</v>
      </c>
      <c r="M2503" s="1" t="str">
        <f>VLOOKUP(L2503,'Copy of PMD Workday Constants -'!B2502:W3188,22,false)</f>
        <v>#N/A</v>
      </c>
      <c r="N2503" s="1" t="s">
        <v>32</v>
      </c>
      <c r="O2503" s="1" t="s">
        <v>33</v>
      </c>
      <c r="P2503" s="1" t="s">
        <v>82</v>
      </c>
      <c r="Q2503" s="1" t="s">
        <v>82</v>
      </c>
      <c r="R2503" s="1" t="s">
        <v>83</v>
      </c>
      <c r="S2503" s="1" t="s">
        <v>84</v>
      </c>
      <c r="T2503" s="1">
        <v>1.00654705E8</v>
      </c>
      <c r="W2503" s="1" t="s">
        <v>85</v>
      </c>
      <c r="X2503" s="1" t="s">
        <v>319</v>
      </c>
    </row>
    <row r="2504">
      <c r="A2504" s="1" t="s">
        <v>7678</v>
      </c>
      <c r="B2504" s="1" t="s">
        <v>931</v>
      </c>
      <c r="C2504" s="1" t="s">
        <v>7679</v>
      </c>
      <c r="D2504" s="1" t="s">
        <v>51</v>
      </c>
      <c r="E2504" s="1" t="s">
        <v>29</v>
      </c>
      <c r="F2504" s="5">
        <v>400000.0</v>
      </c>
      <c r="G2504" s="1" t="s">
        <v>7016</v>
      </c>
      <c r="H2504" s="1" t="s">
        <v>1055</v>
      </c>
      <c r="I2504" s="1" t="s">
        <v>132</v>
      </c>
      <c r="K2504" s="1">
        <v>0.0</v>
      </c>
      <c r="L2504" s="1" t="s">
        <v>4682</v>
      </c>
      <c r="M2504" s="1" t="str">
        <f>VLOOKUP(L2504,'Copy of PMD Workday Constants -'!B2503:W3189,22,false)</f>
        <v>#N/A</v>
      </c>
      <c r="N2504" s="1" t="s">
        <v>32</v>
      </c>
      <c r="O2504" s="1" t="s">
        <v>33</v>
      </c>
      <c r="P2504" s="1" t="s">
        <v>173</v>
      </c>
      <c r="Q2504" s="1" t="s">
        <v>173</v>
      </c>
      <c r="R2504" s="1" t="s">
        <v>174</v>
      </c>
      <c r="S2504" s="1" t="s">
        <v>229</v>
      </c>
      <c r="T2504" s="1">
        <v>1.0064746E8</v>
      </c>
      <c r="W2504" s="1" t="s">
        <v>85</v>
      </c>
      <c r="X2504" s="1" t="s">
        <v>4682</v>
      </c>
    </row>
    <row r="2505">
      <c r="A2505" s="1" t="s">
        <v>7680</v>
      </c>
      <c r="B2505" s="1" t="s">
        <v>4067</v>
      </c>
      <c r="C2505" s="1" t="s">
        <v>7681</v>
      </c>
      <c r="D2505" s="1" t="s">
        <v>79</v>
      </c>
      <c r="E2505" s="1" t="s">
        <v>29</v>
      </c>
      <c r="F2505" s="5">
        <v>400000.0</v>
      </c>
      <c r="G2505" s="1" t="s">
        <v>7016</v>
      </c>
      <c r="H2505" s="4">
        <v>44298.0</v>
      </c>
      <c r="I2505" s="1" t="s">
        <v>80</v>
      </c>
      <c r="K2505" s="1">
        <v>0.0</v>
      </c>
      <c r="L2505" s="1" t="s">
        <v>2477</v>
      </c>
      <c r="M2505" s="1" t="str">
        <f>VLOOKUP(L2505,'Copy of PMD Workday Constants -'!B2504:W3190,22,false)</f>
        <v>#N/A</v>
      </c>
      <c r="N2505" s="1" t="s">
        <v>32</v>
      </c>
      <c r="O2505" s="1" t="s">
        <v>33</v>
      </c>
      <c r="P2505" s="1" t="s">
        <v>112</v>
      </c>
      <c r="Q2505" s="1" t="s">
        <v>112</v>
      </c>
      <c r="R2505" s="1" t="s">
        <v>113</v>
      </c>
      <c r="S2505" s="1" t="s">
        <v>134</v>
      </c>
      <c r="T2505" s="1">
        <v>1.00660092E8</v>
      </c>
      <c r="W2505" s="1" t="s">
        <v>47</v>
      </c>
      <c r="X2505" s="1" t="s">
        <v>2478</v>
      </c>
    </row>
    <row r="2506">
      <c r="A2506" s="1" t="s">
        <v>7682</v>
      </c>
      <c r="B2506" s="1" t="s">
        <v>2641</v>
      </c>
      <c r="C2506" s="1" t="s">
        <v>7683</v>
      </c>
      <c r="D2506" s="1" t="s">
        <v>51</v>
      </c>
      <c r="E2506" s="1" t="s">
        <v>29</v>
      </c>
      <c r="F2506" s="5">
        <v>400000.0</v>
      </c>
      <c r="G2506" s="1" t="s">
        <v>7016</v>
      </c>
      <c r="H2506" s="1" t="s">
        <v>1842</v>
      </c>
      <c r="I2506" s="1" t="s">
        <v>104</v>
      </c>
      <c r="K2506" s="1">
        <v>0.0</v>
      </c>
      <c r="L2506" s="1" t="s">
        <v>539</v>
      </c>
      <c r="M2506" s="1" t="str">
        <f>VLOOKUP(L2506,'Copy of PMD Workday Constants -'!B2505:W3191,22,false)</f>
        <v>#N/A</v>
      </c>
      <c r="N2506" s="1" t="s">
        <v>32</v>
      </c>
      <c r="O2506" s="1" t="s">
        <v>33</v>
      </c>
      <c r="P2506" s="1" t="s">
        <v>173</v>
      </c>
      <c r="Q2506" s="1" t="s">
        <v>173</v>
      </c>
      <c r="R2506" s="1" t="s">
        <v>174</v>
      </c>
      <c r="S2506" s="1" t="s">
        <v>540</v>
      </c>
      <c r="T2506" s="1">
        <v>1.00586314E8</v>
      </c>
      <c r="W2506" s="1" t="s">
        <v>456</v>
      </c>
      <c r="X2506" s="1" t="s">
        <v>7684</v>
      </c>
    </row>
    <row r="2507">
      <c r="A2507" s="1" t="s">
        <v>7685</v>
      </c>
      <c r="B2507" s="1" t="s">
        <v>931</v>
      </c>
      <c r="C2507" s="1" t="s">
        <v>7686</v>
      </c>
      <c r="D2507" s="1" t="s">
        <v>51</v>
      </c>
      <c r="E2507" s="1" t="s">
        <v>29</v>
      </c>
      <c r="F2507" s="5">
        <v>400000.0</v>
      </c>
      <c r="G2507" s="1" t="s">
        <v>7016</v>
      </c>
      <c r="H2507" s="4">
        <v>44657.0</v>
      </c>
      <c r="I2507" s="1" t="s">
        <v>732</v>
      </c>
      <c r="K2507" s="1">
        <v>0.0</v>
      </c>
      <c r="L2507" s="1" t="s">
        <v>4682</v>
      </c>
      <c r="M2507" s="1" t="str">
        <f>VLOOKUP(L2507,'Copy of PMD Workday Constants -'!B2506:W3192,22,false)</f>
        <v>#N/A</v>
      </c>
      <c r="N2507" s="1" t="s">
        <v>32</v>
      </c>
      <c r="O2507" s="1" t="s">
        <v>33</v>
      </c>
      <c r="P2507" s="1" t="s">
        <v>173</v>
      </c>
      <c r="Q2507" s="1" t="s">
        <v>173</v>
      </c>
      <c r="R2507" s="1" t="s">
        <v>174</v>
      </c>
      <c r="T2507" s="1">
        <v>1.0064746E8</v>
      </c>
      <c r="W2507" s="1" t="s">
        <v>85</v>
      </c>
      <c r="X2507" s="1" t="s">
        <v>7687</v>
      </c>
    </row>
    <row r="2508">
      <c r="A2508" s="1" t="s">
        <v>7688</v>
      </c>
      <c r="B2508" s="1" t="s">
        <v>4101</v>
      </c>
      <c r="C2508" s="1" t="s">
        <v>7689</v>
      </c>
      <c r="D2508" s="1" t="s">
        <v>103</v>
      </c>
      <c r="E2508" s="1" t="s">
        <v>29</v>
      </c>
      <c r="F2508" s="5">
        <v>400000.0</v>
      </c>
      <c r="G2508" s="1" t="s">
        <v>7016</v>
      </c>
      <c r="H2508" s="4">
        <v>44746.0</v>
      </c>
      <c r="I2508" s="1" t="s">
        <v>80</v>
      </c>
      <c r="K2508" s="1">
        <v>0.0</v>
      </c>
      <c r="L2508" s="1" t="s">
        <v>790</v>
      </c>
      <c r="M2508" s="1" t="str">
        <f>VLOOKUP(L2508,'Copy of PMD Workday Constants -'!B2507:W3193,22,false)</f>
        <v>#N/A</v>
      </c>
      <c r="N2508" s="1" t="s">
        <v>32</v>
      </c>
      <c r="O2508" s="1" t="s">
        <v>33</v>
      </c>
      <c r="P2508" s="1" t="s">
        <v>64</v>
      </c>
      <c r="Q2508" s="1" t="s">
        <v>64</v>
      </c>
      <c r="R2508" s="1" t="s">
        <v>65</v>
      </c>
      <c r="S2508" s="1" t="s">
        <v>791</v>
      </c>
      <c r="T2508" s="1">
        <v>1.00661738E8</v>
      </c>
      <c r="W2508" s="1" t="s">
        <v>456</v>
      </c>
      <c r="X2508" s="1" t="s">
        <v>3259</v>
      </c>
    </row>
    <row r="2509">
      <c r="A2509" s="1" t="s">
        <v>7690</v>
      </c>
      <c r="B2509" s="1" t="s">
        <v>610</v>
      </c>
      <c r="C2509" s="1" t="s">
        <v>7691</v>
      </c>
      <c r="D2509" s="1" t="s">
        <v>79</v>
      </c>
      <c r="E2509" s="1" t="s">
        <v>29</v>
      </c>
      <c r="F2509" s="5">
        <v>400000.0</v>
      </c>
      <c r="G2509" s="1" t="s">
        <v>7016</v>
      </c>
      <c r="H2509" s="1" t="s">
        <v>1842</v>
      </c>
      <c r="I2509" s="1" t="s">
        <v>80</v>
      </c>
      <c r="K2509" s="1">
        <v>0.0</v>
      </c>
      <c r="L2509" s="1" t="s">
        <v>7692</v>
      </c>
      <c r="M2509" s="1" t="str">
        <f>VLOOKUP(L2509,'Copy of PMD Workday Constants -'!B2508:W3194,22,false)</f>
        <v>#N/A</v>
      </c>
      <c r="N2509" s="1" t="s">
        <v>32</v>
      </c>
      <c r="O2509" s="1" t="s">
        <v>33</v>
      </c>
      <c r="P2509" s="1" t="s">
        <v>222</v>
      </c>
      <c r="Q2509" s="1" t="s">
        <v>222</v>
      </c>
      <c r="R2509" s="1" t="s">
        <v>223</v>
      </c>
      <c r="S2509" s="1" t="s">
        <v>482</v>
      </c>
      <c r="T2509" s="1">
        <v>1.0060809E8</v>
      </c>
      <c r="W2509" s="1" t="s">
        <v>258</v>
      </c>
      <c r="X2509" s="1" t="s">
        <v>7693</v>
      </c>
    </row>
    <row r="2510">
      <c r="A2510" s="1" t="s">
        <v>7694</v>
      </c>
      <c r="B2510" s="1" t="s">
        <v>2375</v>
      </c>
      <c r="C2510" s="1" t="s">
        <v>7695</v>
      </c>
      <c r="D2510" s="1" t="s">
        <v>28</v>
      </c>
      <c r="E2510" s="1" t="s">
        <v>29</v>
      </c>
      <c r="F2510" s="5">
        <v>400000.0</v>
      </c>
      <c r="G2510" s="1" t="s">
        <v>7016</v>
      </c>
      <c r="H2510" s="4">
        <v>44471.0</v>
      </c>
      <c r="I2510" s="1" t="s">
        <v>617</v>
      </c>
      <c r="K2510" s="1">
        <v>0.0</v>
      </c>
      <c r="L2510" s="1" t="s">
        <v>1902</v>
      </c>
      <c r="M2510" s="1" t="str">
        <f>VLOOKUP(L2510,'Copy of PMD Workday Constants -'!B2509:W3195,22,false)</f>
        <v>#N/A</v>
      </c>
      <c r="N2510" s="1" t="s">
        <v>32</v>
      </c>
      <c r="O2510" s="1" t="s">
        <v>33</v>
      </c>
      <c r="P2510" s="1" t="s">
        <v>173</v>
      </c>
      <c r="Q2510" s="1" t="s">
        <v>173</v>
      </c>
      <c r="R2510" s="1" t="s">
        <v>174</v>
      </c>
      <c r="S2510" s="1" t="s">
        <v>297</v>
      </c>
      <c r="T2510" s="1">
        <v>1.00956516E8</v>
      </c>
      <c r="W2510" s="1" t="s">
        <v>258</v>
      </c>
      <c r="X2510" s="1" t="s">
        <v>3024</v>
      </c>
    </row>
    <row r="2511">
      <c r="A2511" s="1" t="s">
        <v>7696</v>
      </c>
      <c r="B2511" s="1" t="s">
        <v>6404</v>
      </c>
      <c r="C2511" s="1" t="s">
        <v>7697</v>
      </c>
      <c r="D2511" s="1" t="s">
        <v>28</v>
      </c>
      <c r="E2511" s="1" t="s">
        <v>29</v>
      </c>
      <c r="F2511" s="5">
        <v>400000.0</v>
      </c>
      <c r="G2511" s="1" t="s">
        <v>7016</v>
      </c>
      <c r="H2511" s="1" t="s">
        <v>7698</v>
      </c>
      <c r="I2511" s="1" t="s">
        <v>466</v>
      </c>
      <c r="K2511" s="1">
        <v>0.0</v>
      </c>
      <c r="L2511" s="1" t="s">
        <v>1780</v>
      </c>
      <c r="M2511" s="1" t="str">
        <f>VLOOKUP(L2511,'Copy of PMD Workday Constants -'!B2510:W3196,22,false)</f>
        <v>#N/A</v>
      </c>
      <c r="N2511" s="1" t="s">
        <v>32</v>
      </c>
      <c r="O2511" s="1" t="s">
        <v>33</v>
      </c>
      <c r="P2511" s="1" t="s">
        <v>82</v>
      </c>
      <c r="Q2511" s="1" t="s">
        <v>82</v>
      </c>
      <c r="R2511" s="1" t="s">
        <v>83</v>
      </c>
      <c r="S2511" s="1" t="s">
        <v>583</v>
      </c>
      <c r="T2511" s="1">
        <v>1.00617113E8</v>
      </c>
      <c r="W2511" s="1" t="s">
        <v>456</v>
      </c>
      <c r="X2511" s="1" t="s">
        <v>1780</v>
      </c>
    </row>
    <row r="2512">
      <c r="A2512" s="1" t="s">
        <v>7699</v>
      </c>
      <c r="B2512" s="1" t="s">
        <v>1047</v>
      </c>
      <c r="C2512" s="1" t="s">
        <v>7700</v>
      </c>
      <c r="D2512" s="1" t="s">
        <v>28</v>
      </c>
      <c r="E2512" s="1" t="s">
        <v>29</v>
      </c>
      <c r="F2512" s="5">
        <v>400000.0</v>
      </c>
      <c r="G2512" s="1" t="s">
        <v>7016</v>
      </c>
      <c r="H2512" s="4">
        <v>44266.0</v>
      </c>
      <c r="I2512" s="1" t="s">
        <v>453</v>
      </c>
      <c r="K2512" s="1">
        <v>0.0</v>
      </c>
      <c r="L2512" s="1" t="s">
        <v>1049</v>
      </c>
      <c r="M2512" s="1" t="str">
        <f>VLOOKUP(L2512,'Copy of PMD Workday Constants -'!B2511:W3197,22,false)</f>
        <v>#N/A</v>
      </c>
      <c r="N2512" s="1" t="s">
        <v>32</v>
      </c>
      <c r="O2512" s="1" t="s">
        <v>33</v>
      </c>
      <c r="P2512" s="1" t="s">
        <v>210</v>
      </c>
      <c r="Q2512" s="1" t="s">
        <v>210</v>
      </c>
      <c r="R2512" s="1" t="s">
        <v>211</v>
      </c>
      <c r="S2512" s="1" t="s">
        <v>297</v>
      </c>
      <c r="T2512" s="1">
        <v>1.00650344E8</v>
      </c>
      <c r="W2512" s="1" t="s">
        <v>258</v>
      </c>
      <c r="X2512" s="1" t="s">
        <v>4651</v>
      </c>
    </row>
    <row r="2513">
      <c r="A2513" s="1" t="s">
        <v>7701</v>
      </c>
      <c r="B2513" s="1" t="s">
        <v>7702</v>
      </c>
      <c r="C2513" s="1" t="s">
        <v>7703</v>
      </c>
      <c r="D2513" s="1" t="s">
        <v>28</v>
      </c>
      <c r="E2513" s="1" t="s">
        <v>29</v>
      </c>
      <c r="F2513" s="5">
        <v>400000.0</v>
      </c>
      <c r="G2513" s="1" t="s">
        <v>7016</v>
      </c>
      <c r="H2513" s="4">
        <v>44597.0</v>
      </c>
      <c r="I2513" s="1" t="s">
        <v>104</v>
      </c>
      <c r="K2513" s="1">
        <v>0.0</v>
      </c>
      <c r="L2513" s="1" t="s">
        <v>1120</v>
      </c>
      <c r="M2513" s="1" t="str">
        <f>VLOOKUP(L2513,'Copy of PMD Workday Constants -'!B2512:W3198,22,false)</f>
        <v>#N/A</v>
      </c>
      <c r="N2513" s="1" t="s">
        <v>32</v>
      </c>
      <c r="O2513" s="1" t="s">
        <v>33</v>
      </c>
      <c r="P2513" s="1" t="s">
        <v>82</v>
      </c>
      <c r="Q2513" s="1" t="s">
        <v>82</v>
      </c>
      <c r="R2513" s="1" t="s">
        <v>83</v>
      </c>
      <c r="S2513" s="1" t="s">
        <v>180</v>
      </c>
      <c r="T2513" s="1">
        <v>1.00603613E8</v>
      </c>
      <c r="U2513" s="1" t="s">
        <v>7704</v>
      </c>
      <c r="V2513" s="1" t="s">
        <v>46</v>
      </c>
      <c r="W2513" s="1" t="s">
        <v>85</v>
      </c>
      <c r="X2513" s="1" t="s">
        <v>4549</v>
      </c>
    </row>
    <row r="2514">
      <c r="A2514" s="1" t="s">
        <v>7705</v>
      </c>
      <c r="B2514" s="1" t="s">
        <v>7706</v>
      </c>
      <c r="C2514" s="1" t="s">
        <v>7707</v>
      </c>
      <c r="D2514" s="1" t="s">
        <v>28</v>
      </c>
      <c r="E2514" s="1" t="s">
        <v>29</v>
      </c>
      <c r="F2514" s="5">
        <v>400000.0</v>
      </c>
      <c r="G2514" s="1" t="s">
        <v>7016</v>
      </c>
      <c r="H2514" s="4">
        <v>44836.0</v>
      </c>
      <c r="I2514" s="4">
        <v>44816.0</v>
      </c>
      <c r="K2514" s="1">
        <v>0.0</v>
      </c>
      <c r="L2514" s="1" t="s">
        <v>968</v>
      </c>
      <c r="M2514" s="1" t="str">
        <f>VLOOKUP(L2514,'Copy of PMD Workday Constants -'!B2513:W3199,22,false)</f>
        <v>#N/A</v>
      </c>
      <c r="N2514" s="1" t="s">
        <v>32</v>
      </c>
      <c r="O2514" s="1" t="s">
        <v>33</v>
      </c>
      <c r="P2514" s="1" t="s">
        <v>210</v>
      </c>
      <c r="Q2514" s="1" t="s">
        <v>210</v>
      </c>
      <c r="R2514" s="1" t="s">
        <v>211</v>
      </c>
      <c r="S2514" s="1" t="s">
        <v>416</v>
      </c>
      <c r="T2514" s="1">
        <v>1.00647262E8</v>
      </c>
      <c r="W2514" s="1" t="s">
        <v>56</v>
      </c>
      <c r="X2514" s="1" t="s">
        <v>968</v>
      </c>
    </row>
    <row r="2515">
      <c r="A2515" s="1" t="s">
        <v>7708</v>
      </c>
      <c r="B2515" s="1" t="s">
        <v>7709</v>
      </c>
      <c r="C2515" s="1" t="s">
        <v>7710</v>
      </c>
      <c r="D2515" s="1" t="s">
        <v>103</v>
      </c>
      <c r="E2515" s="1" t="s">
        <v>29</v>
      </c>
      <c r="F2515" s="5">
        <v>396960.0</v>
      </c>
      <c r="G2515" s="1" t="s">
        <v>7016</v>
      </c>
      <c r="H2515" s="1" t="s">
        <v>3443</v>
      </c>
      <c r="I2515" s="1" t="s">
        <v>152</v>
      </c>
      <c r="K2515" s="1">
        <v>0.0</v>
      </c>
      <c r="L2515" s="1" t="s">
        <v>728</v>
      </c>
      <c r="M2515" s="1" t="str">
        <f>VLOOKUP(L2515,'Copy of PMD Workday Constants -'!B2514:W3200,22,false)</f>
        <v>#N/A</v>
      </c>
      <c r="N2515" s="1" t="s">
        <v>32</v>
      </c>
      <c r="O2515" s="1" t="s">
        <v>33</v>
      </c>
      <c r="P2515" s="1" t="s">
        <v>210</v>
      </c>
      <c r="Q2515" s="1" t="s">
        <v>210</v>
      </c>
      <c r="R2515" s="1" t="s">
        <v>211</v>
      </c>
      <c r="S2515" s="1" t="s">
        <v>212</v>
      </c>
      <c r="T2515" s="1">
        <v>1.00899005E8</v>
      </c>
      <c r="W2515" s="1" t="s">
        <v>56</v>
      </c>
      <c r="X2515" s="1" t="s">
        <v>729</v>
      </c>
    </row>
    <row r="2516">
      <c r="A2516" s="1" t="s">
        <v>7711</v>
      </c>
      <c r="B2516" s="1" t="s">
        <v>77</v>
      </c>
      <c r="C2516" s="1" t="s">
        <v>7712</v>
      </c>
      <c r="D2516" s="1" t="s">
        <v>103</v>
      </c>
      <c r="E2516" s="1" t="s">
        <v>29</v>
      </c>
      <c r="F2516" s="5">
        <v>396000.0</v>
      </c>
      <c r="G2516" s="1" t="s">
        <v>7016</v>
      </c>
      <c r="H2516" s="1" t="s">
        <v>789</v>
      </c>
      <c r="I2516" s="4">
        <v>44872.0</v>
      </c>
      <c r="K2516" s="1">
        <v>0.0</v>
      </c>
      <c r="L2516" s="1" t="s">
        <v>3148</v>
      </c>
      <c r="M2516" s="1" t="str">
        <f>VLOOKUP(L2516,'Copy of PMD Workday Constants -'!B2515:W3201,22,false)</f>
        <v>#N/A</v>
      </c>
      <c r="N2516" s="1" t="s">
        <v>32</v>
      </c>
      <c r="O2516" s="1" t="s">
        <v>33</v>
      </c>
      <c r="P2516" s="1" t="s">
        <v>112</v>
      </c>
      <c r="Q2516" s="1" t="s">
        <v>112</v>
      </c>
      <c r="R2516" s="1" t="s">
        <v>113</v>
      </c>
      <c r="S2516" s="1" t="s">
        <v>455</v>
      </c>
      <c r="T2516" s="1">
        <v>1.00620159E8</v>
      </c>
      <c r="W2516" s="1" t="s">
        <v>85</v>
      </c>
      <c r="X2516" s="1" t="s">
        <v>7223</v>
      </c>
    </row>
    <row r="2517">
      <c r="A2517" s="1" t="s">
        <v>7713</v>
      </c>
      <c r="B2517" s="1" t="s">
        <v>931</v>
      </c>
      <c r="C2517" s="1" t="s">
        <v>7714</v>
      </c>
      <c r="D2517" s="1" t="s">
        <v>103</v>
      </c>
      <c r="E2517" s="1" t="s">
        <v>29</v>
      </c>
      <c r="F2517" s="5">
        <v>395000.0</v>
      </c>
      <c r="G2517" s="1" t="s">
        <v>7016</v>
      </c>
      <c r="H2517" s="4">
        <v>44567.0</v>
      </c>
      <c r="I2517" s="1" t="s">
        <v>732</v>
      </c>
      <c r="K2517" s="1">
        <v>0.0</v>
      </c>
      <c r="L2517" s="1" t="s">
        <v>228</v>
      </c>
      <c r="M2517" s="1" t="str">
        <f>VLOOKUP(L2517,'Copy of PMD Workday Constants -'!B2516:W3202,22,false)</f>
        <v>#N/A</v>
      </c>
      <c r="N2517" s="1" t="s">
        <v>32</v>
      </c>
      <c r="O2517" s="1" t="s">
        <v>33</v>
      </c>
      <c r="P2517" s="1" t="s">
        <v>64</v>
      </c>
      <c r="Q2517" s="1" t="s">
        <v>64</v>
      </c>
      <c r="R2517" s="1" t="s">
        <v>65</v>
      </c>
      <c r="T2517" s="1">
        <v>1.00650619E8</v>
      </c>
      <c r="W2517" s="1" t="s">
        <v>85</v>
      </c>
      <c r="X2517" s="1" t="s">
        <v>228</v>
      </c>
    </row>
    <row r="2518">
      <c r="A2518" s="1" t="s">
        <v>7715</v>
      </c>
      <c r="B2518" s="1" t="s">
        <v>7716</v>
      </c>
      <c r="C2518" s="1" t="s">
        <v>7717</v>
      </c>
      <c r="D2518" s="1" t="s">
        <v>51</v>
      </c>
      <c r="E2518" s="1" t="s">
        <v>29</v>
      </c>
      <c r="F2518" s="5">
        <v>390000.0</v>
      </c>
      <c r="G2518" s="1" t="s">
        <v>7016</v>
      </c>
      <c r="H2518" s="4">
        <v>44779.0</v>
      </c>
      <c r="I2518" s="1" t="s">
        <v>732</v>
      </c>
      <c r="K2518" s="1">
        <v>0.0</v>
      </c>
      <c r="L2518" s="1" t="s">
        <v>7718</v>
      </c>
      <c r="M2518" s="1" t="str">
        <f>VLOOKUP(L2518,'Copy of PMD Workday Constants -'!B2517:W3203,22,false)</f>
        <v>#N/A</v>
      </c>
      <c r="N2518" s="1" t="s">
        <v>32</v>
      </c>
      <c r="O2518" s="1" t="s">
        <v>33</v>
      </c>
      <c r="P2518" s="1" t="s">
        <v>112</v>
      </c>
      <c r="Q2518" s="1" t="s">
        <v>112</v>
      </c>
      <c r="R2518" s="1" t="s">
        <v>113</v>
      </c>
      <c r="S2518" s="1" t="s">
        <v>134</v>
      </c>
      <c r="T2518" s="1">
        <v>1.00625107E8</v>
      </c>
      <c r="W2518" s="1" t="s">
        <v>74</v>
      </c>
      <c r="X2518" s="1" t="s">
        <v>2673</v>
      </c>
    </row>
    <row r="2519">
      <c r="A2519" s="1" t="s">
        <v>7719</v>
      </c>
      <c r="B2519" s="1" t="s">
        <v>7281</v>
      </c>
      <c r="C2519" s="1" t="s">
        <v>7720</v>
      </c>
      <c r="D2519" s="1" t="s">
        <v>103</v>
      </c>
      <c r="E2519" s="1" t="s">
        <v>29</v>
      </c>
      <c r="F2519" s="5">
        <v>390000.0</v>
      </c>
      <c r="G2519" s="1" t="s">
        <v>7016</v>
      </c>
      <c r="H2519" s="1" t="s">
        <v>1349</v>
      </c>
      <c r="I2519" s="4">
        <v>44568.0</v>
      </c>
      <c r="J2519" s="1" t="s">
        <v>7721</v>
      </c>
      <c r="K2519" s="1">
        <v>0.0</v>
      </c>
      <c r="L2519" s="1" t="s">
        <v>1331</v>
      </c>
      <c r="M2519" s="1" t="str">
        <f>VLOOKUP(L2519,'Copy of PMD Workday Constants -'!B2518:W3204,22,false)</f>
        <v>#N/A</v>
      </c>
      <c r="N2519" s="1" t="s">
        <v>32</v>
      </c>
      <c r="O2519" s="1" t="s">
        <v>33</v>
      </c>
      <c r="P2519" s="1" t="s">
        <v>222</v>
      </c>
      <c r="Q2519" s="1" t="s">
        <v>222</v>
      </c>
      <c r="R2519" s="1" t="s">
        <v>223</v>
      </c>
      <c r="T2519" s="1">
        <v>1.00631257E8</v>
      </c>
      <c r="W2519" s="1" t="s">
        <v>115</v>
      </c>
      <c r="X2519" s="1" t="s">
        <v>7722</v>
      </c>
    </row>
    <row r="2520">
      <c r="A2520" s="1" t="s">
        <v>7723</v>
      </c>
      <c r="B2520" s="1" t="s">
        <v>2394</v>
      </c>
      <c r="C2520" s="1" t="s">
        <v>7724</v>
      </c>
      <c r="D2520" s="1" t="s">
        <v>28</v>
      </c>
      <c r="E2520" s="1" t="s">
        <v>29</v>
      </c>
      <c r="F2520" s="5">
        <v>390000.0</v>
      </c>
      <c r="G2520" s="1" t="s">
        <v>7016</v>
      </c>
      <c r="H2520" s="4">
        <v>44565.0</v>
      </c>
      <c r="I2520" s="1" t="s">
        <v>80</v>
      </c>
      <c r="K2520" s="1">
        <v>0.0</v>
      </c>
      <c r="L2520" s="1" t="s">
        <v>3565</v>
      </c>
      <c r="M2520" s="1" t="str">
        <f>VLOOKUP(L2520,'Copy of PMD Workday Constants -'!B2519:W3205,22,false)</f>
        <v>#N/A</v>
      </c>
      <c r="N2520" s="1" t="s">
        <v>32</v>
      </c>
      <c r="O2520" s="1" t="s">
        <v>33</v>
      </c>
      <c r="P2520" s="1" t="s">
        <v>112</v>
      </c>
      <c r="Q2520" s="1" t="s">
        <v>112</v>
      </c>
      <c r="R2520" s="1" t="s">
        <v>113</v>
      </c>
      <c r="S2520" s="1" t="s">
        <v>134</v>
      </c>
      <c r="T2520" s="1">
        <v>1.00658777E8</v>
      </c>
      <c r="W2520" s="1" t="s">
        <v>250</v>
      </c>
      <c r="X2520" s="1" t="s">
        <v>5021</v>
      </c>
    </row>
    <row r="2521">
      <c r="A2521" s="1" t="s">
        <v>7725</v>
      </c>
      <c r="B2521" s="1" t="s">
        <v>4174</v>
      </c>
      <c r="C2521" s="1" t="s">
        <v>7726</v>
      </c>
      <c r="D2521" s="1" t="s">
        <v>103</v>
      </c>
      <c r="E2521" s="1" t="s">
        <v>29</v>
      </c>
      <c r="F2521" s="5">
        <v>390000.0</v>
      </c>
      <c r="G2521" s="1" t="s">
        <v>7016</v>
      </c>
      <c r="H2521" s="1" t="s">
        <v>4084</v>
      </c>
      <c r="I2521" s="1" t="s">
        <v>80</v>
      </c>
      <c r="K2521" s="1">
        <v>0.0</v>
      </c>
      <c r="L2521" s="1" t="s">
        <v>4794</v>
      </c>
      <c r="M2521" s="1" t="str">
        <f>VLOOKUP(L2521,'Copy of PMD Workday Constants -'!B2520:W3206,22,false)</f>
        <v>#N/A</v>
      </c>
      <c r="N2521" s="1" t="s">
        <v>32</v>
      </c>
      <c r="O2521" s="1" t="s">
        <v>33</v>
      </c>
      <c r="P2521" s="1" t="s">
        <v>173</v>
      </c>
      <c r="Q2521" s="1" t="s">
        <v>173</v>
      </c>
      <c r="R2521" s="1" t="s">
        <v>174</v>
      </c>
      <c r="S2521" s="1" t="s">
        <v>612</v>
      </c>
      <c r="T2521" s="1">
        <v>1.00875111E8</v>
      </c>
      <c r="U2521" s="1" t="s">
        <v>7727</v>
      </c>
      <c r="V2521" s="1" t="s">
        <v>46</v>
      </c>
      <c r="W2521" s="1" t="s">
        <v>56</v>
      </c>
      <c r="X2521" s="1" t="s">
        <v>4795</v>
      </c>
    </row>
    <row r="2522">
      <c r="A2522" s="1" t="s">
        <v>7728</v>
      </c>
      <c r="B2522" s="1" t="s">
        <v>7729</v>
      </c>
      <c r="C2522" s="1" t="s">
        <v>7730</v>
      </c>
      <c r="D2522" s="1" t="s">
        <v>28</v>
      </c>
      <c r="E2522" s="1" t="s">
        <v>29</v>
      </c>
      <c r="F2522" s="5">
        <v>389802.76</v>
      </c>
      <c r="G2522" s="1" t="s">
        <v>7016</v>
      </c>
      <c r="H2522" s="1" t="s">
        <v>131</v>
      </c>
      <c r="I2522" s="1" t="s">
        <v>43</v>
      </c>
      <c r="K2522" s="1">
        <v>0.0</v>
      </c>
      <c r="L2522" s="1" t="s">
        <v>63</v>
      </c>
      <c r="M2522" s="1" t="str">
        <f>VLOOKUP(L2522,'Copy of PMD Workday Constants -'!B2521:W3207,22,false)</f>
        <v>#N/A</v>
      </c>
      <c r="N2522" s="1" t="s">
        <v>32</v>
      </c>
      <c r="O2522" s="1" t="s">
        <v>33</v>
      </c>
      <c r="P2522" s="1" t="s">
        <v>64</v>
      </c>
      <c r="Q2522" s="1" t="s">
        <v>64</v>
      </c>
      <c r="R2522" s="1" t="s">
        <v>65</v>
      </c>
      <c r="S2522" s="1" t="s">
        <v>126</v>
      </c>
      <c r="T2522" s="1">
        <v>1.01059432E8</v>
      </c>
      <c r="W2522" s="1" t="s">
        <v>308</v>
      </c>
      <c r="X2522" s="1" t="s">
        <v>63</v>
      </c>
    </row>
    <row r="2523">
      <c r="A2523" s="1" t="s">
        <v>7731</v>
      </c>
      <c r="B2523" s="1" t="s">
        <v>7729</v>
      </c>
      <c r="C2523" s="1" t="s">
        <v>7732</v>
      </c>
      <c r="D2523" s="1" t="s">
        <v>28</v>
      </c>
      <c r="E2523" s="1" t="s">
        <v>29</v>
      </c>
      <c r="F2523" s="5">
        <v>389802.76</v>
      </c>
      <c r="G2523" s="1" t="s">
        <v>7016</v>
      </c>
      <c r="H2523" s="1" t="s">
        <v>131</v>
      </c>
      <c r="I2523" s="1" t="s">
        <v>1226</v>
      </c>
      <c r="K2523" s="1">
        <v>0.0</v>
      </c>
      <c r="L2523" s="1" t="s">
        <v>63</v>
      </c>
      <c r="M2523" s="1" t="str">
        <f>VLOOKUP(L2523,'Copy of PMD Workday Constants -'!B2522:W3208,22,false)</f>
        <v>#N/A</v>
      </c>
      <c r="N2523" s="1" t="s">
        <v>32</v>
      </c>
      <c r="O2523" s="1" t="s">
        <v>33</v>
      </c>
      <c r="P2523" s="1" t="s">
        <v>64</v>
      </c>
      <c r="Q2523" s="1" t="s">
        <v>64</v>
      </c>
      <c r="R2523" s="1" t="s">
        <v>65</v>
      </c>
      <c r="S2523" s="1" t="s">
        <v>126</v>
      </c>
      <c r="T2523" s="1">
        <v>1.01059432E8</v>
      </c>
      <c r="W2523" s="1" t="s">
        <v>308</v>
      </c>
      <c r="X2523" s="1" t="s">
        <v>63</v>
      </c>
    </row>
    <row r="2524">
      <c r="A2524" s="1" t="s">
        <v>7733</v>
      </c>
      <c r="B2524" s="1" t="s">
        <v>7734</v>
      </c>
      <c r="C2524" s="1" t="s">
        <v>7735</v>
      </c>
      <c r="D2524" s="1" t="s">
        <v>103</v>
      </c>
      <c r="E2524" s="1" t="s">
        <v>29</v>
      </c>
      <c r="F2524" s="5">
        <v>389000.0</v>
      </c>
      <c r="G2524" s="1" t="s">
        <v>7016</v>
      </c>
      <c r="H2524" s="1" t="s">
        <v>466</v>
      </c>
      <c r="I2524" s="1" t="s">
        <v>191</v>
      </c>
      <c r="K2524" s="1">
        <v>0.0</v>
      </c>
      <c r="L2524" s="1" t="s">
        <v>5881</v>
      </c>
      <c r="M2524" s="1" t="str">
        <f>VLOOKUP(L2524,'Copy of PMD Workday Constants -'!B2523:W3209,22,false)</f>
        <v>#N/A</v>
      </c>
      <c r="N2524" s="1" t="s">
        <v>32</v>
      </c>
      <c r="O2524" s="1" t="s">
        <v>33</v>
      </c>
      <c r="P2524" s="1" t="s">
        <v>64</v>
      </c>
      <c r="Q2524" s="1" t="s">
        <v>64</v>
      </c>
      <c r="R2524" s="1" t="s">
        <v>65</v>
      </c>
      <c r="S2524" s="1" t="s">
        <v>1336</v>
      </c>
      <c r="T2524" s="1">
        <v>1.01230882E8</v>
      </c>
      <c r="W2524" s="1" t="s">
        <v>456</v>
      </c>
      <c r="X2524" s="1" t="s">
        <v>7736</v>
      </c>
    </row>
    <row r="2525">
      <c r="A2525" s="1" t="s">
        <v>7737</v>
      </c>
      <c r="B2525" s="1" t="s">
        <v>40</v>
      </c>
      <c r="C2525" s="1" t="s">
        <v>7738</v>
      </c>
      <c r="D2525" s="1" t="s">
        <v>103</v>
      </c>
      <c r="E2525" s="1" t="s">
        <v>29</v>
      </c>
      <c r="F2525" s="5">
        <v>385048.0</v>
      </c>
      <c r="G2525" s="1" t="s">
        <v>7016</v>
      </c>
      <c r="H2525" s="1" t="s">
        <v>52</v>
      </c>
      <c r="I2525" s="1" t="s">
        <v>248</v>
      </c>
      <c r="K2525" s="1">
        <v>0.0</v>
      </c>
      <c r="L2525" s="1" t="s">
        <v>1351</v>
      </c>
      <c r="M2525" s="1" t="str">
        <f>VLOOKUP(L2525,'Copy of PMD Workday Constants -'!B2524:W3210,22,false)</f>
        <v>#N/A</v>
      </c>
      <c r="N2525" s="1" t="s">
        <v>32</v>
      </c>
      <c r="O2525" s="1" t="s">
        <v>33</v>
      </c>
      <c r="P2525" s="1" t="s">
        <v>34</v>
      </c>
      <c r="Q2525" s="1" t="s">
        <v>34</v>
      </c>
      <c r="R2525" s="1" t="s">
        <v>35</v>
      </c>
      <c r="S2525" s="1" t="s">
        <v>126</v>
      </c>
      <c r="T2525" s="1">
        <v>1.00585872E8</v>
      </c>
      <c r="W2525" s="1" t="s">
        <v>47</v>
      </c>
      <c r="X2525" s="1" t="s">
        <v>1351</v>
      </c>
    </row>
    <row r="2526">
      <c r="A2526" s="1" t="s">
        <v>7739</v>
      </c>
      <c r="B2526" s="1" t="s">
        <v>1184</v>
      </c>
      <c r="C2526" s="1" t="s">
        <v>7740</v>
      </c>
      <c r="D2526" s="1" t="s">
        <v>79</v>
      </c>
      <c r="E2526" s="1" t="s">
        <v>29</v>
      </c>
      <c r="F2526" s="5">
        <v>385000.0</v>
      </c>
      <c r="G2526" s="1" t="s">
        <v>7016</v>
      </c>
      <c r="H2526" s="1" t="s">
        <v>2365</v>
      </c>
      <c r="I2526" s="1" t="s">
        <v>104</v>
      </c>
      <c r="K2526" s="1">
        <v>0.0</v>
      </c>
      <c r="L2526" s="1" t="s">
        <v>4001</v>
      </c>
      <c r="M2526" s="1" t="str">
        <f>VLOOKUP(L2526,'Copy of PMD Workday Constants -'!B2525:W3211,22,false)</f>
        <v>#N/A</v>
      </c>
      <c r="N2526" s="1" t="s">
        <v>32</v>
      </c>
      <c r="O2526" s="1" t="s">
        <v>33</v>
      </c>
      <c r="P2526" s="1" t="s">
        <v>210</v>
      </c>
      <c r="Q2526" s="1" t="s">
        <v>210</v>
      </c>
      <c r="R2526" s="1" t="s">
        <v>211</v>
      </c>
      <c r="S2526" s="1" t="s">
        <v>416</v>
      </c>
      <c r="T2526" s="1">
        <v>1.00622174E8</v>
      </c>
      <c r="W2526" s="1" t="s">
        <v>56</v>
      </c>
      <c r="X2526" s="1" t="s">
        <v>4001</v>
      </c>
    </row>
    <row r="2527">
      <c r="A2527" s="1" t="s">
        <v>7741</v>
      </c>
      <c r="B2527" s="1" t="s">
        <v>40</v>
      </c>
      <c r="C2527" s="1" t="s">
        <v>7742</v>
      </c>
      <c r="D2527" s="1" t="s">
        <v>103</v>
      </c>
      <c r="E2527" s="1" t="s">
        <v>29</v>
      </c>
      <c r="F2527" s="5">
        <v>385000.0</v>
      </c>
      <c r="G2527" s="1" t="s">
        <v>7016</v>
      </c>
      <c r="H2527" s="4">
        <v>44594.0</v>
      </c>
      <c r="I2527" s="1" t="s">
        <v>248</v>
      </c>
      <c r="K2527" s="1">
        <v>0.0</v>
      </c>
      <c r="L2527" s="1" t="s">
        <v>825</v>
      </c>
      <c r="M2527" s="1" t="str">
        <f>VLOOKUP(L2527,'Copy of PMD Workday Constants -'!B2526:W3212,22,false)</f>
        <v>#N/A</v>
      </c>
      <c r="N2527" s="1" t="s">
        <v>32</v>
      </c>
      <c r="O2527" s="1" t="s">
        <v>33</v>
      </c>
      <c r="P2527" s="1" t="s">
        <v>112</v>
      </c>
      <c r="Q2527" s="1" t="s">
        <v>112</v>
      </c>
      <c r="R2527" s="1" t="s">
        <v>113</v>
      </c>
      <c r="S2527" s="1" t="s">
        <v>307</v>
      </c>
      <c r="T2527" s="1">
        <v>1.00621664E8</v>
      </c>
      <c r="W2527" s="1" t="s">
        <v>47</v>
      </c>
      <c r="X2527" s="1" t="s">
        <v>2798</v>
      </c>
    </row>
    <row r="2528">
      <c r="A2528" s="1" t="s">
        <v>7743</v>
      </c>
      <c r="B2528" s="1" t="s">
        <v>3478</v>
      </c>
      <c r="C2528" s="1" t="s">
        <v>7744</v>
      </c>
      <c r="D2528" s="1" t="s">
        <v>51</v>
      </c>
      <c r="E2528" s="1" t="s">
        <v>29</v>
      </c>
      <c r="F2528" s="5">
        <v>385000.0</v>
      </c>
      <c r="G2528" s="1" t="s">
        <v>7016</v>
      </c>
      <c r="H2528" s="1" t="s">
        <v>322</v>
      </c>
      <c r="I2528" s="1" t="s">
        <v>104</v>
      </c>
      <c r="K2528" s="1">
        <v>0.0</v>
      </c>
      <c r="L2528" s="1" t="s">
        <v>3480</v>
      </c>
      <c r="M2528" s="1" t="str">
        <f>VLOOKUP(L2528,'Copy of PMD Workday Constants -'!B2527:W3213,22,false)</f>
        <v>#N/A</v>
      </c>
      <c r="N2528" s="1" t="s">
        <v>32</v>
      </c>
      <c r="O2528" s="1" t="s">
        <v>33</v>
      </c>
      <c r="P2528" s="1" t="s">
        <v>112</v>
      </c>
      <c r="Q2528" s="1" t="s">
        <v>112</v>
      </c>
      <c r="R2528" s="1" t="s">
        <v>113</v>
      </c>
      <c r="S2528" s="1" t="s">
        <v>114</v>
      </c>
      <c r="T2528" s="1">
        <v>1.00628223E8</v>
      </c>
      <c r="W2528" s="1" t="s">
        <v>947</v>
      </c>
      <c r="X2528" s="1" t="s">
        <v>7745</v>
      </c>
    </row>
    <row r="2529">
      <c r="A2529" s="1" t="s">
        <v>7746</v>
      </c>
      <c r="B2529" s="1" t="s">
        <v>973</v>
      </c>
      <c r="C2529" s="1" t="s">
        <v>7747</v>
      </c>
      <c r="D2529" s="1" t="s">
        <v>28</v>
      </c>
      <c r="E2529" s="1" t="s">
        <v>29</v>
      </c>
      <c r="F2529" s="5">
        <v>382000.0</v>
      </c>
      <c r="G2529" s="1" t="s">
        <v>7016</v>
      </c>
      <c r="H2529" s="4">
        <v>44686.0</v>
      </c>
      <c r="I2529" s="1" t="s">
        <v>526</v>
      </c>
      <c r="K2529" s="1">
        <v>0.0</v>
      </c>
      <c r="L2529" s="1" t="s">
        <v>976</v>
      </c>
      <c r="M2529" s="1" t="str">
        <f>VLOOKUP(L2529,'Copy of PMD Workday Constants -'!B2528:W3214,22,false)</f>
        <v>#N/A</v>
      </c>
      <c r="N2529" s="1" t="s">
        <v>32</v>
      </c>
      <c r="O2529" s="1" t="s">
        <v>33</v>
      </c>
      <c r="P2529" s="1" t="s">
        <v>173</v>
      </c>
      <c r="Q2529" s="1" t="s">
        <v>173</v>
      </c>
      <c r="R2529" s="1" t="s">
        <v>174</v>
      </c>
      <c r="S2529" s="1" t="s">
        <v>153</v>
      </c>
      <c r="T2529" s="1">
        <v>1.00611358E8</v>
      </c>
      <c r="U2529" s="1" t="s">
        <v>7748</v>
      </c>
      <c r="V2529" s="1" t="s">
        <v>781</v>
      </c>
      <c r="W2529" s="1" t="s">
        <v>456</v>
      </c>
      <c r="X2529" s="1" t="s">
        <v>6614</v>
      </c>
    </row>
    <row r="2530">
      <c r="A2530" s="1" t="s">
        <v>7749</v>
      </c>
      <c r="B2530" s="1" t="s">
        <v>1657</v>
      </c>
      <c r="C2530" s="1" t="s">
        <v>7750</v>
      </c>
      <c r="D2530" s="1" t="s">
        <v>103</v>
      </c>
      <c r="E2530" s="1" t="s">
        <v>29</v>
      </c>
      <c r="F2530" s="5">
        <v>380000.0</v>
      </c>
      <c r="G2530" s="1" t="s">
        <v>7016</v>
      </c>
      <c r="H2530" s="1" t="s">
        <v>1245</v>
      </c>
      <c r="I2530" s="1" t="s">
        <v>2380</v>
      </c>
      <c r="K2530" s="1">
        <v>0.0</v>
      </c>
      <c r="L2530" s="1" t="s">
        <v>806</v>
      </c>
      <c r="M2530" s="1" t="str">
        <f>VLOOKUP(L2530,'Copy of PMD Workday Constants -'!B2529:W3215,22,false)</f>
        <v>#N/A</v>
      </c>
      <c r="N2530" s="1" t="s">
        <v>32</v>
      </c>
      <c r="O2530" s="1" t="s">
        <v>33</v>
      </c>
      <c r="P2530" s="1" t="s">
        <v>173</v>
      </c>
      <c r="Q2530" s="1" t="s">
        <v>173</v>
      </c>
      <c r="R2530" s="1" t="s">
        <v>174</v>
      </c>
      <c r="S2530" s="1" t="s">
        <v>612</v>
      </c>
      <c r="T2530" s="1">
        <v>1.00581784E8</v>
      </c>
      <c r="W2530" s="1" t="s">
        <v>147</v>
      </c>
      <c r="X2530" s="1" t="s">
        <v>7751</v>
      </c>
    </row>
    <row r="2531">
      <c r="A2531" s="1" t="s">
        <v>7752</v>
      </c>
      <c r="B2531" s="1" t="s">
        <v>7753</v>
      </c>
      <c r="C2531" s="1" t="s">
        <v>7754</v>
      </c>
      <c r="D2531" s="1" t="s">
        <v>103</v>
      </c>
      <c r="E2531" s="1" t="s">
        <v>29</v>
      </c>
      <c r="F2531" s="5">
        <v>380000.0</v>
      </c>
      <c r="G2531" s="1" t="s">
        <v>7016</v>
      </c>
      <c r="H2531" s="1" t="s">
        <v>7755</v>
      </c>
      <c r="I2531" s="1" t="s">
        <v>7756</v>
      </c>
      <c r="K2531" s="1">
        <v>0.0</v>
      </c>
      <c r="L2531" s="1" t="s">
        <v>198</v>
      </c>
      <c r="M2531" s="1" t="str">
        <f>VLOOKUP(L2531,'Copy of PMD Workday Constants -'!B2530:W3216,22,false)</f>
        <v>#N/A</v>
      </c>
      <c r="N2531" s="1" t="s">
        <v>32</v>
      </c>
      <c r="O2531" s="1" t="s">
        <v>33</v>
      </c>
      <c r="P2531" s="1" t="s">
        <v>82</v>
      </c>
      <c r="Q2531" s="1" t="s">
        <v>82</v>
      </c>
      <c r="R2531" s="1" t="s">
        <v>83</v>
      </c>
      <c r="S2531" s="1" t="s">
        <v>180</v>
      </c>
      <c r="T2531" s="1">
        <v>1.00590896E8</v>
      </c>
      <c r="W2531" s="1" t="s">
        <v>85</v>
      </c>
      <c r="X2531" s="1" t="s">
        <v>2311</v>
      </c>
    </row>
    <row r="2532">
      <c r="A2532" s="1" t="s">
        <v>7757</v>
      </c>
      <c r="B2532" s="1" t="s">
        <v>289</v>
      </c>
      <c r="C2532" s="1" t="s">
        <v>7758</v>
      </c>
      <c r="D2532" s="1" t="s">
        <v>28</v>
      </c>
      <c r="E2532" s="1" t="s">
        <v>29</v>
      </c>
      <c r="F2532" s="5">
        <v>380000.0</v>
      </c>
      <c r="G2532" s="1" t="s">
        <v>7016</v>
      </c>
      <c r="H2532" s="4">
        <v>44655.0</v>
      </c>
      <c r="I2532" s="1" t="s">
        <v>870</v>
      </c>
      <c r="K2532" s="1">
        <v>0.0</v>
      </c>
      <c r="L2532" s="1" t="s">
        <v>3784</v>
      </c>
      <c r="M2532" s="1" t="str">
        <f>VLOOKUP(L2532,'Copy of PMD Workday Constants -'!B2531:W3217,22,false)</f>
        <v>#N/A</v>
      </c>
      <c r="N2532" s="1" t="s">
        <v>32</v>
      </c>
      <c r="O2532" s="1" t="s">
        <v>33</v>
      </c>
      <c r="P2532" s="1" t="s">
        <v>210</v>
      </c>
      <c r="Q2532" s="1" t="s">
        <v>210</v>
      </c>
      <c r="R2532" s="1" t="s">
        <v>211</v>
      </c>
      <c r="S2532" s="1" t="s">
        <v>416</v>
      </c>
      <c r="T2532" s="1">
        <v>1.00637651E8</v>
      </c>
      <c r="W2532" s="1" t="s">
        <v>74</v>
      </c>
      <c r="X2532" s="1" t="s">
        <v>7759</v>
      </c>
    </row>
    <row r="2533">
      <c r="A2533" s="1" t="s">
        <v>7760</v>
      </c>
      <c r="B2533" s="1" t="s">
        <v>3911</v>
      </c>
      <c r="C2533" s="1" t="s">
        <v>7761</v>
      </c>
      <c r="D2533" s="1" t="s">
        <v>28</v>
      </c>
      <c r="E2533" s="1" t="s">
        <v>29</v>
      </c>
      <c r="F2533" s="5">
        <v>379766.0</v>
      </c>
      <c r="G2533" s="1" t="s">
        <v>7016</v>
      </c>
      <c r="H2533" s="4">
        <v>44442.0</v>
      </c>
      <c r="I2533" s="1" t="s">
        <v>7762</v>
      </c>
      <c r="K2533" s="1">
        <v>0.0</v>
      </c>
      <c r="L2533" s="1" t="s">
        <v>4159</v>
      </c>
      <c r="M2533" s="1" t="str">
        <f>VLOOKUP(L2533,'Copy of PMD Workday Constants -'!B2532:W3218,22,false)</f>
        <v>#N/A</v>
      </c>
      <c r="N2533" s="1" t="s">
        <v>32</v>
      </c>
      <c r="O2533" s="1" t="s">
        <v>33</v>
      </c>
      <c r="P2533" s="1" t="s">
        <v>222</v>
      </c>
      <c r="Q2533" s="1" t="s">
        <v>222</v>
      </c>
      <c r="R2533" s="1" t="s">
        <v>223</v>
      </c>
      <c r="S2533" s="1" t="s">
        <v>482</v>
      </c>
      <c r="T2533" s="1">
        <v>1.00888587E8</v>
      </c>
      <c r="V2533" s="1" t="s">
        <v>346</v>
      </c>
      <c r="W2533" s="1" t="s">
        <v>258</v>
      </c>
      <c r="X2533" s="1" t="s">
        <v>817</v>
      </c>
    </row>
    <row r="2534">
      <c r="A2534" s="1" t="s">
        <v>7763</v>
      </c>
      <c r="B2534" s="1" t="s">
        <v>3911</v>
      </c>
      <c r="C2534" s="1" t="s">
        <v>7764</v>
      </c>
      <c r="D2534" s="1" t="s">
        <v>28</v>
      </c>
      <c r="E2534" s="1" t="s">
        <v>29</v>
      </c>
      <c r="F2534" s="5">
        <v>379766.0</v>
      </c>
      <c r="G2534" s="1" t="s">
        <v>7016</v>
      </c>
      <c r="H2534" s="4">
        <v>44442.0</v>
      </c>
      <c r="I2534" s="1" t="s">
        <v>1281</v>
      </c>
      <c r="K2534" s="1">
        <v>0.0</v>
      </c>
      <c r="L2534" s="1" t="s">
        <v>4159</v>
      </c>
      <c r="M2534" s="1" t="str">
        <f>VLOOKUP(L2534,'Copy of PMD Workday Constants -'!B2533:W3219,22,false)</f>
        <v>#N/A</v>
      </c>
      <c r="N2534" s="1" t="s">
        <v>32</v>
      </c>
      <c r="O2534" s="1" t="s">
        <v>33</v>
      </c>
      <c r="P2534" s="1" t="s">
        <v>222</v>
      </c>
      <c r="Q2534" s="1" t="s">
        <v>222</v>
      </c>
      <c r="R2534" s="1" t="s">
        <v>223</v>
      </c>
      <c r="S2534" s="1" t="s">
        <v>482</v>
      </c>
      <c r="T2534" s="1">
        <v>1.00888587E8</v>
      </c>
      <c r="V2534" s="1" t="s">
        <v>346</v>
      </c>
      <c r="W2534" s="1" t="s">
        <v>258</v>
      </c>
      <c r="X2534" s="1" t="s">
        <v>817</v>
      </c>
    </row>
    <row r="2535">
      <c r="A2535" s="1" t="s">
        <v>7765</v>
      </c>
      <c r="B2535" s="1" t="s">
        <v>143</v>
      </c>
      <c r="C2535" s="1" t="s">
        <v>7766</v>
      </c>
      <c r="D2535" s="1" t="s">
        <v>103</v>
      </c>
      <c r="E2535" s="1" t="s">
        <v>29</v>
      </c>
      <c r="F2535" s="5">
        <v>379500.0</v>
      </c>
      <c r="G2535" s="1" t="s">
        <v>7016</v>
      </c>
      <c r="H2535" s="1" t="s">
        <v>1708</v>
      </c>
      <c r="I2535" s="1" t="s">
        <v>732</v>
      </c>
      <c r="K2535" s="1">
        <v>0.0</v>
      </c>
      <c r="L2535" s="1" t="s">
        <v>806</v>
      </c>
      <c r="M2535" s="1" t="str">
        <f>VLOOKUP(L2535,'Copy of PMD Workday Constants -'!B2534:W3220,22,false)</f>
        <v>#N/A</v>
      </c>
      <c r="N2535" s="1" t="s">
        <v>32</v>
      </c>
      <c r="O2535" s="1" t="s">
        <v>33</v>
      </c>
      <c r="P2535" s="1" t="s">
        <v>173</v>
      </c>
      <c r="Q2535" s="1" t="s">
        <v>173</v>
      </c>
      <c r="R2535" s="1" t="s">
        <v>174</v>
      </c>
      <c r="S2535" s="1" t="s">
        <v>612</v>
      </c>
      <c r="T2535" s="1">
        <v>1.00581784E8</v>
      </c>
      <c r="W2535" s="1" t="s">
        <v>147</v>
      </c>
      <c r="X2535" s="1" t="s">
        <v>806</v>
      </c>
    </row>
    <row r="2536">
      <c r="A2536" s="1" t="s">
        <v>7767</v>
      </c>
      <c r="B2536" s="1" t="s">
        <v>863</v>
      </c>
      <c r="C2536" s="1" t="s">
        <v>7768</v>
      </c>
      <c r="D2536" s="1" t="s">
        <v>51</v>
      </c>
      <c r="E2536" s="1" t="s">
        <v>29</v>
      </c>
      <c r="F2536" s="5">
        <v>375000.0</v>
      </c>
      <c r="G2536" s="1" t="s">
        <v>7016</v>
      </c>
      <c r="H2536" s="1" t="s">
        <v>52</v>
      </c>
      <c r="I2536" s="4">
        <v>44569.0</v>
      </c>
      <c r="K2536" s="1">
        <v>0.0</v>
      </c>
      <c r="L2536" s="1" t="s">
        <v>3935</v>
      </c>
      <c r="M2536" s="1" t="str">
        <f>VLOOKUP(L2536,'Copy of PMD Workday Constants -'!B2535:W3221,22,false)</f>
        <v>#N/A</v>
      </c>
      <c r="N2536" s="1" t="s">
        <v>32</v>
      </c>
      <c r="O2536" s="1" t="s">
        <v>33</v>
      </c>
      <c r="P2536" s="1" t="s">
        <v>82</v>
      </c>
      <c r="Q2536" s="1" t="s">
        <v>82</v>
      </c>
      <c r="R2536" s="1" t="s">
        <v>83</v>
      </c>
      <c r="S2536" s="1" t="s">
        <v>84</v>
      </c>
      <c r="T2536" s="1">
        <v>1.01088146E8</v>
      </c>
      <c r="W2536" s="1" t="s">
        <v>85</v>
      </c>
      <c r="X2536" s="1" t="s">
        <v>1534</v>
      </c>
    </row>
    <row r="2537">
      <c r="A2537" s="1" t="s">
        <v>7769</v>
      </c>
      <c r="B2537" s="1" t="s">
        <v>7770</v>
      </c>
      <c r="C2537" s="1" t="s">
        <v>7771</v>
      </c>
      <c r="D2537" s="1" t="s">
        <v>51</v>
      </c>
      <c r="E2537" s="1" t="s">
        <v>29</v>
      </c>
      <c r="F2537" s="5">
        <v>375000.0</v>
      </c>
      <c r="G2537" s="1" t="s">
        <v>7016</v>
      </c>
      <c r="H2537" s="4">
        <v>44236.0</v>
      </c>
      <c r="I2537" s="1" t="s">
        <v>1369</v>
      </c>
      <c r="K2537" s="1">
        <v>0.0</v>
      </c>
      <c r="L2537" s="1" t="s">
        <v>2042</v>
      </c>
      <c r="M2537" s="1" t="str">
        <f>VLOOKUP(L2537,'Copy of PMD Workday Constants -'!B2536:W3222,22,false)</f>
        <v>#N/A</v>
      </c>
      <c r="N2537" s="1" t="s">
        <v>32</v>
      </c>
      <c r="O2537" s="1" t="s">
        <v>33</v>
      </c>
      <c r="P2537" s="1" t="s">
        <v>34</v>
      </c>
      <c r="Q2537" s="1" t="s">
        <v>34</v>
      </c>
      <c r="R2537" s="1" t="s">
        <v>35</v>
      </c>
      <c r="S2537" s="1" t="s">
        <v>126</v>
      </c>
      <c r="T2537" s="1">
        <v>1.00611284E8</v>
      </c>
      <c r="X2537" s="1" t="s">
        <v>6139</v>
      </c>
    </row>
    <row r="2538">
      <c r="A2538" s="1" t="s">
        <v>7772</v>
      </c>
      <c r="B2538" s="1" t="s">
        <v>521</v>
      </c>
      <c r="C2538" s="1" t="s">
        <v>7773</v>
      </c>
      <c r="D2538" s="1" t="s">
        <v>51</v>
      </c>
      <c r="E2538" s="1" t="s">
        <v>29</v>
      </c>
      <c r="F2538" s="5">
        <v>375000.0</v>
      </c>
      <c r="G2538" s="1" t="s">
        <v>7016</v>
      </c>
      <c r="H2538" s="1" t="s">
        <v>131</v>
      </c>
      <c r="I2538" s="1" t="s">
        <v>96</v>
      </c>
      <c r="K2538" s="1">
        <v>0.0</v>
      </c>
      <c r="L2538" s="1" t="s">
        <v>934</v>
      </c>
      <c r="M2538" s="1" t="str">
        <f>VLOOKUP(L2538,'Copy of PMD Workday Constants -'!B2537:W3223,22,false)</f>
        <v>#N/A</v>
      </c>
      <c r="N2538" s="1" t="s">
        <v>32</v>
      </c>
      <c r="O2538" s="1" t="s">
        <v>33</v>
      </c>
      <c r="P2538" s="1" t="s">
        <v>173</v>
      </c>
      <c r="Q2538" s="1" t="s">
        <v>173</v>
      </c>
      <c r="R2538" s="1" t="s">
        <v>174</v>
      </c>
      <c r="S2538" s="1" t="s">
        <v>84</v>
      </c>
      <c r="T2538" s="1">
        <v>1.00653269E8</v>
      </c>
      <c r="U2538" s="1" t="s">
        <v>7774</v>
      </c>
      <c r="V2538" s="1" t="s">
        <v>781</v>
      </c>
      <c r="W2538" s="1" t="s">
        <v>85</v>
      </c>
      <c r="X2538" s="1" t="s">
        <v>2006</v>
      </c>
    </row>
    <row r="2539">
      <c r="A2539" s="1" t="s">
        <v>7775</v>
      </c>
      <c r="B2539" s="1" t="s">
        <v>7776</v>
      </c>
      <c r="C2539" s="1" t="s">
        <v>7777</v>
      </c>
      <c r="D2539" s="1" t="s">
        <v>51</v>
      </c>
      <c r="E2539" s="1" t="s">
        <v>29</v>
      </c>
      <c r="F2539" s="5">
        <v>375000.0</v>
      </c>
      <c r="G2539" s="1" t="s">
        <v>7016</v>
      </c>
      <c r="H2539" s="1" t="s">
        <v>3798</v>
      </c>
      <c r="I2539" s="4">
        <v>44568.0</v>
      </c>
      <c r="K2539" s="1">
        <v>0.0</v>
      </c>
      <c r="L2539" s="1" t="s">
        <v>3788</v>
      </c>
      <c r="M2539" s="1" t="str">
        <f>VLOOKUP(L2539,'Copy of PMD Workday Constants -'!B2538:W3224,22,false)</f>
        <v>#N/A</v>
      </c>
      <c r="N2539" s="1" t="s">
        <v>32</v>
      </c>
      <c r="O2539" s="1" t="s">
        <v>33</v>
      </c>
      <c r="P2539" s="1" t="s">
        <v>64</v>
      </c>
      <c r="Q2539" s="1" t="s">
        <v>64</v>
      </c>
      <c r="R2539" s="1" t="s">
        <v>65</v>
      </c>
      <c r="S2539" s="1" t="s">
        <v>185</v>
      </c>
      <c r="T2539" s="1">
        <v>1.00652316E8</v>
      </c>
      <c r="X2539" s="1" t="s">
        <v>7778</v>
      </c>
    </row>
    <row r="2540">
      <c r="A2540" s="1" t="s">
        <v>7779</v>
      </c>
      <c r="B2540" s="1" t="s">
        <v>868</v>
      </c>
      <c r="C2540" s="1" t="s">
        <v>7780</v>
      </c>
      <c r="D2540" s="1" t="s">
        <v>51</v>
      </c>
      <c r="E2540" s="1" t="s">
        <v>29</v>
      </c>
      <c r="F2540" s="5">
        <v>375000.0</v>
      </c>
      <c r="G2540" s="1" t="s">
        <v>7016</v>
      </c>
      <c r="H2540" s="4">
        <v>43688.0</v>
      </c>
      <c r="I2540" s="1" t="s">
        <v>80</v>
      </c>
      <c r="K2540" s="1">
        <v>0.0</v>
      </c>
      <c r="L2540" s="1" t="s">
        <v>1249</v>
      </c>
      <c r="M2540" s="1" t="str">
        <f>VLOOKUP(L2540,'Copy of PMD Workday Constants -'!B2539:W3225,22,false)</f>
        <v>#N/A</v>
      </c>
      <c r="N2540" s="1" t="s">
        <v>32</v>
      </c>
      <c r="O2540" s="1" t="s">
        <v>33</v>
      </c>
      <c r="P2540" s="1" t="s">
        <v>222</v>
      </c>
      <c r="Q2540" s="1" t="s">
        <v>222</v>
      </c>
      <c r="R2540" s="1" t="s">
        <v>223</v>
      </c>
      <c r="S2540" s="1" t="s">
        <v>646</v>
      </c>
      <c r="T2540" s="1">
        <v>1.00609871E8</v>
      </c>
      <c r="W2540" s="1" t="s">
        <v>287</v>
      </c>
      <c r="X2540" s="1" t="s">
        <v>7781</v>
      </c>
    </row>
    <row r="2541">
      <c r="A2541" s="1" t="s">
        <v>7782</v>
      </c>
      <c r="B2541" s="1" t="s">
        <v>3154</v>
      </c>
      <c r="C2541" s="1" t="s">
        <v>7783</v>
      </c>
      <c r="D2541" s="1" t="s">
        <v>79</v>
      </c>
      <c r="E2541" s="1" t="s">
        <v>29</v>
      </c>
      <c r="F2541" s="5">
        <v>375000.0</v>
      </c>
      <c r="G2541" s="1" t="s">
        <v>7016</v>
      </c>
      <c r="H2541" s="1" t="s">
        <v>2484</v>
      </c>
      <c r="I2541" s="1" t="s">
        <v>80</v>
      </c>
      <c r="K2541" s="1">
        <v>0.0</v>
      </c>
      <c r="L2541" s="1" t="s">
        <v>5078</v>
      </c>
      <c r="M2541" s="1" t="str">
        <f>VLOOKUP(L2541,'Copy of PMD Workday Constants -'!B2540:W3226,22,false)</f>
        <v>#N/A</v>
      </c>
      <c r="N2541" s="1" t="s">
        <v>32</v>
      </c>
      <c r="O2541" s="1" t="s">
        <v>33</v>
      </c>
      <c r="P2541" s="1" t="s">
        <v>34</v>
      </c>
      <c r="Q2541" s="1" t="s">
        <v>34</v>
      </c>
      <c r="R2541" s="1" t="s">
        <v>35</v>
      </c>
      <c r="T2541" s="1">
        <v>1.00658994E8</v>
      </c>
      <c r="W2541" s="1" t="s">
        <v>456</v>
      </c>
      <c r="X2541" s="1" t="s">
        <v>7784</v>
      </c>
    </row>
    <row r="2542">
      <c r="A2542" s="1" t="s">
        <v>7785</v>
      </c>
      <c r="B2542" s="1" t="s">
        <v>7786</v>
      </c>
      <c r="C2542" s="1" t="s">
        <v>7787</v>
      </c>
      <c r="D2542" s="1" t="s">
        <v>103</v>
      </c>
      <c r="E2542" s="1" t="s">
        <v>29</v>
      </c>
      <c r="F2542" s="5">
        <v>375000.0</v>
      </c>
      <c r="G2542" s="1" t="s">
        <v>7016</v>
      </c>
      <c r="H2542" s="1" t="s">
        <v>1514</v>
      </c>
      <c r="I2542" s="4">
        <v>44604.0</v>
      </c>
      <c r="K2542" s="1">
        <v>0.0</v>
      </c>
      <c r="L2542" s="1" t="s">
        <v>3559</v>
      </c>
      <c r="M2542" s="1" t="str">
        <f>VLOOKUP(L2542,'Copy of PMD Workday Constants -'!B2541:W3227,22,false)</f>
        <v>#N/A</v>
      </c>
      <c r="N2542" s="1" t="s">
        <v>32</v>
      </c>
      <c r="O2542" s="1" t="s">
        <v>33</v>
      </c>
      <c r="P2542" s="1" t="s">
        <v>34</v>
      </c>
      <c r="Q2542" s="1" t="s">
        <v>34</v>
      </c>
      <c r="R2542" s="1" t="s">
        <v>35</v>
      </c>
      <c r="S2542" s="1" t="s">
        <v>383</v>
      </c>
      <c r="T2542" s="1">
        <v>1.00586786E8</v>
      </c>
      <c r="W2542" s="1" t="s">
        <v>1303</v>
      </c>
      <c r="X2542" s="1" t="s">
        <v>2748</v>
      </c>
    </row>
    <row r="2543">
      <c r="A2543" s="1" t="s">
        <v>7788</v>
      </c>
      <c r="B2543" s="1" t="s">
        <v>4587</v>
      </c>
      <c r="C2543" s="1" t="s">
        <v>7789</v>
      </c>
      <c r="D2543" s="1" t="s">
        <v>28</v>
      </c>
      <c r="E2543" s="1" t="s">
        <v>29</v>
      </c>
      <c r="F2543" s="5">
        <v>375000.0</v>
      </c>
      <c r="G2543" s="1" t="s">
        <v>7016</v>
      </c>
      <c r="H2543" s="4">
        <v>44206.0</v>
      </c>
      <c r="I2543" s="1" t="s">
        <v>152</v>
      </c>
      <c r="K2543" s="1">
        <v>0.0</v>
      </c>
      <c r="L2543" s="1" t="s">
        <v>3290</v>
      </c>
      <c r="M2543" s="1" t="str">
        <f>VLOOKUP(L2543,'Copy of PMD Workday Constants -'!B2542:W3228,22,false)</f>
        <v>#N/A</v>
      </c>
      <c r="N2543" s="1" t="s">
        <v>32</v>
      </c>
      <c r="O2543" s="1" t="s">
        <v>33</v>
      </c>
      <c r="P2543" s="1" t="s">
        <v>112</v>
      </c>
      <c r="Q2543" s="1" t="s">
        <v>112</v>
      </c>
      <c r="R2543" s="1" t="s">
        <v>113</v>
      </c>
      <c r="S2543" s="1" t="s">
        <v>455</v>
      </c>
      <c r="T2543" s="1">
        <v>1.00625578E8</v>
      </c>
      <c r="W2543" s="1" t="s">
        <v>456</v>
      </c>
      <c r="X2543" s="1" t="s">
        <v>2740</v>
      </c>
    </row>
    <row r="2544">
      <c r="A2544" s="1" t="s">
        <v>7790</v>
      </c>
      <c r="B2544" s="1" t="s">
        <v>993</v>
      </c>
      <c r="C2544" s="1" t="s">
        <v>7791</v>
      </c>
      <c r="D2544" s="1" t="s">
        <v>79</v>
      </c>
      <c r="E2544" s="1" t="s">
        <v>29</v>
      </c>
      <c r="F2544" s="5">
        <v>375000.0</v>
      </c>
      <c r="G2544" s="1" t="s">
        <v>7016</v>
      </c>
      <c r="H2544" s="1" t="s">
        <v>110</v>
      </c>
      <c r="I2544" s="1" t="s">
        <v>810</v>
      </c>
      <c r="K2544" s="1">
        <v>0.0</v>
      </c>
      <c r="L2544" s="1" t="s">
        <v>4634</v>
      </c>
      <c r="M2544" s="1" t="str">
        <f>VLOOKUP(L2544,'Copy of PMD Workday Constants -'!B2543:W3229,22,false)</f>
        <v>#N/A</v>
      </c>
      <c r="N2544" s="1" t="s">
        <v>32</v>
      </c>
      <c r="O2544" s="1" t="s">
        <v>33</v>
      </c>
      <c r="P2544" s="1" t="s">
        <v>112</v>
      </c>
      <c r="Q2544" s="1" t="s">
        <v>112</v>
      </c>
      <c r="R2544" s="1" t="s">
        <v>113</v>
      </c>
      <c r="S2544" s="1" t="s">
        <v>134</v>
      </c>
      <c r="T2544" s="1">
        <v>1.00585718E8</v>
      </c>
      <c r="W2544" s="1" t="s">
        <v>74</v>
      </c>
      <c r="X2544" s="1" t="s">
        <v>4804</v>
      </c>
    </row>
    <row r="2545">
      <c r="A2545" s="1" t="s">
        <v>7792</v>
      </c>
      <c r="B2545" s="1" t="s">
        <v>3166</v>
      </c>
      <c r="C2545" s="1" t="s">
        <v>7793</v>
      </c>
      <c r="D2545" s="1" t="s">
        <v>103</v>
      </c>
      <c r="E2545" s="1" t="s">
        <v>29</v>
      </c>
      <c r="F2545" s="5">
        <v>375000.0</v>
      </c>
      <c r="G2545" s="1" t="s">
        <v>7016</v>
      </c>
      <c r="H2545" s="4">
        <v>44653.0</v>
      </c>
      <c r="I2545" s="1" t="s">
        <v>302</v>
      </c>
      <c r="K2545" s="1">
        <v>0.0</v>
      </c>
      <c r="L2545" s="1" t="s">
        <v>1549</v>
      </c>
      <c r="M2545" s="1" t="str">
        <f>VLOOKUP(L2545,'Copy of PMD Workday Constants -'!B2544:W3230,22,false)</f>
        <v>#N/A</v>
      </c>
      <c r="N2545" s="1" t="s">
        <v>32</v>
      </c>
      <c r="O2545" s="1" t="s">
        <v>33</v>
      </c>
      <c r="P2545" s="1" t="s">
        <v>173</v>
      </c>
      <c r="Q2545" s="1" t="s">
        <v>173</v>
      </c>
      <c r="R2545" s="1" t="s">
        <v>174</v>
      </c>
      <c r="S2545" s="1" t="s">
        <v>612</v>
      </c>
      <c r="T2545" s="1">
        <v>1.00646908E8</v>
      </c>
      <c r="W2545" s="1" t="s">
        <v>1303</v>
      </c>
      <c r="X2545" s="1" t="s">
        <v>3066</v>
      </c>
    </row>
    <row r="2546">
      <c r="A2546" s="1" t="s">
        <v>7794</v>
      </c>
      <c r="B2546" s="1" t="s">
        <v>2785</v>
      </c>
      <c r="C2546" s="1" t="s">
        <v>7795</v>
      </c>
      <c r="D2546" s="1" t="s">
        <v>51</v>
      </c>
      <c r="E2546" s="1" t="s">
        <v>29</v>
      </c>
      <c r="F2546" s="5">
        <v>375000.0</v>
      </c>
      <c r="G2546" s="1" t="s">
        <v>7016</v>
      </c>
      <c r="H2546" s="4">
        <v>44718.0</v>
      </c>
      <c r="I2546" s="1" t="s">
        <v>104</v>
      </c>
      <c r="K2546" s="1">
        <v>0.0</v>
      </c>
      <c r="L2546" s="1" t="s">
        <v>2472</v>
      </c>
      <c r="M2546" s="1" t="str">
        <f>VLOOKUP(L2546,'Copy of PMD Workday Constants -'!B2545:W3231,22,false)</f>
        <v>#N/A</v>
      </c>
      <c r="N2546" s="1" t="s">
        <v>32</v>
      </c>
      <c r="O2546" s="1" t="s">
        <v>33</v>
      </c>
      <c r="P2546" s="1" t="s">
        <v>222</v>
      </c>
      <c r="Q2546" s="1" t="s">
        <v>222</v>
      </c>
      <c r="R2546" s="1" t="s">
        <v>223</v>
      </c>
      <c r="S2546" s="1" t="s">
        <v>646</v>
      </c>
      <c r="T2546" s="1">
        <v>1.00892076E8</v>
      </c>
      <c r="W2546" s="1" t="s">
        <v>85</v>
      </c>
      <c r="X2546" s="1" t="s">
        <v>7227</v>
      </c>
    </row>
    <row r="2547">
      <c r="A2547" s="1" t="s">
        <v>7796</v>
      </c>
      <c r="B2547" s="1" t="s">
        <v>7797</v>
      </c>
      <c r="C2547" s="1" t="s">
        <v>7798</v>
      </c>
      <c r="D2547" s="1" t="s">
        <v>28</v>
      </c>
      <c r="E2547" s="1" t="s">
        <v>29</v>
      </c>
      <c r="F2547" s="5">
        <v>375000.0</v>
      </c>
      <c r="G2547" s="1" t="s">
        <v>7016</v>
      </c>
      <c r="H2547" s="4">
        <v>44839.0</v>
      </c>
      <c r="I2547" s="1" t="s">
        <v>1349</v>
      </c>
      <c r="K2547" s="1">
        <v>0.0</v>
      </c>
      <c r="L2547" s="1" t="s">
        <v>678</v>
      </c>
      <c r="M2547" s="1" t="str">
        <f>VLOOKUP(L2547,'Copy of PMD Workday Constants -'!B2546:W3232,22,false)</f>
        <v>#N/A</v>
      </c>
      <c r="N2547" s="1" t="s">
        <v>32</v>
      </c>
      <c r="O2547" s="1" t="s">
        <v>33</v>
      </c>
      <c r="P2547" s="1" t="s">
        <v>210</v>
      </c>
      <c r="Q2547" s="1" t="s">
        <v>210</v>
      </c>
      <c r="R2547" s="1" t="s">
        <v>211</v>
      </c>
      <c r="T2547" s="1">
        <v>1.00609073E8</v>
      </c>
      <c r="W2547" s="1" t="s">
        <v>56</v>
      </c>
      <c r="X2547" s="1" t="s">
        <v>3069</v>
      </c>
    </row>
    <row r="2548">
      <c r="A2548" s="1" t="s">
        <v>7799</v>
      </c>
      <c r="B2548" s="1" t="s">
        <v>40</v>
      </c>
      <c r="C2548" s="1" t="s">
        <v>7800</v>
      </c>
      <c r="D2548" s="1" t="s">
        <v>28</v>
      </c>
      <c r="E2548" s="1" t="s">
        <v>29</v>
      </c>
      <c r="F2548" s="5">
        <v>373855.07</v>
      </c>
      <c r="G2548" s="1" t="s">
        <v>7016</v>
      </c>
      <c r="H2548" s="4">
        <v>44208.0</v>
      </c>
      <c r="I2548" s="1" t="s">
        <v>80</v>
      </c>
      <c r="K2548" s="1">
        <v>0.0</v>
      </c>
      <c r="L2548" s="1" t="s">
        <v>5184</v>
      </c>
      <c r="M2548" s="1" t="str">
        <f>VLOOKUP(L2548,'Copy of PMD Workday Constants -'!B2547:W3233,22,false)</f>
        <v>#N/A</v>
      </c>
      <c r="N2548" s="1" t="s">
        <v>32</v>
      </c>
      <c r="O2548" s="1" t="s">
        <v>33</v>
      </c>
      <c r="P2548" s="1" t="s">
        <v>64</v>
      </c>
      <c r="Q2548" s="1" t="s">
        <v>64</v>
      </c>
      <c r="R2548" s="1" t="s">
        <v>65</v>
      </c>
      <c r="S2548" s="1" t="s">
        <v>791</v>
      </c>
      <c r="T2548" s="1">
        <v>1.00568413E8</v>
      </c>
      <c r="W2548" s="1" t="s">
        <v>456</v>
      </c>
      <c r="X2548" s="1" t="s">
        <v>7801</v>
      </c>
    </row>
    <row r="2549">
      <c r="A2549" s="1" t="s">
        <v>7802</v>
      </c>
      <c r="B2549" s="1" t="s">
        <v>5853</v>
      </c>
      <c r="C2549" s="1" t="s">
        <v>7803</v>
      </c>
      <c r="D2549" s="1" t="s">
        <v>28</v>
      </c>
      <c r="E2549" s="1" t="s">
        <v>29</v>
      </c>
      <c r="F2549" s="5">
        <v>370000.0</v>
      </c>
      <c r="G2549" s="1" t="s">
        <v>7016</v>
      </c>
      <c r="H2549" s="1" t="s">
        <v>870</v>
      </c>
      <c r="I2549" s="4">
        <v>44568.0</v>
      </c>
      <c r="K2549" s="1">
        <v>0.0</v>
      </c>
      <c r="L2549" s="1" t="s">
        <v>3788</v>
      </c>
      <c r="M2549" s="1" t="str">
        <f>VLOOKUP(L2549,'Copy of PMD Workday Constants -'!B2548:W3234,22,false)</f>
        <v>#N/A</v>
      </c>
      <c r="N2549" s="1" t="s">
        <v>32</v>
      </c>
      <c r="O2549" s="1" t="s">
        <v>33</v>
      </c>
      <c r="P2549" s="1" t="s">
        <v>64</v>
      </c>
      <c r="Q2549" s="1" t="s">
        <v>64</v>
      </c>
      <c r="R2549" s="1" t="s">
        <v>65</v>
      </c>
      <c r="T2549" s="1">
        <v>1.00652316E8</v>
      </c>
      <c r="W2549" s="1" t="s">
        <v>250</v>
      </c>
      <c r="X2549" s="1" t="s">
        <v>3745</v>
      </c>
    </row>
    <row r="2550">
      <c r="A2550" s="1" t="s">
        <v>7804</v>
      </c>
      <c r="B2550" s="1" t="s">
        <v>7805</v>
      </c>
      <c r="C2550" s="1" t="s">
        <v>7806</v>
      </c>
      <c r="D2550" s="1" t="s">
        <v>51</v>
      </c>
      <c r="E2550" s="1" t="s">
        <v>29</v>
      </c>
      <c r="F2550" s="5">
        <v>370000.0</v>
      </c>
      <c r="G2550" s="1" t="s">
        <v>7016</v>
      </c>
      <c r="H2550" s="1" t="s">
        <v>778</v>
      </c>
      <c r="I2550" s="1" t="s">
        <v>104</v>
      </c>
      <c r="K2550" s="1">
        <v>0.0</v>
      </c>
      <c r="L2550" s="1" t="s">
        <v>1723</v>
      </c>
      <c r="M2550" s="1" t="str">
        <f>VLOOKUP(L2550,'Copy of PMD Workday Constants -'!B2549:W3235,22,false)</f>
        <v>#N/A</v>
      </c>
      <c r="N2550" s="1" t="s">
        <v>32</v>
      </c>
      <c r="O2550" s="1" t="s">
        <v>33</v>
      </c>
      <c r="P2550" s="1" t="s">
        <v>222</v>
      </c>
      <c r="Q2550" s="1" t="s">
        <v>222</v>
      </c>
      <c r="R2550" s="1" t="s">
        <v>223</v>
      </c>
      <c r="S2550" s="1" t="s">
        <v>601</v>
      </c>
      <c r="T2550" s="1">
        <v>1.00901211E8</v>
      </c>
      <c r="W2550" s="1" t="s">
        <v>339</v>
      </c>
      <c r="X2550" s="1" t="s">
        <v>7807</v>
      </c>
    </row>
    <row r="2551">
      <c r="A2551" s="1" t="s">
        <v>7808</v>
      </c>
      <c r="B2551" s="1" t="s">
        <v>954</v>
      </c>
      <c r="C2551" s="1" t="s">
        <v>7809</v>
      </c>
      <c r="D2551" s="1" t="s">
        <v>103</v>
      </c>
      <c r="E2551" s="1" t="s">
        <v>29</v>
      </c>
      <c r="F2551" s="5">
        <v>365000.0</v>
      </c>
      <c r="G2551" s="1" t="s">
        <v>7016</v>
      </c>
      <c r="H2551" s="4">
        <v>44384.0</v>
      </c>
      <c r="I2551" s="1" t="s">
        <v>80</v>
      </c>
      <c r="K2551" s="1">
        <v>0.0</v>
      </c>
      <c r="L2551" s="1" t="s">
        <v>3848</v>
      </c>
      <c r="M2551" s="1" t="str">
        <f>VLOOKUP(L2551,'Copy of PMD Workday Constants -'!B2550:W3236,22,false)</f>
        <v>#N/A</v>
      </c>
      <c r="N2551" s="1" t="s">
        <v>32</v>
      </c>
      <c r="O2551" s="1" t="s">
        <v>33</v>
      </c>
      <c r="P2551" s="1" t="s">
        <v>173</v>
      </c>
      <c r="Q2551" s="1" t="s">
        <v>173</v>
      </c>
      <c r="R2551" s="1" t="s">
        <v>174</v>
      </c>
      <c r="S2551" s="1" t="s">
        <v>612</v>
      </c>
      <c r="T2551" s="1">
        <v>1.00654914E8</v>
      </c>
      <c r="W2551" s="1" t="s">
        <v>147</v>
      </c>
      <c r="X2551" s="1" t="s">
        <v>3849</v>
      </c>
    </row>
    <row r="2552">
      <c r="A2552" s="1" t="s">
        <v>7810</v>
      </c>
      <c r="B2552" s="1" t="s">
        <v>7811</v>
      </c>
      <c r="C2552" s="1" t="s">
        <v>7812</v>
      </c>
      <c r="D2552" s="1" t="s">
        <v>28</v>
      </c>
      <c r="E2552" s="1" t="s">
        <v>29</v>
      </c>
      <c r="F2552" s="5">
        <v>365000.0</v>
      </c>
      <c r="G2552" s="1" t="s">
        <v>7016</v>
      </c>
      <c r="H2552" s="4">
        <v>44540.0</v>
      </c>
      <c r="I2552" s="1" t="s">
        <v>400</v>
      </c>
      <c r="K2552" s="1">
        <v>0.0</v>
      </c>
      <c r="L2552" s="1" t="s">
        <v>618</v>
      </c>
      <c r="M2552" s="1" t="str">
        <f>VLOOKUP(L2552,'Copy of PMD Workday Constants -'!B2551:W3237,22,false)</f>
        <v>#N/A</v>
      </c>
      <c r="N2552" s="1" t="s">
        <v>32</v>
      </c>
      <c r="O2552" s="1" t="s">
        <v>33</v>
      </c>
      <c r="P2552" s="1" t="s">
        <v>173</v>
      </c>
      <c r="Q2552" s="1" t="s">
        <v>173</v>
      </c>
      <c r="R2552" s="1" t="s">
        <v>174</v>
      </c>
      <c r="S2552" s="1" t="s">
        <v>612</v>
      </c>
      <c r="T2552" s="1">
        <v>1.00591141E8</v>
      </c>
      <c r="W2552" s="1" t="s">
        <v>74</v>
      </c>
      <c r="X2552" s="1" t="s">
        <v>3357</v>
      </c>
    </row>
    <row r="2553">
      <c r="A2553" s="1" t="s">
        <v>7813</v>
      </c>
      <c r="B2553" s="1" t="s">
        <v>1449</v>
      </c>
      <c r="C2553" s="1" t="s">
        <v>7814</v>
      </c>
      <c r="D2553" s="1" t="s">
        <v>103</v>
      </c>
      <c r="E2553" s="1" t="s">
        <v>29</v>
      </c>
      <c r="F2553" s="5">
        <v>365000.0</v>
      </c>
      <c r="G2553" s="1" t="s">
        <v>7016</v>
      </c>
      <c r="H2553" s="4">
        <v>44779.0</v>
      </c>
      <c r="I2553" s="4">
        <v>44813.0</v>
      </c>
      <c r="K2553" s="1">
        <v>0.0</v>
      </c>
      <c r="L2553" s="1" t="s">
        <v>5214</v>
      </c>
      <c r="M2553" s="1" t="str">
        <f>VLOOKUP(L2553,'Copy of PMD Workday Constants -'!B2552:W3238,22,false)</f>
        <v>#N/A</v>
      </c>
      <c r="N2553" s="1" t="s">
        <v>32</v>
      </c>
      <c r="O2553" s="1" t="s">
        <v>33</v>
      </c>
      <c r="P2553" s="1" t="s">
        <v>222</v>
      </c>
      <c r="Q2553" s="1" t="s">
        <v>222</v>
      </c>
      <c r="R2553" s="1" t="s">
        <v>223</v>
      </c>
      <c r="T2553" s="1">
        <v>1.00611354E8</v>
      </c>
      <c r="W2553" s="1" t="s">
        <v>493</v>
      </c>
      <c r="X2553" s="1" t="s">
        <v>7815</v>
      </c>
    </row>
    <row r="2554">
      <c r="A2554" s="1" t="s">
        <v>7816</v>
      </c>
      <c r="B2554" s="1" t="s">
        <v>3539</v>
      </c>
      <c r="C2554" s="1" t="s">
        <v>7817</v>
      </c>
      <c r="D2554" s="1" t="s">
        <v>51</v>
      </c>
      <c r="E2554" s="1" t="s">
        <v>29</v>
      </c>
      <c r="F2554" s="5">
        <v>365000.0</v>
      </c>
      <c r="G2554" s="1" t="s">
        <v>7016</v>
      </c>
      <c r="H2554" s="4">
        <v>44871.0</v>
      </c>
      <c r="I2554" s="4">
        <v>44601.0</v>
      </c>
      <c r="K2554" s="1">
        <v>0.0</v>
      </c>
      <c r="L2554" s="1" t="s">
        <v>1902</v>
      </c>
      <c r="M2554" s="1" t="str">
        <f>VLOOKUP(L2554,'Copy of PMD Workday Constants -'!B2553:W3239,22,false)</f>
        <v>#N/A</v>
      </c>
      <c r="N2554" s="1" t="s">
        <v>32</v>
      </c>
      <c r="O2554" s="1" t="s">
        <v>33</v>
      </c>
      <c r="P2554" s="1" t="s">
        <v>173</v>
      </c>
      <c r="Q2554" s="1" t="s">
        <v>173</v>
      </c>
      <c r="R2554" s="1" t="s">
        <v>174</v>
      </c>
      <c r="T2554" s="1">
        <v>1.00956516E8</v>
      </c>
      <c r="W2554" s="1" t="s">
        <v>258</v>
      </c>
      <c r="X2554" s="1" t="s">
        <v>7818</v>
      </c>
    </row>
    <row r="2555">
      <c r="A2555" s="1" t="s">
        <v>7819</v>
      </c>
      <c r="B2555" s="1" t="s">
        <v>7820</v>
      </c>
      <c r="C2555" s="1" t="s">
        <v>7821</v>
      </c>
      <c r="D2555" s="1" t="s">
        <v>28</v>
      </c>
      <c r="E2555" s="1" t="s">
        <v>29</v>
      </c>
      <c r="F2555" s="5">
        <v>365000.0</v>
      </c>
      <c r="G2555" s="1" t="s">
        <v>7016</v>
      </c>
      <c r="H2555" s="1" t="s">
        <v>1524</v>
      </c>
      <c r="I2555" s="1" t="s">
        <v>302</v>
      </c>
      <c r="K2555" s="1">
        <v>0.0</v>
      </c>
      <c r="L2555" s="1" t="s">
        <v>387</v>
      </c>
      <c r="M2555" s="1" t="str">
        <f>VLOOKUP(L2555,'Copy of PMD Workday Constants -'!B2554:W3240,22,false)</f>
        <v>#N/A</v>
      </c>
      <c r="N2555" s="1" t="s">
        <v>32</v>
      </c>
      <c r="O2555" s="1" t="s">
        <v>33</v>
      </c>
      <c r="P2555" s="1" t="s">
        <v>34</v>
      </c>
      <c r="Q2555" s="1" t="s">
        <v>34</v>
      </c>
      <c r="R2555" s="1" t="s">
        <v>35</v>
      </c>
      <c r="S2555" s="1" t="s">
        <v>383</v>
      </c>
      <c r="T2555" s="1">
        <v>1.00642129E8</v>
      </c>
      <c r="U2555" s="1" t="s">
        <v>7822</v>
      </c>
      <c r="V2555" s="1" t="s">
        <v>46</v>
      </c>
      <c r="W2555" s="1" t="s">
        <v>308</v>
      </c>
      <c r="X2555" s="1" t="s">
        <v>4332</v>
      </c>
    </row>
    <row r="2556">
      <c r="A2556" s="1" t="s">
        <v>7823</v>
      </c>
      <c r="B2556" s="1" t="s">
        <v>1080</v>
      </c>
      <c r="C2556" s="1" t="s">
        <v>7824</v>
      </c>
      <c r="D2556" s="1" t="s">
        <v>103</v>
      </c>
      <c r="E2556" s="1" t="s">
        <v>29</v>
      </c>
      <c r="F2556" s="5">
        <v>365000.0</v>
      </c>
      <c r="G2556" s="1" t="s">
        <v>7016</v>
      </c>
      <c r="H2556" s="1" t="s">
        <v>7825</v>
      </c>
      <c r="I2556" s="1" t="s">
        <v>80</v>
      </c>
      <c r="K2556" s="1">
        <v>0.0</v>
      </c>
      <c r="L2556" s="1" t="s">
        <v>198</v>
      </c>
      <c r="M2556" s="1" t="str">
        <f>VLOOKUP(L2556,'Copy of PMD Workday Constants -'!B2555:W3241,22,false)</f>
        <v>#N/A</v>
      </c>
      <c r="N2556" s="1" t="s">
        <v>32</v>
      </c>
      <c r="O2556" s="1" t="s">
        <v>33</v>
      </c>
      <c r="P2556" s="1" t="s">
        <v>82</v>
      </c>
      <c r="Q2556" s="1" t="s">
        <v>82</v>
      </c>
      <c r="R2556" s="1" t="s">
        <v>83</v>
      </c>
      <c r="S2556" s="1" t="s">
        <v>180</v>
      </c>
      <c r="T2556" s="1">
        <v>1.00590896E8</v>
      </c>
      <c r="W2556" s="1" t="s">
        <v>85</v>
      </c>
      <c r="X2556" s="1" t="s">
        <v>3138</v>
      </c>
    </row>
    <row r="2557">
      <c r="A2557" s="1" t="s">
        <v>7826</v>
      </c>
      <c r="B2557" s="1" t="s">
        <v>324</v>
      </c>
      <c r="C2557" s="1" t="s">
        <v>7827</v>
      </c>
      <c r="D2557" s="1" t="s">
        <v>51</v>
      </c>
      <c r="E2557" s="1" t="s">
        <v>29</v>
      </c>
      <c r="F2557" s="5">
        <v>364000.0</v>
      </c>
      <c r="G2557" s="1" t="s">
        <v>7016</v>
      </c>
      <c r="H2557" s="4">
        <v>44807.0</v>
      </c>
      <c r="I2557" s="1" t="s">
        <v>2485</v>
      </c>
      <c r="K2557" s="1">
        <v>0.0</v>
      </c>
      <c r="L2557" s="1" t="s">
        <v>5335</v>
      </c>
      <c r="M2557" s="1" t="str">
        <f>VLOOKUP(L2557,'Copy of PMD Workday Constants -'!B2556:W3242,22,false)</f>
        <v>#N/A</v>
      </c>
      <c r="N2557" s="1" t="s">
        <v>32</v>
      </c>
      <c r="O2557" s="1" t="s">
        <v>33</v>
      </c>
      <c r="P2557" s="1" t="s">
        <v>64</v>
      </c>
      <c r="Q2557" s="1" t="s">
        <v>64</v>
      </c>
      <c r="R2557" s="1" t="s">
        <v>65</v>
      </c>
      <c r="S2557" s="1" t="s">
        <v>98</v>
      </c>
      <c r="T2557" s="1">
        <v>1.00649463E8</v>
      </c>
      <c r="W2557" s="1" t="s">
        <v>56</v>
      </c>
      <c r="X2557" s="1" t="s">
        <v>7828</v>
      </c>
    </row>
    <row r="2558">
      <c r="A2558" s="1" t="s">
        <v>7829</v>
      </c>
      <c r="B2558" s="1" t="s">
        <v>787</v>
      </c>
      <c r="C2558" s="1" t="s">
        <v>7830</v>
      </c>
      <c r="D2558" s="1" t="s">
        <v>28</v>
      </c>
      <c r="E2558" s="1" t="s">
        <v>29</v>
      </c>
      <c r="F2558" s="5">
        <v>360000.0</v>
      </c>
      <c r="G2558" s="1" t="s">
        <v>7016</v>
      </c>
      <c r="H2558" s="4">
        <v>44777.0</v>
      </c>
      <c r="I2558" s="1" t="s">
        <v>80</v>
      </c>
      <c r="K2558" s="1">
        <v>0.0</v>
      </c>
      <c r="L2558" s="1" t="s">
        <v>790</v>
      </c>
      <c r="M2558" s="1" t="str">
        <f>VLOOKUP(L2558,'Copy of PMD Workday Constants -'!B2557:W3243,22,false)</f>
        <v>#N/A</v>
      </c>
      <c r="N2558" s="1" t="s">
        <v>32</v>
      </c>
      <c r="O2558" s="1" t="s">
        <v>33</v>
      </c>
      <c r="P2558" s="1" t="s">
        <v>64</v>
      </c>
      <c r="Q2558" s="1" t="s">
        <v>64</v>
      </c>
      <c r="R2558" s="1" t="s">
        <v>65</v>
      </c>
      <c r="S2558" s="1" t="s">
        <v>791</v>
      </c>
      <c r="T2558" s="1">
        <v>1.00661738E8</v>
      </c>
      <c r="W2558" s="1" t="s">
        <v>456</v>
      </c>
      <c r="X2558" s="1" t="s">
        <v>7831</v>
      </c>
    </row>
    <row r="2559">
      <c r="A2559" s="1" t="s">
        <v>7832</v>
      </c>
      <c r="B2559" s="1" t="s">
        <v>7833</v>
      </c>
      <c r="C2559" s="1" t="s">
        <v>7834</v>
      </c>
      <c r="D2559" s="1" t="s">
        <v>28</v>
      </c>
      <c r="E2559" s="1" t="s">
        <v>29</v>
      </c>
      <c r="F2559" s="5">
        <v>360000.0</v>
      </c>
      <c r="G2559" s="1" t="s">
        <v>7016</v>
      </c>
      <c r="H2559" s="1" t="s">
        <v>42</v>
      </c>
      <c r="I2559" s="4">
        <v>44573.0</v>
      </c>
      <c r="K2559" s="1">
        <v>0.0</v>
      </c>
      <c r="L2559" s="1" t="s">
        <v>1335</v>
      </c>
      <c r="M2559" s="1" t="str">
        <f>VLOOKUP(L2559,'Copy of PMD Workday Constants -'!B2558:W3244,22,false)</f>
        <v>#N/A</v>
      </c>
      <c r="N2559" s="1" t="s">
        <v>32</v>
      </c>
      <c r="O2559" s="1" t="s">
        <v>33</v>
      </c>
      <c r="P2559" s="1" t="s">
        <v>210</v>
      </c>
      <c r="Q2559" s="1" t="s">
        <v>210</v>
      </c>
      <c r="R2559" s="1" t="s">
        <v>211</v>
      </c>
      <c r="S2559" s="1" t="s">
        <v>1336</v>
      </c>
      <c r="T2559" s="1">
        <v>1.00594397E8</v>
      </c>
      <c r="W2559" s="1" t="s">
        <v>258</v>
      </c>
      <c r="X2559" s="1" t="s">
        <v>1337</v>
      </c>
    </row>
    <row r="2560">
      <c r="A2560" s="1" t="s">
        <v>7835</v>
      </c>
      <c r="B2560" s="1" t="s">
        <v>485</v>
      </c>
      <c r="C2560" s="1" t="s">
        <v>7836</v>
      </c>
      <c r="D2560" s="1" t="s">
        <v>51</v>
      </c>
      <c r="E2560" s="1" t="s">
        <v>29</v>
      </c>
      <c r="F2560" s="5">
        <v>360000.0</v>
      </c>
      <c r="G2560" s="1" t="s">
        <v>7016</v>
      </c>
      <c r="H2560" s="1" t="s">
        <v>1662</v>
      </c>
      <c r="I2560" s="1" t="s">
        <v>732</v>
      </c>
      <c r="J2560" s="1" t="s">
        <v>7837</v>
      </c>
      <c r="K2560" s="1">
        <v>0.0</v>
      </c>
      <c r="L2560" s="1" t="s">
        <v>3100</v>
      </c>
      <c r="M2560" s="1" t="str">
        <f>VLOOKUP(L2560,'Copy of PMD Workday Constants -'!B2559:W3245,22,false)</f>
        <v>#N/A</v>
      </c>
      <c r="N2560" s="1" t="s">
        <v>32</v>
      </c>
      <c r="O2560" s="1" t="s">
        <v>33</v>
      </c>
      <c r="P2560" s="1" t="s">
        <v>210</v>
      </c>
      <c r="Q2560" s="1" t="s">
        <v>210</v>
      </c>
      <c r="R2560" s="1" t="s">
        <v>211</v>
      </c>
      <c r="T2560" s="1">
        <v>1.01093101E8</v>
      </c>
      <c r="W2560" s="1" t="s">
        <v>1303</v>
      </c>
      <c r="X2560" s="1" t="s">
        <v>3100</v>
      </c>
    </row>
    <row r="2561">
      <c r="A2561" s="1" t="s">
        <v>7838</v>
      </c>
      <c r="B2561" s="1" t="s">
        <v>5090</v>
      </c>
      <c r="C2561" s="1" t="s">
        <v>7839</v>
      </c>
      <c r="D2561" s="1" t="s">
        <v>28</v>
      </c>
      <c r="E2561" s="1" t="s">
        <v>29</v>
      </c>
      <c r="F2561" s="5">
        <v>360000.0</v>
      </c>
      <c r="G2561" s="1" t="s">
        <v>7016</v>
      </c>
      <c r="H2561" s="1" t="s">
        <v>7840</v>
      </c>
      <c r="I2561" s="1" t="s">
        <v>80</v>
      </c>
      <c r="K2561" s="1">
        <v>0.0</v>
      </c>
      <c r="L2561" s="1" t="s">
        <v>4794</v>
      </c>
      <c r="M2561" s="1" t="str">
        <f>VLOOKUP(L2561,'Copy of PMD Workday Constants -'!B2560:W3246,22,false)</f>
        <v>#N/A</v>
      </c>
      <c r="N2561" s="1" t="s">
        <v>32</v>
      </c>
      <c r="O2561" s="1" t="s">
        <v>33</v>
      </c>
      <c r="P2561" s="1" t="s">
        <v>173</v>
      </c>
      <c r="Q2561" s="1" t="s">
        <v>173</v>
      </c>
      <c r="R2561" s="1" t="s">
        <v>174</v>
      </c>
      <c r="S2561" s="1" t="s">
        <v>612</v>
      </c>
      <c r="T2561" s="1">
        <v>1.00875111E8</v>
      </c>
      <c r="W2561" s="1" t="s">
        <v>258</v>
      </c>
      <c r="X2561" s="1" t="s">
        <v>4794</v>
      </c>
    </row>
    <row r="2562">
      <c r="A2562" s="1" t="s">
        <v>7841</v>
      </c>
      <c r="B2562" s="1" t="s">
        <v>7842</v>
      </c>
      <c r="C2562" s="1" t="s">
        <v>7843</v>
      </c>
      <c r="D2562" s="1" t="s">
        <v>51</v>
      </c>
      <c r="E2562" s="1" t="s">
        <v>29</v>
      </c>
      <c r="F2562" s="5">
        <v>360000.0</v>
      </c>
      <c r="G2562" s="1" t="s">
        <v>7016</v>
      </c>
      <c r="H2562" s="4">
        <v>44355.0</v>
      </c>
      <c r="I2562" s="4">
        <v>44568.0</v>
      </c>
      <c r="K2562" s="1">
        <v>0.0</v>
      </c>
      <c r="L2562" s="1" t="s">
        <v>4419</v>
      </c>
      <c r="M2562" s="1" t="str">
        <f>VLOOKUP(L2562,'Copy of PMD Workday Constants -'!B2561:W3247,22,false)</f>
        <v>#N/A</v>
      </c>
      <c r="N2562" s="1" t="s">
        <v>32</v>
      </c>
      <c r="O2562" s="1" t="s">
        <v>33</v>
      </c>
      <c r="P2562" s="1" t="s">
        <v>222</v>
      </c>
      <c r="Q2562" s="1" t="s">
        <v>222</v>
      </c>
      <c r="R2562" s="1" t="s">
        <v>223</v>
      </c>
      <c r="S2562" s="1" t="s">
        <v>482</v>
      </c>
      <c r="T2562" s="1">
        <v>1.01059844E8</v>
      </c>
      <c r="W2562" s="1" t="s">
        <v>258</v>
      </c>
      <c r="X2562" s="1" t="s">
        <v>4419</v>
      </c>
    </row>
    <row r="2563">
      <c r="A2563" s="1" t="s">
        <v>7844</v>
      </c>
      <c r="B2563" s="1" t="s">
        <v>7845</v>
      </c>
      <c r="C2563" s="1" t="s">
        <v>7846</v>
      </c>
      <c r="D2563" s="1" t="s">
        <v>28</v>
      </c>
      <c r="E2563" s="1" t="s">
        <v>29</v>
      </c>
      <c r="F2563" s="5">
        <v>351123.6</v>
      </c>
      <c r="G2563" s="1" t="s">
        <v>7016</v>
      </c>
      <c r="H2563" s="4">
        <v>44656.0</v>
      </c>
      <c r="I2563" s="1" t="s">
        <v>810</v>
      </c>
      <c r="K2563" s="1">
        <v>0.0</v>
      </c>
      <c r="L2563" s="1" t="s">
        <v>7847</v>
      </c>
      <c r="M2563" s="1" t="str">
        <f>VLOOKUP(L2563,'Copy of PMD Workday Constants -'!B2562:W3248,22,false)</f>
        <v>#N/A</v>
      </c>
      <c r="N2563" s="1" t="s">
        <v>32</v>
      </c>
      <c r="O2563" s="1" t="s">
        <v>33</v>
      </c>
      <c r="P2563" s="1" t="s">
        <v>5253</v>
      </c>
      <c r="Q2563" s="1" t="s">
        <v>5253</v>
      </c>
      <c r="R2563" s="1" t="s">
        <v>113</v>
      </c>
      <c r="T2563" s="1">
        <v>1.0065052E8</v>
      </c>
      <c r="W2563" s="1" t="s">
        <v>85</v>
      </c>
      <c r="X2563" s="1" t="s">
        <v>7847</v>
      </c>
    </row>
    <row r="2564">
      <c r="A2564" s="1" t="s">
        <v>7848</v>
      </c>
      <c r="B2564" s="1" t="s">
        <v>3355</v>
      </c>
      <c r="C2564" s="1" t="s">
        <v>7849</v>
      </c>
      <c r="D2564" s="1" t="s">
        <v>28</v>
      </c>
      <c r="E2564" s="1" t="s">
        <v>29</v>
      </c>
      <c r="F2564" s="5">
        <v>350000.0</v>
      </c>
      <c r="G2564" s="1" t="s">
        <v>7016</v>
      </c>
      <c r="H2564" s="4">
        <v>44806.0</v>
      </c>
      <c r="I2564" s="1" t="s">
        <v>732</v>
      </c>
      <c r="K2564" s="1">
        <v>0.0</v>
      </c>
      <c r="L2564" s="1" t="s">
        <v>72</v>
      </c>
      <c r="M2564" s="1" t="str">
        <f>VLOOKUP(L2564,'Copy of PMD Workday Constants -'!B2563:W3249,22,false)</f>
        <v>#N/A</v>
      </c>
      <c r="N2564" s="1" t="s">
        <v>32</v>
      </c>
      <c r="O2564" s="1" t="s">
        <v>33</v>
      </c>
      <c r="P2564" s="1" t="s">
        <v>34</v>
      </c>
      <c r="Q2564" s="1" t="s">
        <v>34</v>
      </c>
      <c r="R2564" s="1" t="s">
        <v>35</v>
      </c>
      <c r="S2564" s="1" t="s">
        <v>126</v>
      </c>
      <c r="T2564" s="1">
        <v>1.0060843E8</v>
      </c>
      <c r="W2564" s="1" t="s">
        <v>74</v>
      </c>
      <c r="X2564" s="1" t="s">
        <v>72</v>
      </c>
    </row>
    <row r="2565">
      <c r="A2565" s="1" t="s">
        <v>7850</v>
      </c>
      <c r="B2565" s="1" t="s">
        <v>7851</v>
      </c>
      <c r="C2565" s="1" t="s">
        <v>7852</v>
      </c>
      <c r="D2565" s="1" t="s">
        <v>28</v>
      </c>
      <c r="E2565" s="1" t="s">
        <v>29</v>
      </c>
      <c r="F2565" s="5">
        <v>350000.0</v>
      </c>
      <c r="G2565" s="1" t="s">
        <v>7016</v>
      </c>
      <c r="H2565" s="4">
        <v>44177.0</v>
      </c>
      <c r="I2565" s="1" t="s">
        <v>80</v>
      </c>
      <c r="K2565" s="1">
        <v>0.0</v>
      </c>
      <c r="L2565" s="1" t="s">
        <v>3137</v>
      </c>
      <c r="M2565" s="1" t="str">
        <f>VLOOKUP(L2565,'Copy of PMD Workday Constants -'!B2564:W3250,22,false)</f>
        <v>#N/A</v>
      </c>
      <c r="N2565" s="1" t="s">
        <v>32</v>
      </c>
      <c r="O2565" s="1" t="s">
        <v>33</v>
      </c>
      <c r="P2565" s="1" t="s">
        <v>82</v>
      </c>
      <c r="Q2565" s="1" t="s">
        <v>82</v>
      </c>
      <c r="R2565" s="1" t="s">
        <v>83</v>
      </c>
      <c r="S2565" s="1" t="s">
        <v>180</v>
      </c>
      <c r="T2565" s="1">
        <v>1.00586452E8</v>
      </c>
      <c r="W2565" s="1" t="s">
        <v>85</v>
      </c>
      <c r="X2565" s="1" t="s">
        <v>5126</v>
      </c>
    </row>
    <row r="2566">
      <c r="A2566" s="1" t="s">
        <v>7853</v>
      </c>
      <c r="B2566" s="1" t="s">
        <v>7854</v>
      </c>
      <c r="C2566" s="1" t="s">
        <v>7855</v>
      </c>
      <c r="D2566" s="1" t="s">
        <v>103</v>
      </c>
      <c r="E2566" s="1" t="s">
        <v>29</v>
      </c>
      <c r="F2566" s="5">
        <v>350000.0</v>
      </c>
      <c r="G2566" s="1" t="s">
        <v>7016</v>
      </c>
      <c r="H2566" s="4">
        <v>44622.0</v>
      </c>
      <c r="I2566" s="4">
        <v>44597.0</v>
      </c>
      <c r="K2566" s="1">
        <v>0.0</v>
      </c>
      <c r="L2566" s="1" t="s">
        <v>244</v>
      </c>
      <c r="M2566" s="1" t="str">
        <f>VLOOKUP(L2566,'Copy of PMD Workday Constants -'!B2565:W3251,22,false)</f>
        <v>#N/A</v>
      </c>
      <c r="N2566" s="1" t="s">
        <v>32</v>
      </c>
      <c r="O2566" s="1" t="s">
        <v>33</v>
      </c>
      <c r="P2566" s="1" t="s">
        <v>34</v>
      </c>
      <c r="Q2566" s="1" t="s">
        <v>34</v>
      </c>
      <c r="R2566" s="1" t="s">
        <v>35</v>
      </c>
      <c r="T2566" s="1">
        <v>1.00617853E8</v>
      </c>
      <c r="W2566" s="1" t="s">
        <v>37</v>
      </c>
      <c r="X2566" s="1" t="s">
        <v>244</v>
      </c>
    </row>
    <row r="2567">
      <c r="A2567" s="1" t="s">
        <v>7856</v>
      </c>
      <c r="B2567" s="1" t="s">
        <v>4155</v>
      </c>
      <c r="C2567" s="1" t="s">
        <v>7857</v>
      </c>
      <c r="D2567" s="1" t="s">
        <v>79</v>
      </c>
      <c r="E2567" s="1" t="s">
        <v>29</v>
      </c>
      <c r="F2567" s="5">
        <v>350000.0</v>
      </c>
      <c r="G2567" s="1" t="s">
        <v>7016</v>
      </c>
      <c r="H2567" s="1" t="s">
        <v>795</v>
      </c>
      <c r="I2567" s="1" t="s">
        <v>414</v>
      </c>
      <c r="K2567" s="1">
        <v>0.0</v>
      </c>
      <c r="L2567" s="1" t="s">
        <v>909</v>
      </c>
      <c r="M2567" s="1" t="str">
        <f>VLOOKUP(L2567,'Copy of PMD Workday Constants -'!B2566:W3252,22,false)</f>
        <v>#N/A</v>
      </c>
      <c r="N2567" s="1" t="s">
        <v>32</v>
      </c>
      <c r="O2567" s="1" t="s">
        <v>33</v>
      </c>
      <c r="P2567" s="1" t="s">
        <v>82</v>
      </c>
      <c r="Q2567" s="1" t="s">
        <v>82</v>
      </c>
      <c r="R2567" s="1" t="s">
        <v>83</v>
      </c>
      <c r="S2567" s="1" t="s">
        <v>84</v>
      </c>
      <c r="T2567" s="1">
        <v>1.00649698E8</v>
      </c>
      <c r="W2567" s="1" t="s">
        <v>85</v>
      </c>
      <c r="X2567" s="1" t="s">
        <v>7858</v>
      </c>
    </row>
    <row r="2568">
      <c r="A2568" s="1" t="s">
        <v>7859</v>
      </c>
      <c r="B2568" s="1" t="s">
        <v>450</v>
      </c>
      <c r="C2568" s="1" t="s">
        <v>7860</v>
      </c>
      <c r="D2568" s="1" t="s">
        <v>28</v>
      </c>
      <c r="E2568" s="1" t="s">
        <v>29</v>
      </c>
      <c r="F2568" s="5">
        <v>350000.0</v>
      </c>
      <c r="G2568" s="1" t="s">
        <v>7016</v>
      </c>
      <c r="H2568" s="1" t="s">
        <v>7861</v>
      </c>
      <c r="I2568" s="1" t="s">
        <v>217</v>
      </c>
      <c r="K2568" s="1">
        <v>0.0</v>
      </c>
      <c r="L2568" s="1" t="s">
        <v>454</v>
      </c>
      <c r="M2568" s="1" t="str">
        <f>VLOOKUP(L2568,'Copy of PMD Workday Constants -'!B2567:W3253,22,false)</f>
        <v>#N/A</v>
      </c>
      <c r="N2568" s="1" t="s">
        <v>32</v>
      </c>
      <c r="O2568" s="1" t="s">
        <v>33</v>
      </c>
      <c r="P2568" s="1" t="s">
        <v>112</v>
      </c>
      <c r="Q2568" s="1" t="s">
        <v>112</v>
      </c>
      <c r="R2568" s="1" t="s">
        <v>113</v>
      </c>
      <c r="S2568" s="1" t="s">
        <v>455</v>
      </c>
      <c r="T2568" s="1">
        <v>1.00611486E8</v>
      </c>
      <c r="W2568" s="1" t="s">
        <v>456</v>
      </c>
      <c r="X2568" s="1" t="s">
        <v>7862</v>
      </c>
    </row>
    <row r="2569">
      <c r="A2569" s="1" t="s">
        <v>7863</v>
      </c>
      <c r="B2569" s="1" t="s">
        <v>5577</v>
      </c>
      <c r="C2569" s="1" t="s">
        <v>7864</v>
      </c>
      <c r="D2569" s="1" t="s">
        <v>51</v>
      </c>
      <c r="E2569" s="1" t="s">
        <v>29</v>
      </c>
      <c r="F2569" s="5">
        <v>350000.0</v>
      </c>
      <c r="G2569" s="1" t="s">
        <v>7016</v>
      </c>
      <c r="H2569" s="1" t="s">
        <v>170</v>
      </c>
      <c r="I2569" s="1" t="s">
        <v>1349</v>
      </c>
      <c r="K2569" s="1">
        <v>0.0</v>
      </c>
      <c r="L2569" s="1" t="s">
        <v>7193</v>
      </c>
      <c r="M2569" s="1" t="str">
        <f>VLOOKUP(L2569,'Copy of PMD Workday Constants -'!B2568:W3254,22,false)</f>
        <v>#N/A</v>
      </c>
      <c r="N2569" s="1" t="s">
        <v>32</v>
      </c>
      <c r="O2569" s="1" t="s">
        <v>33</v>
      </c>
      <c r="P2569" s="1" t="s">
        <v>82</v>
      </c>
      <c r="Q2569" s="1" t="s">
        <v>82</v>
      </c>
      <c r="R2569" s="1" t="s">
        <v>83</v>
      </c>
      <c r="S2569" s="1" t="s">
        <v>84</v>
      </c>
      <c r="T2569" s="1">
        <v>1.00635527E8</v>
      </c>
      <c r="W2569" s="1" t="s">
        <v>85</v>
      </c>
      <c r="X2569" s="1" t="s">
        <v>7193</v>
      </c>
    </row>
    <row r="2570">
      <c r="A2570" s="1" t="s">
        <v>7865</v>
      </c>
      <c r="B2570" s="1" t="s">
        <v>7866</v>
      </c>
      <c r="C2570" s="1" t="s">
        <v>7867</v>
      </c>
      <c r="D2570" s="1" t="s">
        <v>103</v>
      </c>
      <c r="E2570" s="1" t="s">
        <v>29</v>
      </c>
      <c r="F2570" s="5">
        <v>350000.0</v>
      </c>
      <c r="G2570" s="1" t="s">
        <v>7016</v>
      </c>
      <c r="H2570" s="1" t="s">
        <v>2360</v>
      </c>
      <c r="I2570" s="1" t="s">
        <v>104</v>
      </c>
      <c r="K2570" s="1">
        <v>0.0</v>
      </c>
      <c r="L2570" s="1" t="s">
        <v>2325</v>
      </c>
      <c r="M2570" s="1" t="str">
        <f>VLOOKUP(L2570,'Copy of PMD Workday Constants -'!B2569:W3255,22,false)</f>
        <v>#N/A</v>
      </c>
      <c r="N2570" s="1" t="s">
        <v>32</v>
      </c>
      <c r="O2570" s="1" t="s">
        <v>33</v>
      </c>
      <c r="P2570" s="1" t="s">
        <v>82</v>
      </c>
      <c r="Q2570" s="1" t="s">
        <v>82</v>
      </c>
      <c r="R2570" s="1" t="s">
        <v>83</v>
      </c>
      <c r="S2570" s="1" t="s">
        <v>180</v>
      </c>
      <c r="T2570" s="1">
        <v>1.00628181E8</v>
      </c>
      <c r="W2570" s="1" t="s">
        <v>85</v>
      </c>
      <c r="X2570" s="1" t="s">
        <v>7868</v>
      </c>
    </row>
    <row r="2571">
      <c r="A2571" s="1" t="s">
        <v>7869</v>
      </c>
      <c r="B2571" s="1" t="s">
        <v>3585</v>
      </c>
      <c r="C2571" s="1" t="s">
        <v>7870</v>
      </c>
      <c r="D2571" s="1" t="s">
        <v>28</v>
      </c>
      <c r="E2571" s="1" t="s">
        <v>29</v>
      </c>
      <c r="F2571" s="5">
        <v>350000.0</v>
      </c>
      <c r="G2571" s="1" t="s">
        <v>7016</v>
      </c>
      <c r="H2571" s="1" t="s">
        <v>644</v>
      </c>
      <c r="I2571" s="1" t="s">
        <v>152</v>
      </c>
      <c r="K2571" s="1">
        <v>0.0</v>
      </c>
      <c r="L2571" s="1" t="s">
        <v>5807</v>
      </c>
      <c r="M2571" s="1" t="str">
        <f>VLOOKUP(L2571,'Copy of PMD Workday Constants -'!B2570:W3256,22,false)</f>
        <v>#N/A</v>
      </c>
      <c r="N2571" s="1" t="s">
        <v>32</v>
      </c>
      <c r="O2571" s="1" t="s">
        <v>33</v>
      </c>
      <c r="P2571" s="1" t="s">
        <v>173</v>
      </c>
      <c r="Q2571" s="1" t="s">
        <v>173</v>
      </c>
      <c r="R2571" s="1" t="s">
        <v>174</v>
      </c>
      <c r="S2571" s="1" t="s">
        <v>540</v>
      </c>
      <c r="T2571" s="1">
        <v>1.00589278E8</v>
      </c>
      <c r="X2571" s="1" t="s">
        <v>7871</v>
      </c>
    </row>
    <row r="2572">
      <c r="A2572" s="1" t="s">
        <v>7872</v>
      </c>
      <c r="B2572" s="1" t="s">
        <v>3326</v>
      </c>
      <c r="C2572" s="1" t="s">
        <v>7873</v>
      </c>
      <c r="D2572" s="1" t="s">
        <v>79</v>
      </c>
      <c r="E2572" s="1" t="s">
        <v>29</v>
      </c>
      <c r="F2572" s="5">
        <v>350000.0</v>
      </c>
      <c r="G2572" s="1" t="s">
        <v>7016</v>
      </c>
      <c r="H2572" s="4">
        <v>44775.0</v>
      </c>
      <c r="I2572" s="1" t="s">
        <v>104</v>
      </c>
      <c r="K2572" s="1">
        <v>0.0</v>
      </c>
      <c r="L2572" s="1" t="s">
        <v>1120</v>
      </c>
      <c r="M2572" s="1" t="str">
        <f>VLOOKUP(L2572,'Copy of PMD Workday Constants -'!B2571:W3257,22,false)</f>
        <v>#N/A</v>
      </c>
      <c r="N2572" s="1" t="s">
        <v>32</v>
      </c>
      <c r="O2572" s="1" t="s">
        <v>33</v>
      </c>
      <c r="P2572" s="1" t="s">
        <v>82</v>
      </c>
      <c r="Q2572" s="1" t="s">
        <v>82</v>
      </c>
      <c r="R2572" s="1" t="s">
        <v>83</v>
      </c>
      <c r="S2572" s="1" t="s">
        <v>180</v>
      </c>
      <c r="T2572" s="1">
        <v>1.00603613E8</v>
      </c>
      <c r="W2572" s="1" t="s">
        <v>85</v>
      </c>
      <c r="X2572" s="1" t="s">
        <v>3328</v>
      </c>
    </row>
    <row r="2573">
      <c r="A2573" s="1" t="s">
        <v>7874</v>
      </c>
      <c r="B2573" s="1" t="s">
        <v>1144</v>
      </c>
      <c r="C2573" s="1" t="s">
        <v>7875</v>
      </c>
      <c r="D2573" s="1" t="s">
        <v>51</v>
      </c>
      <c r="E2573" s="1" t="s">
        <v>29</v>
      </c>
      <c r="F2573" s="5">
        <v>350000.0</v>
      </c>
      <c r="G2573" s="1" t="s">
        <v>7016</v>
      </c>
      <c r="H2573" s="4">
        <v>44533.0</v>
      </c>
      <c r="I2573" s="1" t="s">
        <v>302</v>
      </c>
      <c r="K2573" s="1">
        <v>0.0</v>
      </c>
      <c r="L2573" s="1" t="s">
        <v>1611</v>
      </c>
      <c r="M2573" s="1" t="str">
        <f>VLOOKUP(L2573,'Copy of PMD Workday Constants -'!B2572:W3258,22,false)</f>
        <v>#N/A</v>
      </c>
      <c r="N2573" s="1" t="s">
        <v>32</v>
      </c>
      <c r="O2573" s="1" t="s">
        <v>33</v>
      </c>
      <c r="P2573" s="1" t="s">
        <v>34</v>
      </c>
      <c r="Q2573" s="1" t="s">
        <v>34</v>
      </c>
      <c r="R2573" s="1" t="s">
        <v>35</v>
      </c>
      <c r="S2573" s="1" t="s">
        <v>36</v>
      </c>
      <c r="T2573" s="1">
        <v>1.00645852E8</v>
      </c>
      <c r="W2573" s="1" t="s">
        <v>37</v>
      </c>
      <c r="X2573" s="1" t="s">
        <v>1611</v>
      </c>
    </row>
    <row r="2574">
      <c r="A2574" s="1" t="s">
        <v>7876</v>
      </c>
      <c r="B2574" s="1" t="s">
        <v>7877</v>
      </c>
      <c r="C2574" s="1" t="s">
        <v>7878</v>
      </c>
      <c r="D2574" s="1" t="s">
        <v>51</v>
      </c>
      <c r="E2574" s="1" t="s">
        <v>29</v>
      </c>
      <c r="F2574" s="5">
        <v>350000.0</v>
      </c>
      <c r="G2574" s="1" t="s">
        <v>7016</v>
      </c>
      <c r="H2574" s="4">
        <v>44236.0</v>
      </c>
      <c r="I2574" s="1" t="s">
        <v>96</v>
      </c>
      <c r="K2574" s="1">
        <v>0.0</v>
      </c>
      <c r="L2574" s="1" t="s">
        <v>7879</v>
      </c>
      <c r="M2574" s="1" t="str">
        <f>VLOOKUP(L2574,'Copy of PMD Workday Constants -'!B2573:W3259,22,false)</f>
        <v>#N/A</v>
      </c>
      <c r="N2574" s="1" t="s">
        <v>32</v>
      </c>
      <c r="O2574" s="1" t="s">
        <v>33</v>
      </c>
      <c r="P2574" s="1" t="s">
        <v>34</v>
      </c>
      <c r="Q2574" s="1" t="s">
        <v>34</v>
      </c>
      <c r="R2574" s="1" t="s">
        <v>35</v>
      </c>
      <c r="S2574" s="1" t="s">
        <v>383</v>
      </c>
      <c r="T2574" s="1">
        <v>1.0064702E8</v>
      </c>
      <c r="W2574" s="1" t="s">
        <v>140</v>
      </c>
      <c r="X2574" s="1" t="s">
        <v>7879</v>
      </c>
    </row>
    <row r="2575">
      <c r="A2575" s="1" t="s">
        <v>7880</v>
      </c>
      <c r="B2575" s="1" t="s">
        <v>7881</v>
      </c>
      <c r="C2575" s="1" t="s">
        <v>7882</v>
      </c>
      <c r="D2575" s="1" t="s">
        <v>28</v>
      </c>
      <c r="E2575" s="1" t="s">
        <v>29</v>
      </c>
      <c r="F2575" s="5">
        <v>350000.0</v>
      </c>
      <c r="G2575" s="1" t="s">
        <v>7016</v>
      </c>
      <c r="H2575" s="1" t="s">
        <v>7883</v>
      </c>
      <c r="I2575" s="1" t="s">
        <v>104</v>
      </c>
      <c r="K2575" s="1">
        <v>0.0</v>
      </c>
      <c r="L2575" s="1" t="s">
        <v>2284</v>
      </c>
      <c r="M2575" s="1" t="str">
        <f>VLOOKUP(L2575,'Copy of PMD Workday Constants -'!B2574:W3260,22,false)</f>
        <v>#N/A</v>
      </c>
      <c r="N2575" s="1" t="s">
        <v>32</v>
      </c>
      <c r="O2575" s="1" t="s">
        <v>33</v>
      </c>
      <c r="P2575" s="1" t="s">
        <v>173</v>
      </c>
      <c r="Q2575" s="1" t="s">
        <v>173</v>
      </c>
      <c r="R2575" s="1" t="s">
        <v>174</v>
      </c>
      <c r="S2575" s="1" t="s">
        <v>612</v>
      </c>
      <c r="T2575" s="1">
        <v>1.00650678E8</v>
      </c>
      <c r="W2575" s="1" t="s">
        <v>147</v>
      </c>
      <c r="X2575" s="1" t="s">
        <v>2284</v>
      </c>
    </row>
    <row r="2576">
      <c r="A2576" s="1" t="s">
        <v>7884</v>
      </c>
      <c r="B2576" s="1" t="s">
        <v>7885</v>
      </c>
      <c r="C2576" s="1" t="s">
        <v>7886</v>
      </c>
      <c r="D2576" s="1" t="s">
        <v>79</v>
      </c>
      <c r="E2576" s="1" t="s">
        <v>29</v>
      </c>
      <c r="F2576" s="5">
        <v>350000.0</v>
      </c>
      <c r="G2576" s="1" t="s">
        <v>7016</v>
      </c>
      <c r="H2576" s="4">
        <v>44899.0</v>
      </c>
      <c r="I2576" s="1" t="s">
        <v>466</v>
      </c>
      <c r="K2576" s="1">
        <v>0.0</v>
      </c>
      <c r="L2576" s="1" t="s">
        <v>3674</v>
      </c>
      <c r="M2576" s="1" t="str">
        <f>VLOOKUP(L2576,'Copy of PMD Workday Constants -'!B2575:W3261,22,false)</f>
        <v>#N/A</v>
      </c>
      <c r="N2576" s="1" t="s">
        <v>32</v>
      </c>
      <c r="O2576" s="1" t="s">
        <v>33</v>
      </c>
      <c r="P2576" s="1" t="s">
        <v>173</v>
      </c>
      <c r="Q2576" s="1" t="s">
        <v>173</v>
      </c>
      <c r="R2576" s="1" t="s">
        <v>174</v>
      </c>
      <c r="T2576" s="1">
        <v>1.0058537E8</v>
      </c>
      <c r="W2576" s="1" t="s">
        <v>456</v>
      </c>
      <c r="X2576" s="1" t="s">
        <v>7887</v>
      </c>
    </row>
    <row r="2577">
      <c r="A2577" s="1" t="s">
        <v>7888</v>
      </c>
      <c r="B2577" s="1" t="s">
        <v>7889</v>
      </c>
      <c r="C2577" s="1" t="s">
        <v>7890</v>
      </c>
      <c r="D2577" s="1" t="s">
        <v>51</v>
      </c>
      <c r="E2577" s="1" t="s">
        <v>29</v>
      </c>
      <c r="F2577" s="5">
        <v>350000.0</v>
      </c>
      <c r="G2577" s="1" t="s">
        <v>7016</v>
      </c>
      <c r="H2577" s="4">
        <v>44900.0</v>
      </c>
      <c r="I2577" s="1" t="s">
        <v>302</v>
      </c>
      <c r="K2577" s="1">
        <v>0.0</v>
      </c>
      <c r="L2577" s="1" t="s">
        <v>4794</v>
      </c>
      <c r="M2577" s="1" t="str">
        <f>VLOOKUP(L2577,'Copy of PMD Workday Constants -'!B2576:W3262,22,false)</f>
        <v>#N/A</v>
      </c>
      <c r="N2577" s="1" t="s">
        <v>32</v>
      </c>
      <c r="O2577" s="1" t="s">
        <v>33</v>
      </c>
      <c r="P2577" s="1" t="s">
        <v>173</v>
      </c>
      <c r="Q2577" s="1" t="s">
        <v>173</v>
      </c>
      <c r="R2577" s="1" t="s">
        <v>174</v>
      </c>
      <c r="T2577" s="1">
        <v>1.00875111E8</v>
      </c>
      <c r="W2577" s="1" t="s">
        <v>115</v>
      </c>
      <c r="X2577" s="1" t="s">
        <v>7891</v>
      </c>
    </row>
    <row r="2578">
      <c r="A2578" s="1" t="s">
        <v>7892</v>
      </c>
      <c r="B2578" s="1" t="s">
        <v>7893</v>
      </c>
      <c r="C2578" s="1" t="s">
        <v>7894</v>
      </c>
      <c r="D2578" s="1" t="s">
        <v>51</v>
      </c>
      <c r="E2578" s="1" t="s">
        <v>29</v>
      </c>
      <c r="F2578" s="5">
        <v>350000.0</v>
      </c>
      <c r="G2578" s="1" t="s">
        <v>7016</v>
      </c>
      <c r="H2578" s="1" t="s">
        <v>569</v>
      </c>
      <c r="I2578" s="1" t="s">
        <v>104</v>
      </c>
      <c r="K2578" s="1">
        <v>0.0</v>
      </c>
      <c r="L2578" s="1" t="s">
        <v>72</v>
      </c>
      <c r="M2578" s="1" t="str">
        <f>VLOOKUP(L2578,'Copy of PMD Workday Constants -'!B2577:W3263,22,false)</f>
        <v>#N/A</v>
      </c>
      <c r="N2578" s="1" t="s">
        <v>32</v>
      </c>
      <c r="O2578" s="1" t="s">
        <v>33</v>
      </c>
      <c r="P2578" s="1" t="s">
        <v>34</v>
      </c>
      <c r="Q2578" s="1" t="s">
        <v>34</v>
      </c>
      <c r="R2578" s="1" t="s">
        <v>35</v>
      </c>
      <c r="T2578" s="1">
        <v>1.0060843E8</v>
      </c>
      <c r="W2578" s="1" t="s">
        <v>436</v>
      </c>
      <c r="X2578" s="1" t="s">
        <v>72</v>
      </c>
    </row>
    <row r="2579">
      <c r="A2579" s="1" t="s">
        <v>7895</v>
      </c>
      <c r="B2579" s="1" t="s">
        <v>7896</v>
      </c>
      <c r="C2579" s="1" t="s">
        <v>7897</v>
      </c>
      <c r="D2579" s="1" t="s">
        <v>51</v>
      </c>
      <c r="E2579" s="1" t="s">
        <v>29</v>
      </c>
      <c r="F2579" s="5">
        <v>350000.0</v>
      </c>
      <c r="G2579" s="1" t="s">
        <v>7016</v>
      </c>
      <c r="H2579" s="1" t="s">
        <v>2069</v>
      </c>
      <c r="I2579" s="1" t="s">
        <v>1349</v>
      </c>
      <c r="K2579" s="1">
        <v>0.0</v>
      </c>
      <c r="L2579" s="1" t="s">
        <v>1380</v>
      </c>
      <c r="M2579" s="1" t="str">
        <f>VLOOKUP(L2579,'Copy of PMD Workday Constants -'!B2578:W3264,22,false)</f>
        <v>#N/A</v>
      </c>
      <c r="N2579" s="1" t="s">
        <v>32</v>
      </c>
      <c r="O2579" s="1" t="s">
        <v>33</v>
      </c>
      <c r="P2579" s="1" t="s">
        <v>34</v>
      </c>
      <c r="Q2579" s="1" t="s">
        <v>34</v>
      </c>
      <c r="R2579" s="1" t="s">
        <v>35</v>
      </c>
      <c r="S2579" s="1" t="s">
        <v>126</v>
      </c>
      <c r="T2579" s="1">
        <v>1.00587434E8</v>
      </c>
      <c r="W2579" s="1" t="s">
        <v>74</v>
      </c>
      <c r="X2579" s="1" t="s">
        <v>1380</v>
      </c>
    </row>
    <row r="2580">
      <c r="A2580" s="1" t="s">
        <v>7898</v>
      </c>
      <c r="B2580" s="1" t="s">
        <v>7899</v>
      </c>
      <c r="C2580" s="1" t="s">
        <v>7900</v>
      </c>
      <c r="D2580" s="1" t="s">
        <v>103</v>
      </c>
      <c r="E2580" s="1" t="s">
        <v>29</v>
      </c>
      <c r="F2580" s="5">
        <v>350000.0</v>
      </c>
      <c r="G2580" s="1" t="s">
        <v>7016</v>
      </c>
      <c r="H2580" s="1" t="s">
        <v>4388</v>
      </c>
      <c r="I2580" s="1" t="s">
        <v>132</v>
      </c>
      <c r="K2580" s="1">
        <v>0.0</v>
      </c>
      <c r="L2580" s="1" t="s">
        <v>499</v>
      </c>
      <c r="M2580" s="1" t="str">
        <f>VLOOKUP(L2580,'Copy of PMD Workday Constants -'!B2579:W3265,22,false)</f>
        <v>#N/A</v>
      </c>
      <c r="N2580" s="1" t="s">
        <v>32</v>
      </c>
      <c r="O2580" s="1" t="s">
        <v>33</v>
      </c>
      <c r="P2580" s="1" t="s">
        <v>34</v>
      </c>
      <c r="Q2580" s="1" t="s">
        <v>34</v>
      </c>
      <c r="R2580" s="1" t="s">
        <v>35</v>
      </c>
      <c r="T2580" s="1">
        <v>1.00627768E8</v>
      </c>
      <c r="W2580" s="1" t="s">
        <v>56</v>
      </c>
      <c r="X2580" s="1" t="s">
        <v>499</v>
      </c>
    </row>
    <row r="2581">
      <c r="A2581" s="1" t="s">
        <v>7901</v>
      </c>
      <c r="B2581" s="1" t="s">
        <v>225</v>
      </c>
      <c r="C2581" s="1" t="s">
        <v>7902</v>
      </c>
      <c r="D2581" s="1" t="s">
        <v>28</v>
      </c>
      <c r="E2581" s="1" t="s">
        <v>29</v>
      </c>
      <c r="F2581" s="5">
        <v>350000.0</v>
      </c>
      <c r="G2581" s="1" t="s">
        <v>7016</v>
      </c>
      <c r="H2581" s="1" t="s">
        <v>243</v>
      </c>
      <c r="I2581" s="1" t="s">
        <v>96</v>
      </c>
      <c r="K2581" s="1">
        <v>0.0</v>
      </c>
      <c r="L2581" s="1" t="s">
        <v>7903</v>
      </c>
      <c r="M2581" s="1" t="str">
        <f>VLOOKUP(L2581,'Copy of PMD Workday Constants -'!B2580:W3266,22,false)</f>
        <v>#N/A</v>
      </c>
      <c r="N2581" s="1" t="s">
        <v>32</v>
      </c>
      <c r="O2581" s="1" t="s">
        <v>33</v>
      </c>
      <c r="P2581" s="1" t="s">
        <v>82</v>
      </c>
      <c r="Q2581" s="1" t="s">
        <v>82</v>
      </c>
      <c r="R2581" s="1" t="s">
        <v>83</v>
      </c>
      <c r="S2581" s="1" t="s">
        <v>84</v>
      </c>
      <c r="T2581" s="1">
        <v>1.00608247E8</v>
      </c>
      <c r="W2581" s="1" t="s">
        <v>85</v>
      </c>
      <c r="X2581" s="1" t="s">
        <v>7904</v>
      </c>
    </row>
    <row r="2582">
      <c r="A2582" s="1" t="s">
        <v>7905</v>
      </c>
      <c r="B2582" s="1" t="s">
        <v>585</v>
      </c>
      <c r="C2582" s="1" t="s">
        <v>7906</v>
      </c>
      <c r="D2582" s="1" t="s">
        <v>28</v>
      </c>
      <c r="E2582" s="1" t="s">
        <v>29</v>
      </c>
      <c r="F2582" s="5">
        <v>350000.0</v>
      </c>
      <c r="G2582" s="1" t="s">
        <v>7016</v>
      </c>
      <c r="H2582" s="1" t="s">
        <v>1708</v>
      </c>
      <c r="I2582" s="4">
        <v>44876.0</v>
      </c>
      <c r="K2582" s="1">
        <v>0.0</v>
      </c>
      <c r="L2582" s="1" t="s">
        <v>1879</v>
      </c>
      <c r="M2582" s="1" t="str">
        <f>VLOOKUP(L2582,'Copy of PMD Workday Constants -'!B2581:W3267,22,false)</f>
        <v>#N/A</v>
      </c>
      <c r="N2582" s="1" t="s">
        <v>32</v>
      </c>
      <c r="O2582" s="1" t="s">
        <v>33</v>
      </c>
      <c r="P2582" s="1" t="s">
        <v>34</v>
      </c>
      <c r="Q2582" s="1" t="s">
        <v>34</v>
      </c>
      <c r="R2582" s="1" t="s">
        <v>35</v>
      </c>
      <c r="S2582" s="1" t="s">
        <v>2450</v>
      </c>
      <c r="T2582" s="1">
        <v>1.00626539E8</v>
      </c>
      <c r="W2582" s="1" t="s">
        <v>91</v>
      </c>
      <c r="X2582" s="1" t="s">
        <v>1879</v>
      </c>
    </row>
    <row r="2583">
      <c r="A2583" s="1" t="s">
        <v>7907</v>
      </c>
      <c r="B2583" s="1" t="s">
        <v>3646</v>
      </c>
      <c r="C2583" s="1" t="s">
        <v>7908</v>
      </c>
      <c r="D2583" s="1" t="s">
        <v>28</v>
      </c>
      <c r="E2583" s="1" t="s">
        <v>29</v>
      </c>
      <c r="F2583" s="5">
        <v>350000.0</v>
      </c>
      <c r="G2583" s="1" t="s">
        <v>7016</v>
      </c>
      <c r="H2583" s="4">
        <v>43893.0</v>
      </c>
      <c r="I2583" s="1" t="s">
        <v>302</v>
      </c>
      <c r="K2583" s="1">
        <v>0.0</v>
      </c>
      <c r="L2583" s="1" t="s">
        <v>7909</v>
      </c>
      <c r="M2583" s="1" t="str">
        <f>VLOOKUP(L2583,'Copy of PMD Workday Constants -'!B2582:W3268,22,false)</f>
        <v>#N/A</v>
      </c>
      <c r="N2583" s="1" t="s">
        <v>32</v>
      </c>
      <c r="O2583" s="1" t="s">
        <v>33</v>
      </c>
      <c r="P2583" s="1" t="s">
        <v>64</v>
      </c>
      <c r="Q2583" s="1" t="s">
        <v>64</v>
      </c>
      <c r="R2583" s="1" t="s">
        <v>65</v>
      </c>
      <c r="S2583" s="1" t="s">
        <v>98</v>
      </c>
      <c r="T2583" s="1">
        <v>1.0058653E8</v>
      </c>
      <c r="W2583" s="1" t="s">
        <v>258</v>
      </c>
      <c r="X2583" s="1" t="s">
        <v>2847</v>
      </c>
    </row>
    <row r="2584">
      <c r="A2584" s="1" t="s">
        <v>7910</v>
      </c>
      <c r="B2584" s="1" t="s">
        <v>1184</v>
      </c>
      <c r="C2584" s="1" t="s">
        <v>7911</v>
      </c>
      <c r="D2584" s="1" t="s">
        <v>51</v>
      </c>
      <c r="E2584" s="1" t="s">
        <v>29</v>
      </c>
      <c r="F2584" s="5">
        <v>350000.0</v>
      </c>
      <c r="G2584" s="1" t="s">
        <v>7016</v>
      </c>
      <c r="H2584" s="4">
        <v>44417.0</v>
      </c>
      <c r="I2584" s="4">
        <v>44840.0</v>
      </c>
      <c r="K2584" s="1">
        <v>0.0</v>
      </c>
      <c r="L2584" s="1" t="s">
        <v>5344</v>
      </c>
      <c r="M2584" s="1" t="str">
        <f>VLOOKUP(L2584,'Copy of PMD Workday Constants -'!B2583:W3269,22,false)</f>
        <v>#N/A</v>
      </c>
      <c r="N2584" s="1" t="s">
        <v>32</v>
      </c>
      <c r="O2584" s="1" t="s">
        <v>33</v>
      </c>
      <c r="P2584" s="1" t="s">
        <v>210</v>
      </c>
      <c r="Q2584" s="1" t="s">
        <v>210</v>
      </c>
      <c r="R2584" s="1" t="s">
        <v>211</v>
      </c>
      <c r="S2584" s="1" t="s">
        <v>212</v>
      </c>
      <c r="T2584" s="1">
        <v>1.0064547E8</v>
      </c>
      <c r="W2584" s="1" t="s">
        <v>56</v>
      </c>
      <c r="X2584" s="1" t="s">
        <v>6918</v>
      </c>
    </row>
    <row r="2585">
      <c r="A2585" s="1" t="s">
        <v>7912</v>
      </c>
      <c r="B2585" s="1" t="s">
        <v>489</v>
      </c>
      <c r="C2585" s="1" t="s">
        <v>7913</v>
      </c>
      <c r="D2585" s="1" t="s">
        <v>103</v>
      </c>
      <c r="E2585" s="1" t="s">
        <v>29</v>
      </c>
      <c r="F2585" s="5">
        <v>350000.0</v>
      </c>
      <c r="G2585" s="1" t="s">
        <v>7016</v>
      </c>
      <c r="H2585" s="1" t="s">
        <v>556</v>
      </c>
      <c r="I2585" s="1" t="s">
        <v>941</v>
      </c>
      <c r="K2585" s="1">
        <v>0.0</v>
      </c>
      <c r="L2585" s="1" t="s">
        <v>847</v>
      </c>
      <c r="M2585" s="1" t="str">
        <f>VLOOKUP(L2585,'Copy of PMD Workday Constants -'!B2584:W3270,22,false)</f>
        <v>#N/A</v>
      </c>
      <c r="N2585" s="1" t="s">
        <v>32</v>
      </c>
      <c r="O2585" s="1" t="s">
        <v>33</v>
      </c>
      <c r="P2585" s="1" t="s">
        <v>173</v>
      </c>
      <c r="Q2585" s="1" t="s">
        <v>173</v>
      </c>
      <c r="R2585" s="1" t="s">
        <v>174</v>
      </c>
      <c r="T2585" s="1">
        <v>1.00586701E8</v>
      </c>
      <c r="W2585" s="1" t="s">
        <v>493</v>
      </c>
      <c r="X2585" s="1" t="s">
        <v>1529</v>
      </c>
    </row>
    <row r="2586">
      <c r="A2586" s="1" t="s">
        <v>7914</v>
      </c>
      <c r="B2586" s="1" t="s">
        <v>7915</v>
      </c>
      <c r="C2586" s="1" t="s">
        <v>7916</v>
      </c>
      <c r="D2586" s="1" t="s">
        <v>28</v>
      </c>
      <c r="E2586" s="1" t="s">
        <v>29</v>
      </c>
      <c r="F2586" s="5">
        <v>350000.0</v>
      </c>
      <c r="G2586" s="1" t="s">
        <v>7016</v>
      </c>
      <c r="H2586" s="1" t="s">
        <v>5799</v>
      </c>
      <c r="I2586" s="4">
        <v>44690.0</v>
      </c>
      <c r="K2586" s="1">
        <v>0.0</v>
      </c>
      <c r="L2586" s="1" t="s">
        <v>2169</v>
      </c>
      <c r="M2586" s="1" t="str">
        <f>VLOOKUP(L2586,'Copy of PMD Workday Constants -'!B2585:W3271,22,false)</f>
        <v>#N/A</v>
      </c>
      <c r="N2586" s="1" t="s">
        <v>32</v>
      </c>
      <c r="O2586" s="1" t="s">
        <v>33</v>
      </c>
      <c r="P2586" s="1" t="s">
        <v>64</v>
      </c>
      <c r="Q2586" s="1" t="s">
        <v>64</v>
      </c>
      <c r="R2586" s="1" t="s">
        <v>65</v>
      </c>
      <c r="S2586" s="1" t="s">
        <v>66</v>
      </c>
      <c r="T2586" s="1">
        <v>1.00886112E8</v>
      </c>
      <c r="W2586" s="1" t="s">
        <v>308</v>
      </c>
      <c r="X2586" s="1" t="s">
        <v>2169</v>
      </c>
    </row>
    <row r="2587">
      <c r="A2587" s="1" t="s">
        <v>7917</v>
      </c>
      <c r="B2587" s="1" t="s">
        <v>253</v>
      </c>
      <c r="C2587" s="1" t="s">
        <v>7918</v>
      </c>
      <c r="D2587" s="1" t="s">
        <v>51</v>
      </c>
      <c r="E2587" s="1" t="s">
        <v>29</v>
      </c>
      <c r="F2587" s="5">
        <v>350000.0</v>
      </c>
      <c r="G2587" s="1" t="s">
        <v>7016</v>
      </c>
      <c r="H2587" s="4">
        <v>44564.0</v>
      </c>
      <c r="I2587" s="1" t="s">
        <v>301</v>
      </c>
      <c r="K2587" s="1">
        <v>0.0</v>
      </c>
      <c r="L2587" s="1" t="s">
        <v>2955</v>
      </c>
      <c r="M2587" s="1" t="str">
        <f>VLOOKUP(L2587,'Copy of PMD Workday Constants -'!B2586:W3272,22,false)</f>
        <v>#N/A</v>
      </c>
      <c r="N2587" s="1" t="s">
        <v>32</v>
      </c>
      <c r="O2587" s="1" t="s">
        <v>33</v>
      </c>
      <c r="P2587" s="1" t="s">
        <v>34</v>
      </c>
      <c r="Q2587" s="1" t="s">
        <v>34</v>
      </c>
      <c r="R2587" s="1" t="s">
        <v>35</v>
      </c>
      <c r="T2587" s="1">
        <v>1.00589892E8</v>
      </c>
      <c r="W2587" s="1" t="s">
        <v>258</v>
      </c>
      <c r="X2587" s="1" t="s">
        <v>2955</v>
      </c>
    </row>
    <row r="2588">
      <c r="A2588" s="1" t="s">
        <v>7919</v>
      </c>
      <c r="B2588" s="1" t="s">
        <v>3793</v>
      </c>
      <c r="C2588" s="1" t="s">
        <v>7920</v>
      </c>
      <c r="D2588" s="1" t="s">
        <v>28</v>
      </c>
      <c r="E2588" s="1" t="s">
        <v>29</v>
      </c>
      <c r="F2588" s="5">
        <v>350000.0</v>
      </c>
      <c r="G2588" s="1" t="s">
        <v>7016</v>
      </c>
      <c r="H2588" s="1" t="s">
        <v>7921</v>
      </c>
      <c r="I2588" s="1" t="s">
        <v>264</v>
      </c>
      <c r="K2588" s="1">
        <v>0.0</v>
      </c>
      <c r="L2588" s="1" t="s">
        <v>2093</v>
      </c>
      <c r="M2588" s="1" t="str">
        <f>VLOOKUP(L2588,'Copy of PMD Workday Constants -'!B2587:W3273,22,false)</f>
        <v>#N/A</v>
      </c>
      <c r="N2588" s="1" t="s">
        <v>32</v>
      </c>
      <c r="O2588" s="1" t="s">
        <v>33</v>
      </c>
      <c r="P2588" s="1" t="s">
        <v>222</v>
      </c>
      <c r="Q2588" s="1" t="s">
        <v>222</v>
      </c>
      <c r="R2588" s="1" t="s">
        <v>223</v>
      </c>
      <c r="S2588" s="1" t="s">
        <v>646</v>
      </c>
      <c r="T2588" s="1">
        <v>1.00612055E8</v>
      </c>
      <c r="W2588" s="1" t="s">
        <v>947</v>
      </c>
      <c r="X2588" s="1" t="s">
        <v>2093</v>
      </c>
    </row>
    <row r="2589">
      <c r="A2589" s="1" t="s">
        <v>7922</v>
      </c>
      <c r="B2589" s="1" t="s">
        <v>6446</v>
      </c>
      <c r="C2589" s="1" t="s">
        <v>7923</v>
      </c>
      <c r="D2589" s="1" t="s">
        <v>51</v>
      </c>
      <c r="E2589" s="1" t="s">
        <v>29</v>
      </c>
      <c r="F2589" s="5">
        <v>350000.0</v>
      </c>
      <c r="G2589" s="1" t="s">
        <v>7016</v>
      </c>
      <c r="H2589" s="1" t="s">
        <v>1644</v>
      </c>
      <c r="I2589" s="1" t="s">
        <v>80</v>
      </c>
      <c r="K2589" s="1">
        <v>0.0</v>
      </c>
      <c r="L2589" s="1" t="s">
        <v>1902</v>
      </c>
      <c r="M2589" s="1" t="str">
        <f>VLOOKUP(L2589,'Copy of PMD Workday Constants -'!B2588:W3274,22,false)</f>
        <v>#N/A</v>
      </c>
      <c r="N2589" s="1" t="s">
        <v>32</v>
      </c>
      <c r="O2589" s="1" t="s">
        <v>33</v>
      </c>
      <c r="P2589" s="1" t="s">
        <v>173</v>
      </c>
      <c r="Q2589" s="1" t="s">
        <v>173</v>
      </c>
      <c r="R2589" s="1" t="s">
        <v>174</v>
      </c>
      <c r="T2589" s="1">
        <v>1.00956516E8</v>
      </c>
      <c r="W2589" s="1" t="s">
        <v>258</v>
      </c>
      <c r="X2589" s="1" t="s">
        <v>2847</v>
      </c>
    </row>
    <row r="2590">
      <c r="A2590" s="1" t="s">
        <v>7924</v>
      </c>
      <c r="B2590" s="1" t="s">
        <v>1247</v>
      </c>
      <c r="C2590" s="1" t="s">
        <v>7925</v>
      </c>
      <c r="D2590" s="1" t="s">
        <v>103</v>
      </c>
      <c r="E2590" s="1" t="s">
        <v>29</v>
      </c>
      <c r="F2590" s="5">
        <v>350000.0</v>
      </c>
      <c r="G2590" s="1" t="s">
        <v>7016</v>
      </c>
      <c r="H2590" s="1" t="s">
        <v>480</v>
      </c>
      <c r="I2590" s="1" t="s">
        <v>400</v>
      </c>
      <c r="K2590" s="1">
        <v>0.0</v>
      </c>
      <c r="L2590" s="1" t="s">
        <v>2435</v>
      </c>
      <c r="M2590" s="1" t="str">
        <f>VLOOKUP(L2590,'Copy of PMD Workday Constants -'!B2589:W3275,22,false)</f>
        <v>#N/A</v>
      </c>
      <c r="N2590" s="1" t="s">
        <v>32</v>
      </c>
      <c r="O2590" s="1" t="s">
        <v>33</v>
      </c>
      <c r="P2590" s="1" t="s">
        <v>173</v>
      </c>
      <c r="Q2590" s="1" t="s">
        <v>173</v>
      </c>
      <c r="R2590" s="1" t="s">
        <v>174</v>
      </c>
      <c r="S2590" s="1" t="s">
        <v>612</v>
      </c>
      <c r="T2590" s="1">
        <v>1.00634919E8</v>
      </c>
      <c r="W2590" s="1" t="s">
        <v>140</v>
      </c>
      <c r="X2590" s="1" t="s">
        <v>2435</v>
      </c>
    </row>
    <row r="2591">
      <c r="A2591" s="1" t="s">
        <v>7926</v>
      </c>
      <c r="B2591" s="1" t="s">
        <v>4911</v>
      </c>
      <c r="C2591" s="1" t="s">
        <v>7927</v>
      </c>
      <c r="D2591" s="1" t="s">
        <v>51</v>
      </c>
      <c r="E2591" s="1" t="s">
        <v>29</v>
      </c>
      <c r="F2591" s="5">
        <v>350000.0</v>
      </c>
      <c r="G2591" s="1" t="s">
        <v>7016</v>
      </c>
      <c r="H2591" s="4">
        <v>44714.0</v>
      </c>
      <c r="I2591" s="1" t="s">
        <v>732</v>
      </c>
      <c r="K2591" s="1">
        <v>0.0</v>
      </c>
      <c r="L2591" s="1" t="s">
        <v>790</v>
      </c>
      <c r="M2591" s="1" t="str">
        <f>VLOOKUP(L2591,'Copy of PMD Workday Constants -'!B2590:W3276,22,false)</f>
        <v>#N/A</v>
      </c>
      <c r="N2591" s="1" t="s">
        <v>32</v>
      </c>
      <c r="O2591" s="1" t="s">
        <v>33</v>
      </c>
      <c r="P2591" s="1" t="s">
        <v>64</v>
      </c>
      <c r="Q2591" s="1" t="s">
        <v>64</v>
      </c>
      <c r="R2591" s="1" t="s">
        <v>65</v>
      </c>
      <c r="S2591" s="1" t="s">
        <v>791</v>
      </c>
      <c r="T2591" s="1">
        <v>1.00661738E8</v>
      </c>
      <c r="W2591" s="1" t="s">
        <v>456</v>
      </c>
      <c r="X2591" s="1" t="s">
        <v>629</v>
      </c>
    </row>
    <row r="2592">
      <c r="A2592" s="1" t="s">
        <v>7928</v>
      </c>
      <c r="B2592" s="1" t="s">
        <v>1305</v>
      </c>
      <c r="C2592" s="1" t="s">
        <v>7929</v>
      </c>
      <c r="D2592" s="1" t="s">
        <v>28</v>
      </c>
      <c r="E2592" s="1" t="s">
        <v>29</v>
      </c>
      <c r="F2592" s="5">
        <v>350000.0</v>
      </c>
      <c r="G2592" s="1" t="s">
        <v>7016</v>
      </c>
      <c r="H2592" s="1" t="s">
        <v>1785</v>
      </c>
      <c r="I2592" s="4">
        <v>44570.0</v>
      </c>
      <c r="K2592" s="1">
        <v>0.0</v>
      </c>
      <c r="L2592" s="1" t="s">
        <v>1486</v>
      </c>
      <c r="M2592" s="1" t="str">
        <f>VLOOKUP(L2592,'Copy of PMD Workday Constants -'!B2591:W3277,22,false)</f>
        <v>#N/A</v>
      </c>
      <c r="N2592" s="1" t="s">
        <v>32</v>
      </c>
      <c r="O2592" s="1" t="s">
        <v>33</v>
      </c>
      <c r="P2592" s="1" t="s">
        <v>82</v>
      </c>
      <c r="Q2592" s="1" t="s">
        <v>82</v>
      </c>
      <c r="R2592" s="1" t="s">
        <v>83</v>
      </c>
      <c r="S2592" s="1" t="s">
        <v>583</v>
      </c>
      <c r="T2592" s="1">
        <v>1.006324E8</v>
      </c>
      <c r="W2592" s="1" t="s">
        <v>456</v>
      </c>
      <c r="X2592" s="1" t="s">
        <v>768</v>
      </c>
    </row>
    <row r="2593">
      <c r="A2593" s="1" t="s">
        <v>7930</v>
      </c>
      <c r="B2593" s="1" t="s">
        <v>4174</v>
      </c>
      <c r="C2593" s="1" t="s">
        <v>7931</v>
      </c>
      <c r="D2593" s="1" t="s">
        <v>51</v>
      </c>
      <c r="E2593" s="1" t="s">
        <v>29</v>
      </c>
      <c r="F2593" s="5">
        <v>350000.0</v>
      </c>
      <c r="G2593" s="1" t="s">
        <v>7016</v>
      </c>
      <c r="H2593" s="4">
        <v>44810.0</v>
      </c>
      <c r="I2593" s="4">
        <v>44689.0</v>
      </c>
      <c r="K2593" s="1">
        <v>0.0</v>
      </c>
      <c r="L2593" s="1" t="s">
        <v>6202</v>
      </c>
      <c r="M2593" s="1" t="str">
        <f>VLOOKUP(L2593,'Copy of PMD Workday Constants -'!B2592:W3278,22,false)</f>
        <v>#N/A</v>
      </c>
      <c r="N2593" s="1" t="s">
        <v>32</v>
      </c>
      <c r="O2593" s="1" t="s">
        <v>33</v>
      </c>
      <c r="P2593" s="1" t="s">
        <v>210</v>
      </c>
      <c r="Q2593" s="1" t="s">
        <v>210</v>
      </c>
      <c r="R2593" s="1" t="s">
        <v>211</v>
      </c>
      <c r="T2593" s="1">
        <v>1.00911004E8</v>
      </c>
      <c r="W2593" s="1" t="s">
        <v>56</v>
      </c>
      <c r="X2593" s="1" t="s">
        <v>7932</v>
      </c>
    </row>
    <row r="2594">
      <c r="A2594" s="1" t="s">
        <v>7933</v>
      </c>
      <c r="B2594" s="1" t="s">
        <v>3646</v>
      </c>
      <c r="C2594" s="1" t="s">
        <v>7934</v>
      </c>
      <c r="D2594" s="1" t="s">
        <v>28</v>
      </c>
      <c r="E2594" s="1" t="s">
        <v>29</v>
      </c>
      <c r="F2594" s="5">
        <v>350000.0</v>
      </c>
      <c r="G2594" s="1" t="s">
        <v>7016</v>
      </c>
      <c r="H2594" s="1" t="s">
        <v>2577</v>
      </c>
      <c r="I2594" s="1" t="s">
        <v>132</v>
      </c>
      <c r="K2594" s="1">
        <v>0.0</v>
      </c>
      <c r="L2594" s="1" t="s">
        <v>4277</v>
      </c>
      <c r="M2594" s="1" t="str">
        <f>VLOOKUP(L2594,'Copy of PMD Workday Constants -'!B2593:W3279,22,false)</f>
        <v>#N/A</v>
      </c>
      <c r="N2594" s="1" t="s">
        <v>32</v>
      </c>
      <c r="O2594" s="1" t="s">
        <v>33</v>
      </c>
      <c r="P2594" s="1" t="s">
        <v>173</v>
      </c>
      <c r="Q2594" s="1" t="s">
        <v>173</v>
      </c>
      <c r="R2594" s="1" t="s">
        <v>174</v>
      </c>
      <c r="S2594" s="1" t="s">
        <v>7935</v>
      </c>
      <c r="T2594" s="1">
        <v>1.00650304E8</v>
      </c>
      <c r="W2594" s="1" t="s">
        <v>258</v>
      </c>
      <c r="X2594" s="1" t="s">
        <v>2847</v>
      </c>
    </row>
    <row r="2595">
      <c r="A2595" s="1" t="s">
        <v>7936</v>
      </c>
      <c r="B2595" s="1" t="s">
        <v>7937</v>
      </c>
      <c r="C2595" s="1" t="s">
        <v>7938</v>
      </c>
      <c r="D2595" s="1" t="s">
        <v>51</v>
      </c>
      <c r="E2595" s="1" t="s">
        <v>29</v>
      </c>
      <c r="F2595" s="5">
        <v>350000.0</v>
      </c>
      <c r="G2595" s="1" t="s">
        <v>7016</v>
      </c>
      <c r="H2595" s="1" t="s">
        <v>131</v>
      </c>
      <c r="I2595" s="4">
        <v>44569.0</v>
      </c>
      <c r="K2595" s="1">
        <v>0.0</v>
      </c>
      <c r="L2595" s="1" t="s">
        <v>1902</v>
      </c>
      <c r="M2595" s="1" t="str">
        <f>VLOOKUP(L2595,'Copy of PMD Workday Constants -'!B2594:W3280,22,false)</f>
        <v>#N/A</v>
      </c>
      <c r="N2595" s="1" t="s">
        <v>32</v>
      </c>
      <c r="O2595" s="1" t="s">
        <v>33</v>
      </c>
      <c r="P2595" s="1" t="s">
        <v>173</v>
      </c>
      <c r="Q2595" s="1" t="s">
        <v>173</v>
      </c>
      <c r="R2595" s="1" t="s">
        <v>174</v>
      </c>
      <c r="S2595" s="1" t="s">
        <v>612</v>
      </c>
      <c r="T2595" s="1">
        <v>1.00956516E8</v>
      </c>
      <c r="W2595" s="1" t="s">
        <v>258</v>
      </c>
      <c r="X2595" s="1" t="s">
        <v>7818</v>
      </c>
    </row>
    <row r="2596">
      <c r="A2596" s="1" t="s">
        <v>7939</v>
      </c>
      <c r="B2596" s="1" t="s">
        <v>6344</v>
      </c>
      <c r="C2596" s="1" t="s">
        <v>7940</v>
      </c>
      <c r="D2596" s="1" t="s">
        <v>28</v>
      </c>
      <c r="E2596" s="1" t="s">
        <v>29</v>
      </c>
      <c r="F2596" s="5">
        <v>350000.0</v>
      </c>
      <c r="G2596" s="1" t="s">
        <v>7016</v>
      </c>
      <c r="H2596" s="1" t="s">
        <v>6299</v>
      </c>
      <c r="I2596" s="1" t="s">
        <v>104</v>
      </c>
      <c r="K2596" s="1">
        <v>0.0</v>
      </c>
      <c r="L2596" s="1" t="s">
        <v>3623</v>
      </c>
      <c r="M2596" s="1" t="str">
        <f>VLOOKUP(L2596,'Copy of PMD Workday Constants -'!B2595:W3281,22,false)</f>
        <v>#N/A</v>
      </c>
      <c r="N2596" s="1" t="s">
        <v>32</v>
      </c>
      <c r="O2596" s="1" t="s">
        <v>33</v>
      </c>
      <c r="P2596" s="1" t="s">
        <v>82</v>
      </c>
      <c r="Q2596" s="1" t="s">
        <v>82</v>
      </c>
      <c r="R2596" s="1" t="s">
        <v>83</v>
      </c>
      <c r="S2596" s="1" t="s">
        <v>84</v>
      </c>
      <c r="T2596" s="1">
        <v>1.00929557E8</v>
      </c>
      <c r="W2596" s="1" t="s">
        <v>85</v>
      </c>
      <c r="X2596" s="1" t="s">
        <v>2418</v>
      </c>
    </row>
    <row r="2597">
      <c r="A2597" s="1" t="s">
        <v>7941</v>
      </c>
      <c r="B2597" s="1" t="s">
        <v>765</v>
      </c>
      <c r="C2597" s="1" t="s">
        <v>7942</v>
      </c>
      <c r="D2597" s="1" t="s">
        <v>28</v>
      </c>
      <c r="E2597" s="1" t="s">
        <v>29</v>
      </c>
      <c r="F2597" s="5">
        <v>350000.0</v>
      </c>
      <c r="G2597" s="1" t="s">
        <v>7016</v>
      </c>
      <c r="H2597" s="1" t="s">
        <v>2077</v>
      </c>
      <c r="I2597" s="1" t="s">
        <v>1746</v>
      </c>
      <c r="K2597" s="1">
        <v>0.0</v>
      </c>
      <c r="L2597" s="1" t="s">
        <v>7943</v>
      </c>
      <c r="M2597" s="1" t="str">
        <f>VLOOKUP(L2597,'Copy of PMD Workday Constants -'!B2596:W3282,22,false)</f>
        <v>#N/A</v>
      </c>
      <c r="N2597" s="1" t="s">
        <v>32</v>
      </c>
      <c r="O2597" s="1" t="s">
        <v>33</v>
      </c>
      <c r="P2597" s="1" t="s">
        <v>82</v>
      </c>
      <c r="Q2597" s="1" t="s">
        <v>82</v>
      </c>
      <c r="R2597" s="1" t="s">
        <v>83</v>
      </c>
      <c r="S2597" s="1" t="s">
        <v>583</v>
      </c>
      <c r="T2597" s="1">
        <v>1.01080198E8</v>
      </c>
      <c r="W2597" s="1" t="s">
        <v>456</v>
      </c>
      <c r="X2597" s="1" t="s">
        <v>7943</v>
      </c>
    </row>
    <row r="2598">
      <c r="A2598" s="1" t="s">
        <v>7944</v>
      </c>
      <c r="B2598" s="1" t="s">
        <v>2079</v>
      </c>
      <c r="C2598" s="1" t="s">
        <v>7945</v>
      </c>
      <c r="D2598" s="1" t="s">
        <v>51</v>
      </c>
      <c r="E2598" s="1" t="s">
        <v>29</v>
      </c>
      <c r="F2598" s="5">
        <v>350000.0</v>
      </c>
      <c r="G2598" s="1" t="s">
        <v>7016</v>
      </c>
      <c r="H2598" s="4">
        <v>44537.0</v>
      </c>
      <c r="I2598" s="1" t="s">
        <v>96</v>
      </c>
      <c r="K2598" s="1">
        <v>0.0</v>
      </c>
      <c r="L2598" s="1" t="s">
        <v>645</v>
      </c>
      <c r="M2598" s="1" t="str">
        <f>VLOOKUP(L2598,'Copy of PMD Workday Constants -'!B2597:W3283,22,false)</f>
        <v>#N/A</v>
      </c>
      <c r="N2598" s="1" t="s">
        <v>32</v>
      </c>
      <c r="O2598" s="1" t="s">
        <v>33</v>
      </c>
      <c r="P2598" s="1" t="s">
        <v>64</v>
      </c>
      <c r="Q2598" s="1" t="s">
        <v>64</v>
      </c>
      <c r="R2598" s="1" t="s">
        <v>65</v>
      </c>
      <c r="T2598" s="1">
        <v>1.00653597E8</v>
      </c>
      <c r="W2598" s="1" t="s">
        <v>258</v>
      </c>
      <c r="X2598" s="1" t="s">
        <v>3029</v>
      </c>
    </row>
    <row r="2599">
      <c r="A2599" s="1" t="s">
        <v>7946</v>
      </c>
      <c r="B2599" s="1" t="s">
        <v>7947</v>
      </c>
      <c r="C2599" s="1" t="s">
        <v>5541</v>
      </c>
      <c r="D2599" s="1" t="s">
        <v>51</v>
      </c>
      <c r="E2599" s="1" t="s">
        <v>29</v>
      </c>
      <c r="F2599" s="5">
        <v>350000.0</v>
      </c>
      <c r="G2599" s="1" t="s">
        <v>7016</v>
      </c>
      <c r="H2599" s="4">
        <v>44810.0</v>
      </c>
      <c r="I2599" s="1" t="s">
        <v>104</v>
      </c>
      <c r="K2599" s="1">
        <v>0.0</v>
      </c>
      <c r="L2599" s="1" t="s">
        <v>682</v>
      </c>
      <c r="M2599" s="1" t="str">
        <f>VLOOKUP(L2599,'Copy of PMD Workday Constants -'!B2598:W3284,22,false)</f>
        <v>#N/A</v>
      </c>
      <c r="N2599" s="1" t="s">
        <v>32</v>
      </c>
      <c r="O2599" s="1" t="s">
        <v>33</v>
      </c>
      <c r="P2599" s="1" t="s">
        <v>112</v>
      </c>
      <c r="Q2599" s="1" t="s">
        <v>112</v>
      </c>
      <c r="R2599" s="1" t="s">
        <v>113</v>
      </c>
      <c r="S2599" s="1" t="s">
        <v>307</v>
      </c>
      <c r="T2599" s="1">
        <v>1.00629293E8</v>
      </c>
      <c r="W2599" s="1" t="s">
        <v>4719</v>
      </c>
      <c r="X2599" s="1" t="s">
        <v>7948</v>
      </c>
    </row>
    <row r="2600">
      <c r="A2600" s="1" t="s">
        <v>7949</v>
      </c>
      <c r="B2600" s="1" t="s">
        <v>1234</v>
      </c>
      <c r="C2600" s="1" t="s">
        <v>7950</v>
      </c>
      <c r="D2600" s="1" t="s">
        <v>28</v>
      </c>
      <c r="E2600" s="1" t="s">
        <v>29</v>
      </c>
      <c r="F2600" s="5">
        <v>350000.0</v>
      </c>
      <c r="G2600" s="1" t="s">
        <v>7016</v>
      </c>
      <c r="H2600" s="4">
        <v>44538.0</v>
      </c>
      <c r="I2600" s="1" t="s">
        <v>421</v>
      </c>
      <c r="K2600" s="1">
        <v>0.0</v>
      </c>
      <c r="L2600" s="1" t="s">
        <v>344</v>
      </c>
      <c r="M2600" s="1" t="str">
        <f>VLOOKUP(L2600,'Copy of PMD Workday Constants -'!B2599:W3285,22,false)</f>
        <v>#N/A</v>
      </c>
      <c r="N2600" s="1" t="s">
        <v>32</v>
      </c>
      <c r="O2600" s="1" t="s">
        <v>33</v>
      </c>
      <c r="P2600" s="1" t="s">
        <v>82</v>
      </c>
      <c r="Q2600" s="1" t="s">
        <v>82</v>
      </c>
      <c r="R2600" s="1" t="s">
        <v>83</v>
      </c>
      <c r="S2600" s="1" t="s">
        <v>180</v>
      </c>
      <c r="T2600" s="1">
        <v>1.00610483E8</v>
      </c>
      <c r="W2600" s="1" t="s">
        <v>85</v>
      </c>
      <c r="X2600" s="1" t="s">
        <v>4124</v>
      </c>
    </row>
    <row r="2601">
      <c r="A2601" s="1" t="s">
        <v>7951</v>
      </c>
      <c r="B2601" s="1" t="s">
        <v>7952</v>
      </c>
      <c r="C2601" s="1" t="s">
        <v>7953</v>
      </c>
      <c r="D2601" s="1" t="s">
        <v>79</v>
      </c>
      <c r="E2601" s="1" t="s">
        <v>29</v>
      </c>
      <c r="F2601" s="5">
        <v>350000.0</v>
      </c>
      <c r="G2601" s="1" t="s">
        <v>7016</v>
      </c>
      <c r="H2601" s="1" t="s">
        <v>1134</v>
      </c>
      <c r="I2601" s="1" t="s">
        <v>132</v>
      </c>
      <c r="K2601" s="1">
        <v>0.0</v>
      </c>
      <c r="L2601" s="1" t="s">
        <v>6578</v>
      </c>
      <c r="M2601" s="1" t="str">
        <f>VLOOKUP(L2601,'Copy of PMD Workday Constants -'!B2600:W3286,22,false)</f>
        <v>#N/A</v>
      </c>
      <c r="N2601" s="1" t="s">
        <v>32</v>
      </c>
      <c r="O2601" s="1" t="s">
        <v>33</v>
      </c>
      <c r="P2601" s="1" t="s">
        <v>222</v>
      </c>
      <c r="Q2601" s="1" t="s">
        <v>222</v>
      </c>
      <c r="R2601" s="1" t="s">
        <v>223</v>
      </c>
      <c r="S2601" s="1" t="s">
        <v>482</v>
      </c>
      <c r="T2601" s="1">
        <v>1.00597339E8</v>
      </c>
      <c r="W2601" s="1" t="s">
        <v>74</v>
      </c>
      <c r="X2601" s="1" t="s">
        <v>6579</v>
      </c>
    </row>
    <row r="2602">
      <c r="A2602" s="1" t="s">
        <v>7954</v>
      </c>
      <c r="B2602" s="1" t="s">
        <v>7955</v>
      </c>
      <c r="C2602" s="1" t="s">
        <v>7956</v>
      </c>
      <c r="D2602" s="1" t="s">
        <v>103</v>
      </c>
      <c r="E2602" s="1" t="s">
        <v>29</v>
      </c>
      <c r="F2602" s="5">
        <v>350000.0</v>
      </c>
      <c r="G2602" s="1" t="s">
        <v>7016</v>
      </c>
      <c r="H2602" s="1" t="s">
        <v>7957</v>
      </c>
      <c r="I2602" s="1" t="s">
        <v>302</v>
      </c>
      <c r="K2602" s="1">
        <v>0.0</v>
      </c>
      <c r="L2602" s="1" t="s">
        <v>1031</v>
      </c>
      <c r="M2602" s="1" t="str">
        <f>VLOOKUP(L2602,'Copy of PMD Workday Constants -'!B2601:W3287,22,false)</f>
        <v>#N/A</v>
      </c>
      <c r="N2602" s="1" t="s">
        <v>32</v>
      </c>
      <c r="O2602" s="1" t="s">
        <v>33</v>
      </c>
      <c r="P2602" s="1" t="s">
        <v>64</v>
      </c>
      <c r="Q2602" s="1" t="s">
        <v>64</v>
      </c>
      <c r="R2602" s="1" t="s">
        <v>65</v>
      </c>
      <c r="S2602" s="1" t="s">
        <v>229</v>
      </c>
      <c r="T2602" s="1">
        <v>1.00879751E8</v>
      </c>
      <c r="W2602" s="1" t="s">
        <v>2098</v>
      </c>
      <c r="X2602" s="1" t="s">
        <v>7958</v>
      </c>
    </row>
    <row r="2603">
      <c r="A2603" s="1" t="s">
        <v>7959</v>
      </c>
      <c r="B2603" s="1" t="s">
        <v>7960</v>
      </c>
      <c r="C2603" s="1" t="s">
        <v>7961</v>
      </c>
      <c r="D2603" s="1" t="s">
        <v>51</v>
      </c>
      <c r="E2603" s="1" t="s">
        <v>29</v>
      </c>
      <c r="F2603" s="5">
        <v>350000.0</v>
      </c>
      <c r="G2603" s="1" t="s">
        <v>7016</v>
      </c>
      <c r="H2603" s="1" t="s">
        <v>7962</v>
      </c>
      <c r="I2603" s="1" t="s">
        <v>80</v>
      </c>
      <c r="K2603" s="1">
        <v>0.0</v>
      </c>
      <c r="L2603" s="1" t="s">
        <v>4994</v>
      </c>
      <c r="M2603" s="1" t="str">
        <f>VLOOKUP(L2603,'Copy of PMD Workday Constants -'!B2602:W3288,22,false)</f>
        <v>#N/A</v>
      </c>
      <c r="N2603" s="1" t="s">
        <v>32</v>
      </c>
      <c r="O2603" s="1" t="s">
        <v>33</v>
      </c>
      <c r="P2603" s="1" t="s">
        <v>82</v>
      </c>
      <c r="Q2603" s="1" t="s">
        <v>82</v>
      </c>
      <c r="R2603" s="1" t="s">
        <v>83</v>
      </c>
      <c r="S2603" s="1" t="s">
        <v>180</v>
      </c>
      <c r="T2603" s="1">
        <v>1.00618376E8</v>
      </c>
      <c r="W2603" s="1" t="s">
        <v>85</v>
      </c>
      <c r="X2603" s="1" t="s">
        <v>5126</v>
      </c>
    </row>
    <row r="2604">
      <c r="A2604" s="1" t="s">
        <v>7963</v>
      </c>
      <c r="B2604" s="1" t="s">
        <v>7964</v>
      </c>
      <c r="C2604" s="1" t="s">
        <v>7965</v>
      </c>
      <c r="D2604" s="1" t="s">
        <v>28</v>
      </c>
      <c r="E2604" s="1" t="s">
        <v>29</v>
      </c>
      <c r="F2604" s="5">
        <v>350000.0</v>
      </c>
      <c r="G2604" s="1" t="s">
        <v>7016</v>
      </c>
      <c r="H2604" s="1" t="s">
        <v>1134</v>
      </c>
      <c r="I2604" s="1" t="s">
        <v>302</v>
      </c>
      <c r="K2604" s="1">
        <v>0.0</v>
      </c>
      <c r="L2604" s="1" t="s">
        <v>5431</v>
      </c>
      <c r="M2604" s="1" t="str">
        <f>VLOOKUP(L2604,'Copy of PMD Workday Constants -'!B2603:W3289,22,false)</f>
        <v>#N/A</v>
      </c>
      <c r="N2604" s="1" t="s">
        <v>32</v>
      </c>
      <c r="O2604" s="1" t="s">
        <v>33</v>
      </c>
      <c r="P2604" s="1" t="s">
        <v>34</v>
      </c>
      <c r="Q2604" s="1" t="s">
        <v>34</v>
      </c>
      <c r="R2604" s="1" t="s">
        <v>35</v>
      </c>
      <c r="S2604" s="1" t="s">
        <v>1166</v>
      </c>
      <c r="T2604" s="1">
        <v>1.00580806E8</v>
      </c>
      <c r="W2604" s="1" t="s">
        <v>456</v>
      </c>
      <c r="X2604" s="1" t="s">
        <v>7966</v>
      </c>
    </row>
    <row r="2605">
      <c r="A2605" s="1" t="s">
        <v>7967</v>
      </c>
      <c r="B2605" s="1" t="s">
        <v>4582</v>
      </c>
      <c r="C2605" s="1" t="s">
        <v>7968</v>
      </c>
      <c r="D2605" s="1" t="s">
        <v>28</v>
      </c>
      <c r="E2605" s="1" t="s">
        <v>29</v>
      </c>
      <c r="F2605" s="5">
        <v>350000.0</v>
      </c>
      <c r="G2605" s="1" t="s">
        <v>7016</v>
      </c>
      <c r="H2605" s="1" t="s">
        <v>706</v>
      </c>
      <c r="I2605" s="1" t="s">
        <v>406</v>
      </c>
      <c r="K2605" s="1">
        <v>0.0</v>
      </c>
      <c r="L2605" s="1" t="s">
        <v>3869</v>
      </c>
      <c r="M2605" s="1" t="str">
        <f>VLOOKUP(L2605,'Copy of PMD Workday Constants -'!B2604:W3290,22,false)</f>
        <v>#N/A</v>
      </c>
      <c r="N2605" s="1" t="s">
        <v>32</v>
      </c>
      <c r="O2605" s="1" t="s">
        <v>33</v>
      </c>
      <c r="P2605" s="1" t="s">
        <v>64</v>
      </c>
      <c r="Q2605" s="1" t="s">
        <v>64</v>
      </c>
      <c r="R2605" s="1" t="s">
        <v>65</v>
      </c>
      <c r="S2605" s="1" t="s">
        <v>185</v>
      </c>
      <c r="T2605" s="1">
        <v>1.00608164E8</v>
      </c>
      <c r="W2605" s="1" t="s">
        <v>74</v>
      </c>
      <c r="X2605" s="1" t="s">
        <v>2700</v>
      </c>
    </row>
    <row r="2606">
      <c r="A2606" s="1" t="s">
        <v>7969</v>
      </c>
      <c r="B2606" s="1" t="s">
        <v>4986</v>
      </c>
      <c r="C2606" s="1" t="s">
        <v>7970</v>
      </c>
      <c r="D2606" s="1" t="s">
        <v>28</v>
      </c>
      <c r="E2606" s="1" t="s">
        <v>29</v>
      </c>
      <c r="F2606" s="5">
        <v>350000.0</v>
      </c>
      <c r="G2606" s="1" t="s">
        <v>7016</v>
      </c>
      <c r="H2606" s="1" t="s">
        <v>1404</v>
      </c>
      <c r="I2606" s="1" t="s">
        <v>414</v>
      </c>
      <c r="K2606" s="1">
        <v>0.0</v>
      </c>
      <c r="L2606" s="1" t="s">
        <v>3948</v>
      </c>
      <c r="M2606" s="1" t="str">
        <f>VLOOKUP(L2606,'Copy of PMD Workday Constants -'!B2605:W3291,22,false)</f>
        <v>#N/A</v>
      </c>
      <c r="N2606" s="1" t="s">
        <v>32</v>
      </c>
      <c r="O2606" s="1" t="s">
        <v>33</v>
      </c>
      <c r="P2606" s="1" t="s">
        <v>112</v>
      </c>
      <c r="Q2606" s="1" t="s">
        <v>112</v>
      </c>
      <c r="R2606" s="1" t="s">
        <v>113</v>
      </c>
      <c r="S2606" s="1" t="s">
        <v>114</v>
      </c>
      <c r="T2606" s="1">
        <v>1.00627224E8</v>
      </c>
      <c r="W2606" s="1" t="s">
        <v>147</v>
      </c>
      <c r="X2606" s="1" t="s">
        <v>3948</v>
      </c>
    </row>
    <row r="2607">
      <c r="A2607" s="1" t="s">
        <v>7971</v>
      </c>
      <c r="B2607" s="1" t="s">
        <v>1316</v>
      </c>
      <c r="C2607" s="1" t="s">
        <v>7972</v>
      </c>
      <c r="D2607" s="1" t="s">
        <v>28</v>
      </c>
      <c r="E2607" s="1" t="s">
        <v>29</v>
      </c>
      <c r="F2607" s="5">
        <v>350000.0</v>
      </c>
      <c r="G2607" s="1" t="s">
        <v>7016</v>
      </c>
      <c r="H2607" s="4">
        <v>44540.0</v>
      </c>
      <c r="I2607" s="1" t="s">
        <v>80</v>
      </c>
      <c r="K2607" s="1">
        <v>0.0</v>
      </c>
      <c r="L2607" s="1" t="s">
        <v>2655</v>
      </c>
      <c r="M2607" s="1" t="str">
        <f>VLOOKUP(L2607,'Copy of PMD Workday Constants -'!B2606:W3292,22,false)</f>
        <v>#N/A</v>
      </c>
      <c r="N2607" s="1" t="s">
        <v>32</v>
      </c>
      <c r="O2607" s="1" t="s">
        <v>33</v>
      </c>
      <c r="P2607" s="1" t="s">
        <v>210</v>
      </c>
      <c r="Q2607" s="1" t="s">
        <v>210</v>
      </c>
      <c r="R2607" s="1" t="s">
        <v>211</v>
      </c>
      <c r="S2607" s="1" t="s">
        <v>1313</v>
      </c>
      <c r="T2607" s="1">
        <v>1.0062606E8</v>
      </c>
      <c r="W2607" s="1" t="s">
        <v>436</v>
      </c>
      <c r="X2607" s="1" t="s">
        <v>7332</v>
      </c>
    </row>
    <row r="2608">
      <c r="A2608" s="1" t="s">
        <v>7973</v>
      </c>
      <c r="B2608" s="1" t="s">
        <v>7974</v>
      </c>
      <c r="C2608" s="1" t="s">
        <v>7975</v>
      </c>
      <c r="D2608" s="1" t="s">
        <v>28</v>
      </c>
      <c r="E2608" s="1" t="s">
        <v>29</v>
      </c>
      <c r="F2608" s="5">
        <v>350000.0</v>
      </c>
      <c r="G2608" s="1" t="s">
        <v>7016</v>
      </c>
      <c r="H2608" s="4">
        <v>44748.0</v>
      </c>
      <c r="I2608" s="1" t="s">
        <v>248</v>
      </c>
      <c r="K2608" s="1">
        <v>0.0</v>
      </c>
      <c r="L2608" s="1" t="s">
        <v>600</v>
      </c>
      <c r="M2608" s="1" t="str">
        <f>VLOOKUP(L2608,'Copy of PMD Workday Constants -'!B2607:W3293,22,false)</f>
        <v>#N/A</v>
      </c>
      <c r="N2608" s="1" t="s">
        <v>32</v>
      </c>
      <c r="O2608" s="1" t="s">
        <v>33</v>
      </c>
      <c r="P2608" s="1" t="s">
        <v>222</v>
      </c>
      <c r="Q2608" s="1" t="s">
        <v>222</v>
      </c>
      <c r="R2608" s="1" t="s">
        <v>223</v>
      </c>
      <c r="S2608" s="1" t="s">
        <v>601</v>
      </c>
      <c r="T2608" s="1">
        <v>1.00646519E8</v>
      </c>
      <c r="W2608" s="1" t="s">
        <v>37</v>
      </c>
      <c r="X2608" s="1" t="s">
        <v>2469</v>
      </c>
    </row>
    <row r="2609">
      <c r="A2609" s="1" t="s">
        <v>7976</v>
      </c>
      <c r="B2609" s="1" t="s">
        <v>1234</v>
      </c>
      <c r="C2609" s="1" t="s">
        <v>7977</v>
      </c>
      <c r="D2609" s="1" t="s">
        <v>51</v>
      </c>
      <c r="E2609" s="1" t="s">
        <v>29</v>
      </c>
      <c r="F2609" s="5">
        <v>350000.0</v>
      </c>
      <c r="G2609" s="1" t="s">
        <v>7016</v>
      </c>
      <c r="H2609" s="1" t="s">
        <v>1474</v>
      </c>
      <c r="I2609" s="1" t="s">
        <v>152</v>
      </c>
      <c r="K2609" s="1">
        <v>0.0</v>
      </c>
      <c r="L2609" s="1" t="s">
        <v>198</v>
      </c>
      <c r="M2609" s="1" t="str">
        <f>VLOOKUP(L2609,'Copy of PMD Workday Constants -'!B2608:W3294,22,false)</f>
        <v>#N/A</v>
      </c>
      <c r="N2609" s="1" t="s">
        <v>32</v>
      </c>
      <c r="O2609" s="1" t="s">
        <v>33</v>
      </c>
      <c r="P2609" s="1" t="s">
        <v>82</v>
      </c>
      <c r="Q2609" s="1" t="s">
        <v>82</v>
      </c>
      <c r="R2609" s="1" t="s">
        <v>83</v>
      </c>
      <c r="S2609" s="1" t="s">
        <v>180</v>
      </c>
      <c r="T2609" s="1">
        <v>1.00590896E8</v>
      </c>
      <c r="W2609" s="1" t="s">
        <v>85</v>
      </c>
      <c r="X2609" s="1" t="s">
        <v>2497</v>
      </c>
    </row>
    <row r="2610">
      <c r="A2610" s="1" t="s">
        <v>7978</v>
      </c>
      <c r="B2610" s="1" t="s">
        <v>2534</v>
      </c>
      <c r="C2610" s="1" t="s">
        <v>7979</v>
      </c>
      <c r="D2610" s="1" t="s">
        <v>28</v>
      </c>
      <c r="E2610" s="1" t="s">
        <v>29</v>
      </c>
      <c r="F2610" s="5">
        <v>350000.0</v>
      </c>
      <c r="G2610" s="1" t="s">
        <v>7016</v>
      </c>
      <c r="H2610" s="1" t="s">
        <v>1134</v>
      </c>
      <c r="I2610" s="1" t="s">
        <v>302</v>
      </c>
      <c r="K2610" s="1">
        <v>0.0</v>
      </c>
      <c r="L2610" s="1" t="s">
        <v>5431</v>
      </c>
      <c r="M2610" s="1" t="str">
        <f>VLOOKUP(L2610,'Copy of PMD Workday Constants -'!B2609:W3295,22,false)</f>
        <v>#N/A</v>
      </c>
      <c r="N2610" s="1" t="s">
        <v>32</v>
      </c>
      <c r="O2610" s="1" t="s">
        <v>33</v>
      </c>
      <c r="P2610" s="1" t="s">
        <v>34</v>
      </c>
      <c r="Q2610" s="1" t="s">
        <v>34</v>
      </c>
      <c r="R2610" s="1" t="s">
        <v>35</v>
      </c>
      <c r="S2610" s="1" t="s">
        <v>1166</v>
      </c>
      <c r="T2610" s="1">
        <v>1.00580806E8</v>
      </c>
      <c r="W2610" s="1" t="s">
        <v>456</v>
      </c>
      <c r="X2610" s="1" t="s">
        <v>7966</v>
      </c>
    </row>
    <row r="2611">
      <c r="A2611" s="1" t="s">
        <v>7980</v>
      </c>
      <c r="B2611" s="1" t="s">
        <v>1047</v>
      </c>
      <c r="C2611" s="1" t="s">
        <v>7981</v>
      </c>
      <c r="D2611" s="1" t="s">
        <v>51</v>
      </c>
      <c r="E2611" s="1" t="s">
        <v>29</v>
      </c>
      <c r="F2611" s="5">
        <v>350000.0</v>
      </c>
      <c r="G2611" s="1" t="s">
        <v>7016</v>
      </c>
      <c r="H2611" s="1" t="s">
        <v>52</v>
      </c>
      <c r="I2611" s="1" t="s">
        <v>941</v>
      </c>
      <c r="K2611" s="1">
        <v>0.0</v>
      </c>
      <c r="L2611" s="1" t="s">
        <v>4937</v>
      </c>
      <c r="M2611" s="1" t="str">
        <f>VLOOKUP(L2611,'Copy of PMD Workday Constants -'!B2610:W3296,22,false)</f>
        <v>#N/A</v>
      </c>
      <c r="N2611" s="1" t="s">
        <v>32</v>
      </c>
      <c r="O2611" s="1" t="s">
        <v>33</v>
      </c>
      <c r="P2611" s="1" t="s">
        <v>34</v>
      </c>
      <c r="Q2611" s="1" t="s">
        <v>34</v>
      </c>
      <c r="R2611" s="1" t="s">
        <v>35</v>
      </c>
      <c r="T2611" s="1">
        <v>1.00644939E8</v>
      </c>
      <c r="W2611" s="1" t="s">
        <v>258</v>
      </c>
      <c r="X2611" s="1" t="s">
        <v>7982</v>
      </c>
    </row>
    <row r="2612">
      <c r="A2612" s="1" t="s">
        <v>7983</v>
      </c>
      <c r="B2612" s="1" t="s">
        <v>5634</v>
      </c>
      <c r="C2612" s="1" t="s">
        <v>7984</v>
      </c>
      <c r="D2612" s="1" t="s">
        <v>51</v>
      </c>
      <c r="E2612" s="1" t="s">
        <v>29</v>
      </c>
      <c r="F2612" s="5">
        <v>350000.0</v>
      </c>
      <c r="G2612" s="1" t="s">
        <v>7016</v>
      </c>
      <c r="H2612" s="1" t="s">
        <v>2290</v>
      </c>
      <c r="I2612" s="1" t="s">
        <v>132</v>
      </c>
      <c r="K2612" s="1">
        <v>0.0</v>
      </c>
      <c r="L2612" s="1" t="s">
        <v>2655</v>
      </c>
      <c r="M2612" s="1" t="str">
        <f>VLOOKUP(L2612,'Copy of PMD Workday Constants -'!B2611:W3297,22,false)</f>
        <v>#N/A</v>
      </c>
      <c r="N2612" s="1" t="s">
        <v>32</v>
      </c>
      <c r="O2612" s="1" t="s">
        <v>33</v>
      </c>
      <c r="P2612" s="1" t="s">
        <v>210</v>
      </c>
      <c r="Q2612" s="1" t="s">
        <v>210</v>
      </c>
      <c r="R2612" s="1" t="s">
        <v>211</v>
      </c>
      <c r="S2612" s="1" t="s">
        <v>1313</v>
      </c>
      <c r="T2612" s="1">
        <v>1.0062606E8</v>
      </c>
      <c r="W2612" s="1" t="s">
        <v>436</v>
      </c>
      <c r="X2612" s="1" t="s">
        <v>2655</v>
      </c>
    </row>
    <row r="2613">
      <c r="A2613" s="1" t="s">
        <v>7985</v>
      </c>
      <c r="B2613" s="1" t="s">
        <v>3529</v>
      </c>
      <c r="C2613" s="1" t="s">
        <v>7986</v>
      </c>
      <c r="D2613" s="1" t="s">
        <v>51</v>
      </c>
      <c r="E2613" s="1" t="s">
        <v>29</v>
      </c>
      <c r="F2613" s="5">
        <v>350000.0</v>
      </c>
      <c r="G2613" s="1" t="s">
        <v>7016</v>
      </c>
      <c r="H2613" s="1" t="s">
        <v>3018</v>
      </c>
      <c r="I2613" s="1" t="s">
        <v>302</v>
      </c>
      <c r="K2613" s="1">
        <v>0.0</v>
      </c>
      <c r="L2613" s="1" t="s">
        <v>967</v>
      </c>
      <c r="M2613" s="1" t="str">
        <f>VLOOKUP(L2613,'Copy of PMD Workday Constants -'!B2612:W3298,22,false)</f>
        <v>#N/A</v>
      </c>
      <c r="N2613" s="1" t="s">
        <v>32</v>
      </c>
      <c r="O2613" s="1" t="s">
        <v>33</v>
      </c>
      <c r="P2613" s="1" t="s">
        <v>210</v>
      </c>
      <c r="Q2613" s="1" t="s">
        <v>210</v>
      </c>
      <c r="R2613" s="1" t="s">
        <v>211</v>
      </c>
      <c r="S2613" s="1" t="s">
        <v>416</v>
      </c>
      <c r="T2613" s="1">
        <v>1.00608243E8</v>
      </c>
      <c r="W2613" s="1" t="s">
        <v>258</v>
      </c>
      <c r="X2613" s="1" t="s">
        <v>7987</v>
      </c>
    </row>
    <row r="2614">
      <c r="A2614" s="1" t="s">
        <v>7988</v>
      </c>
      <c r="B2614" s="1" t="s">
        <v>776</v>
      </c>
      <c r="C2614" s="1" t="s">
        <v>7989</v>
      </c>
      <c r="D2614" s="1" t="s">
        <v>51</v>
      </c>
      <c r="E2614" s="1" t="s">
        <v>29</v>
      </c>
      <c r="F2614" s="5">
        <v>350000.0</v>
      </c>
      <c r="G2614" s="1" t="s">
        <v>7016</v>
      </c>
      <c r="H2614" s="4">
        <v>44748.0</v>
      </c>
      <c r="I2614" s="1" t="s">
        <v>43</v>
      </c>
      <c r="K2614" s="1">
        <v>0.0</v>
      </c>
      <c r="L2614" s="1" t="s">
        <v>779</v>
      </c>
      <c r="M2614" s="1" t="str">
        <f>VLOOKUP(L2614,'Copy of PMD Workday Constants -'!B2613:W3299,22,false)</f>
        <v>#N/A</v>
      </c>
      <c r="N2614" s="1" t="s">
        <v>32</v>
      </c>
      <c r="O2614" s="1" t="s">
        <v>33</v>
      </c>
      <c r="P2614" s="1" t="s">
        <v>222</v>
      </c>
      <c r="Q2614" s="1" t="s">
        <v>222</v>
      </c>
      <c r="R2614" s="1" t="s">
        <v>223</v>
      </c>
      <c r="S2614" s="1" t="s">
        <v>601</v>
      </c>
      <c r="T2614" s="1">
        <v>1.0061139E8</v>
      </c>
      <c r="W2614" s="1" t="s">
        <v>74</v>
      </c>
      <c r="X2614" s="1" t="s">
        <v>4184</v>
      </c>
    </row>
    <row r="2615">
      <c r="A2615" s="1" t="s">
        <v>7990</v>
      </c>
      <c r="B2615" s="1" t="s">
        <v>6529</v>
      </c>
      <c r="C2615" s="1" t="s">
        <v>7991</v>
      </c>
      <c r="D2615" s="1" t="s">
        <v>28</v>
      </c>
      <c r="E2615" s="1" t="s">
        <v>29</v>
      </c>
      <c r="F2615" s="5">
        <v>350000.0</v>
      </c>
      <c r="G2615" s="1" t="s">
        <v>7016</v>
      </c>
      <c r="H2615" s="1" t="s">
        <v>4625</v>
      </c>
      <c r="I2615" s="1" t="s">
        <v>80</v>
      </c>
      <c r="K2615" s="1">
        <v>0.0</v>
      </c>
      <c r="L2615" s="1" t="s">
        <v>1587</v>
      </c>
      <c r="M2615" s="1" t="str">
        <f>VLOOKUP(L2615,'Copy of PMD Workday Constants -'!B2614:W3300,22,false)</f>
        <v>#N/A</v>
      </c>
      <c r="N2615" s="1" t="s">
        <v>32</v>
      </c>
      <c r="O2615" s="1" t="s">
        <v>33</v>
      </c>
      <c r="P2615" s="1" t="s">
        <v>64</v>
      </c>
      <c r="Q2615" s="1" t="s">
        <v>64</v>
      </c>
      <c r="R2615" s="1" t="s">
        <v>65</v>
      </c>
      <c r="T2615" s="1">
        <v>1.01141441E8</v>
      </c>
      <c r="W2615" s="1" t="s">
        <v>91</v>
      </c>
      <c r="X2615" s="1" t="s">
        <v>7992</v>
      </c>
    </row>
    <row r="2616">
      <c r="A2616" s="1" t="s">
        <v>7993</v>
      </c>
      <c r="B2616" s="1" t="s">
        <v>160</v>
      </c>
      <c r="C2616" s="1" t="s">
        <v>7994</v>
      </c>
      <c r="D2616" s="1" t="s">
        <v>28</v>
      </c>
      <c r="E2616" s="1" t="s">
        <v>29</v>
      </c>
      <c r="F2616" s="5">
        <v>350000.0</v>
      </c>
      <c r="G2616" s="1" t="s">
        <v>7016</v>
      </c>
      <c r="H2616" s="1" t="s">
        <v>2077</v>
      </c>
      <c r="I2616" s="1" t="s">
        <v>2724</v>
      </c>
      <c r="K2616" s="1">
        <v>0.0</v>
      </c>
      <c r="L2616" s="1" t="s">
        <v>570</v>
      </c>
      <c r="M2616" s="1" t="str">
        <f>VLOOKUP(L2616,'Copy of PMD Workday Constants -'!B2615:W3301,22,false)</f>
        <v>#N/A</v>
      </c>
      <c r="N2616" s="1" t="s">
        <v>32</v>
      </c>
      <c r="O2616" s="1" t="s">
        <v>33</v>
      </c>
      <c r="P2616" s="1" t="s">
        <v>112</v>
      </c>
      <c r="Q2616" s="1" t="s">
        <v>112</v>
      </c>
      <c r="R2616" s="1" t="s">
        <v>113</v>
      </c>
      <c r="S2616" s="1" t="s">
        <v>98</v>
      </c>
      <c r="T2616" s="1">
        <v>1.00625415E8</v>
      </c>
      <c r="W2616" s="1" t="s">
        <v>56</v>
      </c>
      <c r="X2616" s="1" t="s">
        <v>1884</v>
      </c>
    </row>
    <row r="2617">
      <c r="A2617" s="1" t="s">
        <v>7995</v>
      </c>
      <c r="B2617" s="1" t="s">
        <v>225</v>
      </c>
      <c r="C2617" s="1" t="s">
        <v>7996</v>
      </c>
      <c r="D2617" s="1" t="s">
        <v>51</v>
      </c>
      <c r="E2617" s="1" t="s">
        <v>29</v>
      </c>
      <c r="F2617" s="5">
        <v>350000.0</v>
      </c>
      <c r="G2617" s="1" t="s">
        <v>7016</v>
      </c>
      <c r="H2617" s="4">
        <v>44471.0</v>
      </c>
      <c r="I2617" s="4">
        <v>44780.0</v>
      </c>
      <c r="K2617" s="1">
        <v>0.0</v>
      </c>
      <c r="L2617" s="1" t="s">
        <v>7903</v>
      </c>
      <c r="M2617" s="1" t="str">
        <f>VLOOKUP(L2617,'Copy of PMD Workday Constants -'!B2616:W3302,22,false)</f>
        <v>#N/A</v>
      </c>
      <c r="N2617" s="1" t="s">
        <v>32</v>
      </c>
      <c r="O2617" s="1" t="s">
        <v>33</v>
      </c>
      <c r="P2617" s="1" t="s">
        <v>82</v>
      </c>
      <c r="Q2617" s="1" t="s">
        <v>82</v>
      </c>
      <c r="R2617" s="1" t="s">
        <v>83</v>
      </c>
      <c r="S2617" s="1" t="s">
        <v>153</v>
      </c>
      <c r="T2617" s="1">
        <v>1.00608247E8</v>
      </c>
      <c r="W2617" s="1" t="s">
        <v>85</v>
      </c>
      <c r="X2617" s="1" t="s">
        <v>3115</v>
      </c>
    </row>
    <row r="2618">
      <c r="A2618" s="1" t="s">
        <v>7997</v>
      </c>
      <c r="B2618" s="1" t="s">
        <v>353</v>
      </c>
      <c r="C2618" s="1" t="s">
        <v>7998</v>
      </c>
      <c r="D2618" s="1" t="s">
        <v>51</v>
      </c>
      <c r="E2618" s="1" t="s">
        <v>29</v>
      </c>
      <c r="F2618" s="5">
        <v>350000.0</v>
      </c>
      <c r="G2618" s="1" t="s">
        <v>7016</v>
      </c>
      <c r="H2618" s="4">
        <v>44779.0</v>
      </c>
      <c r="I2618" s="1" t="s">
        <v>132</v>
      </c>
      <c r="K2618" s="1">
        <v>0.0</v>
      </c>
      <c r="L2618" s="1" t="s">
        <v>1790</v>
      </c>
      <c r="M2618" s="1" t="str">
        <f>VLOOKUP(L2618,'Copy of PMD Workday Constants -'!B2617:W3303,22,false)</f>
        <v>#N/A</v>
      </c>
      <c r="N2618" s="1" t="s">
        <v>32</v>
      </c>
      <c r="O2618" s="1" t="s">
        <v>33</v>
      </c>
      <c r="P2618" s="1" t="s">
        <v>222</v>
      </c>
      <c r="Q2618" s="1" t="s">
        <v>222</v>
      </c>
      <c r="R2618" s="1" t="s">
        <v>223</v>
      </c>
      <c r="S2618" s="1" t="s">
        <v>601</v>
      </c>
      <c r="T2618" s="1">
        <v>1.00645232E8</v>
      </c>
      <c r="W2618" s="1" t="s">
        <v>258</v>
      </c>
      <c r="X2618" s="1" t="s">
        <v>1791</v>
      </c>
    </row>
    <row r="2619">
      <c r="A2619" s="1" t="s">
        <v>7999</v>
      </c>
      <c r="B2619" s="1" t="s">
        <v>2641</v>
      </c>
      <c r="C2619" s="1" t="s">
        <v>8000</v>
      </c>
      <c r="D2619" s="1" t="s">
        <v>51</v>
      </c>
      <c r="E2619" s="1" t="s">
        <v>29</v>
      </c>
      <c r="F2619" s="5">
        <v>350000.0</v>
      </c>
      <c r="G2619" s="1" t="s">
        <v>7016</v>
      </c>
      <c r="H2619" s="1" t="s">
        <v>1140</v>
      </c>
      <c r="I2619" s="1" t="s">
        <v>302</v>
      </c>
      <c r="K2619" s="1">
        <v>0.0</v>
      </c>
      <c r="L2619" s="1" t="s">
        <v>2970</v>
      </c>
      <c r="M2619" s="1" t="str">
        <f>VLOOKUP(L2619,'Copy of PMD Workday Constants -'!B2618:W3304,22,false)</f>
        <v>#N/A</v>
      </c>
      <c r="N2619" s="1" t="s">
        <v>32</v>
      </c>
      <c r="O2619" s="1" t="s">
        <v>33</v>
      </c>
      <c r="P2619" s="1" t="s">
        <v>173</v>
      </c>
      <c r="Q2619" s="1" t="s">
        <v>173</v>
      </c>
      <c r="R2619" s="1" t="s">
        <v>174</v>
      </c>
      <c r="S2619" s="1" t="s">
        <v>612</v>
      </c>
      <c r="T2619" s="1">
        <v>1.00616377E8</v>
      </c>
      <c r="W2619" s="1" t="s">
        <v>456</v>
      </c>
      <c r="X2619" s="1" t="s">
        <v>2970</v>
      </c>
    </row>
    <row r="2620">
      <c r="A2620" s="1" t="s">
        <v>8001</v>
      </c>
      <c r="B2620" s="1" t="s">
        <v>7154</v>
      </c>
      <c r="C2620" s="1" t="s">
        <v>8002</v>
      </c>
      <c r="D2620" s="1" t="s">
        <v>103</v>
      </c>
      <c r="E2620" s="1" t="s">
        <v>29</v>
      </c>
      <c r="F2620" s="5">
        <v>350000.0</v>
      </c>
      <c r="G2620" s="1" t="s">
        <v>7016</v>
      </c>
      <c r="H2620" s="4">
        <v>44899.0</v>
      </c>
      <c r="I2620" s="1" t="s">
        <v>132</v>
      </c>
      <c r="K2620" s="1">
        <v>0.0</v>
      </c>
      <c r="L2620" s="1" t="s">
        <v>7047</v>
      </c>
      <c r="M2620" s="1" t="str">
        <f>VLOOKUP(L2620,'Copy of PMD Workday Constants -'!B2619:W3305,22,false)</f>
        <v>#N/A</v>
      </c>
      <c r="N2620" s="1" t="s">
        <v>32</v>
      </c>
      <c r="O2620" s="1" t="s">
        <v>33</v>
      </c>
      <c r="P2620" s="1" t="s">
        <v>34</v>
      </c>
      <c r="Q2620" s="1" t="s">
        <v>34</v>
      </c>
      <c r="R2620" s="1" t="s">
        <v>35</v>
      </c>
      <c r="S2620" s="1" t="s">
        <v>791</v>
      </c>
      <c r="T2620" s="1">
        <v>1.01090216E8</v>
      </c>
      <c r="W2620" s="1" t="s">
        <v>456</v>
      </c>
      <c r="X2620" s="1" t="s">
        <v>7047</v>
      </c>
    </row>
    <row r="2621">
      <c r="A2621" s="1" t="s">
        <v>8003</v>
      </c>
      <c r="B2621" s="1" t="s">
        <v>8004</v>
      </c>
      <c r="C2621" s="1" t="s">
        <v>8005</v>
      </c>
      <c r="D2621" s="1" t="s">
        <v>103</v>
      </c>
      <c r="E2621" s="1" t="s">
        <v>29</v>
      </c>
      <c r="F2621" s="5">
        <v>350000.0</v>
      </c>
      <c r="G2621" s="1" t="s">
        <v>7016</v>
      </c>
      <c r="H2621" s="1" t="s">
        <v>1681</v>
      </c>
      <c r="I2621" s="1" t="s">
        <v>132</v>
      </c>
      <c r="K2621" s="1">
        <v>0.0</v>
      </c>
      <c r="L2621" s="1" t="s">
        <v>2885</v>
      </c>
      <c r="M2621" s="1" t="str">
        <f>VLOOKUP(L2621,'Copy of PMD Workday Constants -'!B2620:W3306,22,false)</f>
        <v>#N/A</v>
      </c>
      <c r="N2621" s="1" t="s">
        <v>32</v>
      </c>
      <c r="O2621" s="1" t="s">
        <v>33</v>
      </c>
      <c r="P2621" s="1" t="s">
        <v>210</v>
      </c>
      <c r="Q2621" s="1" t="s">
        <v>210</v>
      </c>
      <c r="R2621" s="1" t="s">
        <v>211</v>
      </c>
      <c r="S2621" s="1" t="s">
        <v>416</v>
      </c>
      <c r="T2621" s="1">
        <v>1.00647463E8</v>
      </c>
      <c r="W2621" s="1" t="s">
        <v>56</v>
      </c>
      <c r="X2621" s="1" t="s">
        <v>2399</v>
      </c>
    </row>
    <row r="2622">
      <c r="A2622" s="1" t="s">
        <v>8006</v>
      </c>
      <c r="B2622" s="1" t="s">
        <v>8007</v>
      </c>
      <c r="C2622" s="1" t="s">
        <v>7979</v>
      </c>
      <c r="D2622" s="1" t="s">
        <v>28</v>
      </c>
      <c r="E2622" s="1" t="s">
        <v>29</v>
      </c>
      <c r="F2622" s="5">
        <v>350000.0</v>
      </c>
      <c r="G2622" s="1" t="s">
        <v>7016</v>
      </c>
      <c r="H2622" s="1" t="s">
        <v>1134</v>
      </c>
      <c r="I2622" s="1" t="s">
        <v>302</v>
      </c>
      <c r="K2622" s="1">
        <v>0.0</v>
      </c>
      <c r="L2622" s="1" t="s">
        <v>5431</v>
      </c>
      <c r="M2622" s="1" t="str">
        <f>VLOOKUP(L2622,'Copy of PMD Workday Constants -'!B2621:W3307,22,false)</f>
        <v>#N/A</v>
      </c>
      <c r="N2622" s="1" t="s">
        <v>32</v>
      </c>
      <c r="O2622" s="1" t="s">
        <v>33</v>
      </c>
      <c r="P2622" s="1" t="s">
        <v>34</v>
      </c>
      <c r="Q2622" s="1" t="s">
        <v>34</v>
      </c>
      <c r="R2622" s="1" t="s">
        <v>35</v>
      </c>
      <c r="S2622" s="1" t="s">
        <v>1166</v>
      </c>
      <c r="T2622" s="1">
        <v>1.00580806E8</v>
      </c>
      <c r="W2622" s="1" t="s">
        <v>456</v>
      </c>
      <c r="X2622" s="1" t="s">
        <v>7966</v>
      </c>
    </row>
    <row r="2623">
      <c r="A2623" s="1" t="s">
        <v>8008</v>
      </c>
      <c r="B2623" s="1" t="s">
        <v>8009</v>
      </c>
      <c r="C2623" s="1" t="s">
        <v>7979</v>
      </c>
      <c r="D2623" s="1" t="s">
        <v>28</v>
      </c>
      <c r="E2623" s="1" t="s">
        <v>29</v>
      </c>
      <c r="F2623" s="5">
        <v>350000.0</v>
      </c>
      <c r="G2623" s="1" t="s">
        <v>7016</v>
      </c>
      <c r="H2623" s="1" t="s">
        <v>1134</v>
      </c>
      <c r="I2623" s="1" t="s">
        <v>302</v>
      </c>
      <c r="K2623" s="1">
        <v>0.0</v>
      </c>
      <c r="L2623" s="1" t="s">
        <v>5431</v>
      </c>
      <c r="M2623" s="1" t="str">
        <f>VLOOKUP(L2623,'Copy of PMD Workday Constants -'!B2622:W3308,22,false)</f>
        <v>#N/A</v>
      </c>
      <c r="N2623" s="1" t="s">
        <v>32</v>
      </c>
      <c r="O2623" s="1" t="s">
        <v>33</v>
      </c>
      <c r="P2623" s="1" t="s">
        <v>34</v>
      </c>
      <c r="Q2623" s="1" t="s">
        <v>34</v>
      </c>
      <c r="R2623" s="1" t="s">
        <v>35</v>
      </c>
      <c r="S2623" s="1" t="s">
        <v>1166</v>
      </c>
      <c r="T2623" s="1">
        <v>1.00580806E8</v>
      </c>
      <c r="W2623" s="1" t="s">
        <v>456</v>
      </c>
      <c r="X2623" s="1" t="s">
        <v>7966</v>
      </c>
    </row>
    <row r="2624">
      <c r="A2624" s="1" t="s">
        <v>8010</v>
      </c>
      <c r="B2624" s="1" t="s">
        <v>5871</v>
      </c>
      <c r="C2624" s="1" t="s">
        <v>8011</v>
      </c>
      <c r="D2624" s="1" t="s">
        <v>28</v>
      </c>
      <c r="E2624" s="1" t="s">
        <v>29</v>
      </c>
      <c r="F2624" s="5">
        <v>350000.0</v>
      </c>
      <c r="G2624" s="1" t="s">
        <v>7016</v>
      </c>
      <c r="H2624" s="1" t="s">
        <v>1134</v>
      </c>
      <c r="I2624" s="1" t="s">
        <v>302</v>
      </c>
      <c r="K2624" s="1">
        <v>0.0</v>
      </c>
      <c r="L2624" s="1" t="s">
        <v>5431</v>
      </c>
      <c r="M2624" s="1" t="str">
        <f>VLOOKUP(L2624,'Copy of PMD Workday Constants -'!B2623:W3309,22,false)</f>
        <v>#N/A</v>
      </c>
      <c r="N2624" s="1" t="s">
        <v>32</v>
      </c>
      <c r="O2624" s="1" t="s">
        <v>33</v>
      </c>
      <c r="P2624" s="1" t="s">
        <v>34</v>
      </c>
      <c r="Q2624" s="1" t="s">
        <v>34</v>
      </c>
      <c r="R2624" s="1" t="s">
        <v>35</v>
      </c>
      <c r="S2624" s="1" t="s">
        <v>1166</v>
      </c>
      <c r="T2624" s="1">
        <v>1.00580806E8</v>
      </c>
      <c r="W2624" s="1" t="s">
        <v>47</v>
      </c>
      <c r="X2624" s="1" t="s">
        <v>7966</v>
      </c>
    </row>
    <row r="2625">
      <c r="A2625" s="1" t="s">
        <v>8012</v>
      </c>
      <c r="B2625" s="1" t="s">
        <v>3684</v>
      </c>
      <c r="C2625" s="1" t="s">
        <v>8013</v>
      </c>
      <c r="D2625" s="1" t="s">
        <v>51</v>
      </c>
      <c r="E2625" s="1" t="s">
        <v>29</v>
      </c>
      <c r="F2625" s="5">
        <v>350000.0</v>
      </c>
      <c r="G2625" s="1" t="s">
        <v>7016</v>
      </c>
      <c r="H2625" s="1" t="s">
        <v>52</v>
      </c>
      <c r="I2625" s="4">
        <v>44568.0</v>
      </c>
      <c r="K2625" s="1">
        <v>0.0</v>
      </c>
      <c r="L2625" s="1" t="s">
        <v>3686</v>
      </c>
      <c r="M2625" s="1" t="str">
        <f>VLOOKUP(L2625,'Copy of PMD Workday Constants -'!B2624:W3310,22,false)</f>
        <v>#N/A</v>
      </c>
      <c r="N2625" s="1" t="s">
        <v>32</v>
      </c>
      <c r="O2625" s="1" t="s">
        <v>33</v>
      </c>
      <c r="P2625" s="1" t="s">
        <v>54</v>
      </c>
      <c r="Q2625" s="1" t="s">
        <v>54</v>
      </c>
      <c r="R2625" s="1" t="s">
        <v>55</v>
      </c>
      <c r="T2625" s="1">
        <v>1.00598931E8</v>
      </c>
      <c r="W2625" s="1" t="s">
        <v>250</v>
      </c>
      <c r="X2625" s="1" t="s">
        <v>5167</v>
      </c>
    </row>
    <row r="2626">
      <c r="A2626" s="1" t="s">
        <v>8014</v>
      </c>
      <c r="B2626" s="1" t="s">
        <v>5503</v>
      </c>
      <c r="C2626" s="1" t="s">
        <v>8015</v>
      </c>
      <c r="D2626" s="1" t="s">
        <v>51</v>
      </c>
      <c r="E2626" s="1" t="s">
        <v>29</v>
      </c>
      <c r="F2626" s="5">
        <v>350000.0</v>
      </c>
      <c r="G2626" s="1" t="s">
        <v>7016</v>
      </c>
      <c r="H2626" s="1" t="s">
        <v>946</v>
      </c>
      <c r="I2626" s="1" t="s">
        <v>152</v>
      </c>
      <c r="K2626" s="1">
        <v>0.0</v>
      </c>
      <c r="L2626" s="1" t="s">
        <v>3559</v>
      </c>
      <c r="M2626" s="1" t="str">
        <f>VLOOKUP(L2626,'Copy of PMD Workday Constants -'!B2625:W3311,22,false)</f>
        <v>#N/A</v>
      </c>
      <c r="N2626" s="1" t="s">
        <v>32</v>
      </c>
      <c r="O2626" s="1" t="s">
        <v>33</v>
      </c>
      <c r="P2626" s="1" t="s">
        <v>34</v>
      </c>
      <c r="Q2626" s="1" t="s">
        <v>34</v>
      </c>
      <c r="R2626" s="1" t="s">
        <v>35</v>
      </c>
      <c r="S2626" s="1" t="s">
        <v>383</v>
      </c>
      <c r="T2626" s="1">
        <v>1.00586786E8</v>
      </c>
      <c r="W2626" s="1" t="s">
        <v>947</v>
      </c>
      <c r="X2626" s="1" t="s">
        <v>8016</v>
      </c>
    </row>
    <row r="2627">
      <c r="A2627" s="1" t="s">
        <v>8017</v>
      </c>
      <c r="B2627" s="1" t="s">
        <v>5830</v>
      </c>
      <c r="C2627" s="1" t="s">
        <v>8018</v>
      </c>
      <c r="D2627" s="1" t="s">
        <v>28</v>
      </c>
      <c r="E2627" s="1" t="s">
        <v>29</v>
      </c>
      <c r="F2627" s="5">
        <v>350000.0</v>
      </c>
      <c r="G2627" s="1" t="s">
        <v>7016</v>
      </c>
      <c r="H2627" s="4">
        <v>44420.0</v>
      </c>
      <c r="I2627" s="1" t="s">
        <v>152</v>
      </c>
      <c r="K2627" s="1">
        <v>0.0</v>
      </c>
      <c r="L2627" s="1" t="s">
        <v>5832</v>
      </c>
      <c r="M2627" s="1" t="str">
        <f>VLOOKUP(L2627,'Copy of PMD Workday Constants -'!B2626:W3312,22,false)</f>
        <v>#N/A</v>
      </c>
      <c r="N2627" s="1" t="s">
        <v>32</v>
      </c>
      <c r="O2627" s="1" t="s">
        <v>33</v>
      </c>
      <c r="P2627" s="1" t="s">
        <v>64</v>
      </c>
      <c r="Q2627" s="1" t="s">
        <v>64</v>
      </c>
      <c r="R2627" s="1" t="s">
        <v>65</v>
      </c>
      <c r="S2627" s="1" t="s">
        <v>1496</v>
      </c>
      <c r="T2627" s="1">
        <v>1.00609257E8</v>
      </c>
      <c r="W2627" s="1" t="s">
        <v>258</v>
      </c>
      <c r="X2627" s="1" t="s">
        <v>5833</v>
      </c>
    </row>
    <row r="2628">
      <c r="A2628" s="1" t="s">
        <v>8019</v>
      </c>
      <c r="B2628" s="1" t="s">
        <v>5830</v>
      </c>
      <c r="C2628" s="1" t="s">
        <v>8020</v>
      </c>
      <c r="D2628" s="1" t="s">
        <v>28</v>
      </c>
      <c r="E2628" s="1" t="s">
        <v>29</v>
      </c>
      <c r="F2628" s="5">
        <v>350000.0</v>
      </c>
      <c r="G2628" s="1" t="s">
        <v>7016</v>
      </c>
      <c r="H2628" s="4">
        <v>44420.0</v>
      </c>
      <c r="I2628" s="1" t="s">
        <v>302</v>
      </c>
      <c r="K2628" s="1">
        <v>0.0</v>
      </c>
      <c r="L2628" s="1" t="s">
        <v>5832</v>
      </c>
      <c r="M2628" s="1" t="str">
        <f>VLOOKUP(L2628,'Copy of PMD Workday Constants -'!B2627:W3313,22,false)</f>
        <v>#N/A</v>
      </c>
      <c r="N2628" s="1" t="s">
        <v>32</v>
      </c>
      <c r="O2628" s="1" t="s">
        <v>33</v>
      </c>
      <c r="P2628" s="1" t="s">
        <v>64</v>
      </c>
      <c r="Q2628" s="1" t="s">
        <v>64</v>
      </c>
      <c r="R2628" s="1" t="s">
        <v>65</v>
      </c>
      <c r="S2628" s="1" t="s">
        <v>1496</v>
      </c>
      <c r="T2628" s="1">
        <v>1.00609257E8</v>
      </c>
      <c r="W2628" s="1" t="s">
        <v>258</v>
      </c>
      <c r="X2628" s="1" t="s">
        <v>5833</v>
      </c>
    </row>
    <row r="2629">
      <c r="A2629" s="1" t="s">
        <v>8021</v>
      </c>
      <c r="B2629" s="1" t="s">
        <v>5830</v>
      </c>
      <c r="C2629" s="1" t="s">
        <v>8022</v>
      </c>
      <c r="D2629" s="1" t="s">
        <v>28</v>
      </c>
      <c r="E2629" s="1" t="s">
        <v>29</v>
      </c>
      <c r="F2629" s="5">
        <v>350000.0</v>
      </c>
      <c r="G2629" s="1" t="s">
        <v>7016</v>
      </c>
      <c r="H2629" s="4">
        <v>44420.0</v>
      </c>
      <c r="I2629" s="1" t="s">
        <v>152</v>
      </c>
      <c r="K2629" s="1">
        <v>0.0</v>
      </c>
      <c r="L2629" s="1" t="s">
        <v>5832</v>
      </c>
      <c r="M2629" s="1" t="str">
        <f>VLOOKUP(L2629,'Copy of PMD Workday Constants -'!B2628:W3314,22,false)</f>
        <v>#N/A</v>
      </c>
      <c r="N2629" s="1" t="s">
        <v>32</v>
      </c>
      <c r="O2629" s="1" t="s">
        <v>33</v>
      </c>
      <c r="P2629" s="1" t="s">
        <v>64</v>
      </c>
      <c r="Q2629" s="1" t="s">
        <v>64</v>
      </c>
      <c r="R2629" s="1" t="s">
        <v>65</v>
      </c>
      <c r="S2629" s="1" t="s">
        <v>1496</v>
      </c>
      <c r="T2629" s="1">
        <v>1.00609257E8</v>
      </c>
      <c r="W2629" s="1" t="s">
        <v>258</v>
      </c>
      <c r="X2629" s="1" t="s">
        <v>5833</v>
      </c>
    </row>
    <row r="2630">
      <c r="A2630" s="1" t="s">
        <v>8023</v>
      </c>
      <c r="B2630" s="1" t="s">
        <v>5830</v>
      </c>
      <c r="C2630" s="1" t="s">
        <v>8024</v>
      </c>
      <c r="D2630" s="1" t="s">
        <v>51</v>
      </c>
      <c r="E2630" s="1" t="s">
        <v>29</v>
      </c>
      <c r="F2630" s="5">
        <v>350000.0</v>
      </c>
      <c r="G2630" s="1" t="s">
        <v>7016</v>
      </c>
      <c r="H2630" s="4">
        <v>44420.0</v>
      </c>
      <c r="I2630" s="1" t="s">
        <v>302</v>
      </c>
      <c r="K2630" s="1">
        <v>0.0</v>
      </c>
      <c r="L2630" s="1" t="s">
        <v>5832</v>
      </c>
      <c r="M2630" s="1" t="str">
        <f>VLOOKUP(L2630,'Copy of PMD Workday Constants -'!B2629:W3315,22,false)</f>
        <v>#N/A</v>
      </c>
      <c r="N2630" s="1" t="s">
        <v>32</v>
      </c>
      <c r="O2630" s="1" t="s">
        <v>33</v>
      </c>
      <c r="P2630" s="1" t="s">
        <v>64</v>
      </c>
      <c r="Q2630" s="1" t="s">
        <v>64</v>
      </c>
      <c r="R2630" s="1" t="s">
        <v>65</v>
      </c>
      <c r="S2630" s="1" t="s">
        <v>1496</v>
      </c>
      <c r="T2630" s="1">
        <v>1.00609257E8</v>
      </c>
      <c r="W2630" s="1" t="s">
        <v>258</v>
      </c>
      <c r="X2630" s="1" t="s">
        <v>5833</v>
      </c>
    </row>
    <row r="2631">
      <c r="A2631" s="1" t="s">
        <v>8025</v>
      </c>
      <c r="B2631" s="1" t="s">
        <v>1003</v>
      </c>
      <c r="C2631" s="1" t="s">
        <v>8026</v>
      </c>
      <c r="D2631" s="1" t="s">
        <v>103</v>
      </c>
      <c r="E2631" s="1" t="s">
        <v>29</v>
      </c>
      <c r="F2631" s="5">
        <v>350000.0</v>
      </c>
      <c r="G2631" s="1" t="s">
        <v>7016</v>
      </c>
      <c r="H2631" s="1" t="s">
        <v>2142</v>
      </c>
      <c r="I2631" s="1" t="s">
        <v>132</v>
      </c>
      <c r="K2631" s="1">
        <v>0.0</v>
      </c>
      <c r="L2631" s="1" t="s">
        <v>5184</v>
      </c>
      <c r="M2631" s="1" t="str">
        <f>VLOOKUP(L2631,'Copy of PMD Workday Constants -'!B2630:W3316,22,false)</f>
        <v>#N/A</v>
      </c>
      <c r="N2631" s="1" t="s">
        <v>32</v>
      </c>
      <c r="O2631" s="1" t="s">
        <v>33</v>
      </c>
      <c r="P2631" s="1" t="s">
        <v>64</v>
      </c>
      <c r="Q2631" s="1" t="s">
        <v>64</v>
      </c>
      <c r="R2631" s="1" t="s">
        <v>65</v>
      </c>
      <c r="S2631" s="1" t="s">
        <v>791</v>
      </c>
      <c r="T2631" s="1">
        <v>1.00568413E8</v>
      </c>
      <c r="W2631" s="1" t="s">
        <v>85</v>
      </c>
      <c r="X2631" s="1" t="s">
        <v>5184</v>
      </c>
    </row>
    <row r="2632">
      <c r="A2632" s="1" t="s">
        <v>8027</v>
      </c>
      <c r="B2632" s="1" t="s">
        <v>8028</v>
      </c>
      <c r="C2632" s="1" t="s">
        <v>8029</v>
      </c>
      <c r="D2632" s="1" t="s">
        <v>103</v>
      </c>
      <c r="E2632" s="1" t="s">
        <v>29</v>
      </c>
      <c r="F2632" s="5">
        <v>350000.0</v>
      </c>
      <c r="G2632" s="1" t="s">
        <v>7016</v>
      </c>
      <c r="H2632" s="1" t="s">
        <v>1140</v>
      </c>
      <c r="I2632" s="1" t="s">
        <v>80</v>
      </c>
      <c r="K2632" s="1">
        <v>0.0</v>
      </c>
      <c r="L2632" s="1" t="s">
        <v>5252</v>
      </c>
      <c r="M2632" s="1" t="str">
        <f>VLOOKUP(L2632,'Copy of PMD Workday Constants -'!B2631:W3317,22,false)</f>
        <v>#N/A</v>
      </c>
      <c r="N2632" s="1" t="s">
        <v>32</v>
      </c>
      <c r="O2632" s="1" t="s">
        <v>33</v>
      </c>
      <c r="P2632" s="1" t="s">
        <v>5253</v>
      </c>
      <c r="Q2632" s="1" t="s">
        <v>5253</v>
      </c>
      <c r="R2632" s="1" t="s">
        <v>65</v>
      </c>
      <c r="S2632" s="1" t="s">
        <v>66</v>
      </c>
      <c r="T2632" s="1">
        <v>1.00625588E8</v>
      </c>
      <c r="W2632" s="1" t="s">
        <v>287</v>
      </c>
      <c r="X2632" s="1" t="s">
        <v>5569</v>
      </c>
    </row>
    <row r="2633">
      <c r="A2633" s="1" t="s">
        <v>8030</v>
      </c>
      <c r="B2633" s="1" t="s">
        <v>1305</v>
      </c>
      <c r="C2633" s="1" t="s">
        <v>8031</v>
      </c>
      <c r="D2633" s="1" t="s">
        <v>28</v>
      </c>
      <c r="E2633" s="1" t="s">
        <v>29</v>
      </c>
      <c r="F2633" s="5">
        <v>350000.0</v>
      </c>
      <c r="G2633" s="1" t="s">
        <v>7016</v>
      </c>
      <c r="H2633" s="4">
        <v>44869.0</v>
      </c>
      <c r="I2633" s="4">
        <v>44903.0</v>
      </c>
      <c r="K2633" s="1">
        <v>0.0</v>
      </c>
      <c r="L2633" s="1" t="s">
        <v>3771</v>
      </c>
      <c r="M2633" s="1" t="str">
        <f>VLOOKUP(L2633,'Copy of PMD Workday Constants -'!B2632:W3318,22,false)</f>
        <v>#N/A</v>
      </c>
      <c r="N2633" s="1" t="s">
        <v>32</v>
      </c>
      <c r="O2633" s="1" t="s">
        <v>33</v>
      </c>
      <c r="P2633" s="1" t="s">
        <v>34</v>
      </c>
      <c r="Q2633" s="1" t="s">
        <v>34</v>
      </c>
      <c r="R2633" s="1" t="s">
        <v>35</v>
      </c>
      <c r="S2633" s="1" t="s">
        <v>1166</v>
      </c>
      <c r="T2633" s="1">
        <v>1.00651998E8</v>
      </c>
      <c r="W2633" s="1" t="s">
        <v>456</v>
      </c>
      <c r="X2633" s="1" t="s">
        <v>3772</v>
      </c>
    </row>
    <row r="2634">
      <c r="A2634" s="1" t="s">
        <v>8032</v>
      </c>
      <c r="B2634" s="1" t="s">
        <v>1305</v>
      </c>
      <c r="C2634" s="1" t="s">
        <v>8033</v>
      </c>
      <c r="D2634" s="1" t="s">
        <v>28</v>
      </c>
      <c r="E2634" s="1" t="s">
        <v>29</v>
      </c>
      <c r="F2634" s="5">
        <v>350000.0</v>
      </c>
      <c r="G2634" s="1" t="s">
        <v>7016</v>
      </c>
      <c r="H2634" s="4">
        <v>44869.0</v>
      </c>
      <c r="I2634" s="1" t="s">
        <v>96</v>
      </c>
      <c r="K2634" s="1">
        <v>0.0</v>
      </c>
      <c r="L2634" s="1" t="s">
        <v>3771</v>
      </c>
      <c r="M2634" s="1" t="str">
        <f>VLOOKUP(L2634,'Copy of PMD Workday Constants -'!B2633:W3319,22,false)</f>
        <v>#N/A</v>
      </c>
      <c r="N2634" s="1" t="s">
        <v>32</v>
      </c>
      <c r="O2634" s="1" t="s">
        <v>33</v>
      </c>
      <c r="P2634" s="1" t="s">
        <v>34</v>
      </c>
      <c r="Q2634" s="1" t="s">
        <v>34</v>
      </c>
      <c r="R2634" s="1" t="s">
        <v>35</v>
      </c>
      <c r="S2634" s="1" t="s">
        <v>1166</v>
      </c>
      <c r="T2634" s="1">
        <v>1.00651998E8</v>
      </c>
      <c r="W2634" s="1" t="s">
        <v>456</v>
      </c>
      <c r="X2634" s="1" t="s">
        <v>3772</v>
      </c>
    </row>
    <row r="2635">
      <c r="A2635" s="1" t="s">
        <v>8034</v>
      </c>
      <c r="B2635" s="1" t="s">
        <v>8035</v>
      </c>
      <c r="C2635" s="1" t="s">
        <v>8036</v>
      </c>
      <c r="D2635" s="1" t="s">
        <v>51</v>
      </c>
      <c r="E2635" s="1" t="s">
        <v>29</v>
      </c>
      <c r="F2635" s="5">
        <v>350000.0</v>
      </c>
      <c r="G2635" s="1" t="s">
        <v>7016</v>
      </c>
      <c r="H2635" s="1" t="s">
        <v>592</v>
      </c>
      <c r="I2635" s="1" t="s">
        <v>104</v>
      </c>
      <c r="K2635" s="1">
        <v>0.0</v>
      </c>
      <c r="L2635" s="1" t="s">
        <v>3617</v>
      </c>
      <c r="M2635" s="1" t="str">
        <f>VLOOKUP(L2635,'Copy of PMD Workday Constants -'!B2634:W3320,22,false)</f>
        <v>#N/A</v>
      </c>
      <c r="N2635" s="1" t="s">
        <v>32</v>
      </c>
      <c r="O2635" s="1" t="s">
        <v>33</v>
      </c>
      <c r="P2635" s="1" t="s">
        <v>173</v>
      </c>
      <c r="Q2635" s="1" t="s">
        <v>173</v>
      </c>
      <c r="R2635" s="1" t="s">
        <v>174</v>
      </c>
      <c r="T2635" s="1">
        <v>1.00574828E8</v>
      </c>
      <c r="W2635" s="1" t="s">
        <v>493</v>
      </c>
      <c r="X2635" s="1" t="s">
        <v>8037</v>
      </c>
    </row>
    <row r="2636">
      <c r="A2636" s="1" t="s">
        <v>8038</v>
      </c>
      <c r="B2636" s="1" t="s">
        <v>70</v>
      </c>
      <c r="C2636" s="1" t="s">
        <v>8039</v>
      </c>
      <c r="D2636" s="1" t="s">
        <v>28</v>
      </c>
      <c r="E2636" s="1" t="s">
        <v>29</v>
      </c>
      <c r="F2636" s="5">
        <v>350000.0</v>
      </c>
      <c r="G2636" s="1" t="s">
        <v>7016</v>
      </c>
      <c r="H2636" s="4">
        <v>44565.0</v>
      </c>
      <c r="I2636" s="1" t="s">
        <v>414</v>
      </c>
      <c r="K2636" s="1">
        <v>0.0</v>
      </c>
      <c r="L2636" s="1" t="s">
        <v>618</v>
      </c>
      <c r="M2636" s="1" t="str">
        <f>VLOOKUP(L2636,'Copy of PMD Workday Constants -'!B2635:W3321,22,false)</f>
        <v>#N/A</v>
      </c>
      <c r="N2636" s="1" t="s">
        <v>32</v>
      </c>
      <c r="O2636" s="1" t="s">
        <v>33</v>
      </c>
      <c r="P2636" s="1" t="s">
        <v>173</v>
      </c>
      <c r="Q2636" s="1" t="s">
        <v>173</v>
      </c>
      <c r="R2636" s="1" t="s">
        <v>174</v>
      </c>
      <c r="T2636" s="1">
        <v>1.00591141E8</v>
      </c>
      <c r="W2636" s="1" t="s">
        <v>74</v>
      </c>
      <c r="X2636" s="1" t="s">
        <v>75</v>
      </c>
    </row>
    <row r="2637">
      <c r="A2637" s="1" t="s">
        <v>8040</v>
      </c>
      <c r="B2637" s="1" t="s">
        <v>8041</v>
      </c>
      <c r="C2637" s="1" t="s">
        <v>4981</v>
      </c>
      <c r="D2637" s="1" t="s">
        <v>28</v>
      </c>
      <c r="E2637" s="1" t="s">
        <v>29</v>
      </c>
      <c r="F2637" s="5">
        <v>350000.0</v>
      </c>
      <c r="G2637" s="1" t="s">
        <v>7016</v>
      </c>
      <c r="H2637" s="1" t="s">
        <v>569</v>
      </c>
      <c r="I2637" s="1" t="s">
        <v>152</v>
      </c>
      <c r="K2637" s="1">
        <v>0.0</v>
      </c>
      <c r="L2637" s="1" t="s">
        <v>1549</v>
      </c>
      <c r="M2637" s="1" t="str">
        <f>VLOOKUP(L2637,'Copy of PMD Workday Constants -'!B2636:W3322,22,false)</f>
        <v>#N/A</v>
      </c>
      <c r="N2637" s="1" t="s">
        <v>32</v>
      </c>
      <c r="O2637" s="1" t="s">
        <v>33</v>
      </c>
      <c r="P2637" s="1" t="s">
        <v>173</v>
      </c>
      <c r="Q2637" s="1" t="s">
        <v>173</v>
      </c>
      <c r="R2637" s="1" t="s">
        <v>174</v>
      </c>
      <c r="S2637" s="1" t="s">
        <v>612</v>
      </c>
      <c r="T2637" s="1">
        <v>1.00646908E8</v>
      </c>
      <c r="W2637" s="1" t="s">
        <v>1303</v>
      </c>
      <c r="X2637" s="1" t="s">
        <v>3066</v>
      </c>
    </row>
    <row r="2638">
      <c r="A2638" s="1" t="s">
        <v>8042</v>
      </c>
      <c r="B2638" s="1" t="s">
        <v>8043</v>
      </c>
      <c r="C2638" s="1" t="s">
        <v>8044</v>
      </c>
      <c r="D2638" s="1" t="s">
        <v>28</v>
      </c>
      <c r="E2638" s="1" t="s">
        <v>29</v>
      </c>
      <c r="F2638" s="5">
        <v>350000.0</v>
      </c>
      <c r="G2638" s="1" t="s">
        <v>7016</v>
      </c>
      <c r="H2638" s="4">
        <v>44451.0</v>
      </c>
      <c r="I2638" s="1" t="s">
        <v>248</v>
      </c>
      <c r="K2638" s="1">
        <v>0.0</v>
      </c>
      <c r="L2638" s="1" t="s">
        <v>4634</v>
      </c>
      <c r="M2638" s="1" t="str">
        <f>VLOOKUP(L2638,'Copy of PMD Workday Constants -'!B2637:W3323,22,false)</f>
        <v>#N/A</v>
      </c>
      <c r="N2638" s="1" t="s">
        <v>32</v>
      </c>
      <c r="O2638" s="1" t="s">
        <v>33</v>
      </c>
      <c r="P2638" s="1" t="s">
        <v>112</v>
      </c>
      <c r="Q2638" s="1" t="s">
        <v>112</v>
      </c>
      <c r="R2638" s="1" t="s">
        <v>113</v>
      </c>
      <c r="S2638" s="1" t="s">
        <v>134</v>
      </c>
      <c r="T2638" s="1">
        <v>1.00585718E8</v>
      </c>
      <c r="W2638" s="1" t="s">
        <v>493</v>
      </c>
      <c r="X2638" s="1" t="s">
        <v>8045</v>
      </c>
    </row>
    <row r="2639">
      <c r="A2639" s="1" t="s">
        <v>8046</v>
      </c>
      <c r="B2639" s="1" t="s">
        <v>8047</v>
      </c>
      <c r="C2639" s="1" t="s">
        <v>8048</v>
      </c>
      <c r="D2639" s="1" t="s">
        <v>103</v>
      </c>
      <c r="E2639" s="1" t="s">
        <v>29</v>
      </c>
      <c r="F2639" s="5">
        <v>350000.0</v>
      </c>
      <c r="G2639" s="1" t="s">
        <v>7016</v>
      </c>
      <c r="H2639" s="1" t="s">
        <v>1650</v>
      </c>
      <c r="I2639" s="1" t="s">
        <v>8049</v>
      </c>
      <c r="K2639" s="1">
        <v>0.0</v>
      </c>
      <c r="L2639" s="1" t="s">
        <v>963</v>
      </c>
      <c r="M2639" s="1" t="str">
        <f>VLOOKUP(L2639,'Copy of PMD Workday Constants -'!B2638:W3324,22,false)</f>
        <v>#N/A</v>
      </c>
      <c r="N2639" s="1" t="s">
        <v>32</v>
      </c>
      <c r="O2639" s="1" t="s">
        <v>33</v>
      </c>
      <c r="P2639" s="1" t="s">
        <v>173</v>
      </c>
      <c r="Q2639" s="1" t="s">
        <v>173</v>
      </c>
      <c r="R2639" s="1" t="s">
        <v>174</v>
      </c>
      <c r="S2639" s="1" t="s">
        <v>612</v>
      </c>
      <c r="T2639" s="1">
        <v>1.00708984E8</v>
      </c>
      <c r="W2639" s="1" t="s">
        <v>115</v>
      </c>
      <c r="X2639" s="1" t="s">
        <v>4369</v>
      </c>
    </row>
    <row r="2640">
      <c r="A2640" s="1" t="s">
        <v>8050</v>
      </c>
      <c r="B2640" s="1" t="s">
        <v>4129</v>
      </c>
      <c r="C2640" s="1" t="s">
        <v>8051</v>
      </c>
      <c r="D2640" s="1" t="s">
        <v>51</v>
      </c>
      <c r="E2640" s="1" t="s">
        <v>29</v>
      </c>
      <c r="F2640" s="5">
        <v>350000.0</v>
      </c>
      <c r="G2640" s="1" t="s">
        <v>7016</v>
      </c>
      <c r="H2640" s="1" t="s">
        <v>6481</v>
      </c>
      <c r="I2640" s="1" t="s">
        <v>302</v>
      </c>
      <c r="K2640" s="1">
        <v>0.0</v>
      </c>
      <c r="L2640" s="1" t="s">
        <v>2991</v>
      </c>
      <c r="M2640" s="1" t="str">
        <f>VLOOKUP(L2640,'Copy of PMD Workday Constants -'!B2639:W3325,22,false)</f>
        <v>#N/A</v>
      </c>
      <c r="N2640" s="1" t="s">
        <v>32</v>
      </c>
      <c r="O2640" s="1" t="s">
        <v>33</v>
      </c>
      <c r="P2640" s="1" t="s">
        <v>210</v>
      </c>
      <c r="Q2640" s="1" t="s">
        <v>210</v>
      </c>
      <c r="R2640" s="1" t="s">
        <v>211</v>
      </c>
      <c r="S2640" s="1" t="s">
        <v>297</v>
      </c>
      <c r="T2640" s="1">
        <v>1.00647935E8</v>
      </c>
      <c r="W2640" s="1" t="s">
        <v>258</v>
      </c>
      <c r="X2640" s="1" t="s">
        <v>2991</v>
      </c>
    </row>
    <row r="2641">
      <c r="A2641" s="1" t="s">
        <v>8052</v>
      </c>
      <c r="B2641" s="1" t="s">
        <v>8053</v>
      </c>
      <c r="C2641" s="1" t="s">
        <v>8054</v>
      </c>
      <c r="D2641" s="1" t="s">
        <v>28</v>
      </c>
      <c r="E2641" s="1" t="s">
        <v>29</v>
      </c>
      <c r="F2641" s="5">
        <v>350000.0</v>
      </c>
      <c r="G2641" s="1" t="s">
        <v>7016</v>
      </c>
      <c r="H2641" s="4">
        <v>43351.0</v>
      </c>
      <c r="I2641" s="1" t="s">
        <v>2110</v>
      </c>
      <c r="K2641" s="1">
        <v>0.0</v>
      </c>
      <c r="L2641" s="1" t="s">
        <v>2042</v>
      </c>
      <c r="M2641" s="1" t="str">
        <f>VLOOKUP(L2641,'Copy of PMD Workday Constants -'!B2640:W3326,22,false)</f>
        <v>#N/A</v>
      </c>
      <c r="N2641" s="1" t="s">
        <v>32</v>
      </c>
      <c r="O2641" s="1" t="s">
        <v>33</v>
      </c>
      <c r="P2641" s="1" t="s">
        <v>34</v>
      </c>
      <c r="Q2641" s="1" t="s">
        <v>34</v>
      </c>
      <c r="R2641" s="1" t="s">
        <v>35</v>
      </c>
      <c r="S2641" s="1" t="s">
        <v>1313</v>
      </c>
      <c r="T2641" s="1">
        <v>1.00611284E8</v>
      </c>
      <c r="W2641" s="1" t="s">
        <v>436</v>
      </c>
      <c r="X2641" s="1" t="s">
        <v>3606</v>
      </c>
    </row>
    <row r="2642">
      <c r="A2642" s="1" t="s">
        <v>8055</v>
      </c>
      <c r="B2642" s="1" t="s">
        <v>1305</v>
      </c>
      <c r="C2642" s="1" t="s">
        <v>8056</v>
      </c>
      <c r="D2642" s="1" t="s">
        <v>28</v>
      </c>
      <c r="E2642" s="1" t="s">
        <v>29</v>
      </c>
      <c r="F2642" s="5">
        <v>350000.0</v>
      </c>
      <c r="G2642" s="1" t="s">
        <v>7016</v>
      </c>
      <c r="H2642" s="4">
        <v>44418.0</v>
      </c>
      <c r="I2642" s="1" t="s">
        <v>217</v>
      </c>
      <c r="K2642" s="1">
        <v>0.0</v>
      </c>
      <c r="L2642" s="1" t="s">
        <v>767</v>
      </c>
      <c r="M2642" s="1" t="str">
        <f>VLOOKUP(L2642,'Copy of PMD Workday Constants -'!B2641:W3327,22,false)</f>
        <v>#N/A</v>
      </c>
      <c r="N2642" s="1" t="s">
        <v>32</v>
      </c>
      <c r="O2642" s="1" t="s">
        <v>33</v>
      </c>
      <c r="P2642" s="1" t="s">
        <v>82</v>
      </c>
      <c r="Q2642" s="1" t="s">
        <v>82</v>
      </c>
      <c r="R2642" s="1" t="s">
        <v>83</v>
      </c>
      <c r="S2642" s="1" t="s">
        <v>583</v>
      </c>
      <c r="T2642" s="1">
        <v>1.00589481E8</v>
      </c>
      <c r="W2642" s="1" t="s">
        <v>456</v>
      </c>
      <c r="X2642" s="1" t="s">
        <v>767</v>
      </c>
    </row>
    <row r="2643">
      <c r="A2643" s="1" t="s">
        <v>8057</v>
      </c>
      <c r="B2643" s="1" t="s">
        <v>8058</v>
      </c>
      <c r="C2643" s="1" t="s">
        <v>8059</v>
      </c>
      <c r="D2643" s="1" t="s">
        <v>28</v>
      </c>
      <c r="E2643" s="1" t="s">
        <v>29</v>
      </c>
      <c r="F2643" s="5">
        <v>350000.0</v>
      </c>
      <c r="G2643" s="1" t="s">
        <v>7016</v>
      </c>
      <c r="H2643" s="4">
        <v>44686.0</v>
      </c>
      <c r="I2643" s="1" t="s">
        <v>810</v>
      </c>
      <c r="K2643" s="1">
        <v>0.0</v>
      </c>
      <c r="L2643" s="1" t="s">
        <v>3019</v>
      </c>
      <c r="M2643" s="1" t="str">
        <f>VLOOKUP(L2643,'Copy of PMD Workday Constants -'!B2642:W3328,22,false)</f>
        <v>#N/A</v>
      </c>
      <c r="N2643" s="1" t="s">
        <v>32</v>
      </c>
      <c r="O2643" s="1" t="s">
        <v>33</v>
      </c>
      <c r="P2643" s="1" t="s">
        <v>112</v>
      </c>
      <c r="Q2643" s="1" t="s">
        <v>112</v>
      </c>
      <c r="R2643" s="1" t="s">
        <v>113</v>
      </c>
      <c r="S2643" s="1" t="s">
        <v>307</v>
      </c>
      <c r="T2643" s="1">
        <v>1.00627256E8</v>
      </c>
      <c r="W2643" s="1" t="s">
        <v>287</v>
      </c>
      <c r="X2643" s="1" t="s">
        <v>8060</v>
      </c>
    </row>
    <row r="2644">
      <c r="A2644" s="1" t="s">
        <v>8061</v>
      </c>
      <c r="B2644" s="1" t="s">
        <v>4106</v>
      </c>
      <c r="C2644" s="1" t="s">
        <v>8062</v>
      </c>
      <c r="D2644" s="1" t="s">
        <v>28</v>
      </c>
      <c r="E2644" s="1" t="s">
        <v>29</v>
      </c>
      <c r="F2644" s="5">
        <v>350000.0</v>
      </c>
      <c r="G2644" s="1" t="s">
        <v>7016</v>
      </c>
      <c r="H2644" s="1" t="s">
        <v>460</v>
      </c>
      <c r="I2644" s="1" t="s">
        <v>301</v>
      </c>
      <c r="K2644" s="1">
        <v>0.0</v>
      </c>
      <c r="L2644" s="1" t="s">
        <v>1188</v>
      </c>
      <c r="M2644" s="1" t="str">
        <f>VLOOKUP(L2644,'Copy of PMD Workday Constants -'!B2643:W3329,22,false)</f>
        <v>#N/A</v>
      </c>
      <c r="N2644" s="1" t="s">
        <v>32</v>
      </c>
      <c r="O2644" s="1" t="s">
        <v>33</v>
      </c>
      <c r="P2644" s="1" t="s">
        <v>64</v>
      </c>
      <c r="Q2644" s="1" t="s">
        <v>64</v>
      </c>
      <c r="R2644" s="1" t="s">
        <v>65</v>
      </c>
      <c r="S2644" s="1" t="s">
        <v>98</v>
      </c>
      <c r="T2644" s="1">
        <v>1.00968114E8</v>
      </c>
      <c r="W2644" s="1" t="s">
        <v>436</v>
      </c>
      <c r="X2644" s="1" t="s">
        <v>4318</v>
      </c>
    </row>
    <row r="2645">
      <c r="A2645" s="1" t="s">
        <v>8063</v>
      </c>
      <c r="B2645" s="1" t="s">
        <v>988</v>
      </c>
      <c r="C2645" s="1" t="s">
        <v>8064</v>
      </c>
      <c r="D2645" s="1" t="s">
        <v>28</v>
      </c>
      <c r="E2645" s="1" t="s">
        <v>29</v>
      </c>
      <c r="F2645" s="5">
        <v>350000.0</v>
      </c>
      <c r="G2645" s="1" t="s">
        <v>7016</v>
      </c>
      <c r="H2645" s="1" t="s">
        <v>2510</v>
      </c>
      <c r="I2645" s="1" t="s">
        <v>217</v>
      </c>
      <c r="K2645" s="1">
        <v>0.0</v>
      </c>
      <c r="L2645" s="1" t="s">
        <v>532</v>
      </c>
      <c r="M2645" s="1" t="str">
        <f>VLOOKUP(L2645,'Copy of PMD Workday Constants -'!B2644:W3330,22,false)</f>
        <v>#N/A</v>
      </c>
      <c r="N2645" s="1" t="s">
        <v>32</v>
      </c>
      <c r="O2645" s="1" t="s">
        <v>33</v>
      </c>
      <c r="P2645" s="1" t="s">
        <v>112</v>
      </c>
      <c r="Q2645" s="1" t="s">
        <v>112</v>
      </c>
      <c r="R2645" s="1" t="s">
        <v>113</v>
      </c>
      <c r="S2645" s="1" t="s">
        <v>204</v>
      </c>
      <c r="T2645" s="1">
        <v>1.00646702E8</v>
      </c>
      <c r="W2645" s="1" t="s">
        <v>37</v>
      </c>
      <c r="X2645" s="1" t="s">
        <v>1147</v>
      </c>
    </row>
    <row r="2646">
      <c r="A2646" s="1" t="s">
        <v>8065</v>
      </c>
      <c r="B2646" s="1" t="s">
        <v>430</v>
      </c>
      <c r="C2646" s="1" t="s">
        <v>8066</v>
      </c>
      <c r="D2646" s="1" t="s">
        <v>51</v>
      </c>
      <c r="E2646" s="1" t="s">
        <v>29</v>
      </c>
      <c r="F2646" s="5">
        <v>350000.0</v>
      </c>
      <c r="G2646" s="1" t="s">
        <v>7016</v>
      </c>
      <c r="H2646" s="4">
        <v>44777.0</v>
      </c>
      <c r="I2646" s="1" t="s">
        <v>302</v>
      </c>
      <c r="K2646" s="1">
        <v>0.0</v>
      </c>
      <c r="L2646" s="1" t="s">
        <v>1031</v>
      </c>
      <c r="M2646" s="1" t="str">
        <f>VLOOKUP(L2646,'Copy of PMD Workday Constants -'!B2645:W3331,22,false)</f>
        <v>#N/A</v>
      </c>
      <c r="N2646" s="1" t="s">
        <v>32</v>
      </c>
      <c r="O2646" s="1" t="s">
        <v>33</v>
      </c>
      <c r="P2646" s="1" t="s">
        <v>64</v>
      </c>
      <c r="Q2646" s="1" t="s">
        <v>64</v>
      </c>
      <c r="R2646" s="1" t="s">
        <v>65</v>
      </c>
      <c r="T2646" s="1">
        <v>1.00879751E8</v>
      </c>
      <c r="W2646" s="1" t="s">
        <v>85</v>
      </c>
      <c r="X2646" s="1" t="s">
        <v>4869</v>
      </c>
    </row>
    <row r="2647">
      <c r="A2647" s="1" t="s">
        <v>8067</v>
      </c>
      <c r="B2647" s="1" t="s">
        <v>8068</v>
      </c>
      <c r="C2647" s="1" t="s">
        <v>8069</v>
      </c>
      <c r="D2647" s="1" t="s">
        <v>51</v>
      </c>
      <c r="E2647" s="1" t="s">
        <v>29</v>
      </c>
      <c r="F2647" s="5">
        <v>350000.0</v>
      </c>
      <c r="G2647" s="1" t="s">
        <v>7016</v>
      </c>
      <c r="H2647" s="1" t="s">
        <v>2577</v>
      </c>
      <c r="I2647" s="1" t="s">
        <v>43</v>
      </c>
      <c r="K2647" s="1">
        <v>0.0</v>
      </c>
      <c r="L2647" s="1" t="s">
        <v>1558</v>
      </c>
      <c r="M2647" s="1" t="str">
        <f>VLOOKUP(L2647,'Copy of PMD Workday Constants -'!B2646:W3332,22,false)</f>
        <v>#N/A</v>
      </c>
      <c r="N2647" s="1" t="s">
        <v>32</v>
      </c>
      <c r="O2647" s="1" t="s">
        <v>33</v>
      </c>
      <c r="P2647" s="1" t="s">
        <v>210</v>
      </c>
      <c r="Q2647" s="1" t="s">
        <v>210</v>
      </c>
      <c r="R2647" s="1" t="s">
        <v>211</v>
      </c>
      <c r="S2647" s="1" t="s">
        <v>416</v>
      </c>
      <c r="T2647" s="1">
        <v>1.00639226E8</v>
      </c>
      <c r="W2647" s="1" t="s">
        <v>56</v>
      </c>
      <c r="X2647" s="1" t="s">
        <v>1558</v>
      </c>
    </row>
    <row r="2648">
      <c r="A2648" s="1" t="s">
        <v>8070</v>
      </c>
      <c r="B2648" s="1" t="s">
        <v>1144</v>
      </c>
      <c r="C2648" s="1" t="s">
        <v>8071</v>
      </c>
      <c r="D2648" s="1" t="s">
        <v>28</v>
      </c>
      <c r="E2648" s="1" t="s">
        <v>29</v>
      </c>
      <c r="F2648" s="5">
        <v>350000.0</v>
      </c>
      <c r="G2648" s="1" t="s">
        <v>7016</v>
      </c>
      <c r="H2648" s="4">
        <v>44567.0</v>
      </c>
      <c r="I2648" s="1" t="s">
        <v>414</v>
      </c>
      <c r="K2648" s="1">
        <v>0.0</v>
      </c>
      <c r="L2648" s="1" t="s">
        <v>1146</v>
      </c>
      <c r="M2648" s="1" t="str">
        <f>VLOOKUP(L2648,'Copy of PMD Workday Constants -'!B2647:W3333,22,false)</f>
        <v>#N/A</v>
      </c>
      <c r="N2648" s="1" t="s">
        <v>32</v>
      </c>
      <c r="O2648" s="1" t="s">
        <v>33</v>
      </c>
      <c r="P2648" s="1" t="s">
        <v>34</v>
      </c>
      <c r="Q2648" s="1" t="s">
        <v>34</v>
      </c>
      <c r="R2648" s="1" t="s">
        <v>35</v>
      </c>
      <c r="T2648" s="1">
        <v>1.01131118E8</v>
      </c>
      <c r="W2648" s="1" t="s">
        <v>37</v>
      </c>
      <c r="X2648" s="1" t="s">
        <v>4647</v>
      </c>
    </row>
    <row r="2649">
      <c r="A2649" s="1" t="s">
        <v>8072</v>
      </c>
      <c r="B2649" s="1" t="s">
        <v>6183</v>
      </c>
      <c r="C2649" s="1" t="s">
        <v>8073</v>
      </c>
      <c r="D2649" s="1" t="s">
        <v>28</v>
      </c>
      <c r="E2649" s="1" t="s">
        <v>29</v>
      </c>
      <c r="F2649" s="5">
        <v>350000.0</v>
      </c>
      <c r="G2649" s="1" t="s">
        <v>7016</v>
      </c>
      <c r="H2649" s="4">
        <v>44478.0</v>
      </c>
      <c r="I2649" s="1" t="s">
        <v>661</v>
      </c>
      <c r="K2649" s="1">
        <v>0.0</v>
      </c>
      <c r="L2649" s="1" t="s">
        <v>3043</v>
      </c>
      <c r="M2649" s="1" t="str">
        <f>VLOOKUP(L2649,'Copy of PMD Workday Constants -'!B2648:W3334,22,false)</f>
        <v>#N/A</v>
      </c>
      <c r="N2649" s="1" t="s">
        <v>32</v>
      </c>
      <c r="O2649" s="1" t="s">
        <v>33</v>
      </c>
      <c r="P2649" s="1" t="s">
        <v>222</v>
      </c>
      <c r="Q2649" s="1" t="s">
        <v>222</v>
      </c>
      <c r="R2649" s="1" t="s">
        <v>223</v>
      </c>
      <c r="S2649" s="1" t="s">
        <v>90</v>
      </c>
      <c r="T2649" s="1">
        <v>1.00638978E8</v>
      </c>
      <c r="W2649" s="1" t="s">
        <v>1303</v>
      </c>
      <c r="X2649" s="1" t="s">
        <v>239</v>
      </c>
    </row>
    <row r="2650">
      <c r="A2650" s="1" t="s">
        <v>8074</v>
      </c>
      <c r="B2650" s="1" t="s">
        <v>1305</v>
      </c>
      <c r="C2650" s="1" t="s">
        <v>8075</v>
      </c>
      <c r="D2650" s="1" t="s">
        <v>51</v>
      </c>
      <c r="E2650" s="1" t="s">
        <v>29</v>
      </c>
      <c r="F2650" s="5">
        <v>350000.0</v>
      </c>
      <c r="G2650" s="1" t="s">
        <v>7016</v>
      </c>
      <c r="H2650" s="4">
        <v>44418.0</v>
      </c>
      <c r="I2650" s="1" t="s">
        <v>302</v>
      </c>
      <c r="K2650" s="1">
        <v>0.0</v>
      </c>
      <c r="L2650" s="1" t="s">
        <v>767</v>
      </c>
      <c r="M2650" s="1" t="str">
        <f>VLOOKUP(L2650,'Copy of PMD Workday Constants -'!B2649:W3335,22,false)</f>
        <v>#N/A</v>
      </c>
      <c r="N2650" s="1" t="s">
        <v>32</v>
      </c>
      <c r="O2650" s="1" t="s">
        <v>33</v>
      </c>
      <c r="P2650" s="1" t="s">
        <v>82</v>
      </c>
      <c r="Q2650" s="1" t="s">
        <v>82</v>
      </c>
      <c r="R2650" s="1" t="s">
        <v>83</v>
      </c>
      <c r="S2650" s="1" t="s">
        <v>583</v>
      </c>
      <c r="T2650" s="1">
        <v>1.00589481E8</v>
      </c>
      <c r="W2650" s="1" t="s">
        <v>456</v>
      </c>
      <c r="X2650" s="1" t="s">
        <v>767</v>
      </c>
    </row>
    <row r="2651">
      <c r="A2651" s="1" t="s">
        <v>8076</v>
      </c>
      <c r="B2651" s="1" t="s">
        <v>8077</v>
      </c>
      <c r="C2651" s="1" t="s">
        <v>8078</v>
      </c>
      <c r="D2651" s="1" t="s">
        <v>103</v>
      </c>
      <c r="E2651" s="1" t="s">
        <v>29</v>
      </c>
      <c r="F2651" s="5">
        <v>350000.0</v>
      </c>
      <c r="G2651" s="1" t="s">
        <v>7016</v>
      </c>
      <c r="H2651" s="1" t="s">
        <v>2142</v>
      </c>
      <c r="I2651" s="1" t="s">
        <v>80</v>
      </c>
      <c r="K2651" s="1">
        <v>0.0</v>
      </c>
      <c r="L2651" s="1" t="s">
        <v>1036</v>
      </c>
      <c r="M2651" s="1" t="str">
        <f>VLOOKUP(L2651,'Copy of PMD Workday Constants -'!B2650:W3336,22,false)</f>
        <v>#N/A</v>
      </c>
      <c r="N2651" s="1" t="s">
        <v>32</v>
      </c>
      <c r="O2651" s="1" t="s">
        <v>33</v>
      </c>
      <c r="P2651" s="1" t="s">
        <v>82</v>
      </c>
      <c r="Q2651" s="1" t="s">
        <v>82</v>
      </c>
      <c r="R2651" s="1" t="s">
        <v>83</v>
      </c>
      <c r="S2651" s="1" t="s">
        <v>180</v>
      </c>
      <c r="T2651" s="1">
        <v>1.0090037E8</v>
      </c>
      <c r="W2651" s="1" t="s">
        <v>85</v>
      </c>
      <c r="X2651" s="1" t="s">
        <v>1036</v>
      </c>
    </row>
    <row r="2652">
      <c r="A2652" s="1" t="s">
        <v>8079</v>
      </c>
      <c r="B2652" s="1" t="s">
        <v>1247</v>
      </c>
      <c r="C2652" s="1" t="s">
        <v>8080</v>
      </c>
      <c r="D2652" s="1" t="s">
        <v>51</v>
      </c>
      <c r="E2652" s="1" t="s">
        <v>29</v>
      </c>
      <c r="F2652" s="5">
        <v>350000.0</v>
      </c>
      <c r="G2652" s="1" t="s">
        <v>7016</v>
      </c>
      <c r="H2652" s="1" t="s">
        <v>1866</v>
      </c>
      <c r="I2652" s="1" t="s">
        <v>104</v>
      </c>
      <c r="J2652" s="1" t="s">
        <v>8081</v>
      </c>
      <c r="K2652" s="1">
        <v>0.0</v>
      </c>
      <c r="L2652" s="1" t="s">
        <v>4534</v>
      </c>
      <c r="M2652" s="1" t="str">
        <f>VLOOKUP(L2652,'Copy of PMD Workday Constants -'!B2651:W3337,22,false)</f>
        <v>#N/A</v>
      </c>
      <c r="N2652" s="1" t="s">
        <v>32</v>
      </c>
      <c r="O2652" s="1" t="s">
        <v>33</v>
      </c>
      <c r="P2652" s="1" t="s">
        <v>173</v>
      </c>
      <c r="Q2652" s="1" t="s">
        <v>173</v>
      </c>
      <c r="R2652" s="1" t="s">
        <v>174</v>
      </c>
      <c r="S2652" s="1" t="s">
        <v>612</v>
      </c>
      <c r="T2652" s="1">
        <v>1.00620934E8</v>
      </c>
      <c r="W2652" s="1" t="s">
        <v>140</v>
      </c>
      <c r="X2652" s="1" t="s">
        <v>8082</v>
      </c>
    </row>
    <row r="2653">
      <c r="A2653" s="1" t="s">
        <v>8083</v>
      </c>
      <c r="B2653" s="1" t="s">
        <v>1648</v>
      </c>
      <c r="C2653" s="1" t="s">
        <v>8084</v>
      </c>
      <c r="D2653" s="1" t="s">
        <v>79</v>
      </c>
      <c r="E2653" s="1" t="s">
        <v>29</v>
      </c>
      <c r="F2653" s="5">
        <v>350000.0</v>
      </c>
      <c r="G2653" s="1" t="s">
        <v>7016</v>
      </c>
      <c r="H2653" s="1" t="s">
        <v>61</v>
      </c>
      <c r="I2653" s="1" t="s">
        <v>941</v>
      </c>
      <c r="K2653" s="1">
        <v>0.0</v>
      </c>
      <c r="L2653" s="1" t="s">
        <v>6280</v>
      </c>
      <c r="M2653" s="1" t="str">
        <f>VLOOKUP(L2653,'Copy of PMD Workday Constants -'!B2652:W3338,22,false)</f>
        <v>#N/A</v>
      </c>
      <c r="N2653" s="1" t="s">
        <v>32</v>
      </c>
      <c r="O2653" s="1" t="s">
        <v>33</v>
      </c>
      <c r="P2653" s="1" t="s">
        <v>210</v>
      </c>
      <c r="Q2653" s="1" t="s">
        <v>210</v>
      </c>
      <c r="R2653" s="1" t="s">
        <v>211</v>
      </c>
      <c r="S2653" s="1" t="s">
        <v>416</v>
      </c>
      <c r="T2653" s="1">
        <v>1.00975161E8</v>
      </c>
      <c r="W2653" s="1" t="s">
        <v>56</v>
      </c>
      <c r="X2653" s="1" t="s">
        <v>968</v>
      </c>
    </row>
    <row r="2654">
      <c r="A2654" s="1" t="s">
        <v>8085</v>
      </c>
      <c r="B2654" s="1" t="s">
        <v>8086</v>
      </c>
      <c r="C2654" s="1" t="s">
        <v>8087</v>
      </c>
      <c r="D2654" s="1" t="s">
        <v>51</v>
      </c>
      <c r="E2654" s="1" t="s">
        <v>29</v>
      </c>
      <c r="F2654" s="5">
        <v>350000.0</v>
      </c>
      <c r="G2654" s="1" t="s">
        <v>7016</v>
      </c>
      <c r="H2654" s="4">
        <v>44531.0</v>
      </c>
      <c r="I2654" s="1" t="s">
        <v>301</v>
      </c>
      <c r="K2654" s="1">
        <v>0.0</v>
      </c>
      <c r="L2654" s="1" t="s">
        <v>3148</v>
      </c>
      <c r="M2654" s="1" t="str">
        <f>VLOOKUP(L2654,'Copy of PMD Workday Constants -'!B2653:W3339,22,false)</f>
        <v>#N/A</v>
      </c>
      <c r="N2654" s="1" t="s">
        <v>32</v>
      </c>
      <c r="O2654" s="1" t="s">
        <v>33</v>
      </c>
      <c r="P2654" s="1" t="s">
        <v>112</v>
      </c>
      <c r="Q2654" s="1" t="s">
        <v>112</v>
      </c>
      <c r="R2654" s="1" t="s">
        <v>113</v>
      </c>
      <c r="S2654" s="1" t="s">
        <v>455</v>
      </c>
      <c r="T2654" s="1">
        <v>1.00620159E8</v>
      </c>
      <c r="W2654" s="1" t="s">
        <v>456</v>
      </c>
      <c r="X2654" s="1" t="s">
        <v>3148</v>
      </c>
    </row>
    <row r="2655">
      <c r="A2655" s="1" t="s">
        <v>8088</v>
      </c>
      <c r="B2655" s="1" t="s">
        <v>8089</v>
      </c>
      <c r="C2655" s="1" t="s">
        <v>8090</v>
      </c>
      <c r="D2655" s="1" t="s">
        <v>51</v>
      </c>
      <c r="E2655" s="1" t="s">
        <v>29</v>
      </c>
      <c r="F2655" s="5">
        <v>350000.0</v>
      </c>
      <c r="G2655" s="1" t="s">
        <v>7016</v>
      </c>
      <c r="H2655" s="1" t="s">
        <v>2290</v>
      </c>
      <c r="I2655" s="1" t="s">
        <v>80</v>
      </c>
      <c r="K2655" s="1">
        <v>0.0</v>
      </c>
      <c r="L2655" s="1" t="s">
        <v>2160</v>
      </c>
      <c r="M2655" s="1" t="str">
        <f>VLOOKUP(L2655,'Copy of PMD Workday Constants -'!B2654:W3340,22,false)</f>
        <v>#N/A</v>
      </c>
      <c r="N2655" s="1" t="s">
        <v>32</v>
      </c>
      <c r="O2655" s="1" t="s">
        <v>33</v>
      </c>
      <c r="P2655" s="1" t="s">
        <v>54</v>
      </c>
      <c r="Q2655" s="1" t="s">
        <v>54</v>
      </c>
      <c r="R2655" s="1" t="s">
        <v>55</v>
      </c>
      <c r="T2655" s="1">
        <v>1.00600975E8</v>
      </c>
      <c r="W2655" s="1" t="s">
        <v>37</v>
      </c>
      <c r="X2655" s="1" t="s">
        <v>2160</v>
      </c>
    </row>
    <row r="2656">
      <c r="A2656" s="1" t="s">
        <v>8091</v>
      </c>
      <c r="B2656" s="1" t="s">
        <v>1664</v>
      </c>
      <c r="C2656" s="1" t="s">
        <v>8092</v>
      </c>
      <c r="D2656" s="1" t="s">
        <v>28</v>
      </c>
      <c r="E2656" s="1" t="s">
        <v>29</v>
      </c>
      <c r="F2656" s="5">
        <v>350000.0</v>
      </c>
      <c r="G2656" s="1" t="s">
        <v>7016</v>
      </c>
      <c r="H2656" s="1" t="s">
        <v>460</v>
      </c>
      <c r="I2656" s="1" t="s">
        <v>8093</v>
      </c>
      <c r="K2656" s="1">
        <v>0.0</v>
      </c>
      <c r="L2656" s="1" t="s">
        <v>956</v>
      </c>
      <c r="M2656" s="1" t="str">
        <f>VLOOKUP(L2656,'Copy of PMD Workday Constants -'!B2655:W3341,22,false)</f>
        <v>#N/A</v>
      </c>
      <c r="N2656" s="1" t="s">
        <v>32</v>
      </c>
      <c r="O2656" s="1" t="s">
        <v>33</v>
      </c>
      <c r="P2656" s="1" t="s">
        <v>173</v>
      </c>
      <c r="Q2656" s="1" t="s">
        <v>173</v>
      </c>
      <c r="R2656" s="1" t="s">
        <v>174</v>
      </c>
      <c r="S2656" s="1" t="s">
        <v>612</v>
      </c>
      <c r="T2656" s="1">
        <v>1.00623421E8</v>
      </c>
      <c r="W2656" s="1" t="s">
        <v>147</v>
      </c>
      <c r="X2656" s="1" t="s">
        <v>4696</v>
      </c>
    </row>
    <row r="2657">
      <c r="A2657" s="1" t="s">
        <v>8094</v>
      </c>
      <c r="B2657" s="1" t="s">
        <v>4425</v>
      </c>
      <c r="C2657" s="1" t="s">
        <v>8095</v>
      </c>
      <c r="D2657" s="1" t="s">
        <v>28</v>
      </c>
      <c r="E2657" s="1" t="s">
        <v>29</v>
      </c>
      <c r="F2657" s="5">
        <v>350000.0</v>
      </c>
      <c r="G2657" s="1" t="s">
        <v>7016</v>
      </c>
      <c r="H2657" s="1" t="s">
        <v>466</v>
      </c>
      <c r="I2657" s="1" t="s">
        <v>414</v>
      </c>
      <c r="K2657" s="1">
        <v>0.0</v>
      </c>
      <c r="L2657" s="1" t="s">
        <v>2672</v>
      </c>
      <c r="M2657" s="1" t="str">
        <f>VLOOKUP(L2657,'Copy of PMD Workday Constants -'!B2656:W3342,22,false)</f>
        <v>#N/A</v>
      </c>
      <c r="N2657" s="1" t="s">
        <v>32</v>
      </c>
      <c r="O2657" s="1" t="s">
        <v>33</v>
      </c>
      <c r="P2657" s="1" t="s">
        <v>173</v>
      </c>
      <c r="Q2657" s="1" t="s">
        <v>173</v>
      </c>
      <c r="R2657" s="1" t="s">
        <v>174</v>
      </c>
      <c r="T2657" s="1">
        <v>1.00607244E8</v>
      </c>
      <c r="W2657" s="1" t="s">
        <v>493</v>
      </c>
      <c r="X2657" s="1" t="s">
        <v>8096</v>
      </c>
    </row>
    <row r="2658">
      <c r="A2658" s="1" t="s">
        <v>8097</v>
      </c>
      <c r="B2658" s="1" t="s">
        <v>8098</v>
      </c>
      <c r="C2658" s="1" t="s">
        <v>8099</v>
      </c>
      <c r="D2658" s="1" t="s">
        <v>79</v>
      </c>
      <c r="E2658" s="1" t="s">
        <v>29</v>
      </c>
      <c r="F2658" s="5">
        <v>350000.0</v>
      </c>
      <c r="G2658" s="1" t="s">
        <v>7016</v>
      </c>
      <c r="H2658" s="1" t="s">
        <v>1433</v>
      </c>
      <c r="I2658" s="1" t="s">
        <v>732</v>
      </c>
      <c r="K2658" s="1">
        <v>0.0</v>
      </c>
      <c r="L2658" s="1" t="s">
        <v>678</v>
      </c>
      <c r="M2658" s="1" t="str">
        <f>VLOOKUP(L2658,'Copy of PMD Workday Constants -'!B2657:W3343,22,false)</f>
        <v>#N/A</v>
      </c>
      <c r="N2658" s="1" t="s">
        <v>32</v>
      </c>
      <c r="O2658" s="1" t="s">
        <v>33</v>
      </c>
      <c r="P2658" s="1" t="s">
        <v>210</v>
      </c>
      <c r="Q2658" s="1" t="s">
        <v>210</v>
      </c>
      <c r="R2658" s="1" t="s">
        <v>211</v>
      </c>
      <c r="S2658" s="1" t="s">
        <v>416</v>
      </c>
      <c r="T2658" s="1">
        <v>1.00609073E8</v>
      </c>
      <c r="W2658" s="1" t="s">
        <v>56</v>
      </c>
      <c r="X2658" s="1" t="s">
        <v>8100</v>
      </c>
    </row>
    <row r="2659">
      <c r="A2659" s="1" t="s">
        <v>8101</v>
      </c>
      <c r="B2659" s="1" t="s">
        <v>8102</v>
      </c>
      <c r="C2659" s="1" t="s">
        <v>8103</v>
      </c>
      <c r="D2659" s="1" t="s">
        <v>103</v>
      </c>
      <c r="E2659" s="1" t="s">
        <v>29</v>
      </c>
      <c r="F2659" s="5">
        <v>350000.0</v>
      </c>
      <c r="G2659" s="1" t="s">
        <v>7016</v>
      </c>
      <c r="H2659" s="4">
        <v>44563.0</v>
      </c>
      <c r="I2659" s="1" t="s">
        <v>80</v>
      </c>
      <c r="K2659" s="1">
        <v>0.0</v>
      </c>
      <c r="L2659" s="1" t="s">
        <v>7664</v>
      </c>
      <c r="M2659" s="1" t="str">
        <f>VLOOKUP(L2659,'Copy of PMD Workday Constants -'!B2658:W3344,22,false)</f>
        <v>#N/A</v>
      </c>
      <c r="N2659" s="1" t="s">
        <v>32</v>
      </c>
      <c r="O2659" s="1" t="s">
        <v>33</v>
      </c>
      <c r="P2659" s="1" t="s">
        <v>222</v>
      </c>
      <c r="Q2659" s="1" t="s">
        <v>222</v>
      </c>
      <c r="R2659" s="1" t="s">
        <v>223</v>
      </c>
      <c r="S2659" s="1" t="s">
        <v>601</v>
      </c>
      <c r="T2659" s="1">
        <v>1.00882877E8</v>
      </c>
      <c r="W2659" s="1" t="s">
        <v>140</v>
      </c>
      <c r="X2659" s="1" t="s">
        <v>8104</v>
      </c>
    </row>
    <row r="2660">
      <c r="A2660" s="1" t="s">
        <v>8105</v>
      </c>
      <c r="B2660" s="1" t="s">
        <v>2071</v>
      </c>
      <c r="C2660" s="1" t="s">
        <v>8106</v>
      </c>
      <c r="D2660" s="1" t="s">
        <v>103</v>
      </c>
      <c r="E2660" s="1" t="s">
        <v>29</v>
      </c>
      <c r="F2660" s="5">
        <v>350000.0</v>
      </c>
      <c r="G2660" s="1" t="s">
        <v>7016</v>
      </c>
      <c r="H2660" s="4">
        <v>44839.0</v>
      </c>
      <c r="I2660" s="1" t="s">
        <v>414</v>
      </c>
      <c r="K2660" s="1">
        <v>0.0</v>
      </c>
      <c r="L2660" s="1" t="s">
        <v>4937</v>
      </c>
      <c r="M2660" s="1" t="str">
        <f>VLOOKUP(L2660,'Copy of PMD Workday Constants -'!B2659:W3345,22,false)</f>
        <v>#N/A</v>
      </c>
      <c r="N2660" s="1" t="s">
        <v>32</v>
      </c>
      <c r="O2660" s="1" t="s">
        <v>33</v>
      </c>
      <c r="P2660" s="1" t="s">
        <v>34</v>
      </c>
      <c r="Q2660" s="1" t="s">
        <v>34</v>
      </c>
      <c r="R2660" s="1" t="s">
        <v>35</v>
      </c>
      <c r="S2660" s="1" t="s">
        <v>1336</v>
      </c>
      <c r="T2660" s="1">
        <v>1.00644939E8</v>
      </c>
      <c r="W2660" s="1" t="s">
        <v>56</v>
      </c>
      <c r="X2660" s="1" t="s">
        <v>8107</v>
      </c>
    </row>
    <row r="2661">
      <c r="A2661" s="1" t="s">
        <v>8108</v>
      </c>
      <c r="B2661" s="1" t="s">
        <v>4238</v>
      </c>
      <c r="C2661" s="1" t="s">
        <v>8109</v>
      </c>
      <c r="D2661" s="1" t="s">
        <v>103</v>
      </c>
      <c r="E2661" s="1" t="s">
        <v>29</v>
      </c>
      <c r="F2661" s="5">
        <v>350000.0</v>
      </c>
      <c r="G2661" s="1" t="s">
        <v>7016</v>
      </c>
      <c r="H2661" s="4">
        <v>44412.0</v>
      </c>
      <c r="I2661" s="4">
        <v>44689.0</v>
      </c>
      <c r="K2661" s="1">
        <v>0.0</v>
      </c>
      <c r="L2661" s="1" t="s">
        <v>7664</v>
      </c>
      <c r="M2661" s="1" t="str">
        <f>VLOOKUP(L2661,'Copy of PMD Workday Constants -'!B2660:W3346,22,false)</f>
        <v>#N/A</v>
      </c>
      <c r="N2661" s="1" t="s">
        <v>32</v>
      </c>
      <c r="O2661" s="1" t="s">
        <v>33</v>
      </c>
      <c r="P2661" s="1" t="s">
        <v>222</v>
      </c>
      <c r="Q2661" s="1" t="s">
        <v>222</v>
      </c>
      <c r="R2661" s="1" t="s">
        <v>223</v>
      </c>
      <c r="S2661" s="1" t="s">
        <v>601</v>
      </c>
      <c r="T2661" s="1">
        <v>1.00882877E8</v>
      </c>
      <c r="W2661" s="1" t="s">
        <v>56</v>
      </c>
      <c r="X2661" s="1" t="s">
        <v>7664</v>
      </c>
    </row>
    <row r="2662">
      <c r="A2662" s="1" t="s">
        <v>8110</v>
      </c>
      <c r="B2662" s="1" t="s">
        <v>8111</v>
      </c>
      <c r="C2662" s="1" t="s">
        <v>8112</v>
      </c>
      <c r="D2662" s="1" t="s">
        <v>28</v>
      </c>
      <c r="E2662" s="1" t="s">
        <v>29</v>
      </c>
      <c r="F2662" s="5">
        <v>350000.0</v>
      </c>
      <c r="G2662" s="1" t="s">
        <v>7016</v>
      </c>
      <c r="H2662" s="1" t="s">
        <v>8113</v>
      </c>
      <c r="I2662" s="1" t="s">
        <v>80</v>
      </c>
      <c r="K2662" s="1">
        <v>0.0</v>
      </c>
      <c r="L2662" s="1" t="s">
        <v>198</v>
      </c>
      <c r="M2662" s="1" t="str">
        <f>VLOOKUP(L2662,'Copy of PMD Workday Constants -'!B2661:W3347,22,false)</f>
        <v>#N/A</v>
      </c>
      <c r="N2662" s="1" t="s">
        <v>32</v>
      </c>
      <c r="O2662" s="1" t="s">
        <v>33</v>
      </c>
      <c r="P2662" s="1" t="s">
        <v>82</v>
      </c>
      <c r="Q2662" s="1" t="s">
        <v>82</v>
      </c>
      <c r="R2662" s="1" t="s">
        <v>83</v>
      </c>
      <c r="S2662" s="1" t="s">
        <v>180</v>
      </c>
      <c r="T2662" s="1">
        <v>1.00590896E8</v>
      </c>
      <c r="W2662" s="1" t="s">
        <v>85</v>
      </c>
      <c r="X2662" s="1" t="s">
        <v>5126</v>
      </c>
    </row>
    <row r="2663">
      <c r="A2663" s="1" t="s">
        <v>8114</v>
      </c>
      <c r="B2663" s="1" t="s">
        <v>1062</v>
      </c>
      <c r="C2663" s="1" t="s">
        <v>8115</v>
      </c>
      <c r="D2663" s="1" t="s">
        <v>51</v>
      </c>
      <c r="E2663" s="1" t="s">
        <v>29</v>
      </c>
      <c r="F2663" s="5">
        <v>350000.0</v>
      </c>
      <c r="G2663" s="1" t="s">
        <v>7016</v>
      </c>
      <c r="H2663" s="4">
        <v>44206.0</v>
      </c>
      <c r="I2663" s="1" t="s">
        <v>4147</v>
      </c>
      <c r="K2663" s="1">
        <v>0.0</v>
      </c>
      <c r="L2663" s="1" t="s">
        <v>1065</v>
      </c>
      <c r="M2663" s="1" t="str">
        <f>VLOOKUP(L2663,'Copy of PMD Workday Constants -'!B2662:W3348,22,false)</f>
        <v>#N/A</v>
      </c>
      <c r="N2663" s="1" t="s">
        <v>32</v>
      </c>
      <c r="O2663" s="1" t="s">
        <v>33</v>
      </c>
      <c r="P2663" s="1" t="s">
        <v>173</v>
      </c>
      <c r="Q2663" s="1" t="s">
        <v>173</v>
      </c>
      <c r="R2663" s="1" t="s">
        <v>174</v>
      </c>
      <c r="S2663" s="1" t="s">
        <v>540</v>
      </c>
      <c r="T2663" s="1">
        <v>1.00594872E8</v>
      </c>
      <c r="W2663" s="1" t="s">
        <v>493</v>
      </c>
      <c r="X2663" s="1" t="s">
        <v>1065</v>
      </c>
    </row>
    <row r="2664">
      <c r="A2664" s="1" t="s">
        <v>8116</v>
      </c>
      <c r="B2664" s="1" t="s">
        <v>289</v>
      </c>
      <c r="C2664" s="1" t="s">
        <v>8117</v>
      </c>
      <c r="D2664" s="1" t="s">
        <v>51</v>
      </c>
      <c r="E2664" s="1" t="s">
        <v>29</v>
      </c>
      <c r="F2664" s="5">
        <v>350000.0</v>
      </c>
      <c r="G2664" s="1" t="s">
        <v>7016</v>
      </c>
      <c r="H2664" s="4">
        <v>44595.0</v>
      </c>
      <c r="I2664" s="1" t="s">
        <v>1134</v>
      </c>
      <c r="K2664" s="1">
        <v>0.0</v>
      </c>
      <c r="L2664" s="1" t="s">
        <v>3784</v>
      </c>
      <c r="M2664" s="1" t="str">
        <f>VLOOKUP(L2664,'Copy of PMD Workday Constants -'!B2663:W3349,22,false)</f>
        <v>#N/A</v>
      </c>
      <c r="N2664" s="1" t="s">
        <v>32</v>
      </c>
      <c r="O2664" s="1" t="s">
        <v>33</v>
      </c>
      <c r="P2664" s="1" t="s">
        <v>210</v>
      </c>
      <c r="Q2664" s="1" t="s">
        <v>210</v>
      </c>
      <c r="R2664" s="1" t="s">
        <v>211</v>
      </c>
      <c r="S2664" s="1" t="s">
        <v>416</v>
      </c>
      <c r="T2664" s="1">
        <v>1.00637651E8</v>
      </c>
      <c r="W2664" s="1" t="s">
        <v>74</v>
      </c>
      <c r="X2664" s="1" t="s">
        <v>3784</v>
      </c>
    </row>
    <row r="2665">
      <c r="A2665" s="1" t="s">
        <v>8118</v>
      </c>
      <c r="B2665" s="1" t="s">
        <v>787</v>
      </c>
      <c r="C2665" s="1" t="s">
        <v>8119</v>
      </c>
      <c r="D2665" s="1" t="s">
        <v>28</v>
      </c>
      <c r="E2665" s="1" t="s">
        <v>29</v>
      </c>
      <c r="F2665" s="5">
        <v>350000.0</v>
      </c>
      <c r="G2665" s="1" t="s">
        <v>7016</v>
      </c>
      <c r="H2665" s="4">
        <v>44718.0</v>
      </c>
      <c r="I2665" s="1" t="s">
        <v>96</v>
      </c>
      <c r="K2665" s="1">
        <v>0.0</v>
      </c>
      <c r="L2665" s="1" t="s">
        <v>790</v>
      </c>
      <c r="M2665" s="1" t="str">
        <f>VLOOKUP(L2665,'Copy of PMD Workday Constants -'!B2664:W3350,22,false)</f>
        <v>#N/A</v>
      </c>
      <c r="N2665" s="1" t="s">
        <v>32</v>
      </c>
      <c r="O2665" s="1" t="s">
        <v>33</v>
      </c>
      <c r="P2665" s="1" t="s">
        <v>64</v>
      </c>
      <c r="Q2665" s="1" t="s">
        <v>64</v>
      </c>
      <c r="R2665" s="1" t="s">
        <v>65</v>
      </c>
      <c r="S2665" s="1" t="s">
        <v>791</v>
      </c>
      <c r="T2665" s="1">
        <v>1.00661738E8</v>
      </c>
      <c r="W2665" s="1" t="s">
        <v>456</v>
      </c>
      <c r="X2665" s="1" t="s">
        <v>7831</v>
      </c>
    </row>
    <row r="2666">
      <c r="A2666" s="1" t="s">
        <v>8120</v>
      </c>
      <c r="B2666" s="1" t="s">
        <v>8121</v>
      </c>
      <c r="C2666" s="1" t="s">
        <v>8122</v>
      </c>
      <c r="D2666" s="1" t="s">
        <v>103</v>
      </c>
      <c r="E2666" s="1" t="s">
        <v>29</v>
      </c>
      <c r="F2666" s="5">
        <v>350000.0</v>
      </c>
      <c r="G2666" s="1" t="s">
        <v>7016</v>
      </c>
      <c r="H2666" s="4">
        <v>44327.0</v>
      </c>
      <c r="I2666" s="1" t="s">
        <v>1134</v>
      </c>
      <c r="K2666" s="1">
        <v>0.0</v>
      </c>
      <c r="L2666" s="1" t="s">
        <v>428</v>
      </c>
      <c r="M2666" s="1" t="str">
        <f>VLOOKUP(L2666,'Copy of PMD Workday Constants -'!B2665:W3351,22,false)</f>
        <v>#N/A</v>
      </c>
      <c r="N2666" s="1" t="s">
        <v>32</v>
      </c>
      <c r="O2666" s="1" t="s">
        <v>33</v>
      </c>
      <c r="P2666" s="1" t="s">
        <v>173</v>
      </c>
      <c r="Q2666" s="1" t="s">
        <v>173</v>
      </c>
      <c r="R2666" s="1" t="s">
        <v>174</v>
      </c>
      <c r="S2666" s="1" t="s">
        <v>153</v>
      </c>
      <c r="T2666" s="1">
        <v>1.00654085E8</v>
      </c>
      <c r="W2666" s="1" t="s">
        <v>85</v>
      </c>
      <c r="X2666" s="1" t="s">
        <v>3220</v>
      </c>
    </row>
    <row r="2667">
      <c r="A2667" s="1" t="s">
        <v>8123</v>
      </c>
      <c r="B2667" s="1" t="s">
        <v>77</v>
      </c>
      <c r="C2667" s="1" t="s">
        <v>8124</v>
      </c>
      <c r="D2667" s="1" t="s">
        <v>28</v>
      </c>
      <c r="E2667" s="1" t="s">
        <v>29</v>
      </c>
      <c r="F2667" s="5">
        <v>350000.0</v>
      </c>
      <c r="G2667" s="1" t="s">
        <v>7016</v>
      </c>
      <c r="H2667" s="4">
        <v>44622.0</v>
      </c>
      <c r="I2667" s="1" t="s">
        <v>104</v>
      </c>
      <c r="K2667" s="1">
        <v>0.0</v>
      </c>
      <c r="L2667" s="1" t="s">
        <v>6791</v>
      </c>
      <c r="M2667" s="1" t="str">
        <f>VLOOKUP(L2667,'Copy of PMD Workday Constants -'!B2666:W3352,22,false)</f>
        <v>#N/A</v>
      </c>
      <c r="N2667" s="1" t="s">
        <v>32</v>
      </c>
      <c r="O2667" s="1" t="s">
        <v>33</v>
      </c>
      <c r="P2667" s="1" t="s">
        <v>82</v>
      </c>
      <c r="Q2667" s="1" t="s">
        <v>82</v>
      </c>
      <c r="R2667" s="1" t="s">
        <v>83</v>
      </c>
      <c r="S2667" s="1" t="s">
        <v>84</v>
      </c>
      <c r="T2667" s="1">
        <v>1.00594243E8</v>
      </c>
      <c r="W2667" s="1" t="s">
        <v>85</v>
      </c>
      <c r="X2667" s="1" t="s">
        <v>7194</v>
      </c>
    </row>
    <row r="2668">
      <c r="A2668" s="1" t="s">
        <v>8125</v>
      </c>
      <c r="B2668" s="1" t="s">
        <v>3542</v>
      </c>
      <c r="C2668" s="1" t="s">
        <v>8126</v>
      </c>
      <c r="D2668" s="1" t="s">
        <v>103</v>
      </c>
      <c r="E2668" s="1" t="s">
        <v>29</v>
      </c>
      <c r="F2668" s="5">
        <v>350000.0</v>
      </c>
      <c r="G2668" s="1" t="s">
        <v>7016</v>
      </c>
      <c r="H2668" s="1" t="s">
        <v>61</v>
      </c>
      <c r="I2668" s="1" t="s">
        <v>248</v>
      </c>
      <c r="K2668" s="1">
        <v>0.0</v>
      </c>
      <c r="L2668" s="1" t="s">
        <v>4051</v>
      </c>
      <c r="M2668" s="1" t="str">
        <f>VLOOKUP(L2668,'Copy of PMD Workday Constants -'!B2667:W3353,22,false)</f>
        <v>#N/A</v>
      </c>
      <c r="N2668" s="1" t="s">
        <v>32</v>
      </c>
      <c r="O2668" s="1" t="s">
        <v>33</v>
      </c>
      <c r="P2668" s="1" t="s">
        <v>112</v>
      </c>
      <c r="Q2668" s="1" t="s">
        <v>112</v>
      </c>
      <c r="R2668" s="1" t="s">
        <v>113</v>
      </c>
      <c r="T2668" s="1">
        <v>1.00694651E8</v>
      </c>
      <c r="W2668" s="1" t="s">
        <v>947</v>
      </c>
      <c r="X2668" s="1" t="s">
        <v>8127</v>
      </c>
    </row>
    <row r="2669">
      <c r="A2669" s="1" t="s">
        <v>8128</v>
      </c>
      <c r="B2669" s="1" t="s">
        <v>1531</v>
      </c>
      <c r="C2669" s="1" t="s">
        <v>8129</v>
      </c>
      <c r="D2669" s="1" t="s">
        <v>28</v>
      </c>
      <c r="E2669" s="1" t="s">
        <v>29</v>
      </c>
      <c r="F2669" s="5">
        <v>350000.0</v>
      </c>
      <c r="G2669" s="1" t="s">
        <v>7016</v>
      </c>
      <c r="H2669" s="4">
        <v>44257.0</v>
      </c>
      <c r="I2669" s="1" t="s">
        <v>1533</v>
      </c>
      <c r="K2669" s="1">
        <v>0.0</v>
      </c>
      <c r="L2669" s="1" t="s">
        <v>319</v>
      </c>
      <c r="M2669" s="1" t="str">
        <f>VLOOKUP(L2669,'Copy of PMD Workday Constants -'!B2668:W3354,22,false)</f>
        <v>#N/A</v>
      </c>
      <c r="N2669" s="1" t="s">
        <v>32</v>
      </c>
      <c r="O2669" s="1" t="s">
        <v>33</v>
      </c>
      <c r="P2669" s="1" t="s">
        <v>82</v>
      </c>
      <c r="Q2669" s="1" t="s">
        <v>82</v>
      </c>
      <c r="R2669" s="1" t="s">
        <v>83</v>
      </c>
      <c r="S2669" s="1" t="s">
        <v>84</v>
      </c>
      <c r="T2669" s="1">
        <v>1.00654705E8</v>
      </c>
      <c r="W2669" s="1" t="s">
        <v>85</v>
      </c>
      <c r="X2669" s="1" t="s">
        <v>319</v>
      </c>
    </row>
    <row r="2670">
      <c r="A2670" s="1" t="s">
        <v>8130</v>
      </c>
      <c r="B2670" s="1" t="s">
        <v>2641</v>
      </c>
      <c r="C2670" s="1" t="s">
        <v>8131</v>
      </c>
      <c r="D2670" s="1" t="s">
        <v>51</v>
      </c>
      <c r="E2670" s="1" t="s">
        <v>29</v>
      </c>
      <c r="F2670" s="5">
        <v>350000.0</v>
      </c>
      <c r="G2670" s="1" t="s">
        <v>7016</v>
      </c>
      <c r="H2670" s="1" t="s">
        <v>263</v>
      </c>
      <c r="I2670" s="1" t="s">
        <v>302</v>
      </c>
      <c r="K2670" s="1">
        <v>0.0</v>
      </c>
      <c r="L2670" s="1" t="s">
        <v>2970</v>
      </c>
      <c r="M2670" s="1" t="str">
        <f>VLOOKUP(L2670,'Copy of PMD Workday Constants -'!B2669:W3355,22,false)</f>
        <v>#N/A</v>
      </c>
      <c r="N2670" s="1" t="s">
        <v>32</v>
      </c>
      <c r="O2670" s="1" t="s">
        <v>33</v>
      </c>
      <c r="P2670" s="1" t="s">
        <v>173</v>
      </c>
      <c r="Q2670" s="1" t="s">
        <v>173</v>
      </c>
      <c r="R2670" s="1" t="s">
        <v>174</v>
      </c>
      <c r="S2670" s="1" t="s">
        <v>612</v>
      </c>
      <c r="T2670" s="1">
        <v>1.00616377E8</v>
      </c>
      <c r="W2670" s="1" t="s">
        <v>456</v>
      </c>
      <c r="X2670" s="1" t="s">
        <v>2970</v>
      </c>
    </row>
    <row r="2671">
      <c r="A2671" s="1" t="s">
        <v>8132</v>
      </c>
      <c r="B2671" s="1" t="s">
        <v>4687</v>
      </c>
      <c r="C2671" s="1" t="s">
        <v>8133</v>
      </c>
      <c r="D2671" s="1" t="s">
        <v>51</v>
      </c>
      <c r="E2671" s="1" t="s">
        <v>29</v>
      </c>
      <c r="F2671" s="5">
        <v>350000.0</v>
      </c>
      <c r="G2671" s="1" t="s">
        <v>7016</v>
      </c>
      <c r="H2671" s="1" t="s">
        <v>1287</v>
      </c>
      <c r="I2671" s="1" t="s">
        <v>80</v>
      </c>
      <c r="K2671" s="1">
        <v>0.0</v>
      </c>
      <c r="L2671" s="1" t="s">
        <v>4438</v>
      </c>
      <c r="M2671" s="1" t="str">
        <f>VLOOKUP(L2671,'Copy of PMD Workday Constants -'!B2670:W3356,22,false)</f>
        <v>#N/A</v>
      </c>
      <c r="N2671" s="1" t="s">
        <v>32</v>
      </c>
      <c r="O2671" s="1" t="s">
        <v>33</v>
      </c>
      <c r="P2671" s="1" t="s">
        <v>34</v>
      </c>
      <c r="Q2671" s="1" t="s">
        <v>34</v>
      </c>
      <c r="R2671" s="1" t="s">
        <v>35</v>
      </c>
      <c r="T2671" s="1">
        <v>1.01088701E8</v>
      </c>
      <c r="W2671" s="1" t="s">
        <v>74</v>
      </c>
      <c r="X2671" s="1" t="s">
        <v>1423</v>
      </c>
    </row>
    <row r="2672">
      <c r="A2672" s="1" t="s">
        <v>8134</v>
      </c>
      <c r="B2672" s="1" t="s">
        <v>3293</v>
      </c>
      <c r="C2672" s="1" t="s">
        <v>8135</v>
      </c>
      <c r="D2672" s="1" t="s">
        <v>28</v>
      </c>
      <c r="E2672" s="1" t="s">
        <v>29</v>
      </c>
      <c r="F2672" s="5">
        <v>350000.0</v>
      </c>
      <c r="G2672" s="1" t="s">
        <v>7016</v>
      </c>
      <c r="H2672" s="4">
        <v>44595.0</v>
      </c>
      <c r="I2672" s="1" t="s">
        <v>810</v>
      </c>
      <c r="K2672" s="1">
        <v>0.0</v>
      </c>
      <c r="L2672" s="1" t="s">
        <v>1739</v>
      </c>
      <c r="M2672" s="1" t="str">
        <f>VLOOKUP(L2672,'Copy of PMD Workday Constants -'!B2671:W3357,22,false)</f>
        <v>#N/A</v>
      </c>
      <c r="N2672" s="1" t="s">
        <v>32</v>
      </c>
      <c r="O2672" s="1" t="s">
        <v>33</v>
      </c>
      <c r="P2672" s="1" t="s">
        <v>210</v>
      </c>
      <c r="Q2672" s="1" t="s">
        <v>210</v>
      </c>
      <c r="R2672" s="1" t="s">
        <v>211</v>
      </c>
      <c r="S2672" s="1" t="s">
        <v>416</v>
      </c>
      <c r="T2672" s="1">
        <v>1.00964362E8</v>
      </c>
      <c r="W2672" s="1" t="s">
        <v>56</v>
      </c>
      <c r="X2672" s="1" t="s">
        <v>2569</v>
      </c>
    </row>
    <row r="2673">
      <c r="A2673" s="1" t="s">
        <v>8136</v>
      </c>
      <c r="B2673" s="1" t="s">
        <v>2152</v>
      </c>
      <c r="C2673" s="1" t="s">
        <v>2599</v>
      </c>
      <c r="D2673" s="1" t="s">
        <v>103</v>
      </c>
      <c r="E2673" s="1" t="s">
        <v>29</v>
      </c>
      <c r="F2673" s="5">
        <v>350000.0</v>
      </c>
      <c r="G2673" s="1" t="s">
        <v>7016</v>
      </c>
      <c r="H2673" s="1" t="s">
        <v>1341</v>
      </c>
      <c r="I2673" s="1" t="s">
        <v>191</v>
      </c>
      <c r="K2673" s="1">
        <v>0.0</v>
      </c>
      <c r="L2673" s="1" t="s">
        <v>1622</v>
      </c>
      <c r="M2673" s="1" t="str">
        <f>VLOOKUP(L2673,'Copy of PMD Workday Constants -'!B2672:W3358,22,false)</f>
        <v>#N/A</v>
      </c>
      <c r="N2673" s="1" t="s">
        <v>32</v>
      </c>
      <c r="O2673" s="1" t="s">
        <v>33</v>
      </c>
      <c r="P2673" s="1" t="s">
        <v>173</v>
      </c>
      <c r="Q2673" s="1" t="s">
        <v>173</v>
      </c>
      <c r="R2673" s="1" t="s">
        <v>174</v>
      </c>
      <c r="S2673" s="1" t="s">
        <v>153</v>
      </c>
      <c r="T2673" s="1">
        <v>1.00643454E8</v>
      </c>
      <c r="V2673" s="1" t="s">
        <v>67</v>
      </c>
      <c r="W2673" s="1" t="s">
        <v>456</v>
      </c>
      <c r="X2673" s="1" t="s">
        <v>1622</v>
      </c>
    </row>
    <row r="2674">
      <c r="A2674" s="1" t="s">
        <v>8137</v>
      </c>
      <c r="B2674" s="1" t="s">
        <v>1406</v>
      </c>
      <c r="C2674" s="1" t="s">
        <v>8138</v>
      </c>
      <c r="D2674" s="1" t="s">
        <v>51</v>
      </c>
      <c r="E2674" s="1" t="s">
        <v>29</v>
      </c>
      <c r="F2674" s="5">
        <v>350000.0</v>
      </c>
      <c r="G2674" s="1" t="s">
        <v>7016</v>
      </c>
      <c r="H2674" s="1" t="s">
        <v>1842</v>
      </c>
      <c r="I2674" s="4">
        <v>44568.0</v>
      </c>
      <c r="K2674" s="1">
        <v>0.0</v>
      </c>
      <c r="L2674" s="1" t="s">
        <v>1622</v>
      </c>
      <c r="M2674" s="1" t="str">
        <f>VLOOKUP(L2674,'Copy of PMD Workday Constants -'!B2673:W3359,22,false)</f>
        <v>#N/A</v>
      </c>
      <c r="N2674" s="1" t="s">
        <v>32</v>
      </c>
      <c r="O2674" s="1" t="s">
        <v>33</v>
      </c>
      <c r="P2674" s="1" t="s">
        <v>173</v>
      </c>
      <c r="Q2674" s="1" t="s">
        <v>173</v>
      </c>
      <c r="R2674" s="1" t="s">
        <v>174</v>
      </c>
      <c r="S2674" s="1" t="s">
        <v>612</v>
      </c>
      <c r="T2674" s="1">
        <v>1.00643454E8</v>
      </c>
      <c r="W2674" s="1" t="s">
        <v>140</v>
      </c>
      <c r="X2674" s="1" t="s">
        <v>3756</v>
      </c>
    </row>
    <row r="2675">
      <c r="A2675" s="1" t="s">
        <v>8139</v>
      </c>
      <c r="B2675" s="1" t="s">
        <v>160</v>
      </c>
      <c r="C2675" s="1" t="s">
        <v>8140</v>
      </c>
      <c r="D2675" s="1" t="s">
        <v>51</v>
      </c>
      <c r="E2675" s="1" t="s">
        <v>29</v>
      </c>
      <c r="F2675" s="5">
        <v>350000.0</v>
      </c>
      <c r="G2675" s="1" t="s">
        <v>7016</v>
      </c>
      <c r="H2675" s="1" t="s">
        <v>52</v>
      </c>
      <c r="I2675" s="1" t="s">
        <v>96</v>
      </c>
      <c r="K2675" s="1">
        <v>0.0</v>
      </c>
      <c r="L2675" s="1" t="s">
        <v>2472</v>
      </c>
      <c r="M2675" s="1" t="str">
        <f>VLOOKUP(L2675,'Copy of PMD Workday Constants -'!B2674:W3360,22,false)</f>
        <v>#N/A</v>
      </c>
      <c r="N2675" s="1" t="s">
        <v>32</v>
      </c>
      <c r="O2675" s="1" t="s">
        <v>33</v>
      </c>
      <c r="P2675" s="1" t="s">
        <v>222</v>
      </c>
      <c r="Q2675" s="1" t="s">
        <v>222</v>
      </c>
      <c r="R2675" s="1" t="s">
        <v>223</v>
      </c>
      <c r="S2675" s="1" t="s">
        <v>646</v>
      </c>
      <c r="T2675" s="1">
        <v>1.00892076E8</v>
      </c>
      <c r="W2675" s="1" t="s">
        <v>56</v>
      </c>
      <c r="X2675" s="1" t="s">
        <v>2472</v>
      </c>
    </row>
    <row r="2676">
      <c r="A2676" s="1" t="s">
        <v>8141</v>
      </c>
      <c r="B2676" s="1" t="s">
        <v>129</v>
      </c>
      <c r="C2676" s="1" t="s">
        <v>8142</v>
      </c>
      <c r="D2676" s="1" t="s">
        <v>28</v>
      </c>
      <c r="E2676" s="1" t="s">
        <v>29</v>
      </c>
      <c r="F2676" s="5">
        <v>350000.0</v>
      </c>
      <c r="G2676" s="1" t="s">
        <v>7016</v>
      </c>
      <c r="H2676" s="4">
        <v>44716.0</v>
      </c>
      <c r="I2676" s="1" t="s">
        <v>96</v>
      </c>
      <c r="K2676" s="1">
        <v>0.0</v>
      </c>
      <c r="L2676" s="1" t="s">
        <v>184</v>
      </c>
      <c r="M2676" s="1" t="str">
        <f>VLOOKUP(L2676,'Copy of PMD Workday Constants -'!B2675:W3361,22,false)</f>
        <v>#N/A</v>
      </c>
      <c r="N2676" s="1" t="s">
        <v>32</v>
      </c>
      <c r="O2676" s="1" t="s">
        <v>33</v>
      </c>
      <c r="P2676" s="1" t="s">
        <v>64</v>
      </c>
      <c r="Q2676" s="1" t="s">
        <v>64</v>
      </c>
      <c r="R2676" s="1" t="s">
        <v>65</v>
      </c>
      <c r="S2676" s="1" t="s">
        <v>185</v>
      </c>
      <c r="T2676" s="1">
        <v>1.00589741E8</v>
      </c>
      <c r="W2676" s="1" t="s">
        <v>74</v>
      </c>
      <c r="X2676" s="1" t="s">
        <v>8143</v>
      </c>
    </row>
    <row r="2677">
      <c r="A2677" s="1" t="s">
        <v>8144</v>
      </c>
      <c r="B2677" s="1" t="s">
        <v>3293</v>
      </c>
      <c r="C2677" s="1" t="s">
        <v>8145</v>
      </c>
      <c r="D2677" s="1" t="s">
        <v>51</v>
      </c>
      <c r="E2677" s="1" t="s">
        <v>29</v>
      </c>
      <c r="F2677" s="5">
        <v>350000.0</v>
      </c>
      <c r="G2677" s="1" t="s">
        <v>7016</v>
      </c>
      <c r="H2677" s="1" t="s">
        <v>1055</v>
      </c>
      <c r="I2677" s="1" t="s">
        <v>80</v>
      </c>
      <c r="K2677" s="1">
        <v>0.0</v>
      </c>
      <c r="L2677" s="1" t="s">
        <v>3333</v>
      </c>
      <c r="M2677" s="1" t="str">
        <f>VLOOKUP(L2677,'Copy of PMD Workday Constants -'!B2676:W3362,22,false)</f>
        <v>#N/A</v>
      </c>
      <c r="N2677" s="1" t="s">
        <v>32</v>
      </c>
      <c r="O2677" s="1" t="s">
        <v>33</v>
      </c>
      <c r="P2677" s="1" t="s">
        <v>210</v>
      </c>
      <c r="Q2677" s="1" t="s">
        <v>210</v>
      </c>
      <c r="R2677" s="1" t="s">
        <v>211</v>
      </c>
      <c r="S2677" s="1" t="s">
        <v>212</v>
      </c>
      <c r="T2677" s="1">
        <v>1.00636461E8</v>
      </c>
      <c r="W2677" s="1" t="s">
        <v>56</v>
      </c>
      <c r="X2677" s="1" t="s">
        <v>3333</v>
      </c>
    </row>
    <row r="2678">
      <c r="A2678" s="1" t="s">
        <v>8146</v>
      </c>
      <c r="B2678" s="1" t="s">
        <v>4238</v>
      </c>
      <c r="C2678" s="1" t="s">
        <v>8147</v>
      </c>
      <c r="D2678" s="1" t="s">
        <v>51</v>
      </c>
      <c r="E2678" s="1" t="s">
        <v>29</v>
      </c>
      <c r="F2678" s="5">
        <v>350000.0</v>
      </c>
      <c r="G2678" s="1" t="s">
        <v>7016</v>
      </c>
      <c r="H2678" s="4">
        <v>44626.0</v>
      </c>
      <c r="I2678" s="1" t="s">
        <v>217</v>
      </c>
      <c r="K2678" s="1">
        <v>0.0</v>
      </c>
      <c r="L2678" s="1" t="s">
        <v>4240</v>
      </c>
      <c r="M2678" s="1" t="str">
        <f>VLOOKUP(L2678,'Copy of PMD Workday Constants -'!B2677:W3363,22,false)</f>
        <v>#N/A</v>
      </c>
      <c r="N2678" s="1" t="s">
        <v>32</v>
      </c>
      <c r="O2678" s="1" t="s">
        <v>33</v>
      </c>
      <c r="P2678" s="1" t="s">
        <v>210</v>
      </c>
      <c r="Q2678" s="1" t="s">
        <v>210</v>
      </c>
      <c r="R2678" s="1" t="s">
        <v>211</v>
      </c>
      <c r="T2678" s="1">
        <v>1.00625459E8</v>
      </c>
      <c r="W2678" s="1" t="s">
        <v>258</v>
      </c>
      <c r="X2678" s="1" t="s">
        <v>5691</v>
      </c>
    </row>
    <row r="2679">
      <c r="A2679" s="1" t="s">
        <v>8148</v>
      </c>
      <c r="B2679" s="1" t="s">
        <v>725</v>
      </c>
      <c r="C2679" s="1" t="s">
        <v>8149</v>
      </c>
      <c r="D2679" s="1" t="s">
        <v>103</v>
      </c>
      <c r="E2679" s="1" t="s">
        <v>29</v>
      </c>
      <c r="F2679" s="5">
        <v>350000.0</v>
      </c>
      <c r="G2679" s="1" t="s">
        <v>7016</v>
      </c>
      <c r="H2679" s="4">
        <v>44626.0</v>
      </c>
      <c r="I2679" s="1" t="s">
        <v>96</v>
      </c>
      <c r="K2679" s="1">
        <v>0.0</v>
      </c>
      <c r="L2679" s="1" t="s">
        <v>728</v>
      </c>
      <c r="M2679" s="1" t="str">
        <f>VLOOKUP(L2679,'Copy of PMD Workday Constants -'!B2678:W3364,22,false)</f>
        <v>#N/A</v>
      </c>
      <c r="N2679" s="1" t="s">
        <v>32</v>
      </c>
      <c r="O2679" s="1" t="s">
        <v>33</v>
      </c>
      <c r="P2679" s="1" t="s">
        <v>210</v>
      </c>
      <c r="Q2679" s="1" t="s">
        <v>210</v>
      </c>
      <c r="R2679" s="1" t="s">
        <v>211</v>
      </c>
      <c r="S2679" s="1" t="s">
        <v>212</v>
      </c>
      <c r="T2679" s="1">
        <v>1.00899005E8</v>
      </c>
      <c r="W2679" s="1" t="s">
        <v>56</v>
      </c>
      <c r="X2679" s="1" t="s">
        <v>729</v>
      </c>
    </row>
    <row r="2680">
      <c r="A2680" s="1" t="s">
        <v>8150</v>
      </c>
      <c r="B2680" s="1" t="s">
        <v>5012</v>
      </c>
      <c r="C2680" s="1" t="s">
        <v>8151</v>
      </c>
      <c r="D2680" s="1" t="s">
        <v>28</v>
      </c>
      <c r="E2680" s="1" t="s">
        <v>29</v>
      </c>
      <c r="F2680" s="5">
        <v>350000.0</v>
      </c>
      <c r="G2680" s="1" t="s">
        <v>7016</v>
      </c>
      <c r="H2680" s="1" t="s">
        <v>1842</v>
      </c>
      <c r="I2680" s="1" t="s">
        <v>96</v>
      </c>
      <c r="K2680" s="1">
        <v>0.0</v>
      </c>
      <c r="L2680" s="1" t="s">
        <v>3617</v>
      </c>
      <c r="M2680" s="1" t="str">
        <f>VLOOKUP(L2680,'Copy of PMD Workday Constants -'!B2679:W3365,22,false)</f>
        <v>#N/A</v>
      </c>
      <c r="N2680" s="1" t="s">
        <v>32</v>
      </c>
      <c r="O2680" s="1" t="s">
        <v>33</v>
      </c>
      <c r="P2680" s="1" t="s">
        <v>173</v>
      </c>
      <c r="Q2680" s="1" t="s">
        <v>173</v>
      </c>
      <c r="R2680" s="1" t="s">
        <v>174</v>
      </c>
      <c r="T2680" s="1">
        <v>1.00574828E8</v>
      </c>
      <c r="W2680" s="1" t="s">
        <v>85</v>
      </c>
      <c r="X2680" s="1" t="s">
        <v>5014</v>
      </c>
    </row>
    <row r="2681">
      <c r="A2681" s="1" t="s">
        <v>8152</v>
      </c>
      <c r="B2681" s="1" t="s">
        <v>8153</v>
      </c>
      <c r="C2681" s="1" t="s">
        <v>8154</v>
      </c>
      <c r="D2681" s="1" t="s">
        <v>103</v>
      </c>
      <c r="E2681" s="1" t="s">
        <v>29</v>
      </c>
      <c r="F2681" s="5">
        <v>350000.0</v>
      </c>
      <c r="G2681" s="1" t="s">
        <v>7016</v>
      </c>
      <c r="H2681" s="1" t="s">
        <v>4625</v>
      </c>
      <c r="I2681" s="1" t="s">
        <v>132</v>
      </c>
      <c r="K2681" s="1">
        <v>0.0</v>
      </c>
      <c r="L2681" s="1" t="s">
        <v>2970</v>
      </c>
      <c r="M2681" s="1" t="str">
        <f>VLOOKUP(L2681,'Copy of PMD Workday Constants -'!B2680:W3366,22,false)</f>
        <v>#N/A</v>
      </c>
      <c r="N2681" s="1" t="s">
        <v>32</v>
      </c>
      <c r="O2681" s="1" t="s">
        <v>33</v>
      </c>
      <c r="P2681" s="1" t="s">
        <v>173</v>
      </c>
      <c r="Q2681" s="1" t="s">
        <v>173</v>
      </c>
      <c r="R2681" s="1" t="s">
        <v>174</v>
      </c>
      <c r="S2681" s="1" t="s">
        <v>612</v>
      </c>
      <c r="T2681" s="1">
        <v>1.00616377E8</v>
      </c>
      <c r="W2681" s="1" t="s">
        <v>74</v>
      </c>
      <c r="X2681" s="1" t="s">
        <v>3124</v>
      </c>
    </row>
    <row r="2682">
      <c r="A2682" s="1" t="s">
        <v>8155</v>
      </c>
      <c r="B2682" s="1" t="s">
        <v>3529</v>
      </c>
      <c r="C2682" s="1" t="s">
        <v>8156</v>
      </c>
      <c r="D2682" s="1" t="s">
        <v>51</v>
      </c>
      <c r="E2682" s="1" t="s">
        <v>29</v>
      </c>
      <c r="F2682" s="5">
        <v>350000.0</v>
      </c>
      <c r="G2682" s="1" t="s">
        <v>7016</v>
      </c>
      <c r="H2682" s="4">
        <v>44441.0</v>
      </c>
      <c r="I2682" s="1" t="s">
        <v>80</v>
      </c>
      <c r="K2682" s="1">
        <v>0.0</v>
      </c>
      <c r="L2682" s="1" t="s">
        <v>4490</v>
      </c>
      <c r="M2682" s="1" t="str">
        <f>VLOOKUP(L2682,'Copy of PMD Workday Constants -'!B2681:W3367,22,false)</f>
        <v>#N/A</v>
      </c>
      <c r="N2682" s="1" t="s">
        <v>32</v>
      </c>
      <c r="O2682" s="1" t="s">
        <v>33</v>
      </c>
      <c r="P2682" s="1" t="s">
        <v>54</v>
      </c>
      <c r="Q2682" s="1" t="s">
        <v>54</v>
      </c>
      <c r="R2682" s="1" t="s">
        <v>55</v>
      </c>
      <c r="S2682" s="1" t="s">
        <v>654</v>
      </c>
      <c r="T2682" s="1">
        <v>1.00646804E8</v>
      </c>
      <c r="W2682" s="1" t="s">
        <v>258</v>
      </c>
      <c r="X2682" s="1" t="s">
        <v>2847</v>
      </c>
    </row>
    <row r="2683">
      <c r="A2683" s="1" t="s">
        <v>8157</v>
      </c>
      <c r="B2683" s="1" t="s">
        <v>8158</v>
      </c>
      <c r="C2683" s="1" t="s">
        <v>8159</v>
      </c>
      <c r="D2683" s="1" t="s">
        <v>28</v>
      </c>
      <c r="E2683" s="1" t="s">
        <v>29</v>
      </c>
      <c r="F2683" s="5">
        <v>350000.0</v>
      </c>
      <c r="G2683" s="1" t="s">
        <v>7016</v>
      </c>
      <c r="H2683" s="4">
        <v>44682.0</v>
      </c>
      <c r="I2683" s="1" t="s">
        <v>526</v>
      </c>
      <c r="K2683" s="1">
        <v>0.0</v>
      </c>
      <c r="L2683" s="1" t="s">
        <v>454</v>
      </c>
      <c r="M2683" s="1" t="str">
        <f>VLOOKUP(L2683,'Copy of PMD Workday Constants -'!B2682:W3368,22,false)</f>
        <v>#N/A</v>
      </c>
      <c r="N2683" s="1" t="s">
        <v>32</v>
      </c>
      <c r="O2683" s="1" t="s">
        <v>33</v>
      </c>
      <c r="P2683" s="1" t="s">
        <v>112</v>
      </c>
      <c r="Q2683" s="1" t="s">
        <v>112</v>
      </c>
      <c r="R2683" s="1" t="s">
        <v>113</v>
      </c>
      <c r="S2683" s="1" t="s">
        <v>455</v>
      </c>
      <c r="T2683" s="1">
        <v>1.00611486E8</v>
      </c>
      <c r="W2683" s="1" t="s">
        <v>456</v>
      </c>
      <c r="X2683" s="1" t="s">
        <v>2740</v>
      </c>
    </row>
    <row r="2684">
      <c r="A2684" s="1" t="s">
        <v>8160</v>
      </c>
      <c r="B2684" s="1" t="s">
        <v>2108</v>
      </c>
      <c r="C2684" s="1" t="s">
        <v>8161</v>
      </c>
      <c r="D2684" s="1" t="s">
        <v>51</v>
      </c>
      <c r="E2684" s="1" t="s">
        <v>29</v>
      </c>
      <c r="F2684" s="5">
        <v>350000.0</v>
      </c>
      <c r="G2684" s="1" t="s">
        <v>7016</v>
      </c>
      <c r="H2684" s="1" t="s">
        <v>1245</v>
      </c>
      <c r="I2684" s="1" t="s">
        <v>104</v>
      </c>
      <c r="K2684" s="1">
        <v>0.0</v>
      </c>
      <c r="L2684" s="1" t="s">
        <v>8162</v>
      </c>
      <c r="M2684" s="1" t="str">
        <f>VLOOKUP(L2684,'Copy of PMD Workday Constants -'!B2683:W3369,22,false)</f>
        <v>#N/A</v>
      </c>
      <c r="N2684" s="1" t="s">
        <v>32</v>
      </c>
      <c r="O2684" s="1" t="s">
        <v>33</v>
      </c>
      <c r="P2684" s="1" t="s">
        <v>222</v>
      </c>
      <c r="Q2684" s="1" t="s">
        <v>222</v>
      </c>
      <c r="R2684" s="1" t="s">
        <v>223</v>
      </c>
      <c r="T2684" s="1">
        <v>1.00707861E8</v>
      </c>
      <c r="W2684" s="1" t="s">
        <v>456</v>
      </c>
      <c r="X2684" s="1" t="s">
        <v>8162</v>
      </c>
    </row>
    <row r="2685">
      <c r="A2685" s="1" t="s">
        <v>8163</v>
      </c>
      <c r="B2685" s="1" t="s">
        <v>5884</v>
      </c>
      <c r="C2685" s="1" t="s">
        <v>8164</v>
      </c>
      <c r="D2685" s="1" t="s">
        <v>103</v>
      </c>
      <c r="E2685" s="1" t="s">
        <v>29</v>
      </c>
      <c r="F2685" s="5">
        <v>350000.0</v>
      </c>
      <c r="G2685" s="1" t="s">
        <v>7016</v>
      </c>
      <c r="H2685" s="4">
        <v>44682.0</v>
      </c>
      <c r="I2685" s="1" t="s">
        <v>80</v>
      </c>
      <c r="K2685" s="1">
        <v>0.0</v>
      </c>
      <c r="L2685" s="1" t="s">
        <v>2417</v>
      </c>
      <c r="M2685" s="1" t="str">
        <f>VLOOKUP(L2685,'Copy of PMD Workday Constants -'!B2684:W3370,22,false)</f>
        <v>#N/A</v>
      </c>
      <c r="N2685" s="1" t="s">
        <v>32</v>
      </c>
      <c r="O2685" s="1" t="s">
        <v>33</v>
      </c>
      <c r="P2685" s="1" t="s">
        <v>34</v>
      </c>
      <c r="Q2685" s="1" t="s">
        <v>34</v>
      </c>
      <c r="R2685" s="1" t="s">
        <v>35</v>
      </c>
      <c r="T2685" s="1">
        <v>1.00642238E8</v>
      </c>
      <c r="W2685" s="1" t="s">
        <v>258</v>
      </c>
      <c r="X2685" s="1" t="s">
        <v>4651</v>
      </c>
    </row>
    <row r="2686">
      <c r="A2686" s="1" t="s">
        <v>8165</v>
      </c>
      <c r="B2686" s="1" t="s">
        <v>776</v>
      </c>
      <c r="C2686" s="1" t="s">
        <v>8166</v>
      </c>
      <c r="D2686" s="1" t="s">
        <v>103</v>
      </c>
      <c r="E2686" s="1" t="s">
        <v>29</v>
      </c>
      <c r="F2686" s="5">
        <v>350000.0</v>
      </c>
      <c r="G2686" s="1" t="s">
        <v>7016</v>
      </c>
      <c r="H2686" s="1" t="s">
        <v>4625</v>
      </c>
      <c r="I2686" s="1" t="s">
        <v>80</v>
      </c>
      <c r="K2686" s="1">
        <v>0.0</v>
      </c>
      <c r="L2686" s="1" t="s">
        <v>244</v>
      </c>
      <c r="M2686" s="1" t="str">
        <f>VLOOKUP(L2686,'Copy of PMD Workday Constants -'!B2685:W3371,22,false)</f>
        <v>#N/A</v>
      </c>
      <c r="N2686" s="1" t="s">
        <v>32</v>
      </c>
      <c r="O2686" s="1" t="s">
        <v>33</v>
      </c>
      <c r="P2686" s="1" t="s">
        <v>34</v>
      </c>
      <c r="Q2686" s="1" t="s">
        <v>34</v>
      </c>
      <c r="R2686" s="1" t="s">
        <v>35</v>
      </c>
      <c r="T2686" s="1">
        <v>1.00617853E8</v>
      </c>
      <c r="W2686" s="1" t="s">
        <v>74</v>
      </c>
      <c r="X2686" s="1" t="s">
        <v>244</v>
      </c>
    </row>
    <row r="2687">
      <c r="A2687" s="1" t="s">
        <v>8167</v>
      </c>
      <c r="B2687" s="1" t="s">
        <v>8168</v>
      </c>
      <c r="C2687" s="1" t="s">
        <v>8169</v>
      </c>
      <c r="D2687" s="1" t="s">
        <v>103</v>
      </c>
      <c r="E2687" s="1" t="s">
        <v>29</v>
      </c>
      <c r="F2687" s="5">
        <v>349500.0</v>
      </c>
      <c r="G2687" s="1" t="s">
        <v>7016</v>
      </c>
      <c r="H2687" s="1" t="s">
        <v>283</v>
      </c>
      <c r="I2687" s="1" t="s">
        <v>80</v>
      </c>
      <c r="K2687" s="1">
        <v>0.0</v>
      </c>
      <c r="L2687" s="1" t="s">
        <v>2097</v>
      </c>
      <c r="M2687" s="1" t="str">
        <f>VLOOKUP(L2687,'Copy of PMD Workday Constants -'!B2686:W3372,22,false)</f>
        <v>#N/A</v>
      </c>
      <c r="N2687" s="1" t="s">
        <v>32</v>
      </c>
      <c r="O2687" s="1" t="s">
        <v>33</v>
      </c>
      <c r="P2687" s="1" t="s">
        <v>82</v>
      </c>
      <c r="Q2687" s="1" t="s">
        <v>82</v>
      </c>
      <c r="R2687" s="1" t="s">
        <v>83</v>
      </c>
      <c r="S2687" s="1" t="s">
        <v>180</v>
      </c>
      <c r="T2687" s="1">
        <v>1.00619607E8</v>
      </c>
      <c r="W2687" s="1" t="s">
        <v>85</v>
      </c>
      <c r="X2687" s="1" t="s">
        <v>2097</v>
      </c>
    </row>
    <row r="2688">
      <c r="A2688" s="1" t="s">
        <v>8170</v>
      </c>
      <c r="B2688" s="1" t="s">
        <v>631</v>
      </c>
      <c r="C2688" s="1" t="s">
        <v>8171</v>
      </c>
      <c r="D2688" s="1" t="s">
        <v>103</v>
      </c>
      <c r="E2688" s="1" t="s">
        <v>29</v>
      </c>
      <c r="F2688" s="5">
        <v>349220.0</v>
      </c>
      <c r="G2688" s="1" t="s">
        <v>7016</v>
      </c>
      <c r="H2688" s="1" t="s">
        <v>1064</v>
      </c>
      <c r="I2688" s="1" t="s">
        <v>191</v>
      </c>
      <c r="K2688" s="1">
        <v>0.0</v>
      </c>
      <c r="L2688" s="1" t="s">
        <v>3969</v>
      </c>
      <c r="M2688" s="1" t="str">
        <f>VLOOKUP(L2688,'Copy of PMD Workday Constants -'!B2687:W3373,22,false)</f>
        <v>#N/A</v>
      </c>
      <c r="N2688" s="1" t="s">
        <v>32</v>
      </c>
      <c r="O2688" s="1" t="s">
        <v>33</v>
      </c>
      <c r="P2688" s="1" t="s">
        <v>34</v>
      </c>
      <c r="Q2688" s="1" t="s">
        <v>34</v>
      </c>
      <c r="R2688" s="1" t="s">
        <v>35</v>
      </c>
      <c r="S2688" s="1" t="s">
        <v>36</v>
      </c>
      <c r="T2688" s="1">
        <v>1.00592741E8</v>
      </c>
      <c r="U2688" s="1" t="s">
        <v>3970</v>
      </c>
      <c r="V2688" s="1" t="s">
        <v>781</v>
      </c>
      <c r="W2688" s="1" t="s">
        <v>37</v>
      </c>
      <c r="X2688" s="1" t="s">
        <v>3971</v>
      </c>
    </row>
    <row r="2689">
      <c r="A2689" s="1" t="s">
        <v>8172</v>
      </c>
      <c r="B2689" s="1" t="s">
        <v>2575</v>
      </c>
      <c r="C2689" s="1" t="s">
        <v>8173</v>
      </c>
      <c r="D2689" s="1" t="s">
        <v>28</v>
      </c>
      <c r="E2689" s="1" t="s">
        <v>29</v>
      </c>
      <c r="F2689" s="5">
        <v>349000.0</v>
      </c>
      <c r="G2689" s="1" t="s">
        <v>7016</v>
      </c>
      <c r="H2689" s="4">
        <v>44871.0</v>
      </c>
      <c r="I2689" s="1" t="s">
        <v>617</v>
      </c>
      <c r="K2689" s="1">
        <v>0.0</v>
      </c>
      <c r="L2689" s="1" t="s">
        <v>8174</v>
      </c>
      <c r="M2689" s="1" t="str">
        <f>VLOOKUP(L2689,'Copy of PMD Workday Constants -'!B2688:W3374,22,false)</f>
        <v>#N/A</v>
      </c>
      <c r="N2689" s="1" t="s">
        <v>32</v>
      </c>
      <c r="O2689" s="1" t="s">
        <v>33</v>
      </c>
      <c r="P2689" s="1" t="s">
        <v>82</v>
      </c>
      <c r="Q2689" s="1" t="s">
        <v>82</v>
      </c>
      <c r="R2689" s="1" t="s">
        <v>83</v>
      </c>
      <c r="S2689" s="1" t="s">
        <v>180</v>
      </c>
      <c r="T2689" s="1">
        <v>1.00609615E8</v>
      </c>
      <c r="W2689" s="1" t="s">
        <v>85</v>
      </c>
      <c r="X2689" s="1" t="s">
        <v>5126</v>
      </c>
    </row>
    <row r="2690">
      <c r="A2690" s="1" t="s">
        <v>8175</v>
      </c>
      <c r="B2690" s="1" t="s">
        <v>931</v>
      </c>
      <c r="C2690" s="1" t="s">
        <v>8176</v>
      </c>
      <c r="D2690" s="1" t="s">
        <v>51</v>
      </c>
      <c r="E2690" s="1" t="s">
        <v>29</v>
      </c>
      <c r="F2690" s="5">
        <v>347000.0</v>
      </c>
      <c r="G2690" s="1" t="s">
        <v>7016</v>
      </c>
      <c r="H2690" s="4">
        <v>44598.0</v>
      </c>
      <c r="I2690" s="1" t="s">
        <v>152</v>
      </c>
      <c r="K2690" s="1">
        <v>0.0</v>
      </c>
      <c r="L2690" s="1" t="s">
        <v>2556</v>
      </c>
      <c r="M2690" s="1" t="str">
        <f>VLOOKUP(L2690,'Copy of PMD Workday Constants -'!B2689:W3375,22,false)</f>
        <v>#N/A</v>
      </c>
      <c r="N2690" s="1" t="s">
        <v>32</v>
      </c>
      <c r="O2690" s="1" t="s">
        <v>33</v>
      </c>
      <c r="P2690" s="1" t="s">
        <v>82</v>
      </c>
      <c r="Q2690" s="1" t="s">
        <v>82</v>
      </c>
      <c r="R2690" s="1" t="s">
        <v>83</v>
      </c>
      <c r="S2690" s="1" t="s">
        <v>84</v>
      </c>
      <c r="T2690" s="1">
        <v>1.01082364E8</v>
      </c>
      <c r="W2690" s="1" t="s">
        <v>85</v>
      </c>
      <c r="X2690" s="1" t="s">
        <v>5242</v>
      </c>
    </row>
    <row r="2691">
      <c r="A2691" s="1" t="s">
        <v>8177</v>
      </c>
      <c r="B2691" s="1" t="s">
        <v>129</v>
      </c>
      <c r="C2691" s="1" t="s">
        <v>8178</v>
      </c>
      <c r="D2691" s="1" t="s">
        <v>51</v>
      </c>
      <c r="E2691" s="1" t="s">
        <v>29</v>
      </c>
      <c r="F2691" s="5">
        <v>347000.0</v>
      </c>
      <c r="G2691" s="1" t="s">
        <v>7016</v>
      </c>
      <c r="H2691" s="4">
        <v>44654.0</v>
      </c>
      <c r="I2691" s="4">
        <v>44689.0</v>
      </c>
      <c r="K2691" s="1">
        <v>0.0</v>
      </c>
      <c r="L2691" s="1" t="s">
        <v>2699</v>
      </c>
      <c r="M2691" s="1" t="str">
        <f>VLOOKUP(L2691,'Copy of PMD Workday Constants -'!B2690:W3376,22,false)</f>
        <v>#N/A</v>
      </c>
      <c r="N2691" s="1" t="s">
        <v>32</v>
      </c>
      <c r="O2691" s="1" t="s">
        <v>33</v>
      </c>
      <c r="P2691" s="1" t="s">
        <v>34</v>
      </c>
      <c r="Q2691" s="1" t="s">
        <v>34</v>
      </c>
      <c r="R2691" s="1" t="s">
        <v>35</v>
      </c>
      <c r="S2691" s="1" t="s">
        <v>126</v>
      </c>
      <c r="T2691" s="1">
        <v>1.00610367E8</v>
      </c>
      <c r="W2691" s="1" t="s">
        <v>74</v>
      </c>
      <c r="X2691" s="1" t="s">
        <v>8179</v>
      </c>
    </row>
    <row r="2692">
      <c r="A2692" s="1" t="s">
        <v>8180</v>
      </c>
      <c r="B2692" s="1" t="s">
        <v>776</v>
      </c>
      <c r="C2692" s="1" t="s">
        <v>8181</v>
      </c>
      <c r="D2692" s="1" t="s">
        <v>51</v>
      </c>
      <c r="E2692" s="1" t="s">
        <v>29</v>
      </c>
      <c r="F2692" s="5">
        <v>346000.0</v>
      </c>
      <c r="G2692" s="1" t="s">
        <v>7016</v>
      </c>
      <c r="H2692" s="1" t="s">
        <v>3324</v>
      </c>
      <c r="I2692" s="1" t="s">
        <v>80</v>
      </c>
      <c r="K2692" s="1">
        <v>0.0</v>
      </c>
      <c r="L2692" s="1" t="s">
        <v>779</v>
      </c>
      <c r="M2692" s="1" t="str">
        <f>VLOOKUP(L2692,'Copy of PMD Workday Constants -'!B2691:W3377,22,false)</f>
        <v>#N/A</v>
      </c>
      <c r="N2692" s="1" t="s">
        <v>32</v>
      </c>
      <c r="O2692" s="1" t="s">
        <v>33</v>
      </c>
      <c r="P2692" s="1" t="s">
        <v>222</v>
      </c>
      <c r="Q2692" s="1" t="s">
        <v>222</v>
      </c>
      <c r="R2692" s="1" t="s">
        <v>223</v>
      </c>
      <c r="S2692" s="1" t="s">
        <v>601</v>
      </c>
      <c r="T2692" s="1">
        <v>1.0061139E8</v>
      </c>
      <c r="W2692" s="1" t="s">
        <v>74</v>
      </c>
      <c r="X2692" s="1" t="s">
        <v>4184</v>
      </c>
    </row>
    <row r="2693">
      <c r="A2693" s="1" t="s">
        <v>8182</v>
      </c>
      <c r="B2693" s="1" t="s">
        <v>8183</v>
      </c>
      <c r="C2693" s="1" t="s">
        <v>8184</v>
      </c>
      <c r="D2693" s="1" t="s">
        <v>79</v>
      </c>
      <c r="E2693" s="1" t="s">
        <v>29</v>
      </c>
      <c r="F2693" s="5">
        <v>340000.0</v>
      </c>
      <c r="G2693" s="1" t="s">
        <v>7016</v>
      </c>
      <c r="H2693" s="4">
        <v>44477.0</v>
      </c>
      <c r="I2693" s="1" t="s">
        <v>80</v>
      </c>
      <c r="K2693" s="1">
        <v>0.0</v>
      </c>
      <c r="L2693" s="1" t="s">
        <v>5005</v>
      </c>
      <c r="M2693" s="1" t="str">
        <f>VLOOKUP(L2693,'Copy of PMD Workday Constants -'!B2692:W3378,22,false)</f>
        <v>#N/A</v>
      </c>
      <c r="N2693" s="1" t="s">
        <v>32</v>
      </c>
      <c r="O2693" s="1" t="s">
        <v>33</v>
      </c>
      <c r="P2693" s="1" t="s">
        <v>82</v>
      </c>
      <c r="Q2693" s="1" t="s">
        <v>82</v>
      </c>
      <c r="R2693" s="1" t="s">
        <v>83</v>
      </c>
      <c r="S2693" s="1" t="s">
        <v>180</v>
      </c>
      <c r="T2693" s="1">
        <v>1.00615814E8</v>
      </c>
      <c r="W2693" s="1" t="s">
        <v>85</v>
      </c>
      <c r="X2693" s="1" t="s">
        <v>5126</v>
      </c>
    </row>
    <row r="2694">
      <c r="A2694" s="1" t="s">
        <v>8185</v>
      </c>
      <c r="B2694" s="1" t="s">
        <v>907</v>
      </c>
      <c r="C2694" s="1" t="s">
        <v>8186</v>
      </c>
      <c r="D2694" s="1" t="s">
        <v>51</v>
      </c>
      <c r="E2694" s="1" t="s">
        <v>29</v>
      </c>
      <c r="F2694" s="5">
        <v>340000.0</v>
      </c>
      <c r="G2694" s="1" t="s">
        <v>7016</v>
      </c>
      <c r="H2694" s="4">
        <v>44203.0</v>
      </c>
      <c r="I2694" s="1" t="s">
        <v>732</v>
      </c>
      <c r="K2694" s="1">
        <v>0.0</v>
      </c>
      <c r="L2694" s="1" t="s">
        <v>3784</v>
      </c>
      <c r="M2694" s="1" t="str">
        <f>VLOOKUP(L2694,'Copy of PMD Workday Constants -'!B2693:W3379,22,false)</f>
        <v>#N/A</v>
      </c>
      <c r="N2694" s="1" t="s">
        <v>32</v>
      </c>
      <c r="O2694" s="1" t="s">
        <v>33</v>
      </c>
      <c r="P2694" s="1" t="s">
        <v>210</v>
      </c>
      <c r="Q2694" s="1" t="s">
        <v>210</v>
      </c>
      <c r="R2694" s="1" t="s">
        <v>211</v>
      </c>
      <c r="S2694" s="1" t="s">
        <v>416</v>
      </c>
      <c r="T2694" s="1">
        <v>1.00637651E8</v>
      </c>
      <c r="W2694" s="1" t="s">
        <v>140</v>
      </c>
      <c r="X2694" s="1" t="s">
        <v>8187</v>
      </c>
    </row>
    <row r="2695">
      <c r="A2695" s="1" t="s">
        <v>8188</v>
      </c>
      <c r="B2695" s="1" t="s">
        <v>2670</v>
      </c>
      <c r="C2695" s="1" t="s">
        <v>8189</v>
      </c>
      <c r="D2695" s="1" t="s">
        <v>28</v>
      </c>
      <c r="E2695" s="1" t="s">
        <v>29</v>
      </c>
      <c r="F2695" s="5">
        <v>340000.0</v>
      </c>
      <c r="G2695" s="1" t="s">
        <v>7016</v>
      </c>
      <c r="H2695" s="1" t="s">
        <v>1474</v>
      </c>
      <c r="I2695" s="1" t="s">
        <v>152</v>
      </c>
      <c r="K2695" s="1">
        <v>0.0</v>
      </c>
      <c r="L2695" s="1" t="s">
        <v>2672</v>
      </c>
      <c r="M2695" s="1" t="str">
        <f>VLOOKUP(L2695,'Copy of PMD Workday Constants -'!B2694:W3380,22,false)</f>
        <v>#N/A</v>
      </c>
      <c r="N2695" s="1" t="s">
        <v>32</v>
      </c>
      <c r="O2695" s="1" t="s">
        <v>33</v>
      </c>
      <c r="P2695" s="1" t="s">
        <v>173</v>
      </c>
      <c r="Q2695" s="1" t="s">
        <v>173</v>
      </c>
      <c r="R2695" s="1" t="s">
        <v>174</v>
      </c>
      <c r="T2695" s="1">
        <v>1.00607244E8</v>
      </c>
      <c r="W2695" s="1" t="s">
        <v>493</v>
      </c>
      <c r="X2695" s="1" t="s">
        <v>4427</v>
      </c>
    </row>
    <row r="2696">
      <c r="A2696" s="1" t="s">
        <v>8190</v>
      </c>
      <c r="B2696" s="1" t="s">
        <v>8191</v>
      </c>
      <c r="C2696" s="1" t="s">
        <v>8192</v>
      </c>
      <c r="D2696" s="1" t="s">
        <v>103</v>
      </c>
      <c r="E2696" s="1" t="s">
        <v>29</v>
      </c>
      <c r="F2696" s="5">
        <v>337000.0</v>
      </c>
      <c r="G2696" s="1" t="s">
        <v>7016</v>
      </c>
      <c r="H2696" s="4">
        <v>44837.0</v>
      </c>
      <c r="I2696" s="4">
        <v>45295.0</v>
      </c>
      <c r="K2696" s="1">
        <v>0.0</v>
      </c>
      <c r="L2696" s="1" t="s">
        <v>8193</v>
      </c>
      <c r="M2696" s="1" t="str">
        <f>VLOOKUP(L2696,'Copy of PMD Workday Constants -'!B2695:W3381,22,false)</f>
        <v>#N/A</v>
      </c>
      <c r="N2696" s="1" t="s">
        <v>32</v>
      </c>
      <c r="O2696" s="1" t="s">
        <v>33</v>
      </c>
      <c r="P2696" s="1" t="s">
        <v>222</v>
      </c>
      <c r="Q2696" s="1" t="s">
        <v>222</v>
      </c>
      <c r="R2696" s="1" t="s">
        <v>223</v>
      </c>
      <c r="S2696" s="1" t="s">
        <v>482</v>
      </c>
      <c r="T2696" s="1">
        <v>1.00589357E8</v>
      </c>
      <c r="W2696" s="1" t="s">
        <v>250</v>
      </c>
      <c r="X2696" s="1" t="s">
        <v>8194</v>
      </c>
    </row>
    <row r="2697">
      <c r="A2697" s="1" t="s">
        <v>8195</v>
      </c>
      <c r="B2697" s="1" t="s">
        <v>6446</v>
      </c>
      <c r="C2697" s="1" t="s">
        <v>8196</v>
      </c>
      <c r="D2697" s="1" t="s">
        <v>28</v>
      </c>
      <c r="E2697" s="1" t="s">
        <v>29</v>
      </c>
      <c r="F2697" s="5">
        <v>330000.0</v>
      </c>
      <c r="G2697" s="1" t="s">
        <v>7016</v>
      </c>
      <c r="H2697" s="1" t="s">
        <v>42</v>
      </c>
      <c r="I2697" s="4">
        <v>44573.0</v>
      </c>
      <c r="K2697" s="1">
        <v>0.0</v>
      </c>
      <c r="L2697" s="1" t="s">
        <v>1335</v>
      </c>
      <c r="M2697" s="1" t="str">
        <f>VLOOKUP(L2697,'Copy of PMD Workday Constants -'!B2696:W3382,22,false)</f>
        <v>#N/A</v>
      </c>
      <c r="N2697" s="1" t="s">
        <v>32</v>
      </c>
      <c r="O2697" s="1" t="s">
        <v>33</v>
      </c>
      <c r="P2697" s="1" t="s">
        <v>210</v>
      </c>
      <c r="Q2697" s="1" t="s">
        <v>210</v>
      </c>
      <c r="R2697" s="1" t="s">
        <v>211</v>
      </c>
      <c r="S2697" s="1" t="s">
        <v>1336</v>
      </c>
      <c r="T2697" s="1">
        <v>1.00594397E8</v>
      </c>
      <c r="W2697" s="1" t="s">
        <v>258</v>
      </c>
      <c r="X2697" s="1" t="s">
        <v>1337</v>
      </c>
    </row>
    <row r="2698">
      <c r="A2698" s="1" t="s">
        <v>8197</v>
      </c>
      <c r="B2698" s="1" t="s">
        <v>4095</v>
      </c>
      <c r="C2698" s="1" t="s">
        <v>8198</v>
      </c>
      <c r="D2698" s="1" t="s">
        <v>79</v>
      </c>
      <c r="E2698" s="1" t="s">
        <v>29</v>
      </c>
      <c r="F2698" s="5">
        <v>330000.0</v>
      </c>
      <c r="G2698" s="1" t="s">
        <v>7016</v>
      </c>
      <c r="H2698" s="1" t="s">
        <v>434</v>
      </c>
      <c r="I2698" s="1" t="s">
        <v>2986</v>
      </c>
      <c r="K2698" s="1">
        <v>0.0</v>
      </c>
      <c r="L2698" s="1" t="s">
        <v>588</v>
      </c>
      <c r="M2698" s="1" t="str">
        <f>VLOOKUP(L2698,'Copy of PMD Workday Constants -'!B2697:W3383,22,false)</f>
        <v>#N/A</v>
      </c>
      <c r="N2698" s="1" t="s">
        <v>32</v>
      </c>
      <c r="O2698" s="1" t="s">
        <v>33</v>
      </c>
      <c r="P2698" s="1" t="s">
        <v>34</v>
      </c>
      <c r="Q2698" s="1" t="s">
        <v>34</v>
      </c>
      <c r="R2698" s="1" t="s">
        <v>35</v>
      </c>
      <c r="T2698" s="1">
        <v>1.00609607E8</v>
      </c>
      <c r="W2698" s="1" t="s">
        <v>91</v>
      </c>
      <c r="X2698" s="1" t="s">
        <v>1879</v>
      </c>
    </row>
    <row r="2699">
      <c r="A2699" s="1" t="s">
        <v>8199</v>
      </c>
      <c r="B2699" s="1" t="s">
        <v>2461</v>
      </c>
      <c r="C2699" s="1" t="s">
        <v>8200</v>
      </c>
      <c r="D2699" s="1" t="s">
        <v>28</v>
      </c>
      <c r="E2699" s="1" t="s">
        <v>29</v>
      </c>
      <c r="F2699" s="5">
        <v>330000.0</v>
      </c>
      <c r="G2699" s="1" t="s">
        <v>7016</v>
      </c>
      <c r="H2699" s="1" t="s">
        <v>2484</v>
      </c>
      <c r="I2699" s="1" t="s">
        <v>1134</v>
      </c>
      <c r="K2699" s="1">
        <v>0.0</v>
      </c>
      <c r="L2699" s="1" t="s">
        <v>1770</v>
      </c>
      <c r="M2699" s="1" t="str">
        <f>VLOOKUP(L2699,'Copy of PMD Workday Constants -'!B2698:W3384,22,false)</f>
        <v>#N/A</v>
      </c>
      <c r="N2699" s="1" t="s">
        <v>32</v>
      </c>
      <c r="O2699" s="1" t="s">
        <v>33</v>
      </c>
      <c r="P2699" s="1" t="s">
        <v>210</v>
      </c>
      <c r="Q2699" s="1" t="s">
        <v>210</v>
      </c>
      <c r="R2699" s="1" t="s">
        <v>211</v>
      </c>
      <c r="S2699" s="1" t="s">
        <v>1313</v>
      </c>
      <c r="T2699" s="1">
        <v>1.00593918E8</v>
      </c>
      <c r="W2699" s="1" t="s">
        <v>436</v>
      </c>
      <c r="X2699" s="1" t="s">
        <v>2525</v>
      </c>
    </row>
    <row r="2700">
      <c r="A2700" s="1" t="s">
        <v>8201</v>
      </c>
      <c r="B2700" s="1" t="s">
        <v>1997</v>
      </c>
      <c r="C2700" s="1" t="s">
        <v>8202</v>
      </c>
      <c r="D2700" s="1" t="s">
        <v>79</v>
      </c>
      <c r="E2700" s="1" t="s">
        <v>29</v>
      </c>
      <c r="F2700" s="5">
        <v>330000.0</v>
      </c>
      <c r="G2700" s="1" t="s">
        <v>7016</v>
      </c>
      <c r="H2700" s="4">
        <v>44298.0</v>
      </c>
      <c r="I2700" s="1" t="s">
        <v>865</v>
      </c>
      <c r="K2700" s="1">
        <v>0.0</v>
      </c>
      <c r="L2700" s="1" t="s">
        <v>4365</v>
      </c>
      <c r="M2700" s="1" t="str">
        <f>VLOOKUP(L2700,'Copy of PMD Workday Constants -'!B2699:W3385,22,false)</f>
        <v>#N/A</v>
      </c>
      <c r="N2700" s="1" t="s">
        <v>32</v>
      </c>
      <c r="O2700" s="1" t="s">
        <v>33</v>
      </c>
      <c r="P2700" s="1" t="s">
        <v>173</v>
      </c>
      <c r="Q2700" s="1" t="s">
        <v>173</v>
      </c>
      <c r="R2700" s="1" t="s">
        <v>174</v>
      </c>
      <c r="T2700" s="1">
        <v>1.0066064E8</v>
      </c>
      <c r="W2700" s="1" t="s">
        <v>947</v>
      </c>
      <c r="X2700" s="1" t="s">
        <v>1999</v>
      </c>
    </row>
    <row r="2701">
      <c r="A2701" s="1" t="s">
        <v>8203</v>
      </c>
      <c r="B2701" s="1" t="s">
        <v>8204</v>
      </c>
      <c r="C2701" s="1" t="s">
        <v>8205</v>
      </c>
      <c r="D2701" s="1" t="s">
        <v>28</v>
      </c>
      <c r="E2701" s="1" t="s">
        <v>29</v>
      </c>
      <c r="F2701" s="5">
        <v>326146.55</v>
      </c>
      <c r="G2701" s="1" t="s">
        <v>7016</v>
      </c>
      <c r="H2701" s="4">
        <v>44654.0</v>
      </c>
      <c r="I2701" s="1" t="s">
        <v>80</v>
      </c>
      <c r="K2701" s="1">
        <v>0.0</v>
      </c>
      <c r="L2701" s="1" t="s">
        <v>7637</v>
      </c>
      <c r="M2701" s="1" t="str">
        <f>VLOOKUP(L2701,'Copy of PMD Workday Constants -'!B2700:W3386,22,false)</f>
        <v>#N/A</v>
      </c>
      <c r="N2701" s="1" t="s">
        <v>32</v>
      </c>
      <c r="O2701" s="1" t="s">
        <v>33</v>
      </c>
      <c r="P2701" s="1" t="s">
        <v>5253</v>
      </c>
      <c r="Q2701" s="1" t="s">
        <v>5253</v>
      </c>
      <c r="R2701" s="1" t="s">
        <v>35</v>
      </c>
      <c r="T2701" s="1">
        <v>1.00613849E8</v>
      </c>
      <c r="W2701" s="1" t="s">
        <v>140</v>
      </c>
      <c r="X2701" s="1" t="s">
        <v>7638</v>
      </c>
    </row>
    <row r="2702">
      <c r="A2702" s="1" t="s">
        <v>8206</v>
      </c>
      <c r="B2702" s="1" t="s">
        <v>1204</v>
      </c>
      <c r="C2702" s="1" t="s">
        <v>8207</v>
      </c>
      <c r="D2702" s="1" t="s">
        <v>103</v>
      </c>
      <c r="E2702" s="1" t="s">
        <v>29</v>
      </c>
      <c r="F2702" s="5">
        <v>325000.0</v>
      </c>
      <c r="G2702" s="1" t="s">
        <v>7016</v>
      </c>
      <c r="H2702" s="4">
        <v>44806.0</v>
      </c>
      <c r="I2702" s="4">
        <v>44568.0</v>
      </c>
      <c r="K2702" s="1">
        <v>0.0</v>
      </c>
      <c r="L2702" s="1" t="s">
        <v>8208</v>
      </c>
      <c r="M2702" s="1" t="str">
        <f>VLOOKUP(L2702,'Copy of PMD Workday Constants -'!B2701:W3387,22,false)</f>
        <v>#N/A</v>
      </c>
      <c r="N2702" s="1" t="s">
        <v>32</v>
      </c>
      <c r="O2702" s="1" t="s">
        <v>33</v>
      </c>
      <c r="P2702" s="1" t="s">
        <v>173</v>
      </c>
      <c r="Q2702" s="1" t="s">
        <v>173</v>
      </c>
      <c r="R2702" s="1" t="s">
        <v>174</v>
      </c>
      <c r="T2702" s="1">
        <v>1.00608383E8</v>
      </c>
      <c r="W2702" s="1" t="s">
        <v>85</v>
      </c>
      <c r="X2702" s="1" t="s">
        <v>6874</v>
      </c>
    </row>
    <row r="2703">
      <c r="A2703" s="1" t="s">
        <v>8209</v>
      </c>
      <c r="B2703" s="1" t="s">
        <v>4582</v>
      </c>
      <c r="C2703" s="1" t="s">
        <v>8210</v>
      </c>
      <c r="D2703" s="1" t="s">
        <v>103</v>
      </c>
      <c r="E2703" s="1" t="s">
        <v>29</v>
      </c>
      <c r="F2703" s="5">
        <v>325000.0</v>
      </c>
      <c r="G2703" s="1" t="s">
        <v>7016</v>
      </c>
      <c r="H2703" s="1" t="s">
        <v>3028</v>
      </c>
      <c r="I2703" s="1" t="s">
        <v>191</v>
      </c>
      <c r="K2703" s="1">
        <v>0.0</v>
      </c>
      <c r="L2703" s="1" t="s">
        <v>3869</v>
      </c>
      <c r="M2703" s="1" t="str">
        <f>VLOOKUP(L2703,'Copy of PMD Workday Constants -'!B2702:W3388,22,false)</f>
        <v>#N/A</v>
      </c>
      <c r="N2703" s="1" t="s">
        <v>32</v>
      </c>
      <c r="O2703" s="1" t="s">
        <v>33</v>
      </c>
      <c r="P2703" s="1" t="s">
        <v>64</v>
      </c>
      <c r="Q2703" s="1" t="s">
        <v>64</v>
      </c>
      <c r="R2703" s="1" t="s">
        <v>65</v>
      </c>
      <c r="S2703" s="1" t="s">
        <v>185</v>
      </c>
      <c r="T2703" s="1">
        <v>1.00608164E8</v>
      </c>
      <c r="W2703" s="1" t="s">
        <v>74</v>
      </c>
      <c r="X2703" s="1" t="s">
        <v>3869</v>
      </c>
    </row>
    <row r="2704">
      <c r="A2704" s="1" t="s">
        <v>8211</v>
      </c>
      <c r="B2704" s="1" t="s">
        <v>8212</v>
      </c>
      <c r="C2704" s="1" t="s">
        <v>8213</v>
      </c>
      <c r="D2704" s="1" t="s">
        <v>28</v>
      </c>
      <c r="E2704" s="1" t="s">
        <v>29</v>
      </c>
      <c r="F2704" s="5">
        <v>325000.0</v>
      </c>
      <c r="G2704" s="1" t="s">
        <v>7016</v>
      </c>
      <c r="H2704" s="4">
        <v>44387.0</v>
      </c>
      <c r="I2704" s="4">
        <v>44568.0</v>
      </c>
      <c r="K2704" s="1">
        <v>0.0</v>
      </c>
      <c r="L2704" s="1" t="s">
        <v>2955</v>
      </c>
      <c r="M2704" s="1" t="str">
        <f>VLOOKUP(L2704,'Copy of PMD Workday Constants -'!B2703:W3389,22,false)</f>
        <v>#N/A</v>
      </c>
      <c r="N2704" s="1" t="s">
        <v>32</v>
      </c>
      <c r="O2704" s="1" t="s">
        <v>33</v>
      </c>
      <c r="P2704" s="1" t="s">
        <v>34</v>
      </c>
      <c r="Q2704" s="1" t="s">
        <v>34</v>
      </c>
      <c r="R2704" s="1" t="s">
        <v>35</v>
      </c>
      <c r="T2704" s="1">
        <v>1.00589892E8</v>
      </c>
      <c r="W2704" s="1" t="s">
        <v>456</v>
      </c>
      <c r="X2704" s="1" t="s">
        <v>8179</v>
      </c>
    </row>
    <row r="2705">
      <c r="A2705" s="1" t="s">
        <v>8214</v>
      </c>
      <c r="B2705" s="1" t="s">
        <v>4273</v>
      </c>
      <c r="C2705" s="1" t="s">
        <v>8215</v>
      </c>
      <c r="D2705" s="1" t="s">
        <v>28</v>
      </c>
      <c r="E2705" s="1" t="s">
        <v>29</v>
      </c>
      <c r="F2705" s="5">
        <v>325000.0</v>
      </c>
      <c r="G2705" s="1" t="s">
        <v>7016</v>
      </c>
      <c r="H2705" s="1" t="s">
        <v>42</v>
      </c>
      <c r="I2705" s="1" t="s">
        <v>2110</v>
      </c>
      <c r="K2705" s="1">
        <v>0.0</v>
      </c>
      <c r="L2705" s="1" t="s">
        <v>7943</v>
      </c>
      <c r="M2705" s="1" t="str">
        <f>VLOOKUP(L2705,'Copy of PMD Workday Constants -'!B2704:W3390,22,false)</f>
        <v>#N/A</v>
      </c>
      <c r="N2705" s="1" t="s">
        <v>32</v>
      </c>
      <c r="O2705" s="1" t="s">
        <v>33</v>
      </c>
      <c r="P2705" s="1" t="s">
        <v>82</v>
      </c>
      <c r="Q2705" s="1" t="s">
        <v>82</v>
      </c>
      <c r="R2705" s="1" t="s">
        <v>83</v>
      </c>
      <c r="S2705" s="1" t="s">
        <v>583</v>
      </c>
      <c r="T2705" s="1">
        <v>1.01080198E8</v>
      </c>
      <c r="W2705" s="1" t="s">
        <v>456</v>
      </c>
      <c r="X2705" s="1" t="s">
        <v>7943</v>
      </c>
    </row>
    <row r="2706">
      <c r="A2706" s="1" t="s">
        <v>8216</v>
      </c>
      <c r="B2706" s="1" t="s">
        <v>8217</v>
      </c>
      <c r="C2706" s="1" t="s">
        <v>8218</v>
      </c>
      <c r="D2706" s="1" t="s">
        <v>51</v>
      </c>
      <c r="E2706" s="1" t="s">
        <v>29</v>
      </c>
      <c r="F2706" s="5">
        <v>325000.0</v>
      </c>
      <c r="G2706" s="1" t="s">
        <v>7016</v>
      </c>
      <c r="H2706" s="4">
        <v>44326.0</v>
      </c>
      <c r="I2706" s="1" t="s">
        <v>80</v>
      </c>
      <c r="K2706" s="1">
        <v>0.0</v>
      </c>
      <c r="L2706" s="1" t="s">
        <v>2024</v>
      </c>
      <c r="M2706" s="1" t="str">
        <f>VLOOKUP(L2706,'Copy of PMD Workday Constants -'!B2705:W3391,22,false)</f>
        <v>#N/A</v>
      </c>
      <c r="N2706" s="1" t="s">
        <v>32</v>
      </c>
      <c r="O2706" s="1" t="s">
        <v>33</v>
      </c>
      <c r="P2706" s="1" t="s">
        <v>112</v>
      </c>
      <c r="Q2706" s="1" t="s">
        <v>112</v>
      </c>
      <c r="R2706" s="1" t="s">
        <v>113</v>
      </c>
      <c r="S2706" s="1" t="s">
        <v>307</v>
      </c>
      <c r="T2706" s="1">
        <v>1.00580065E8</v>
      </c>
      <c r="W2706" s="1" t="s">
        <v>287</v>
      </c>
      <c r="X2706" s="1" t="s">
        <v>8219</v>
      </c>
    </row>
    <row r="2707">
      <c r="A2707" s="1" t="s">
        <v>8220</v>
      </c>
      <c r="B2707" s="1" t="s">
        <v>8221</v>
      </c>
      <c r="C2707" s="1" t="s">
        <v>8222</v>
      </c>
      <c r="D2707" s="1" t="s">
        <v>28</v>
      </c>
      <c r="E2707" s="1" t="s">
        <v>29</v>
      </c>
      <c r="F2707" s="5">
        <v>325000.0</v>
      </c>
      <c r="G2707" s="1" t="s">
        <v>7016</v>
      </c>
      <c r="H2707" s="1" t="s">
        <v>3443</v>
      </c>
      <c r="I2707" s="1" t="s">
        <v>810</v>
      </c>
      <c r="K2707" s="1">
        <v>0.0</v>
      </c>
      <c r="L2707" s="1" t="s">
        <v>2093</v>
      </c>
      <c r="M2707" s="1" t="str">
        <f>VLOOKUP(L2707,'Copy of PMD Workday Constants -'!B2706:W3392,22,false)</f>
        <v>#N/A</v>
      </c>
      <c r="N2707" s="1" t="s">
        <v>32</v>
      </c>
      <c r="O2707" s="1" t="s">
        <v>33</v>
      </c>
      <c r="P2707" s="1" t="s">
        <v>222</v>
      </c>
      <c r="Q2707" s="1" t="s">
        <v>222</v>
      </c>
      <c r="R2707" s="1" t="s">
        <v>223</v>
      </c>
      <c r="S2707" s="1" t="s">
        <v>646</v>
      </c>
      <c r="T2707" s="1">
        <v>1.00612055E8</v>
      </c>
      <c r="W2707" s="1" t="s">
        <v>74</v>
      </c>
      <c r="X2707" s="1" t="s">
        <v>2093</v>
      </c>
    </row>
    <row r="2708">
      <c r="A2708" s="1" t="s">
        <v>8223</v>
      </c>
      <c r="B2708" s="1" t="s">
        <v>8221</v>
      </c>
      <c r="C2708" s="1" t="s">
        <v>8224</v>
      </c>
      <c r="D2708" s="1" t="s">
        <v>51</v>
      </c>
      <c r="E2708" s="1" t="s">
        <v>29</v>
      </c>
      <c r="F2708" s="5">
        <v>325000.0</v>
      </c>
      <c r="G2708" s="1" t="s">
        <v>7016</v>
      </c>
      <c r="H2708" s="1" t="s">
        <v>3443</v>
      </c>
      <c r="I2708" s="1" t="s">
        <v>1330</v>
      </c>
      <c r="K2708" s="1">
        <v>0.0</v>
      </c>
      <c r="L2708" s="1" t="s">
        <v>2093</v>
      </c>
      <c r="M2708" s="1" t="str">
        <f>VLOOKUP(L2708,'Copy of PMD Workday Constants -'!B2707:W3393,22,false)</f>
        <v>#N/A</v>
      </c>
      <c r="N2708" s="1" t="s">
        <v>32</v>
      </c>
      <c r="O2708" s="1" t="s">
        <v>33</v>
      </c>
      <c r="P2708" s="1" t="s">
        <v>222</v>
      </c>
      <c r="Q2708" s="1" t="s">
        <v>222</v>
      </c>
      <c r="R2708" s="1" t="s">
        <v>223</v>
      </c>
      <c r="S2708" s="1" t="s">
        <v>646</v>
      </c>
      <c r="T2708" s="1">
        <v>1.00612055E8</v>
      </c>
      <c r="W2708" s="1" t="s">
        <v>74</v>
      </c>
      <c r="X2708" s="1" t="s">
        <v>2093</v>
      </c>
    </row>
    <row r="2709">
      <c r="A2709" s="1" t="s">
        <v>8225</v>
      </c>
      <c r="B2709" s="1" t="s">
        <v>657</v>
      </c>
      <c r="C2709" s="1" t="s">
        <v>8226</v>
      </c>
      <c r="D2709" s="1" t="s">
        <v>51</v>
      </c>
      <c r="E2709" s="1" t="s">
        <v>29</v>
      </c>
      <c r="F2709" s="5">
        <v>325000.0</v>
      </c>
      <c r="G2709" s="1" t="s">
        <v>7016</v>
      </c>
      <c r="H2709" s="1" t="s">
        <v>5125</v>
      </c>
      <c r="I2709" s="1" t="s">
        <v>80</v>
      </c>
      <c r="K2709" s="1">
        <v>0.0</v>
      </c>
      <c r="L2709" s="1" t="s">
        <v>3137</v>
      </c>
      <c r="M2709" s="1" t="str">
        <f>VLOOKUP(L2709,'Copy of PMD Workday Constants -'!B2708:W3394,22,false)</f>
        <v>#N/A</v>
      </c>
      <c r="N2709" s="1" t="s">
        <v>32</v>
      </c>
      <c r="O2709" s="1" t="s">
        <v>33</v>
      </c>
      <c r="P2709" s="1" t="s">
        <v>82</v>
      </c>
      <c r="Q2709" s="1" t="s">
        <v>82</v>
      </c>
      <c r="R2709" s="1" t="s">
        <v>83</v>
      </c>
      <c r="S2709" s="1" t="s">
        <v>180</v>
      </c>
      <c r="T2709" s="1">
        <v>1.00586452E8</v>
      </c>
      <c r="W2709" s="1" t="s">
        <v>85</v>
      </c>
      <c r="X2709" s="1" t="s">
        <v>5126</v>
      </c>
    </row>
    <row r="2710">
      <c r="A2710" s="1" t="s">
        <v>8227</v>
      </c>
      <c r="B2710" s="1" t="s">
        <v>2495</v>
      </c>
      <c r="C2710" s="1" t="s">
        <v>8228</v>
      </c>
      <c r="D2710" s="1" t="s">
        <v>28</v>
      </c>
      <c r="E2710" s="1" t="s">
        <v>29</v>
      </c>
      <c r="F2710" s="5">
        <v>325000.0</v>
      </c>
      <c r="G2710" s="1" t="s">
        <v>7016</v>
      </c>
      <c r="H2710" s="1" t="s">
        <v>5125</v>
      </c>
      <c r="I2710" s="1" t="s">
        <v>80</v>
      </c>
      <c r="K2710" s="1">
        <v>0.0</v>
      </c>
      <c r="L2710" s="1" t="s">
        <v>3137</v>
      </c>
      <c r="M2710" s="1" t="str">
        <f>VLOOKUP(L2710,'Copy of PMD Workday Constants -'!B2709:W3395,22,false)</f>
        <v>#N/A</v>
      </c>
      <c r="N2710" s="1" t="s">
        <v>32</v>
      </c>
      <c r="O2710" s="1" t="s">
        <v>33</v>
      </c>
      <c r="P2710" s="1" t="s">
        <v>82</v>
      </c>
      <c r="Q2710" s="1" t="s">
        <v>82</v>
      </c>
      <c r="R2710" s="1" t="s">
        <v>83</v>
      </c>
      <c r="S2710" s="1" t="s">
        <v>180</v>
      </c>
      <c r="T2710" s="1">
        <v>1.00586452E8</v>
      </c>
      <c r="W2710" s="1" t="s">
        <v>85</v>
      </c>
      <c r="X2710" s="1" t="s">
        <v>5126</v>
      </c>
    </row>
    <row r="2711">
      <c r="A2711" s="1" t="s">
        <v>8229</v>
      </c>
      <c r="B2711" s="1" t="s">
        <v>2079</v>
      </c>
      <c r="C2711" s="1" t="s">
        <v>8230</v>
      </c>
      <c r="D2711" s="1" t="s">
        <v>51</v>
      </c>
      <c r="E2711" s="1" t="s">
        <v>29</v>
      </c>
      <c r="F2711" s="5">
        <v>325000.0</v>
      </c>
      <c r="G2711" s="1" t="s">
        <v>7016</v>
      </c>
      <c r="H2711" s="1" t="s">
        <v>1785</v>
      </c>
      <c r="I2711" s="1" t="s">
        <v>80</v>
      </c>
      <c r="K2711" s="1">
        <v>0.0</v>
      </c>
      <c r="L2711" s="1" t="s">
        <v>2146</v>
      </c>
      <c r="M2711" s="1" t="str">
        <f>VLOOKUP(L2711,'Copy of PMD Workday Constants -'!B2710:W3396,22,false)</f>
        <v>#N/A</v>
      </c>
      <c r="N2711" s="1" t="s">
        <v>32</v>
      </c>
      <c r="O2711" s="1" t="s">
        <v>33</v>
      </c>
      <c r="P2711" s="1" t="s">
        <v>210</v>
      </c>
      <c r="Q2711" s="1" t="s">
        <v>210</v>
      </c>
      <c r="R2711" s="1" t="s">
        <v>211</v>
      </c>
      <c r="T2711" s="1">
        <v>1.00649726E8</v>
      </c>
      <c r="W2711" s="1" t="s">
        <v>258</v>
      </c>
      <c r="X2711" s="1" t="s">
        <v>8231</v>
      </c>
    </row>
    <row r="2712">
      <c r="A2712" s="1" t="s">
        <v>8232</v>
      </c>
      <c r="B2712" s="1" t="s">
        <v>2277</v>
      </c>
      <c r="C2712" s="1" t="s">
        <v>8233</v>
      </c>
      <c r="D2712" s="1" t="s">
        <v>51</v>
      </c>
      <c r="E2712" s="1" t="s">
        <v>29</v>
      </c>
      <c r="F2712" s="5">
        <v>325000.0</v>
      </c>
      <c r="G2712" s="1" t="s">
        <v>7016</v>
      </c>
      <c r="H2712" s="4">
        <v>43962.0</v>
      </c>
      <c r="I2712" s="1" t="s">
        <v>80</v>
      </c>
      <c r="K2712" s="1">
        <v>0.0</v>
      </c>
      <c r="L2712" s="1" t="s">
        <v>1902</v>
      </c>
      <c r="M2712" s="1" t="str">
        <f>VLOOKUP(L2712,'Copy of PMD Workday Constants -'!B2711:W3397,22,false)</f>
        <v>#N/A</v>
      </c>
      <c r="N2712" s="1" t="s">
        <v>32</v>
      </c>
      <c r="O2712" s="1" t="s">
        <v>33</v>
      </c>
      <c r="P2712" s="1" t="s">
        <v>173</v>
      </c>
      <c r="Q2712" s="1" t="s">
        <v>173</v>
      </c>
      <c r="R2712" s="1" t="s">
        <v>174</v>
      </c>
      <c r="S2712" s="1" t="s">
        <v>297</v>
      </c>
      <c r="T2712" s="1">
        <v>1.00956516E8</v>
      </c>
      <c r="W2712" s="1" t="s">
        <v>258</v>
      </c>
      <c r="X2712" s="1" t="s">
        <v>2847</v>
      </c>
    </row>
    <row r="2713">
      <c r="A2713" s="1" t="s">
        <v>8234</v>
      </c>
      <c r="B2713" s="1" t="s">
        <v>3646</v>
      </c>
      <c r="C2713" s="1" t="s">
        <v>8235</v>
      </c>
      <c r="D2713" s="1" t="s">
        <v>51</v>
      </c>
      <c r="E2713" s="1" t="s">
        <v>29</v>
      </c>
      <c r="F2713" s="5">
        <v>325000.0</v>
      </c>
      <c r="G2713" s="1" t="s">
        <v>7016</v>
      </c>
      <c r="H2713" s="1" t="s">
        <v>509</v>
      </c>
      <c r="I2713" s="1" t="s">
        <v>132</v>
      </c>
      <c r="K2713" s="1">
        <v>0.0</v>
      </c>
      <c r="L2713" s="1" t="s">
        <v>1049</v>
      </c>
      <c r="M2713" s="1" t="str">
        <f>VLOOKUP(L2713,'Copy of PMD Workday Constants -'!B2712:W3398,22,false)</f>
        <v>#N/A</v>
      </c>
      <c r="N2713" s="1" t="s">
        <v>32</v>
      </c>
      <c r="O2713" s="1" t="s">
        <v>33</v>
      </c>
      <c r="P2713" s="1" t="s">
        <v>210</v>
      </c>
      <c r="Q2713" s="1" t="s">
        <v>210</v>
      </c>
      <c r="R2713" s="1" t="s">
        <v>211</v>
      </c>
      <c r="T2713" s="1">
        <v>1.00650344E8</v>
      </c>
      <c r="W2713" s="1" t="s">
        <v>258</v>
      </c>
      <c r="X2713" s="1" t="s">
        <v>2847</v>
      </c>
    </row>
    <row r="2714">
      <c r="A2714" s="1" t="s">
        <v>8236</v>
      </c>
      <c r="B2714" s="1" t="s">
        <v>1154</v>
      </c>
      <c r="C2714" s="1" t="s">
        <v>8237</v>
      </c>
      <c r="D2714" s="1" t="s">
        <v>51</v>
      </c>
      <c r="E2714" s="1" t="s">
        <v>29</v>
      </c>
      <c r="F2714" s="5">
        <v>325000.0</v>
      </c>
      <c r="G2714" s="1" t="s">
        <v>7016</v>
      </c>
      <c r="H2714" s="1" t="s">
        <v>4650</v>
      </c>
      <c r="I2714" s="1" t="s">
        <v>104</v>
      </c>
      <c r="K2714" s="1">
        <v>0.0</v>
      </c>
      <c r="L2714" s="1" t="s">
        <v>2602</v>
      </c>
      <c r="M2714" s="1" t="str">
        <f>VLOOKUP(L2714,'Copy of PMD Workday Constants -'!B2713:W3399,22,false)</f>
        <v>#N/A</v>
      </c>
      <c r="N2714" s="1" t="s">
        <v>32</v>
      </c>
      <c r="O2714" s="1" t="s">
        <v>33</v>
      </c>
      <c r="P2714" s="1" t="s">
        <v>173</v>
      </c>
      <c r="Q2714" s="1" t="s">
        <v>173</v>
      </c>
      <c r="R2714" s="1" t="s">
        <v>174</v>
      </c>
      <c r="T2714" s="1">
        <v>1.00611351E8</v>
      </c>
      <c r="W2714" s="1" t="s">
        <v>947</v>
      </c>
      <c r="X2714" s="1" t="s">
        <v>2602</v>
      </c>
    </row>
    <row r="2715">
      <c r="A2715" s="1" t="s">
        <v>8238</v>
      </c>
      <c r="B2715" s="1" t="s">
        <v>8239</v>
      </c>
      <c r="C2715" s="1" t="s">
        <v>8240</v>
      </c>
      <c r="D2715" s="1" t="s">
        <v>51</v>
      </c>
      <c r="E2715" s="1" t="s">
        <v>29</v>
      </c>
      <c r="F2715" s="5">
        <v>324134.0</v>
      </c>
      <c r="G2715" s="1" t="s">
        <v>7016</v>
      </c>
      <c r="H2715" s="1" t="s">
        <v>8241</v>
      </c>
      <c r="I2715" s="1" t="s">
        <v>104</v>
      </c>
      <c r="K2715" s="1">
        <v>0.0</v>
      </c>
      <c r="L2715" s="1" t="s">
        <v>2602</v>
      </c>
      <c r="M2715" s="1" t="str">
        <f>VLOOKUP(L2715,'Copy of PMD Workday Constants -'!B2714:W3400,22,false)</f>
        <v>#N/A</v>
      </c>
      <c r="N2715" s="1" t="s">
        <v>32</v>
      </c>
      <c r="O2715" s="1" t="s">
        <v>33</v>
      </c>
      <c r="P2715" s="1" t="s">
        <v>173</v>
      </c>
      <c r="Q2715" s="1" t="s">
        <v>173</v>
      </c>
      <c r="R2715" s="1" t="s">
        <v>174</v>
      </c>
      <c r="S2715" s="1" t="s">
        <v>8242</v>
      </c>
      <c r="T2715" s="1">
        <v>1.00611351E8</v>
      </c>
      <c r="W2715" s="1" t="s">
        <v>436</v>
      </c>
      <c r="X2715" s="1" t="s">
        <v>8243</v>
      </c>
    </row>
    <row r="2716">
      <c r="A2716" s="1" t="s">
        <v>8244</v>
      </c>
      <c r="B2716" s="1" t="s">
        <v>8245</v>
      </c>
      <c r="C2716" s="1" t="s">
        <v>8246</v>
      </c>
      <c r="D2716" s="1" t="s">
        <v>103</v>
      </c>
      <c r="E2716" s="1" t="s">
        <v>29</v>
      </c>
      <c r="F2716" s="5">
        <v>320757.0</v>
      </c>
      <c r="G2716" s="1" t="s">
        <v>7016</v>
      </c>
      <c r="H2716" s="1" t="s">
        <v>1245</v>
      </c>
      <c r="I2716" s="1" t="s">
        <v>1349</v>
      </c>
      <c r="K2716" s="1">
        <v>0.0</v>
      </c>
      <c r="L2716" s="1" t="s">
        <v>309</v>
      </c>
      <c r="M2716" s="1" t="str">
        <f>VLOOKUP(L2716,'Copy of PMD Workday Constants -'!B2715:W3401,22,false)</f>
        <v>#N/A</v>
      </c>
      <c r="N2716" s="1" t="s">
        <v>32</v>
      </c>
      <c r="O2716" s="1" t="s">
        <v>33</v>
      </c>
      <c r="P2716" s="1" t="s">
        <v>34</v>
      </c>
      <c r="Q2716" s="1" t="s">
        <v>34</v>
      </c>
      <c r="R2716" s="1" t="s">
        <v>35</v>
      </c>
      <c r="S2716" s="1" t="s">
        <v>126</v>
      </c>
      <c r="T2716" s="1">
        <v>1.00608155E8</v>
      </c>
      <c r="W2716" s="1" t="s">
        <v>947</v>
      </c>
      <c r="X2716" s="1" t="s">
        <v>1400</v>
      </c>
    </row>
    <row r="2717">
      <c r="A2717" s="1" t="s">
        <v>8247</v>
      </c>
      <c r="B2717" s="1" t="s">
        <v>8248</v>
      </c>
      <c r="C2717" s="1" t="s">
        <v>8249</v>
      </c>
      <c r="D2717" s="1" t="s">
        <v>51</v>
      </c>
      <c r="E2717" s="1" t="s">
        <v>29</v>
      </c>
      <c r="F2717" s="5">
        <v>320000.0</v>
      </c>
      <c r="G2717" s="1" t="s">
        <v>7016</v>
      </c>
      <c r="H2717" s="1" t="s">
        <v>865</v>
      </c>
      <c r="I2717" s="1" t="s">
        <v>152</v>
      </c>
      <c r="K2717" s="1">
        <v>0.0</v>
      </c>
      <c r="L2717" s="1" t="s">
        <v>5252</v>
      </c>
      <c r="M2717" s="1" t="str">
        <f>VLOOKUP(L2717,'Copy of PMD Workday Constants -'!B2716:W3402,22,false)</f>
        <v>#N/A</v>
      </c>
      <c r="N2717" s="1" t="s">
        <v>32</v>
      </c>
      <c r="O2717" s="1" t="s">
        <v>33</v>
      </c>
      <c r="P2717" s="1" t="s">
        <v>5253</v>
      </c>
      <c r="Q2717" s="1" t="s">
        <v>5253</v>
      </c>
      <c r="R2717" s="1" t="s">
        <v>65</v>
      </c>
      <c r="T2717" s="1">
        <v>1.00625588E8</v>
      </c>
      <c r="W2717" s="1" t="s">
        <v>436</v>
      </c>
      <c r="X2717" s="1" t="s">
        <v>5254</v>
      </c>
    </row>
    <row r="2718">
      <c r="A2718" s="1" t="s">
        <v>8250</v>
      </c>
      <c r="B2718" s="1" t="s">
        <v>289</v>
      </c>
      <c r="C2718" s="1" t="s">
        <v>8251</v>
      </c>
      <c r="D2718" s="1" t="s">
        <v>51</v>
      </c>
      <c r="E2718" s="1" t="s">
        <v>29</v>
      </c>
      <c r="F2718" s="5">
        <v>320000.0</v>
      </c>
      <c r="G2718" s="1" t="s">
        <v>7016</v>
      </c>
      <c r="H2718" s="4">
        <v>44779.0</v>
      </c>
      <c r="I2718" s="1" t="s">
        <v>8252</v>
      </c>
      <c r="K2718" s="1">
        <v>0.0</v>
      </c>
      <c r="L2718" s="1" t="s">
        <v>2174</v>
      </c>
      <c r="M2718" s="1" t="str">
        <f>VLOOKUP(L2718,'Copy of PMD Workday Constants -'!B2717:W3403,22,false)</f>
        <v>#N/A</v>
      </c>
      <c r="N2718" s="1" t="s">
        <v>32</v>
      </c>
      <c r="O2718" s="1" t="s">
        <v>33</v>
      </c>
      <c r="P2718" s="1" t="s">
        <v>112</v>
      </c>
      <c r="Q2718" s="1" t="s">
        <v>112</v>
      </c>
      <c r="R2718" s="1" t="s">
        <v>113</v>
      </c>
      <c r="S2718" s="1" t="s">
        <v>134</v>
      </c>
      <c r="T2718" s="1">
        <v>1.00631322E8</v>
      </c>
      <c r="W2718" s="1" t="s">
        <v>74</v>
      </c>
      <c r="X2718" s="1" t="s">
        <v>8253</v>
      </c>
    </row>
    <row r="2719">
      <c r="A2719" s="1" t="s">
        <v>8254</v>
      </c>
      <c r="B2719" s="1" t="s">
        <v>2108</v>
      </c>
      <c r="C2719" s="1" t="s">
        <v>8255</v>
      </c>
      <c r="D2719" s="1" t="s">
        <v>28</v>
      </c>
      <c r="E2719" s="1" t="s">
        <v>29</v>
      </c>
      <c r="F2719" s="5">
        <v>320000.0</v>
      </c>
      <c r="G2719" s="1" t="s">
        <v>7016</v>
      </c>
      <c r="H2719" s="4">
        <v>44656.0</v>
      </c>
      <c r="I2719" s="4">
        <v>44752.0</v>
      </c>
      <c r="K2719" s="1">
        <v>0.0</v>
      </c>
      <c r="L2719" s="1" t="s">
        <v>4937</v>
      </c>
      <c r="M2719" s="1" t="str">
        <f>VLOOKUP(L2719,'Copy of PMD Workday Constants -'!B2718:W3404,22,false)</f>
        <v>#N/A</v>
      </c>
      <c r="N2719" s="1" t="s">
        <v>32</v>
      </c>
      <c r="O2719" s="1" t="s">
        <v>33</v>
      </c>
      <c r="P2719" s="1" t="s">
        <v>34</v>
      </c>
      <c r="Q2719" s="1" t="s">
        <v>34</v>
      </c>
      <c r="R2719" s="1" t="s">
        <v>35</v>
      </c>
      <c r="S2719" s="1" t="s">
        <v>1336</v>
      </c>
      <c r="T2719" s="1">
        <v>1.00644939E8</v>
      </c>
      <c r="W2719" s="1" t="s">
        <v>456</v>
      </c>
      <c r="X2719" s="1" t="s">
        <v>7168</v>
      </c>
    </row>
    <row r="2720">
      <c r="A2720" s="1" t="s">
        <v>8256</v>
      </c>
      <c r="B2720" s="1" t="s">
        <v>1247</v>
      </c>
      <c r="C2720" s="1" t="s">
        <v>8257</v>
      </c>
      <c r="D2720" s="1" t="s">
        <v>103</v>
      </c>
      <c r="E2720" s="1" t="s">
        <v>29</v>
      </c>
      <c r="F2720" s="5">
        <v>320000.0</v>
      </c>
      <c r="G2720" s="1" t="s">
        <v>7016</v>
      </c>
      <c r="H2720" s="4">
        <v>44595.0</v>
      </c>
      <c r="I2720" s="1" t="s">
        <v>2724</v>
      </c>
      <c r="K2720" s="1">
        <v>0.0</v>
      </c>
      <c r="L2720" s="1" t="s">
        <v>8258</v>
      </c>
      <c r="M2720" s="1" t="str">
        <f>VLOOKUP(L2720,'Copy of PMD Workday Constants -'!B2719:W3405,22,false)</f>
        <v>#N/A</v>
      </c>
      <c r="N2720" s="1" t="s">
        <v>32</v>
      </c>
      <c r="O2720" s="1" t="s">
        <v>33</v>
      </c>
      <c r="P2720" s="1" t="s">
        <v>112</v>
      </c>
      <c r="Q2720" s="1" t="s">
        <v>112</v>
      </c>
      <c r="R2720" s="1" t="s">
        <v>113</v>
      </c>
      <c r="S2720" s="1" t="s">
        <v>114</v>
      </c>
      <c r="T2720" s="1">
        <v>1.00620553E8</v>
      </c>
      <c r="W2720" s="1" t="s">
        <v>140</v>
      </c>
      <c r="X2720" s="1" t="s">
        <v>8259</v>
      </c>
    </row>
    <row r="2721">
      <c r="A2721" s="1" t="s">
        <v>8260</v>
      </c>
      <c r="B2721" s="1" t="s">
        <v>704</v>
      </c>
      <c r="C2721" s="1" t="s">
        <v>8261</v>
      </c>
      <c r="D2721" s="1" t="s">
        <v>103</v>
      </c>
      <c r="E2721" s="1" t="s">
        <v>29</v>
      </c>
      <c r="F2721" s="5">
        <v>318000.0</v>
      </c>
      <c r="G2721" s="1" t="s">
        <v>7016</v>
      </c>
      <c r="H2721" s="1" t="s">
        <v>865</v>
      </c>
      <c r="I2721" s="1" t="s">
        <v>264</v>
      </c>
      <c r="K2721" s="1">
        <v>0.0</v>
      </c>
      <c r="L2721" s="1" t="s">
        <v>4994</v>
      </c>
      <c r="M2721" s="1" t="str">
        <f>VLOOKUP(L2721,'Copy of PMD Workday Constants -'!B2720:W3406,22,false)</f>
        <v>#N/A</v>
      </c>
      <c r="N2721" s="1" t="s">
        <v>32</v>
      </c>
      <c r="O2721" s="1" t="s">
        <v>33</v>
      </c>
      <c r="P2721" s="1" t="s">
        <v>82</v>
      </c>
      <c r="Q2721" s="1" t="s">
        <v>82</v>
      </c>
      <c r="R2721" s="1" t="s">
        <v>83</v>
      </c>
      <c r="S2721" s="1" t="s">
        <v>180</v>
      </c>
      <c r="T2721" s="1">
        <v>1.00618376E8</v>
      </c>
      <c r="W2721" s="1" t="s">
        <v>85</v>
      </c>
      <c r="X2721" s="1" t="s">
        <v>5126</v>
      </c>
    </row>
    <row r="2722">
      <c r="A2722" s="1" t="s">
        <v>8262</v>
      </c>
      <c r="B2722" s="1" t="s">
        <v>8263</v>
      </c>
      <c r="C2722" s="1" t="s">
        <v>8264</v>
      </c>
      <c r="D2722" s="1" t="s">
        <v>103</v>
      </c>
      <c r="E2722" s="1" t="s">
        <v>29</v>
      </c>
      <c r="F2722" s="5">
        <v>315000.0</v>
      </c>
      <c r="G2722" s="1" t="s">
        <v>7016</v>
      </c>
      <c r="H2722" s="4">
        <v>44567.0</v>
      </c>
      <c r="I2722" s="1" t="s">
        <v>80</v>
      </c>
      <c r="K2722" s="1">
        <v>0.0</v>
      </c>
      <c r="L2722" s="1" t="s">
        <v>4679</v>
      </c>
      <c r="M2722" s="1" t="str">
        <f>VLOOKUP(L2722,'Copy of PMD Workday Constants -'!B2721:W3407,22,false)</f>
        <v>#N/A</v>
      </c>
      <c r="N2722" s="1" t="s">
        <v>32</v>
      </c>
      <c r="O2722" s="1" t="s">
        <v>33</v>
      </c>
      <c r="P2722" s="1" t="s">
        <v>222</v>
      </c>
      <c r="Q2722" s="1" t="s">
        <v>222</v>
      </c>
      <c r="R2722" s="1" t="s">
        <v>223</v>
      </c>
      <c r="S2722" s="1" t="s">
        <v>482</v>
      </c>
      <c r="T2722" s="1">
        <v>1.00620023E8</v>
      </c>
      <c r="W2722" s="1" t="s">
        <v>577</v>
      </c>
      <c r="X2722" s="1" t="s">
        <v>4679</v>
      </c>
    </row>
    <row r="2723">
      <c r="A2723" s="1" t="s">
        <v>8265</v>
      </c>
      <c r="B2723" s="1" t="s">
        <v>776</v>
      </c>
      <c r="C2723" s="1" t="s">
        <v>8266</v>
      </c>
      <c r="D2723" s="1" t="s">
        <v>103</v>
      </c>
      <c r="E2723" s="1" t="s">
        <v>29</v>
      </c>
      <c r="F2723" s="5">
        <v>315000.0</v>
      </c>
      <c r="G2723" s="1" t="s">
        <v>7016</v>
      </c>
      <c r="H2723" s="4">
        <v>44386.0</v>
      </c>
      <c r="I2723" s="4">
        <v>44571.0</v>
      </c>
      <c r="K2723" s="1">
        <v>0.0</v>
      </c>
      <c r="L2723" s="1" t="s">
        <v>1611</v>
      </c>
      <c r="M2723" s="1" t="str">
        <f>VLOOKUP(L2723,'Copy of PMD Workday Constants -'!B2722:W3408,22,false)</f>
        <v>#N/A</v>
      </c>
      <c r="N2723" s="1" t="s">
        <v>32</v>
      </c>
      <c r="O2723" s="1" t="s">
        <v>33</v>
      </c>
      <c r="P2723" s="1" t="s">
        <v>34</v>
      </c>
      <c r="Q2723" s="1" t="s">
        <v>34</v>
      </c>
      <c r="R2723" s="1" t="s">
        <v>35</v>
      </c>
      <c r="S2723" s="1" t="s">
        <v>126</v>
      </c>
      <c r="T2723" s="1">
        <v>1.00645852E8</v>
      </c>
      <c r="W2723" s="1" t="s">
        <v>74</v>
      </c>
      <c r="X2723" s="1" t="s">
        <v>6765</v>
      </c>
    </row>
    <row r="2724">
      <c r="A2724" s="1" t="s">
        <v>8267</v>
      </c>
      <c r="B2724" s="1" t="s">
        <v>8268</v>
      </c>
      <c r="C2724" s="1" t="s">
        <v>8269</v>
      </c>
      <c r="D2724" s="1" t="s">
        <v>103</v>
      </c>
      <c r="E2724" s="1" t="s">
        <v>29</v>
      </c>
      <c r="F2724" s="5">
        <v>315000.0</v>
      </c>
      <c r="G2724" s="1" t="s">
        <v>7016</v>
      </c>
      <c r="H2724" s="1" t="s">
        <v>1765</v>
      </c>
      <c r="I2724" s="1" t="s">
        <v>80</v>
      </c>
      <c r="K2724" s="1">
        <v>0.0</v>
      </c>
      <c r="L2724" s="1" t="s">
        <v>1170</v>
      </c>
      <c r="M2724" s="1" t="str">
        <f>VLOOKUP(L2724,'Copy of PMD Workday Constants -'!B2723:W3409,22,false)</f>
        <v>#N/A</v>
      </c>
      <c r="N2724" s="1" t="s">
        <v>32</v>
      </c>
      <c r="O2724" s="1" t="s">
        <v>33</v>
      </c>
      <c r="P2724" s="1" t="s">
        <v>112</v>
      </c>
      <c r="Q2724" s="1" t="s">
        <v>112</v>
      </c>
      <c r="R2724" s="1" t="s">
        <v>113</v>
      </c>
      <c r="S2724" s="1" t="s">
        <v>1336</v>
      </c>
      <c r="T2724" s="1">
        <v>1.00595231E8</v>
      </c>
      <c r="W2724" s="1" t="s">
        <v>74</v>
      </c>
      <c r="X2724" s="1" t="s">
        <v>7448</v>
      </c>
    </row>
    <row r="2725">
      <c r="A2725" s="1" t="s">
        <v>8270</v>
      </c>
      <c r="B2725" s="1" t="s">
        <v>1387</v>
      </c>
      <c r="C2725" s="1" t="s">
        <v>8271</v>
      </c>
      <c r="D2725" s="1" t="s">
        <v>79</v>
      </c>
      <c r="E2725" s="1" t="s">
        <v>29</v>
      </c>
      <c r="F2725" s="5">
        <v>314700.0</v>
      </c>
      <c r="G2725" s="1" t="s">
        <v>7016</v>
      </c>
      <c r="H2725" s="1" t="s">
        <v>2049</v>
      </c>
      <c r="I2725" s="1" t="s">
        <v>302</v>
      </c>
      <c r="K2725" s="1">
        <v>0.0</v>
      </c>
      <c r="L2725" s="1" t="s">
        <v>1389</v>
      </c>
      <c r="M2725" s="1" t="str">
        <f>VLOOKUP(L2725,'Copy of PMD Workday Constants -'!B2724:W3410,22,false)</f>
        <v>#N/A</v>
      </c>
      <c r="N2725" s="1" t="s">
        <v>32</v>
      </c>
      <c r="O2725" s="1" t="s">
        <v>33</v>
      </c>
      <c r="P2725" s="1" t="s">
        <v>64</v>
      </c>
      <c r="Q2725" s="1" t="s">
        <v>64</v>
      </c>
      <c r="R2725" s="1" t="s">
        <v>65</v>
      </c>
      <c r="S2725" s="1" t="s">
        <v>1336</v>
      </c>
      <c r="T2725" s="1">
        <v>1.00610014E8</v>
      </c>
      <c r="U2725" s="1" t="s">
        <v>8272</v>
      </c>
      <c r="V2725" s="1" t="s">
        <v>46</v>
      </c>
      <c r="W2725" s="1" t="s">
        <v>91</v>
      </c>
      <c r="X2725" s="1" t="s">
        <v>8273</v>
      </c>
    </row>
    <row r="2726">
      <c r="A2726" s="1" t="s">
        <v>8274</v>
      </c>
      <c r="B2726" s="1" t="s">
        <v>8275</v>
      </c>
      <c r="C2726" s="1" t="s">
        <v>8276</v>
      </c>
      <c r="D2726" s="1" t="s">
        <v>103</v>
      </c>
      <c r="E2726" s="1" t="s">
        <v>29</v>
      </c>
      <c r="F2726" s="5">
        <v>311000.0</v>
      </c>
      <c r="G2726" s="1" t="s">
        <v>7016</v>
      </c>
      <c r="H2726" s="1" t="s">
        <v>1134</v>
      </c>
      <c r="I2726" s="1" t="s">
        <v>1349</v>
      </c>
      <c r="K2726" s="1">
        <v>0.0</v>
      </c>
      <c r="L2726" s="1" t="s">
        <v>1380</v>
      </c>
      <c r="M2726" s="1" t="str">
        <f>VLOOKUP(L2726,'Copy of PMD Workday Constants -'!B2725:W3411,22,false)</f>
        <v>#N/A</v>
      </c>
      <c r="N2726" s="1" t="s">
        <v>32</v>
      </c>
      <c r="O2726" s="1" t="s">
        <v>33</v>
      </c>
      <c r="P2726" s="1" t="s">
        <v>34</v>
      </c>
      <c r="Q2726" s="1" t="s">
        <v>34</v>
      </c>
      <c r="R2726" s="1" t="s">
        <v>35</v>
      </c>
      <c r="S2726" s="1" t="s">
        <v>126</v>
      </c>
      <c r="T2726" s="1">
        <v>1.00587434E8</v>
      </c>
      <c r="W2726" s="1" t="s">
        <v>140</v>
      </c>
      <c r="X2726" s="1" t="s">
        <v>382</v>
      </c>
    </row>
    <row r="2727">
      <c r="A2727" s="1" t="s">
        <v>8277</v>
      </c>
      <c r="B2727" s="1" t="s">
        <v>3594</v>
      </c>
      <c r="C2727" s="1" t="s">
        <v>8278</v>
      </c>
      <c r="D2727" s="1" t="s">
        <v>51</v>
      </c>
      <c r="E2727" s="1" t="s">
        <v>29</v>
      </c>
      <c r="F2727" s="5">
        <v>310000.0</v>
      </c>
      <c r="G2727" s="1" t="s">
        <v>7016</v>
      </c>
      <c r="H2727" s="1" t="s">
        <v>208</v>
      </c>
      <c r="I2727" s="1" t="s">
        <v>80</v>
      </c>
      <c r="K2727" s="1">
        <v>0.0</v>
      </c>
      <c r="L2727" s="1" t="s">
        <v>678</v>
      </c>
      <c r="M2727" s="1" t="str">
        <f>VLOOKUP(L2727,'Copy of PMD Workday Constants -'!B2726:W3412,22,false)</f>
        <v>#N/A</v>
      </c>
      <c r="N2727" s="1" t="s">
        <v>32</v>
      </c>
      <c r="O2727" s="1" t="s">
        <v>33</v>
      </c>
      <c r="P2727" s="1" t="s">
        <v>210</v>
      </c>
      <c r="Q2727" s="1" t="s">
        <v>210</v>
      </c>
      <c r="R2727" s="1" t="s">
        <v>211</v>
      </c>
      <c r="S2727" s="1" t="s">
        <v>612</v>
      </c>
      <c r="T2727" s="1">
        <v>1.00609073E8</v>
      </c>
      <c r="W2727" s="1" t="s">
        <v>56</v>
      </c>
      <c r="X2727" s="1" t="s">
        <v>4795</v>
      </c>
    </row>
    <row r="2728">
      <c r="A2728" s="1" t="s">
        <v>8279</v>
      </c>
      <c r="B2728" s="1" t="s">
        <v>4820</v>
      </c>
      <c r="C2728" s="1" t="s">
        <v>8280</v>
      </c>
      <c r="D2728" s="1" t="s">
        <v>51</v>
      </c>
      <c r="E2728" s="1" t="s">
        <v>29</v>
      </c>
      <c r="F2728" s="5">
        <v>310000.0</v>
      </c>
      <c r="G2728" s="1" t="s">
        <v>7016</v>
      </c>
      <c r="H2728" s="4">
        <v>44598.0</v>
      </c>
      <c r="I2728" s="1" t="s">
        <v>96</v>
      </c>
      <c r="K2728" s="1">
        <v>0.0</v>
      </c>
      <c r="L2728" s="1" t="s">
        <v>1380</v>
      </c>
      <c r="M2728" s="1" t="str">
        <f>VLOOKUP(L2728,'Copy of PMD Workday Constants -'!B2727:W3413,22,false)</f>
        <v>#N/A</v>
      </c>
      <c r="N2728" s="1" t="s">
        <v>32</v>
      </c>
      <c r="O2728" s="1" t="s">
        <v>33</v>
      </c>
      <c r="P2728" s="1" t="s">
        <v>34</v>
      </c>
      <c r="Q2728" s="1" t="s">
        <v>34</v>
      </c>
      <c r="R2728" s="1" t="s">
        <v>35</v>
      </c>
      <c r="T2728" s="1">
        <v>1.00587434E8</v>
      </c>
      <c r="W2728" s="1" t="s">
        <v>74</v>
      </c>
      <c r="X2728" s="1" t="s">
        <v>8281</v>
      </c>
    </row>
    <row r="2729">
      <c r="A2729" s="1" t="s">
        <v>8282</v>
      </c>
      <c r="B2729" s="1" t="s">
        <v>2429</v>
      </c>
      <c r="C2729" s="1" t="s">
        <v>8283</v>
      </c>
      <c r="D2729" s="1" t="s">
        <v>103</v>
      </c>
      <c r="E2729" s="1" t="s">
        <v>29</v>
      </c>
      <c r="F2729" s="5">
        <v>310000.0</v>
      </c>
      <c r="G2729" s="1" t="s">
        <v>7016</v>
      </c>
      <c r="H2729" s="1" t="s">
        <v>4988</v>
      </c>
      <c r="I2729" s="1" t="s">
        <v>217</v>
      </c>
      <c r="K2729" s="1">
        <v>0.0</v>
      </c>
      <c r="L2729" s="1" t="s">
        <v>7047</v>
      </c>
      <c r="M2729" s="1" t="str">
        <f>VLOOKUP(L2729,'Copy of PMD Workday Constants -'!B2728:W3414,22,false)</f>
        <v>#N/A</v>
      </c>
      <c r="N2729" s="1" t="s">
        <v>32</v>
      </c>
      <c r="O2729" s="1" t="s">
        <v>33</v>
      </c>
      <c r="P2729" s="1" t="s">
        <v>34</v>
      </c>
      <c r="Q2729" s="1" t="s">
        <v>34</v>
      </c>
      <c r="R2729" s="1" t="s">
        <v>35</v>
      </c>
      <c r="S2729" s="1" t="s">
        <v>1166</v>
      </c>
      <c r="T2729" s="1">
        <v>1.01090216E8</v>
      </c>
      <c r="W2729" s="1" t="s">
        <v>456</v>
      </c>
      <c r="X2729" s="1" t="s">
        <v>7048</v>
      </c>
    </row>
    <row r="2730">
      <c r="A2730" s="1" t="s">
        <v>8284</v>
      </c>
      <c r="B2730" s="1" t="s">
        <v>2670</v>
      </c>
      <c r="C2730" s="1" t="s">
        <v>8285</v>
      </c>
      <c r="D2730" s="1" t="s">
        <v>103</v>
      </c>
      <c r="E2730" s="1" t="s">
        <v>29</v>
      </c>
      <c r="F2730" s="5">
        <v>310000.0</v>
      </c>
      <c r="G2730" s="1" t="s">
        <v>7016</v>
      </c>
      <c r="H2730" s="1" t="s">
        <v>4650</v>
      </c>
      <c r="I2730" s="1" t="s">
        <v>191</v>
      </c>
      <c r="K2730" s="1">
        <v>0.0</v>
      </c>
      <c r="L2730" s="1" t="s">
        <v>7276</v>
      </c>
      <c r="M2730" s="1" t="str">
        <f>VLOOKUP(L2730,'Copy of PMD Workday Constants -'!B2729:W3415,22,false)</f>
        <v>#N/A</v>
      </c>
      <c r="N2730" s="1" t="s">
        <v>32</v>
      </c>
      <c r="O2730" s="1" t="s">
        <v>33</v>
      </c>
      <c r="P2730" s="1" t="s">
        <v>64</v>
      </c>
      <c r="Q2730" s="1" t="s">
        <v>64</v>
      </c>
      <c r="R2730" s="1" t="s">
        <v>65</v>
      </c>
      <c r="S2730" s="1" t="s">
        <v>1336</v>
      </c>
      <c r="T2730" s="1">
        <v>1.00587219E8</v>
      </c>
      <c r="W2730" s="1" t="s">
        <v>493</v>
      </c>
      <c r="X2730" s="1" t="s">
        <v>8286</v>
      </c>
    </row>
    <row r="2731">
      <c r="A2731" s="1" t="s">
        <v>8287</v>
      </c>
      <c r="B2731" s="1" t="s">
        <v>772</v>
      </c>
      <c r="C2731" s="1" t="s">
        <v>8288</v>
      </c>
      <c r="D2731" s="1" t="s">
        <v>51</v>
      </c>
      <c r="E2731" s="1" t="s">
        <v>29</v>
      </c>
      <c r="F2731" s="5">
        <v>301500.0</v>
      </c>
      <c r="G2731" s="1" t="s">
        <v>7016</v>
      </c>
      <c r="H2731" s="4">
        <v>44083.0</v>
      </c>
      <c r="I2731" s="1" t="s">
        <v>104</v>
      </c>
      <c r="K2731" s="1">
        <v>0.0</v>
      </c>
      <c r="L2731" s="1" t="s">
        <v>5295</v>
      </c>
      <c r="M2731" s="1" t="str">
        <f>VLOOKUP(L2731,'Copy of PMD Workday Constants -'!B2730:W3416,22,false)</f>
        <v>#N/A</v>
      </c>
      <c r="N2731" s="1" t="s">
        <v>32</v>
      </c>
      <c r="O2731" s="1" t="s">
        <v>33</v>
      </c>
      <c r="P2731" s="1" t="s">
        <v>222</v>
      </c>
      <c r="Q2731" s="1" t="s">
        <v>222</v>
      </c>
      <c r="R2731" s="1" t="s">
        <v>223</v>
      </c>
      <c r="S2731" s="1" t="s">
        <v>482</v>
      </c>
      <c r="T2731" s="1">
        <v>1.00605581E8</v>
      </c>
      <c r="W2731" s="1" t="s">
        <v>37</v>
      </c>
      <c r="X2731" s="1" t="s">
        <v>8289</v>
      </c>
    </row>
    <row r="2732">
      <c r="A2732" s="1" t="s">
        <v>8290</v>
      </c>
      <c r="B2732" s="1" t="s">
        <v>8291</v>
      </c>
      <c r="C2732" s="1" t="s">
        <v>8292</v>
      </c>
      <c r="D2732" s="1" t="s">
        <v>51</v>
      </c>
      <c r="E2732" s="1" t="s">
        <v>29</v>
      </c>
      <c r="F2732" s="5">
        <v>300862.76</v>
      </c>
      <c r="G2732" s="1" t="s">
        <v>7016</v>
      </c>
      <c r="H2732" s="1" t="s">
        <v>3018</v>
      </c>
      <c r="I2732" s="1" t="s">
        <v>810</v>
      </c>
      <c r="K2732" s="1">
        <v>0.0</v>
      </c>
      <c r="L2732" s="1" t="s">
        <v>8293</v>
      </c>
      <c r="M2732" s="1" t="str">
        <f>VLOOKUP(L2732,'Copy of PMD Workday Constants -'!B2731:W3417,22,false)</f>
        <v>#N/A</v>
      </c>
      <c r="N2732" s="1" t="s">
        <v>32</v>
      </c>
      <c r="O2732" s="1" t="s">
        <v>33</v>
      </c>
      <c r="P2732" s="1" t="s">
        <v>5253</v>
      </c>
      <c r="Q2732" s="1" t="s">
        <v>5253</v>
      </c>
      <c r="R2732" s="1" t="s">
        <v>65</v>
      </c>
      <c r="S2732" s="1" t="s">
        <v>1336</v>
      </c>
      <c r="T2732" s="1">
        <v>1.00591676E8</v>
      </c>
      <c r="W2732" s="1" t="s">
        <v>436</v>
      </c>
      <c r="X2732" s="1" t="s">
        <v>7638</v>
      </c>
    </row>
    <row r="2733">
      <c r="A2733" s="1" t="s">
        <v>8294</v>
      </c>
      <c r="B2733" s="1" t="s">
        <v>931</v>
      </c>
      <c r="C2733" s="1" t="s">
        <v>8295</v>
      </c>
      <c r="D2733" s="1" t="s">
        <v>51</v>
      </c>
      <c r="E2733" s="1" t="s">
        <v>29</v>
      </c>
      <c r="F2733" s="5">
        <v>300400.0</v>
      </c>
      <c r="G2733" s="1" t="s">
        <v>7016</v>
      </c>
      <c r="H2733" s="1" t="s">
        <v>526</v>
      </c>
      <c r="I2733" s="1" t="s">
        <v>8252</v>
      </c>
      <c r="K2733" s="1">
        <v>0.0</v>
      </c>
      <c r="L2733" s="1" t="s">
        <v>2006</v>
      </c>
      <c r="M2733" s="1" t="str">
        <f>VLOOKUP(L2733,'Copy of PMD Workday Constants -'!B2732:W3418,22,false)</f>
        <v>#N/A</v>
      </c>
      <c r="N2733" s="1" t="s">
        <v>32</v>
      </c>
      <c r="O2733" s="1" t="s">
        <v>33</v>
      </c>
      <c r="P2733" s="1" t="s">
        <v>173</v>
      </c>
      <c r="Q2733" s="1" t="s">
        <v>173</v>
      </c>
      <c r="R2733" s="1" t="s">
        <v>174</v>
      </c>
      <c r="T2733" s="1">
        <v>1.00654054E8</v>
      </c>
      <c r="W2733" s="1" t="s">
        <v>85</v>
      </c>
      <c r="X2733" s="1" t="s">
        <v>7687</v>
      </c>
    </row>
    <row r="2734">
      <c r="A2734" s="1" t="s">
        <v>8296</v>
      </c>
      <c r="B2734" s="1" t="s">
        <v>8153</v>
      </c>
      <c r="C2734" s="1" t="s">
        <v>8297</v>
      </c>
      <c r="D2734" s="1" t="s">
        <v>28</v>
      </c>
      <c r="E2734" s="1" t="s">
        <v>29</v>
      </c>
      <c r="F2734" s="5">
        <v>300322.0</v>
      </c>
      <c r="G2734" s="1" t="s">
        <v>7016</v>
      </c>
      <c r="H2734" s="4">
        <v>44324.0</v>
      </c>
      <c r="I2734" s="1" t="s">
        <v>80</v>
      </c>
      <c r="K2734" s="1">
        <v>0.0</v>
      </c>
      <c r="L2734" s="1" t="s">
        <v>3848</v>
      </c>
      <c r="M2734" s="1" t="str">
        <f>VLOOKUP(L2734,'Copy of PMD Workday Constants -'!B2733:W3419,22,false)</f>
        <v>#N/A</v>
      </c>
      <c r="N2734" s="1" t="s">
        <v>32</v>
      </c>
      <c r="O2734" s="1" t="s">
        <v>33</v>
      </c>
      <c r="P2734" s="1" t="s">
        <v>173</v>
      </c>
      <c r="Q2734" s="1" t="s">
        <v>173</v>
      </c>
      <c r="R2734" s="1" t="s">
        <v>174</v>
      </c>
      <c r="S2734" s="1" t="s">
        <v>612</v>
      </c>
      <c r="T2734" s="1">
        <v>1.00654914E8</v>
      </c>
      <c r="W2734" s="1" t="s">
        <v>74</v>
      </c>
      <c r="X2734" s="1" t="s">
        <v>3745</v>
      </c>
    </row>
    <row r="2735">
      <c r="A2735" s="1" t="s">
        <v>8298</v>
      </c>
      <c r="B2735" s="1" t="s">
        <v>5879</v>
      </c>
      <c r="C2735" s="1" t="s">
        <v>8299</v>
      </c>
      <c r="D2735" s="1" t="s">
        <v>28</v>
      </c>
      <c r="E2735" s="1" t="s">
        <v>29</v>
      </c>
      <c r="F2735" s="5">
        <v>300000.0</v>
      </c>
      <c r="G2735" s="1" t="s">
        <v>7016</v>
      </c>
      <c r="H2735" s="4">
        <v>44840.0</v>
      </c>
      <c r="I2735" s="1" t="s">
        <v>96</v>
      </c>
      <c r="K2735" s="1">
        <v>0.0</v>
      </c>
      <c r="L2735" s="1" t="s">
        <v>5881</v>
      </c>
      <c r="M2735" s="1" t="str">
        <f>VLOOKUP(L2735,'Copy of PMD Workday Constants -'!B2734:W3420,22,false)</f>
        <v>#N/A</v>
      </c>
      <c r="N2735" s="1" t="s">
        <v>32</v>
      </c>
      <c r="O2735" s="1" t="s">
        <v>33</v>
      </c>
      <c r="P2735" s="1" t="s">
        <v>64</v>
      </c>
      <c r="Q2735" s="1" t="s">
        <v>64</v>
      </c>
      <c r="R2735" s="1" t="s">
        <v>65</v>
      </c>
      <c r="S2735" s="1" t="s">
        <v>1336</v>
      </c>
      <c r="T2735" s="1">
        <v>1.01230882E8</v>
      </c>
      <c r="W2735" s="1" t="s">
        <v>1801</v>
      </c>
      <c r="X2735" s="1" t="s">
        <v>5882</v>
      </c>
    </row>
    <row r="2736">
      <c r="A2736" s="1" t="s">
        <v>8300</v>
      </c>
      <c r="B2736" s="1" t="s">
        <v>7281</v>
      </c>
      <c r="C2736" s="1" t="s">
        <v>8301</v>
      </c>
      <c r="D2736" s="1" t="s">
        <v>28</v>
      </c>
      <c r="E2736" s="1" t="s">
        <v>29</v>
      </c>
      <c r="F2736" s="5">
        <v>300000.0</v>
      </c>
      <c r="G2736" s="1" t="s">
        <v>7016</v>
      </c>
      <c r="H2736" s="4">
        <v>44869.0</v>
      </c>
      <c r="I2736" s="1" t="s">
        <v>104</v>
      </c>
      <c r="K2736" s="1">
        <v>0.0</v>
      </c>
      <c r="L2736" s="1" t="s">
        <v>1011</v>
      </c>
      <c r="M2736" s="1" t="str">
        <f>VLOOKUP(L2736,'Copy of PMD Workday Constants -'!B2735:W3421,22,false)</f>
        <v>#N/A</v>
      </c>
      <c r="N2736" s="1" t="s">
        <v>32</v>
      </c>
      <c r="O2736" s="1" t="s">
        <v>33</v>
      </c>
      <c r="P2736" s="1" t="s">
        <v>82</v>
      </c>
      <c r="Q2736" s="1" t="s">
        <v>82</v>
      </c>
      <c r="R2736" s="1" t="s">
        <v>83</v>
      </c>
      <c r="S2736" s="1" t="s">
        <v>583</v>
      </c>
      <c r="T2736" s="1">
        <v>1.00609514E8</v>
      </c>
      <c r="W2736" s="1" t="s">
        <v>85</v>
      </c>
      <c r="X2736" s="1" t="s">
        <v>1012</v>
      </c>
    </row>
    <row r="2737">
      <c r="A2737" s="1" t="s">
        <v>8302</v>
      </c>
      <c r="B2737" s="1" t="s">
        <v>5503</v>
      </c>
      <c r="C2737" s="1" t="s">
        <v>8303</v>
      </c>
      <c r="D2737" s="1" t="s">
        <v>28</v>
      </c>
      <c r="E2737" s="1" t="s">
        <v>29</v>
      </c>
      <c r="F2737" s="5">
        <v>300000.0</v>
      </c>
      <c r="G2737" s="1" t="s">
        <v>7016</v>
      </c>
      <c r="H2737" s="1" t="s">
        <v>4941</v>
      </c>
      <c r="I2737" s="4">
        <v>44569.0</v>
      </c>
      <c r="K2737" s="1">
        <v>0.0</v>
      </c>
      <c r="L2737" s="1" t="s">
        <v>1549</v>
      </c>
      <c r="M2737" s="1" t="str">
        <f>VLOOKUP(L2737,'Copy of PMD Workday Constants -'!B2736:W3422,22,false)</f>
        <v>#N/A</v>
      </c>
      <c r="N2737" s="1" t="s">
        <v>32</v>
      </c>
      <c r="O2737" s="1" t="s">
        <v>33</v>
      </c>
      <c r="P2737" s="1" t="s">
        <v>173</v>
      </c>
      <c r="Q2737" s="1" t="s">
        <v>173</v>
      </c>
      <c r="R2737" s="1" t="s">
        <v>174</v>
      </c>
      <c r="T2737" s="1">
        <v>1.00646908E8</v>
      </c>
      <c r="W2737" s="1" t="s">
        <v>947</v>
      </c>
      <c r="X2737" s="1" t="s">
        <v>4942</v>
      </c>
    </row>
    <row r="2738">
      <c r="A2738" s="1" t="s">
        <v>8304</v>
      </c>
      <c r="B2738" s="1" t="s">
        <v>5275</v>
      </c>
      <c r="C2738" s="1" t="s">
        <v>8305</v>
      </c>
      <c r="D2738" s="1" t="s">
        <v>103</v>
      </c>
      <c r="E2738" s="1" t="s">
        <v>29</v>
      </c>
      <c r="F2738" s="5">
        <v>300000.0</v>
      </c>
      <c r="G2738" s="1" t="s">
        <v>7016</v>
      </c>
      <c r="H2738" s="1" t="s">
        <v>2210</v>
      </c>
      <c r="I2738" s="1" t="s">
        <v>43</v>
      </c>
      <c r="K2738" s="1">
        <v>0.0</v>
      </c>
      <c r="L2738" s="1" t="s">
        <v>1558</v>
      </c>
      <c r="M2738" s="1" t="str">
        <f>VLOOKUP(L2738,'Copy of PMD Workday Constants -'!B2737:W3423,22,false)</f>
        <v>#N/A</v>
      </c>
      <c r="N2738" s="1" t="s">
        <v>32</v>
      </c>
      <c r="O2738" s="1" t="s">
        <v>33</v>
      </c>
      <c r="P2738" s="1" t="s">
        <v>210</v>
      </c>
      <c r="Q2738" s="1" t="s">
        <v>210</v>
      </c>
      <c r="R2738" s="1" t="s">
        <v>211</v>
      </c>
      <c r="S2738" s="1" t="s">
        <v>416</v>
      </c>
      <c r="T2738" s="1">
        <v>1.00639226E8</v>
      </c>
      <c r="W2738" s="1" t="s">
        <v>56</v>
      </c>
      <c r="X2738" s="1" t="s">
        <v>1558</v>
      </c>
    </row>
    <row r="2739">
      <c r="A2739" s="1" t="s">
        <v>8306</v>
      </c>
      <c r="B2739" s="1" t="s">
        <v>1034</v>
      </c>
      <c r="C2739" s="1" t="s">
        <v>8307</v>
      </c>
      <c r="D2739" s="1" t="s">
        <v>103</v>
      </c>
      <c r="E2739" s="1" t="s">
        <v>29</v>
      </c>
      <c r="F2739" s="5">
        <v>300000.0</v>
      </c>
      <c r="G2739" s="1" t="s">
        <v>7016</v>
      </c>
      <c r="H2739" s="4">
        <v>44594.0</v>
      </c>
      <c r="I2739" s="4">
        <v>44872.0</v>
      </c>
      <c r="K2739" s="1">
        <v>0.0</v>
      </c>
      <c r="L2739" s="1" t="s">
        <v>1292</v>
      </c>
      <c r="M2739" s="1" t="str">
        <f>VLOOKUP(L2739,'Copy of PMD Workday Constants -'!B2738:W3424,22,false)</f>
        <v>#N/A</v>
      </c>
      <c r="N2739" s="1" t="s">
        <v>32</v>
      </c>
      <c r="O2739" s="1" t="s">
        <v>33</v>
      </c>
      <c r="P2739" s="1" t="s">
        <v>82</v>
      </c>
      <c r="Q2739" s="1" t="s">
        <v>82</v>
      </c>
      <c r="R2739" s="1" t="s">
        <v>83</v>
      </c>
      <c r="S2739" s="1" t="s">
        <v>180</v>
      </c>
      <c r="T2739" s="1">
        <v>1.006299E8</v>
      </c>
      <c r="W2739" s="1" t="s">
        <v>85</v>
      </c>
      <c r="X2739" s="1" t="s">
        <v>1293</v>
      </c>
    </row>
    <row r="2740">
      <c r="A2740" s="1" t="s">
        <v>8308</v>
      </c>
      <c r="B2740" s="1" t="s">
        <v>87</v>
      </c>
      <c r="C2740" s="1" t="s">
        <v>8309</v>
      </c>
      <c r="D2740" s="1" t="s">
        <v>28</v>
      </c>
      <c r="E2740" s="1" t="s">
        <v>29</v>
      </c>
      <c r="F2740" s="5">
        <v>300000.0</v>
      </c>
      <c r="G2740" s="1" t="s">
        <v>7016</v>
      </c>
      <c r="H2740" s="1" t="s">
        <v>399</v>
      </c>
      <c r="I2740" s="4">
        <v>44689.0</v>
      </c>
      <c r="K2740" s="1">
        <v>0.0</v>
      </c>
      <c r="L2740" s="1" t="s">
        <v>89</v>
      </c>
      <c r="M2740" s="1" t="str">
        <f>VLOOKUP(L2740,'Copy of PMD Workday Constants -'!B2739:W3425,22,false)</f>
        <v>#N/A</v>
      </c>
      <c r="N2740" s="1" t="s">
        <v>32</v>
      </c>
      <c r="O2740" s="1" t="s">
        <v>33</v>
      </c>
      <c r="P2740" s="1" t="s">
        <v>34</v>
      </c>
      <c r="Q2740" s="1" t="s">
        <v>34</v>
      </c>
      <c r="R2740" s="1" t="s">
        <v>35</v>
      </c>
      <c r="S2740" s="1" t="s">
        <v>36</v>
      </c>
      <c r="T2740" s="1">
        <v>1.00609569E8</v>
      </c>
      <c r="W2740" s="1" t="s">
        <v>91</v>
      </c>
      <c r="X2740" s="1" t="s">
        <v>401</v>
      </c>
    </row>
    <row r="2741">
      <c r="A2741" s="1" t="s">
        <v>8310</v>
      </c>
      <c r="B2741" s="1" t="s">
        <v>2375</v>
      </c>
      <c r="C2741" s="1" t="s">
        <v>8311</v>
      </c>
      <c r="D2741" s="1" t="s">
        <v>28</v>
      </c>
      <c r="E2741" s="1" t="s">
        <v>29</v>
      </c>
      <c r="F2741" s="5">
        <v>300000.0</v>
      </c>
      <c r="G2741" s="1" t="s">
        <v>7016</v>
      </c>
      <c r="H2741" s="1" t="s">
        <v>2360</v>
      </c>
      <c r="I2741" s="1" t="s">
        <v>152</v>
      </c>
      <c r="K2741" s="1">
        <v>0.0</v>
      </c>
      <c r="L2741" s="1" t="s">
        <v>8312</v>
      </c>
      <c r="M2741" s="1" t="str">
        <f>VLOOKUP(L2741,'Copy of PMD Workday Constants -'!B2740:W3426,22,false)</f>
        <v>#N/A</v>
      </c>
      <c r="N2741" s="1" t="s">
        <v>32</v>
      </c>
      <c r="O2741" s="1" t="s">
        <v>33</v>
      </c>
      <c r="P2741" s="1" t="s">
        <v>222</v>
      </c>
      <c r="Q2741" s="1" t="s">
        <v>222</v>
      </c>
      <c r="R2741" s="1" t="s">
        <v>223</v>
      </c>
      <c r="T2741" s="1">
        <v>1.01078151E8</v>
      </c>
      <c r="W2741" s="1" t="s">
        <v>258</v>
      </c>
      <c r="X2741" s="1" t="s">
        <v>3462</v>
      </c>
    </row>
    <row r="2742">
      <c r="A2742" s="1" t="s">
        <v>8313</v>
      </c>
      <c r="B2742" s="1" t="s">
        <v>5634</v>
      </c>
      <c r="C2742" s="1" t="s">
        <v>8314</v>
      </c>
      <c r="D2742" s="1" t="s">
        <v>103</v>
      </c>
      <c r="E2742" s="1" t="s">
        <v>29</v>
      </c>
      <c r="F2742" s="5">
        <v>300000.0</v>
      </c>
      <c r="G2742" s="1" t="s">
        <v>7016</v>
      </c>
      <c r="H2742" s="1" t="s">
        <v>1245</v>
      </c>
      <c r="I2742" s="1" t="s">
        <v>80</v>
      </c>
      <c r="K2742" s="1">
        <v>0.0</v>
      </c>
      <c r="L2742" s="1" t="s">
        <v>481</v>
      </c>
      <c r="M2742" s="1" t="str">
        <f>VLOOKUP(L2742,'Copy of PMD Workday Constants -'!B2741:W3427,22,false)</f>
        <v>#N/A</v>
      </c>
      <c r="N2742" s="1" t="s">
        <v>32</v>
      </c>
      <c r="O2742" s="1" t="s">
        <v>33</v>
      </c>
      <c r="P2742" s="1" t="s">
        <v>222</v>
      </c>
      <c r="Q2742" s="1" t="s">
        <v>222</v>
      </c>
      <c r="R2742" s="1" t="s">
        <v>223</v>
      </c>
      <c r="T2742" s="1">
        <v>1.00654864E8</v>
      </c>
      <c r="W2742" s="1" t="s">
        <v>436</v>
      </c>
      <c r="X2742" s="1" t="s">
        <v>7481</v>
      </c>
    </row>
    <row r="2743">
      <c r="A2743" s="1" t="s">
        <v>8315</v>
      </c>
      <c r="B2743" s="1" t="s">
        <v>3036</v>
      </c>
      <c r="C2743" s="1" t="s">
        <v>8316</v>
      </c>
      <c r="D2743" s="1" t="s">
        <v>28</v>
      </c>
      <c r="E2743" s="1" t="s">
        <v>29</v>
      </c>
      <c r="F2743" s="5">
        <v>300000.0</v>
      </c>
      <c r="G2743" s="1" t="s">
        <v>7016</v>
      </c>
      <c r="H2743" s="1" t="s">
        <v>5674</v>
      </c>
      <c r="I2743" s="1" t="s">
        <v>301</v>
      </c>
      <c r="K2743" s="1">
        <v>0.0</v>
      </c>
      <c r="L2743" s="1" t="s">
        <v>2066</v>
      </c>
      <c r="M2743" s="1" t="str">
        <f>VLOOKUP(L2743,'Copy of PMD Workday Constants -'!B2742:W3428,22,false)</f>
        <v>#N/A</v>
      </c>
      <c r="N2743" s="1" t="s">
        <v>32</v>
      </c>
      <c r="O2743" s="1" t="s">
        <v>33</v>
      </c>
      <c r="P2743" s="1" t="s">
        <v>54</v>
      </c>
      <c r="Q2743" s="1" t="s">
        <v>54</v>
      </c>
      <c r="R2743" s="1" t="s">
        <v>55</v>
      </c>
      <c r="S2743" s="1" t="s">
        <v>701</v>
      </c>
      <c r="T2743" s="1">
        <v>1.0058019E8</v>
      </c>
      <c r="W2743" s="1" t="s">
        <v>74</v>
      </c>
      <c r="X2743" s="1" t="s">
        <v>2066</v>
      </c>
    </row>
    <row r="2744">
      <c r="A2744" s="1" t="s">
        <v>8317</v>
      </c>
      <c r="B2744" s="1" t="s">
        <v>8318</v>
      </c>
      <c r="C2744" s="1" t="s">
        <v>8319</v>
      </c>
      <c r="D2744" s="1" t="s">
        <v>51</v>
      </c>
      <c r="E2744" s="1" t="s">
        <v>29</v>
      </c>
      <c r="F2744" s="5">
        <v>300000.0</v>
      </c>
      <c r="G2744" s="1" t="s">
        <v>7016</v>
      </c>
      <c r="H2744" s="1" t="s">
        <v>975</v>
      </c>
      <c r="I2744" s="1" t="s">
        <v>1673</v>
      </c>
      <c r="K2744" s="1">
        <v>0.0</v>
      </c>
      <c r="L2744" s="1" t="s">
        <v>963</v>
      </c>
      <c r="M2744" s="1" t="str">
        <f>VLOOKUP(L2744,'Copy of PMD Workday Constants -'!B2743:W3429,22,false)</f>
        <v>#N/A</v>
      </c>
      <c r="N2744" s="1" t="s">
        <v>32</v>
      </c>
      <c r="O2744" s="1" t="s">
        <v>33</v>
      </c>
      <c r="P2744" s="1" t="s">
        <v>173</v>
      </c>
      <c r="Q2744" s="1" t="s">
        <v>173</v>
      </c>
      <c r="R2744" s="1" t="s">
        <v>174</v>
      </c>
      <c r="S2744" s="1" t="s">
        <v>612</v>
      </c>
      <c r="T2744" s="1">
        <v>1.00708984E8</v>
      </c>
      <c r="W2744" s="1" t="s">
        <v>140</v>
      </c>
      <c r="X2744" s="1" t="s">
        <v>963</v>
      </c>
    </row>
    <row r="2745">
      <c r="A2745" s="1" t="s">
        <v>8320</v>
      </c>
      <c r="B2745" s="1" t="s">
        <v>317</v>
      </c>
      <c r="C2745" s="1" t="s">
        <v>8321</v>
      </c>
      <c r="D2745" s="1" t="s">
        <v>28</v>
      </c>
      <c r="E2745" s="1" t="s">
        <v>29</v>
      </c>
      <c r="F2745" s="5">
        <v>300000.0</v>
      </c>
      <c r="G2745" s="1" t="s">
        <v>7016</v>
      </c>
      <c r="H2745" s="4">
        <v>44626.0</v>
      </c>
      <c r="I2745" s="1" t="s">
        <v>692</v>
      </c>
      <c r="K2745" s="1">
        <v>0.0</v>
      </c>
      <c r="L2745" s="1" t="s">
        <v>1697</v>
      </c>
      <c r="M2745" s="1" t="str">
        <f>VLOOKUP(L2745,'Copy of PMD Workday Constants -'!B2744:W3430,22,false)</f>
        <v>#N/A</v>
      </c>
      <c r="N2745" s="1" t="s">
        <v>32</v>
      </c>
      <c r="O2745" s="1" t="s">
        <v>33</v>
      </c>
      <c r="P2745" s="1" t="s">
        <v>82</v>
      </c>
      <c r="Q2745" s="1" t="s">
        <v>82</v>
      </c>
      <c r="R2745" s="1" t="s">
        <v>83</v>
      </c>
      <c r="S2745" s="1" t="s">
        <v>84</v>
      </c>
      <c r="T2745" s="1">
        <v>1.00589728E8</v>
      </c>
      <c r="W2745" s="1" t="s">
        <v>85</v>
      </c>
      <c r="X2745" s="1" t="s">
        <v>8322</v>
      </c>
    </row>
    <row r="2746">
      <c r="A2746" s="1" t="s">
        <v>8323</v>
      </c>
      <c r="B2746" s="1" t="s">
        <v>8324</v>
      </c>
      <c r="C2746" s="1" t="s">
        <v>8325</v>
      </c>
      <c r="D2746" s="1" t="s">
        <v>28</v>
      </c>
      <c r="E2746" s="1" t="s">
        <v>29</v>
      </c>
      <c r="F2746" s="5">
        <v>300000.0</v>
      </c>
      <c r="G2746" s="1" t="s">
        <v>7016</v>
      </c>
      <c r="H2746" s="1" t="s">
        <v>5062</v>
      </c>
      <c r="I2746" s="1" t="s">
        <v>104</v>
      </c>
      <c r="K2746" s="1">
        <v>0.0</v>
      </c>
      <c r="L2746" s="1" t="s">
        <v>2275</v>
      </c>
      <c r="M2746" s="1" t="str">
        <f>VLOOKUP(L2746,'Copy of PMD Workday Constants -'!B2745:W3431,22,false)</f>
        <v>#N/A</v>
      </c>
      <c r="N2746" s="1" t="s">
        <v>32</v>
      </c>
      <c r="O2746" s="1" t="s">
        <v>33</v>
      </c>
      <c r="P2746" s="1" t="s">
        <v>173</v>
      </c>
      <c r="Q2746" s="1" t="s">
        <v>173</v>
      </c>
      <c r="R2746" s="1" t="s">
        <v>174</v>
      </c>
      <c r="S2746" s="1" t="s">
        <v>153</v>
      </c>
      <c r="T2746" s="1">
        <v>1.00650783E8</v>
      </c>
      <c r="W2746" s="1" t="s">
        <v>85</v>
      </c>
      <c r="X2746" s="1" t="s">
        <v>2275</v>
      </c>
    </row>
    <row r="2747">
      <c r="A2747" s="1" t="s">
        <v>8326</v>
      </c>
      <c r="B2747" s="1" t="s">
        <v>5634</v>
      </c>
      <c r="C2747" s="1" t="s">
        <v>8327</v>
      </c>
      <c r="D2747" s="1" t="s">
        <v>51</v>
      </c>
      <c r="E2747" s="1" t="s">
        <v>29</v>
      </c>
      <c r="F2747" s="5">
        <v>300000.0</v>
      </c>
      <c r="G2747" s="1" t="s">
        <v>7016</v>
      </c>
      <c r="H2747" s="1" t="s">
        <v>42</v>
      </c>
      <c r="I2747" s="1" t="s">
        <v>302</v>
      </c>
      <c r="K2747" s="1">
        <v>0.0</v>
      </c>
      <c r="L2747" s="1" t="s">
        <v>4699</v>
      </c>
      <c r="M2747" s="1" t="str">
        <f>VLOOKUP(L2747,'Copy of PMD Workday Constants -'!B2746:W3432,22,false)</f>
        <v>#N/A</v>
      </c>
      <c r="N2747" s="1" t="s">
        <v>32</v>
      </c>
      <c r="O2747" s="1" t="s">
        <v>33</v>
      </c>
      <c r="P2747" s="1" t="s">
        <v>222</v>
      </c>
      <c r="Q2747" s="1" t="s">
        <v>222</v>
      </c>
      <c r="R2747" s="1" t="s">
        <v>223</v>
      </c>
      <c r="S2747" s="1" t="s">
        <v>601</v>
      </c>
      <c r="T2747" s="1">
        <v>1.00986592E8</v>
      </c>
      <c r="W2747" s="1" t="s">
        <v>436</v>
      </c>
      <c r="X2747" s="1" t="s">
        <v>4699</v>
      </c>
    </row>
    <row r="2748">
      <c r="A2748" s="1" t="s">
        <v>8328</v>
      </c>
      <c r="B2748" s="1" t="s">
        <v>8318</v>
      </c>
      <c r="C2748" s="1" t="s">
        <v>8329</v>
      </c>
      <c r="D2748" s="1" t="s">
        <v>51</v>
      </c>
      <c r="E2748" s="1" t="s">
        <v>29</v>
      </c>
      <c r="F2748" s="5">
        <v>300000.0</v>
      </c>
      <c r="G2748" s="1" t="s">
        <v>7016</v>
      </c>
      <c r="H2748" s="1" t="s">
        <v>975</v>
      </c>
      <c r="I2748" s="1" t="s">
        <v>1673</v>
      </c>
      <c r="K2748" s="1">
        <v>0.0</v>
      </c>
      <c r="L2748" s="1" t="s">
        <v>963</v>
      </c>
      <c r="M2748" s="1" t="str">
        <f>VLOOKUP(L2748,'Copy of PMD Workday Constants -'!B2747:W3433,22,false)</f>
        <v>#N/A</v>
      </c>
      <c r="N2748" s="1" t="s">
        <v>32</v>
      </c>
      <c r="O2748" s="1" t="s">
        <v>33</v>
      </c>
      <c r="P2748" s="1" t="s">
        <v>173</v>
      </c>
      <c r="Q2748" s="1" t="s">
        <v>173</v>
      </c>
      <c r="R2748" s="1" t="s">
        <v>174</v>
      </c>
      <c r="S2748" s="1" t="s">
        <v>612</v>
      </c>
      <c r="T2748" s="1">
        <v>1.00708984E8</v>
      </c>
      <c r="W2748" s="1" t="s">
        <v>140</v>
      </c>
      <c r="X2748" s="1" t="s">
        <v>963</v>
      </c>
    </row>
    <row r="2749">
      <c r="A2749" s="1" t="s">
        <v>8330</v>
      </c>
      <c r="B2749" s="1" t="s">
        <v>1664</v>
      </c>
      <c r="C2749" s="1" t="s">
        <v>8331</v>
      </c>
      <c r="D2749" s="1" t="s">
        <v>79</v>
      </c>
      <c r="E2749" s="1" t="s">
        <v>29</v>
      </c>
      <c r="F2749" s="5">
        <v>300000.0</v>
      </c>
      <c r="G2749" s="1" t="s">
        <v>7016</v>
      </c>
      <c r="H2749" s="4">
        <v>44686.0</v>
      </c>
      <c r="I2749" s="1" t="s">
        <v>96</v>
      </c>
      <c r="K2749" s="1">
        <v>0.0</v>
      </c>
      <c r="L2749" s="1" t="s">
        <v>830</v>
      </c>
      <c r="M2749" s="1" t="str">
        <f>VLOOKUP(L2749,'Copy of PMD Workday Constants -'!B2748:W3434,22,false)</f>
        <v>#N/A</v>
      </c>
      <c r="N2749" s="1" t="s">
        <v>32</v>
      </c>
      <c r="O2749" s="1" t="s">
        <v>33</v>
      </c>
      <c r="P2749" s="1" t="s">
        <v>173</v>
      </c>
      <c r="Q2749" s="1" t="s">
        <v>173</v>
      </c>
      <c r="R2749" s="1" t="s">
        <v>174</v>
      </c>
      <c r="T2749" s="1">
        <v>1.00584422E8</v>
      </c>
      <c r="W2749" s="1" t="s">
        <v>147</v>
      </c>
      <c r="X2749" s="1" t="s">
        <v>1571</v>
      </c>
    </row>
    <row r="2750">
      <c r="A2750" s="1" t="s">
        <v>8332</v>
      </c>
      <c r="B2750" s="1" t="s">
        <v>973</v>
      </c>
      <c r="C2750" s="1" t="s">
        <v>8333</v>
      </c>
      <c r="D2750" s="1" t="s">
        <v>28</v>
      </c>
      <c r="E2750" s="1" t="s">
        <v>29</v>
      </c>
      <c r="F2750" s="5">
        <v>300000.0</v>
      </c>
      <c r="G2750" s="1" t="s">
        <v>7016</v>
      </c>
      <c r="H2750" s="4">
        <v>44626.0</v>
      </c>
      <c r="I2750" s="1" t="s">
        <v>166</v>
      </c>
      <c r="K2750" s="1">
        <v>0.0</v>
      </c>
      <c r="L2750" s="1" t="s">
        <v>976</v>
      </c>
      <c r="M2750" s="1" t="str">
        <f>VLOOKUP(L2750,'Copy of PMD Workday Constants -'!B2749:W3435,22,false)</f>
        <v>#N/A</v>
      </c>
      <c r="N2750" s="1" t="s">
        <v>32</v>
      </c>
      <c r="O2750" s="1" t="s">
        <v>33</v>
      </c>
      <c r="P2750" s="1" t="s">
        <v>173</v>
      </c>
      <c r="Q2750" s="1" t="s">
        <v>173</v>
      </c>
      <c r="R2750" s="1" t="s">
        <v>174</v>
      </c>
      <c r="T2750" s="1">
        <v>1.00611358E8</v>
      </c>
      <c r="W2750" s="1" t="s">
        <v>456</v>
      </c>
      <c r="X2750" s="1" t="s">
        <v>977</v>
      </c>
    </row>
    <row r="2751">
      <c r="A2751" s="1" t="s">
        <v>8334</v>
      </c>
      <c r="B2751" s="1" t="s">
        <v>3881</v>
      </c>
      <c r="C2751" s="1" t="s">
        <v>8335</v>
      </c>
      <c r="D2751" s="1" t="s">
        <v>51</v>
      </c>
      <c r="E2751" s="1" t="s">
        <v>29</v>
      </c>
      <c r="F2751" s="5">
        <v>300000.0</v>
      </c>
      <c r="G2751" s="1" t="s">
        <v>7016</v>
      </c>
      <c r="H2751" s="4">
        <v>44597.0</v>
      </c>
      <c r="I2751" s="1" t="s">
        <v>414</v>
      </c>
      <c r="K2751" s="1">
        <v>0.0</v>
      </c>
      <c r="L2751" s="1" t="s">
        <v>3290</v>
      </c>
      <c r="M2751" s="1" t="str">
        <f>VLOOKUP(L2751,'Copy of PMD Workday Constants -'!B2750:W3436,22,false)</f>
        <v>#N/A</v>
      </c>
      <c r="N2751" s="1" t="s">
        <v>32</v>
      </c>
      <c r="O2751" s="1" t="s">
        <v>33</v>
      </c>
      <c r="P2751" s="1" t="s">
        <v>112</v>
      </c>
      <c r="Q2751" s="1" t="s">
        <v>112</v>
      </c>
      <c r="R2751" s="1" t="s">
        <v>113</v>
      </c>
      <c r="S2751" s="1" t="s">
        <v>307</v>
      </c>
      <c r="T2751" s="1">
        <v>1.00625578E8</v>
      </c>
      <c r="W2751" s="1" t="s">
        <v>947</v>
      </c>
      <c r="X2751" s="1" t="s">
        <v>4708</v>
      </c>
    </row>
    <row r="2752">
      <c r="A2752" s="1" t="s">
        <v>8336</v>
      </c>
      <c r="B2752" s="1" t="s">
        <v>4361</v>
      </c>
      <c r="C2752" s="1" t="s">
        <v>8337</v>
      </c>
      <c r="D2752" s="1" t="s">
        <v>103</v>
      </c>
      <c r="E2752" s="1" t="s">
        <v>29</v>
      </c>
      <c r="F2752" s="5">
        <v>300000.0</v>
      </c>
      <c r="G2752" s="1" t="s">
        <v>7016</v>
      </c>
      <c r="H2752" s="1" t="s">
        <v>5674</v>
      </c>
      <c r="I2752" s="1" t="s">
        <v>96</v>
      </c>
      <c r="K2752" s="1">
        <v>0.0</v>
      </c>
      <c r="L2752" s="1" t="s">
        <v>319</v>
      </c>
      <c r="M2752" s="1" t="str">
        <f>VLOOKUP(L2752,'Copy of PMD Workday Constants -'!B2751:W3437,22,false)</f>
        <v>#N/A</v>
      </c>
      <c r="N2752" s="1" t="s">
        <v>32</v>
      </c>
      <c r="O2752" s="1" t="s">
        <v>33</v>
      </c>
      <c r="P2752" s="1" t="s">
        <v>82</v>
      </c>
      <c r="Q2752" s="1" t="s">
        <v>82</v>
      </c>
      <c r="R2752" s="1" t="s">
        <v>83</v>
      </c>
      <c r="S2752" s="1" t="s">
        <v>84</v>
      </c>
      <c r="T2752" s="1">
        <v>1.00654705E8</v>
      </c>
      <c r="W2752" s="1" t="s">
        <v>85</v>
      </c>
      <c r="X2752" s="1" t="s">
        <v>319</v>
      </c>
    </row>
    <row r="2753">
      <c r="A2753" s="1" t="s">
        <v>8338</v>
      </c>
      <c r="B2753" s="1" t="s">
        <v>610</v>
      </c>
      <c r="C2753" s="1" t="s">
        <v>8339</v>
      </c>
      <c r="D2753" s="1" t="s">
        <v>51</v>
      </c>
      <c r="E2753" s="1" t="s">
        <v>29</v>
      </c>
      <c r="F2753" s="5">
        <v>300000.0</v>
      </c>
      <c r="G2753" s="1" t="s">
        <v>7016</v>
      </c>
      <c r="H2753" s="4">
        <v>44622.0</v>
      </c>
      <c r="I2753" s="1" t="s">
        <v>302</v>
      </c>
      <c r="K2753" s="1">
        <v>0.0</v>
      </c>
      <c r="L2753" s="1" t="s">
        <v>717</v>
      </c>
      <c r="M2753" s="1" t="str">
        <f>VLOOKUP(L2753,'Copy of PMD Workday Constants -'!B2752:W3438,22,false)</f>
        <v>#N/A</v>
      </c>
      <c r="N2753" s="1" t="s">
        <v>32</v>
      </c>
      <c r="O2753" s="1" t="s">
        <v>33</v>
      </c>
      <c r="P2753" s="1" t="s">
        <v>34</v>
      </c>
      <c r="Q2753" s="1" t="s">
        <v>34</v>
      </c>
      <c r="R2753" s="1" t="s">
        <v>35</v>
      </c>
      <c r="T2753" s="1">
        <v>1.00642379E8</v>
      </c>
      <c r="W2753" s="1" t="s">
        <v>947</v>
      </c>
      <c r="X2753" s="1" t="s">
        <v>717</v>
      </c>
    </row>
    <row r="2754">
      <c r="A2754" s="1" t="s">
        <v>8340</v>
      </c>
      <c r="B2754" s="1" t="s">
        <v>8341</v>
      </c>
      <c r="C2754" s="1" t="s">
        <v>8342</v>
      </c>
      <c r="D2754" s="1" t="s">
        <v>28</v>
      </c>
      <c r="E2754" s="1" t="s">
        <v>29</v>
      </c>
      <c r="F2754" s="5">
        <v>300000.0</v>
      </c>
      <c r="G2754" s="1" t="s">
        <v>7016</v>
      </c>
      <c r="H2754" s="1" t="s">
        <v>6003</v>
      </c>
      <c r="I2754" s="4">
        <v>44662.0</v>
      </c>
      <c r="K2754" s="1">
        <v>0.0</v>
      </c>
      <c r="L2754" s="1" t="s">
        <v>3559</v>
      </c>
      <c r="M2754" s="1" t="str">
        <f>VLOOKUP(L2754,'Copy of PMD Workday Constants -'!B2753:W3439,22,false)</f>
        <v>#N/A</v>
      </c>
      <c r="N2754" s="1" t="s">
        <v>32</v>
      </c>
      <c r="O2754" s="1" t="s">
        <v>33</v>
      </c>
      <c r="P2754" s="1" t="s">
        <v>34</v>
      </c>
      <c r="Q2754" s="1" t="s">
        <v>34</v>
      </c>
      <c r="R2754" s="1" t="s">
        <v>35</v>
      </c>
      <c r="S2754" s="1" t="s">
        <v>383</v>
      </c>
      <c r="T2754" s="1">
        <v>1.00586786E8</v>
      </c>
      <c r="W2754" s="1" t="s">
        <v>1303</v>
      </c>
      <c r="X2754" s="1" t="s">
        <v>3559</v>
      </c>
    </row>
    <row r="2755">
      <c r="A2755" s="1" t="s">
        <v>8343</v>
      </c>
      <c r="B2755" s="1" t="s">
        <v>1703</v>
      </c>
      <c r="C2755" s="1" t="s">
        <v>8344</v>
      </c>
      <c r="D2755" s="1" t="s">
        <v>28</v>
      </c>
      <c r="E2755" s="1" t="s">
        <v>29</v>
      </c>
      <c r="F2755" s="5">
        <v>300000.0</v>
      </c>
      <c r="G2755" s="1" t="s">
        <v>7016</v>
      </c>
      <c r="H2755" s="4">
        <v>44266.0</v>
      </c>
      <c r="I2755" s="1" t="s">
        <v>104</v>
      </c>
      <c r="K2755" s="1">
        <v>0.0</v>
      </c>
      <c r="L2755" s="1" t="s">
        <v>7943</v>
      </c>
      <c r="M2755" s="1" t="str">
        <f>VLOOKUP(L2755,'Copy of PMD Workday Constants -'!B2754:W3440,22,false)</f>
        <v>#N/A</v>
      </c>
      <c r="N2755" s="1" t="s">
        <v>32</v>
      </c>
      <c r="O2755" s="1" t="s">
        <v>33</v>
      </c>
      <c r="P2755" s="1" t="s">
        <v>82</v>
      </c>
      <c r="Q2755" s="1" t="s">
        <v>82</v>
      </c>
      <c r="R2755" s="1" t="s">
        <v>83</v>
      </c>
      <c r="S2755" s="1" t="s">
        <v>583</v>
      </c>
      <c r="T2755" s="1">
        <v>1.01080198E8</v>
      </c>
      <c r="W2755" s="1" t="s">
        <v>456</v>
      </c>
      <c r="X2755" s="1" t="s">
        <v>7943</v>
      </c>
    </row>
    <row r="2756">
      <c r="A2756" s="1" t="s">
        <v>8345</v>
      </c>
      <c r="B2756" s="1" t="s">
        <v>776</v>
      </c>
      <c r="C2756" s="1" t="s">
        <v>8346</v>
      </c>
      <c r="D2756" s="1" t="s">
        <v>28</v>
      </c>
      <c r="E2756" s="1" t="s">
        <v>29</v>
      </c>
      <c r="F2756" s="5">
        <v>300000.0</v>
      </c>
      <c r="G2756" s="1" t="s">
        <v>7016</v>
      </c>
      <c r="H2756" s="1" t="s">
        <v>1669</v>
      </c>
      <c r="I2756" s="1" t="s">
        <v>166</v>
      </c>
      <c r="K2756" s="1">
        <v>0.0</v>
      </c>
      <c r="L2756" s="1" t="s">
        <v>2547</v>
      </c>
      <c r="M2756" s="1" t="str">
        <f>VLOOKUP(L2756,'Copy of PMD Workday Constants -'!B2755:W3441,22,false)</f>
        <v>#N/A</v>
      </c>
      <c r="N2756" s="1" t="s">
        <v>32</v>
      </c>
      <c r="O2756" s="1" t="s">
        <v>33</v>
      </c>
      <c r="P2756" s="1" t="s">
        <v>64</v>
      </c>
      <c r="Q2756" s="1" t="s">
        <v>64</v>
      </c>
      <c r="R2756" s="1" t="s">
        <v>65</v>
      </c>
      <c r="S2756" s="1" t="s">
        <v>185</v>
      </c>
      <c r="T2756" s="1">
        <v>1.00592932E8</v>
      </c>
      <c r="W2756" s="1" t="s">
        <v>74</v>
      </c>
      <c r="X2756" s="1" t="s">
        <v>2547</v>
      </c>
    </row>
    <row r="2757">
      <c r="A2757" s="1" t="s">
        <v>8347</v>
      </c>
      <c r="B2757" s="1" t="s">
        <v>40</v>
      </c>
      <c r="C2757" s="1" t="s">
        <v>8348</v>
      </c>
      <c r="D2757" s="1" t="s">
        <v>51</v>
      </c>
      <c r="E2757" s="1" t="s">
        <v>29</v>
      </c>
      <c r="F2757" s="5">
        <v>300000.0</v>
      </c>
      <c r="G2757" s="1" t="s">
        <v>7016</v>
      </c>
      <c r="H2757" s="1" t="s">
        <v>3324</v>
      </c>
      <c r="I2757" s="1" t="s">
        <v>8349</v>
      </c>
      <c r="K2757" s="1">
        <v>0.0</v>
      </c>
      <c r="L2757" s="1" t="s">
        <v>275</v>
      </c>
      <c r="M2757" s="1" t="str">
        <f>VLOOKUP(L2757,'Copy of PMD Workday Constants -'!B2756:W3442,22,false)</f>
        <v>#N/A</v>
      </c>
      <c r="N2757" s="1" t="s">
        <v>32</v>
      </c>
      <c r="O2757" s="1" t="s">
        <v>33</v>
      </c>
      <c r="P2757" s="1" t="s">
        <v>34</v>
      </c>
      <c r="Q2757" s="1" t="s">
        <v>34</v>
      </c>
      <c r="R2757" s="1" t="s">
        <v>35</v>
      </c>
      <c r="S2757" s="1" t="s">
        <v>126</v>
      </c>
      <c r="T2757" s="1">
        <v>1.00608828E8</v>
      </c>
      <c r="W2757" s="1" t="s">
        <v>47</v>
      </c>
      <c r="X2757" s="1" t="s">
        <v>127</v>
      </c>
    </row>
    <row r="2758">
      <c r="A2758" s="1" t="s">
        <v>8350</v>
      </c>
      <c r="B2758" s="1" t="s">
        <v>808</v>
      </c>
      <c r="C2758" s="1" t="s">
        <v>8351</v>
      </c>
      <c r="D2758" s="1" t="s">
        <v>103</v>
      </c>
      <c r="E2758" s="1" t="s">
        <v>29</v>
      </c>
      <c r="F2758" s="5">
        <v>300000.0</v>
      </c>
      <c r="G2758" s="1" t="s">
        <v>7016</v>
      </c>
      <c r="H2758" s="4">
        <v>44899.0</v>
      </c>
      <c r="I2758" s="1" t="s">
        <v>1134</v>
      </c>
      <c r="K2758" s="1">
        <v>0.0</v>
      </c>
      <c r="L2758" s="1" t="s">
        <v>505</v>
      </c>
      <c r="M2758" s="1" t="str">
        <f>VLOOKUP(L2758,'Copy of PMD Workday Constants -'!B2757:W3443,22,false)</f>
        <v>#N/A</v>
      </c>
      <c r="N2758" s="1" t="s">
        <v>32</v>
      </c>
      <c r="O2758" s="1" t="s">
        <v>33</v>
      </c>
      <c r="P2758" s="1" t="s">
        <v>112</v>
      </c>
      <c r="Q2758" s="1" t="s">
        <v>112</v>
      </c>
      <c r="R2758" s="1" t="s">
        <v>113</v>
      </c>
      <c r="S2758" s="1" t="s">
        <v>307</v>
      </c>
      <c r="T2758" s="1">
        <v>1.0062347E8</v>
      </c>
      <c r="W2758" s="1" t="s">
        <v>308</v>
      </c>
      <c r="X2758" s="1" t="s">
        <v>3435</v>
      </c>
    </row>
    <row r="2759">
      <c r="A2759" s="1" t="s">
        <v>8352</v>
      </c>
      <c r="B2759" s="1" t="s">
        <v>8353</v>
      </c>
      <c r="C2759" s="1" t="s">
        <v>8354</v>
      </c>
      <c r="D2759" s="1" t="s">
        <v>28</v>
      </c>
      <c r="E2759" s="1" t="s">
        <v>29</v>
      </c>
      <c r="F2759" s="5">
        <v>300000.0</v>
      </c>
      <c r="G2759" s="1" t="s">
        <v>7016</v>
      </c>
      <c r="H2759" s="4">
        <v>44533.0</v>
      </c>
      <c r="I2759" s="1" t="s">
        <v>302</v>
      </c>
      <c r="K2759" s="1">
        <v>0.0</v>
      </c>
      <c r="L2759" s="1" t="s">
        <v>1659</v>
      </c>
      <c r="M2759" s="1" t="str">
        <f>VLOOKUP(L2759,'Copy of PMD Workday Constants -'!B2758:W3444,22,false)</f>
        <v>#N/A</v>
      </c>
      <c r="N2759" s="1" t="s">
        <v>32</v>
      </c>
      <c r="O2759" s="1" t="s">
        <v>33</v>
      </c>
      <c r="P2759" s="1" t="s">
        <v>173</v>
      </c>
      <c r="Q2759" s="1" t="s">
        <v>173</v>
      </c>
      <c r="R2759" s="1" t="s">
        <v>174</v>
      </c>
      <c r="S2759" s="1" t="s">
        <v>612</v>
      </c>
      <c r="T2759" s="1">
        <v>1.00650786E8</v>
      </c>
      <c r="W2759" s="1" t="s">
        <v>47</v>
      </c>
      <c r="X2759" s="1" t="s">
        <v>3157</v>
      </c>
    </row>
    <row r="2760">
      <c r="A2760" s="1" t="s">
        <v>8355</v>
      </c>
      <c r="B2760" s="1" t="s">
        <v>8356</v>
      </c>
      <c r="C2760" s="1" t="s">
        <v>8357</v>
      </c>
      <c r="D2760" s="1" t="s">
        <v>28</v>
      </c>
      <c r="E2760" s="1" t="s">
        <v>29</v>
      </c>
      <c r="F2760" s="5">
        <v>300000.0</v>
      </c>
      <c r="G2760" s="1" t="s">
        <v>7016</v>
      </c>
      <c r="H2760" s="4">
        <v>44533.0</v>
      </c>
      <c r="I2760" s="1" t="s">
        <v>302</v>
      </c>
      <c r="K2760" s="1">
        <v>0.0</v>
      </c>
      <c r="L2760" s="1" t="s">
        <v>1659</v>
      </c>
      <c r="M2760" s="1" t="str">
        <f>VLOOKUP(L2760,'Copy of PMD Workday Constants -'!B2759:W3445,22,false)</f>
        <v>#N/A</v>
      </c>
      <c r="N2760" s="1" t="s">
        <v>32</v>
      </c>
      <c r="O2760" s="1" t="s">
        <v>33</v>
      </c>
      <c r="P2760" s="1" t="s">
        <v>173</v>
      </c>
      <c r="Q2760" s="1" t="s">
        <v>173</v>
      </c>
      <c r="R2760" s="1" t="s">
        <v>174</v>
      </c>
      <c r="S2760" s="1" t="s">
        <v>612</v>
      </c>
      <c r="T2760" s="1">
        <v>1.00650786E8</v>
      </c>
      <c r="W2760" s="1" t="s">
        <v>147</v>
      </c>
      <c r="X2760" s="1" t="s">
        <v>3157</v>
      </c>
    </row>
    <row r="2761">
      <c r="A2761" s="1" t="s">
        <v>8358</v>
      </c>
      <c r="B2761" s="1" t="s">
        <v>8359</v>
      </c>
      <c r="C2761" s="1" t="s">
        <v>8360</v>
      </c>
      <c r="D2761" s="1" t="s">
        <v>28</v>
      </c>
      <c r="E2761" s="1" t="s">
        <v>29</v>
      </c>
      <c r="F2761" s="5">
        <v>300000.0</v>
      </c>
      <c r="G2761" s="1" t="s">
        <v>7016</v>
      </c>
      <c r="H2761" s="4">
        <v>44533.0</v>
      </c>
      <c r="I2761" s="1" t="s">
        <v>302</v>
      </c>
      <c r="K2761" s="1">
        <v>0.0</v>
      </c>
      <c r="L2761" s="1" t="s">
        <v>1659</v>
      </c>
      <c r="M2761" s="1" t="str">
        <f>VLOOKUP(L2761,'Copy of PMD Workday Constants -'!B2760:W3446,22,false)</f>
        <v>#N/A</v>
      </c>
      <c r="N2761" s="1" t="s">
        <v>32</v>
      </c>
      <c r="O2761" s="1" t="s">
        <v>33</v>
      </c>
      <c r="P2761" s="1" t="s">
        <v>173</v>
      </c>
      <c r="Q2761" s="1" t="s">
        <v>173</v>
      </c>
      <c r="R2761" s="1" t="s">
        <v>174</v>
      </c>
      <c r="S2761" s="1" t="s">
        <v>612</v>
      </c>
      <c r="T2761" s="1">
        <v>1.00650786E8</v>
      </c>
      <c r="W2761" s="1" t="s">
        <v>147</v>
      </c>
      <c r="X2761" s="1" t="s">
        <v>3157</v>
      </c>
    </row>
    <row r="2762">
      <c r="A2762" s="1" t="s">
        <v>8361</v>
      </c>
      <c r="B2762" s="1" t="s">
        <v>580</v>
      </c>
      <c r="C2762" s="1" t="s">
        <v>8362</v>
      </c>
      <c r="D2762" s="1" t="s">
        <v>51</v>
      </c>
      <c r="E2762" s="1" t="s">
        <v>29</v>
      </c>
      <c r="F2762" s="5">
        <v>300000.0</v>
      </c>
      <c r="G2762" s="1" t="s">
        <v>7016</v>
      </c>
      <c r="H2762" s="4">
        <v>44564.0</v>
      </c>
      <c r="I2762" s="1" t="s">
        <v>302</v>
      </c>
      <c r="K2762" s="1">
        <v>0.0</v>
      </c>
      <c r="L2762" s="1" t="s">
        <v>582</v>
      </c>
      <c r="M2762" s="1" t="str">
        <f>VLOOKUP(L2762,'Copy of PMD Workday Constants -'!B2761:W3447,22,false)</f>
        <v>#N/A</v>
      </c>
      <c r="N2762" s="1" t="s">
        <v>32</v>
      </c>
      <c r="O2762" s="1" t="s">
        <v>33</v>
      </c>
      <c r="P2762" s="1" t="s">
        <v>82</v>
      </c>
      <c r="Q2762" s="1" t="s">
        <v>82</v>
      </c>
      <c r="R2762" s="1" t="s">
        <v>83</v>
      </c>
      <c r="S2762" s="1" t="s">
        <v>583</v>
      </c>
      <c r="T2762" s="1">
        <v>1.00869732E8</v>
      </c>
      <c r="W2762" s="1" t="s">
        <v>456</v>
      </c>
      <c r="X2762" s="1" t="s">
        <v>582</v>
      </c>
    </row>
    <row r="2763">
      <c r="A2763" s="1" t="s">
        <v>8363</v>
      </c>
      <c r="B2763" s="1" t="s">
        <v>8364</v>
      </c>
      <c r="C2763" s="1" t="s">
        <v>8365</v>
      </c>
      <c r="D2763" s="1" t="s">
        <v>28</v>
      </c>
      <c r="E2763" s="1" t="s">
        <v>29</v>
      </c>
      <c r="F2763" s="5">
        <v>300000.0</v>
      </c>
      <c r="G2763" s="1" t="s">
        <v>7016</v>
      </c>
      <c r="H2763" s="4">
        <v>44533.0</v>
      </c>
      <c r="I2763" s="1" t="s">
        <v>302</v>
      </c>
      <c r="K2763" s="1">
        <v>0.0</v>
      </c>
      <c r="L2763" s="1" t="s">
        <v>1659</v>
      </c>
      <c r="M2763" s="1" t="str">
        <f>VLOOKUP(L2763,'Copy of PMD Workday Constants -'!B2762:W3448,22,false)</f>
        <v>#N/A</v>
      </c>
      <c r="N2763" s="1" t="s">
        <v>32</v>
      </c>
      <c r="O2763" s="1" t="s">
        <v>33</v>
      </c>
      <c r="P2763" s="1" t="s">
        <v>173</v>
      </c>
      <c r="Q2763" s="1" t="s">
        <v>173</v>
      </c>
      <c r="R2763" s="1" t="s">
        <v>174</v>
      </c>
      <c r="S2763" s="1" t="s">
        <v>612</v>
      </c>
      <c r="T2763" s="1">
        <v>1.00650786E8</v>
      </c>
      <c r="W2763" s="1" t="s">
        <v>147</v>
      </c>
      <c r="X2763" s="1" t="s">
        <v>3157</v>
      </c>
    </row>
    <row r="2764">
      <c r="A2764" s="1" t="s">
        <v>8366</v>
      </c>
      <c r="B2764" s="1" t="s">
        <v>40</v>
      </c>
      <c r="C2764" s="1" t="s">
        <v>8367</v>
      </c>
      <c r="D2764" s="1" t="s">
        <v>28</v>
      </c>
      <c r="E2764" s="1" t="s">
        <v>29</v>
      </c>
      <c r="F2764" s="5">
        <v>300000.0</v>
      </c>
      <c r="G2764" s="1" t="s">
        <v>7016</v>
      </c>
      <c r="H2764" s="1" t="s">
        <v>3028</v>
      </c>
      <c r="I2764" s="1" t="s">
        <v>732</v>
      </c>
      <c r="K2764" s="1">
        <v>0.0</v>
      </c>
      <c r="L2764" s="1" t="s">
        <v>275</v>
      </c>
      <c r="M2764" s="1" t="str">
        <f>VLOOKUP(L2764,'Copy of PMD Workday Constants -'!B2763:W3449,22,false)</f>
        <v>#N/A</v>
      </c>
      <c r="N2764" s="1" t="s">
        <v>32</v>
      </c>
      <c r="O2764" s="1" t="s">
        <v>33</v>
      </c>
      <c r="P2764" s="1" t="s">
        <v>34</v>
      </c>
      <c r="Q2764" s="1" t="s">
        <v>34</v>
      </c>
      <c r="R2764" s="1" t="s">
        <v>35</v>
      </c>
      <c r="S2764" s="1" t="s">
        <v>126</v>
      </c>
      <c r="T2764" s="1">
        <v>1.00608828E8</v>
      </c>
      <c r="W2764" s="1" t="s">
        <v>47</v>
      </c>
      <c r="X2764" s="1" t="s">
        <v>127</v>
      </c>
    </row>
    <row r="2765">
      <c r="A2765" s="1" t="s">
        <v>8368</v>
      </c>
      <c r="B2765" s="1" t="s">
        <v>6446</v>
      </c>
      <c r="C2765" s="1" t="s">
        <v>8369</v>
      </c>
      <c r="D2765" s="1" t="s">
        <v>28</v>
      </c>
      <c r="E2765" s="1" t="s">
        <v>29</v>
      </c>
      <c r="F2765" s="5">
        <v>300000.0</v>
      </c>
      <c r="G2765" s="1" t="s">
        <v>7016</v>
      </c>
      <c r="H2765" s="1" t="s">
        <v>434</v>
      </c>
      <c r="I2765" s="1" t="s">
        <v>80</v>
      </c>
      <c r="K2765" s="1">
        <v>0.0</v>
      </c>
      <c r="L2765" s="1" t="s">
        <v>1902</v>
      </c>
      <c r="M2765" s="1" t="str">
        <f>VLOOKUP(L2765,'Copy of PMD Workday Constants -'!B2764:W3450,22,false)</f>
        <v>#N/A</v>
      </c>
      <c r="N2765" s="1" t="s">
        <v>32</v>
      </c>
      <c r="O2765" s="1" t="s">
        <v>33</v>
      </c>
      <c r="P2765" s="1" t="s">
        <v>173</v>
      </c>
      <c r="Q2765" s="1" t="s">
        <v>173</v>
      </c>
      <c r="R2765" s="1" t="s">
        <v>174</v>
      </c>
      <c r="T2765" s="1">
        <v>1.00956516E8</v>
      </c>
      <c r="W2765" s="1" t="s">
        <v>258</v>
      </c>
      <c r="X2765" s="1" t="s">
        <v>8370</v>
      </c>
    </row>
    <row r="2766">
      <c r="A2766" s="1" t="s">
        <v>8371</v>
      </c>
      <c r="B2766" s="1" t="s">
        <v>7937</v>
      </c>
      <c r="C2766" s="1" t="s">
        <v>8372</v>
      </c>
      <c r="D2766" s="1" t="s">
        <v>28</v>
      </c>
      <c r="E2766" s="1" t="s">
        <v>29</v>
      </c>
      <c r="F2766" s="5">
        <v>300000.0</v>
      </c>
      <c r="G2766" s="1" t="s">
        <v>7016</v>
      </c>
      <c r="H2766" s="1" t="s">
        <v>2360</v>
      </c>
      <c r="I2766" s="1" t="s">
        <v>248</v>
      </c>
      <c r="K2766" s="1">
        <v>0.0</v>
      </c>
      <c r="L2766" s="1" t="s">
        <v>4277</v>
      </c>
      <c r="M2766" s="1" t="str">
        <f>VLOOKUP(L2766,'Copy of PMD Workday Constants -'!B2765:W3451,22,false)</f>
        <v>#N/A</v>
      </c>
      <c r="N2766" s="1" t="s">
        <v>32</v>
      </c>
      <c r="O2766" s="1" t="s">
        <v>33</v>
      </c>
      <c r="P2766" s="1" t="s">
        <v>173</v>
      </c>
      <c r="Q2766" s="1" t="s">
        <v>173</v>
      </c>
      <c r="R2766" s="1" t="s">
        <v>174</v>
      </c>
      <c r="T2766" s="1">
        <v>1.00650304E8</v>
      </c>
      <c r="W2766" s="1" t="s">
        <v>258</v>
      </c>
      <c r="X2766" s="1" t="s">
        <v>5833</v>
      </c>
    </row>
    <row r="2767">
      <c r="A2767" s="1" t="s">
        <v>8373</v>
      </c>
      <c r="B2767" s="1" t="s">
        <v>361</v>
      </c>
      <c r="C2767" s="1" t="s">
        <v>8374</v>
      </c>
      <c r="D2767" s="1" t="s">
        <v>28</v>
      </c>
      <c r="E2767" s="1" t="s">
        <v>29</v>
      </c>
      <c r="F2767" s="5">
        <v>300000.0</v>
      </c>
      <c r="G2767" s="1" t="s">
        <v>7016</v>
      </c>
      <c r="H2767" s="4">
        <v>44263.0</v>
      </c>
      <c r="I2767" s="1" t="s">
        <v>302</v>
      </c>
      <c r="K2767" s="1">
        <v>0.0</v>
      </c>
      <c r="L2767" s="1" t="s">
        <v>365</v>
      </c>
      <c r="M2767" s="1" t="str">
        <f>VLOOKUP(L2767,'Copy of PMD Workday Constants -'!B2766:W3452,22,false)</f>
        <v>#N/A</v>
      </c>
      <c r="N2767" s="1" t="s">
        <v>32</v>
      </c>
      <c r="O2767" s="1" t="s">
        <v>33</v>
      </c>
      <c r="P2767" s="1" t="s">
        <v>210</v>
      </c>
      <c r="Q2767" s="1" t="s">
        <v>210</v>
      </c>
      <c r="R2767" s="1" t="s">
        <v>211</v>
      </c>
      <c r="S2767" s="1" t="s">
        <v>297</v>
      </c>
      <c r="T2767" s="1">
        <v>1.01072617E8</v>
      </c>
      <c r="W2767" s="1" t="s">
        <v>258</v>
      </c>
      <c r="X2767" s="1" t="s">
        <v>2163</v>
      </c>
    </row>
    <row r="2768">
      <c r="A2768" s="1" t="s">
        <v>8375</v>
      </c>
      <c r="B2768" s="1" t="s">
        <v>8376</v>
      </c>
      <c r="C2768" s="1" t="s">
        <v>8377</v>
      </c>
      <c r="D2768" s="1" t="s">
        <v>103</v>
      </c>
      <c r="E2768" s="1" t="s">
        <v>29</v>
      </c>
      <c r="F2768" s="5">
        <v>300000.0</v>
      </c>
      <c r="G2768" s="1" t="s">
        <v>7016</v>
      </c>
      <c r="H2768" s="4">
        <v>44840.0</v>
      </c>
      <c r="I2768" s="1" t="s">
        <v>104</v>
      </c>
      <c r="K2768" s="1">
        <v>0.0</v>
      </c>
      <c r="L2768" s="1" t="s">
        <v>1292</v>
      </c>
      <c r="M2768" s="1" t="str">
        <f>VLOOKUP(L2768,'Copy of PMD Workday Constants -'!B2767:W3453,22,false)</f>
        <v>#N/A</v>
      </c>
      <c r="N2768" s="1" t="s">
        <v>32</v>
      </c>
      <c r="O2768" s="1" t="s">
        <v>33</v>
      </c>
      <c r="P2768" s="1" t="s">
        <v>82</v>
      </c>
      <c r="Q2768" s="1" t="s">
        <v>82</v>
      </c>
      <c r="R2768" s="1" t="s">
        <v>83</v>
      </c>
      <c r="S2768" s="1" t="s">
        <v>180</v>
      </c>
      <c r="T2768" s="1">
        <v>1.006299E8</v>
      </c>
      <c r="W2768" s="1" t="s">
        <v>2098</v>
      </c>
      <c r="X2768" s="1" t="s">
        <v>1292</v>
      </c>
    </row>
    <row r="2769">
      <c r="A2769" s="1" t="s">
        <v>8378</v>
      </c>
      <c r="B2769" s="1" t="s">
        <v>8379</v>
      </c>
      <c r="C2769" s="1" t="s">
        <v>8380</v>
      </c>
      <c r="D2769" s="1" t="s">
        <v>103</v>
      </c>
      <c r="E2769" s="1" t="s">
        <v>29</v>
      </c>
      <c r="F2769" s="5">
        <v>300000.0</v>
      </c>
      <c r="G2769" s="1" t="s">
        <v>7016</v>
      </c>
      <c r="H2769" s="1" t="s">
        <v>8381</v>
      </c>
      <c r="I2769" s="1" t="s">
        <v>4389</v>
      </c>
      <c r="K2769" s="1">
        <v>0.0</v>
      </c>
      <c r="L2769" s="1" t="s">
        <v>1611</v>
      </c>
      <c r="M2769" s="1" t="str">
        <f>VLOOKUP(L2769,'Copy of PMD Workday Constants -'!B2768:W3454,22,false)</f>
        <v>#N/A</v>
      </c>
      <c r="N2769" s="1" t="s">
        <v>32</v>
      </c>
      <c r="O2769" s="1" t="s">
        <v>33</v>
      </c>
      <c r="P2769" s="1" t="s">
        <v>34</v>
      </c>
      <c r="Q2769" s="1" t="s">
        <v>34</v>
      </c>
      <c r="R2769" s="1" t="s">
        <v>35</v>
      </c>
      <c r="S2769" s="1" t="s">
        <v>126</v>
      </c>
      <c r="T2769" s="1">
        <v>1.00645852E8</v>
      </c>
      <c r="W2769" s="1" t="s">
        <v>287</v>
      </c>
      <c r="X2769" s="1" t="s">
        <v>1611</v>
      </c>
    </row>
    <row r="2770">
      <c r="A2770" s="1" t="s">
        <v>8382</v>
      </c>
      <c r="B2770" s="1" t="s">
        <v>2257</v>
      </c>
      <c r="C2770" s="1" t="s">
        <v>8383</v>
      </c>
      <c r="D2770" s="1" t="s">
        <v>28</v>
      </c>
      <c r="E2770" s="1" t="s">
        <v>29</v>
      </c>
      <c r="F2770" s="5">
        <v>300000.0</v>
      </c>
      <c r="G2770" s="1" t="s">
        <v>7016</v>
      </c>
      <c r="H2770" s="1" t="s">
        <v>1433</v>
      </c>
      <c r="I2770" s="4">
        <v>44658.0</v>
      </c>
      <c r="K2770" s="1">
        <v>0.0</v>
      </c>
      <c r="L2770" s="1" t="s">
        <v>2762</v>
      </c>
      <c r="M2770" s="1" t="str">
        <f>VLOOKUP(L2770,'Copy of PMD Workday Constants -'!B2769:W3455,22,false)</f>
        <v>#N/A</v>
      </c>
      <c r="N2770" s="1" t="s">
        <v>32</v>
      </c>
      <c r="O2770" s="1" t="s">
        <v>33</v>
      </c>
      <c r="P2770" s="1" t="s">
        <v>82</v>
      </c>
      <c r="Q2770" s="1" t="s">
        <v>82</v>
      </c>
      <c r="R2770" s="1" t="s">
        <v>83</v>
      </c>
      <c r="S2770" s="1" t="s">
        <v>583</v>
      </c>
      <c r="T2770" s="1">
        <v>1.00637221E8</v>
      </c>
      <c r="W2770" s="1" t="s">
        <v>456</v>
      </c>
      <c r="X2770" s="1" t="s">
        <v>2762</v>
      </c>
    </row>
    <row r="2771">
      <c r="A2771" s="1" t="s">
        <v>8384</v>
      </c>
      <c r="B2771" s="1" t="s">
        <v>8385</v>
      </c>
      <c r="C2771" s="1" t="s">
        <v>8386</v>
      </c>
      <c r="D2771" s="1" t="s">
        <v>79</v>
      </c>
      <c r="E2771" s="1" t="s">
        <v>29</v>
      </c>
      <c r="F2771" s="5">
        <v>300000.0</v>
      </c>
      <c r="G2771" s="1" t="s">
        <v>7016</v>
      </c>
      <c r="H2771" s="1" t="s">
        <v>375</v>
      </c>
      <c r="I2771" s="1" t="s">
        <v>80</v>
      </c>
      <c r="K2771" s="1">
        <v>0.0</v>
      </c>
      <c r="L2771" s="1" t="s">
        <v>4323</v>
      </c>
      <c r="M2771" s="1" t="str">
        <f>VLOOKUP(L2771,'Copy of PMD Workday Constants -'!B2770:W3456,22,false)</f>
        <v>#N/A</v>
      </c>
      <c r="N2771" s="1" t="s">
        <v>32</v>
      </c>
      <c r="O2771" s="1" t="s">
        <v>33</v>
      </c>
      <c r="P2771" s="1" t="s">
        <v>112</v>
      </c>
      <c r="Q2771" s="1" t="s">
        <v>112</v>
      </c>
      <c r="R2771" s="1" t="s">
        <v>113</v>
      </c>
      <c r="S2771" s="1" t="s">
        <v>114</v>
      </c>
      <c r="T2771" s="1">
        <v>1.0062141E8</v>
      </c>
      <c r="W2771" s="1" t="s">
        <v>140</v>
      </c>
      <c r="X2771" s="1" t="s">
        <v>3048</v>
      </c>
    </row>
    <row r="2772">
      <c r="A2772" s="1" t="s">
        <v>8387</v>
      </c>
      <c r="B2772" s="1" t="s">
        <v>3820</v>
      </c>
      <c r="C2772" s="1" t="s">
        <v>8388</v>
      </c>
      <c r="D2772" s="1" t="s">
        <v>103</v>
      </c>
      <c r="E2772" s="1" t="s">
        <v>29</v>
      </c>
      <c r="F2772" s="5">
        <v>300000.0</v>
      </c>
      <c r="G2772" s="1" t="s">
        <v>7016</v>
      </c>
      <c r="H2772" s="1" t="s">
        <v>8389</v>
      </c>
      <c r="I2772" s="1" t="s">
        <v>302</v>
      </c>
      <c r="K2772" s="1">
        <v>0.0</v>
      </c>
      <c r="L2772" s="1" t="s">
        <v>1238</v>
      </c>
      <c r="M2772" s="1" t="str">
        <f>VLOOKUP(L2772,'Copy of PMD Workday Constants -'!B2771:W3457,22,false)</f>
        <v>#N/A</v>
      </c>
      <c r="N2772" s="1" t="s">
        <v>32</v>
      </c>
      <c r="O2772" s="1" t="s">
        <v>33</v>
      </c>
      <c r="P2772" s="1" t="s">
        <v>210</v>
      </c>
      <c r="Q2772" s="1" t="s">
        <v>210</v>
      </c>
      <c r="R2772" s="1" t="s">
        <v>211</v>
      </c>
      <c r="S2772" s="1" t="s">
        <v>416</v>
      </c>
      <c r="T2772" s="1">
        <v>1.00586959E8</v>
      </c>
      <c r="W2772" s="1" t="s">
        <v>56</v>
      </c>
      <c r="X2772" s="1" t="s">
        <v>1238</v>
      </c>
    </row>
    <row r="2773">
      <c r="A2773" s="1" t="s">
        <v>8390</v>
      </c>
      <c r="B2773" s="1" t="s">
        <v>573</v>
      </c>
      <c r="C2773" s="1" t="s">
        <v>8391</v>
      </c>
      <c r="D2773" s="1" t="s">
        <v>51</v>
      </c>
      <c r="E2773" s="1" t="s">
        <v>29</v>
      </c>
      <c r="F2773" s="5">
        <v>300000.0</v>
      </c>
      <c r="G2773" s="1" t="s">
        <v>7016</v>
      </c>
      <c r="H2773" s="1" t="s">
        <v>1161</v>
      </c>
      <c r="I2773" s="1" t="s">
        <v>80</v>
      </c>
      <c r="K2773" s="1">
        <v>0.0</v>
      </c>
      <c r="L2773" s="1" t="s">
        <v>1770</v>
      </c>
      <c r="M2773" s="1" t="str">
        <f>VLOOKUP(L2773,'Copy of PMD Workday Constants -'!B2772:W3458,22,false)</f>
        <v>#N/A</v>
      </c>
      <c r="N2773" s="1" t="s">
        <v>32</v>
      </c>
      <c r="O2773" s="1" t="s">
        <v>33</v>
      </c>
      <c r="P2773" s="1" t="s">
        <v>210</v>
      </c>
      <c r="Q2773" s="1" t="s">
        <v>210</v>
      </c>
      <c r="R2773" s="1" t="s">
        <v>211</v>
      </c>
      <c r="S2773" s="1" t="s">
        <v>1313</v>
      </c>
      <c r="T2773" s="1">
        <v>1.00593918E8</v>
      </c>
      <c r="W2773" s="1" t="s">
        <v>56</v>
      </c>
      <c r="X2773" s="1" t="s">
        <v>1314</v>
      </c>
    </row>
    <row r="2774">
      <c r="A2774" s="1" t="s">
        <v>8392</v>
      </c>
      <c r="B2774" s="1" t="s">
        <v>2375</v>
      </c>
      <c r="C2774" s="1" t="s">
        <v>8393</v>
      </c>
      <c r="D2774" s="1" t="s">
        <v>28</v>
      </c>
      <c r="E2774" s="1" t="s">
        <v>29</v>
      </c>
      <c r="F2774" s="5">
        <v>300000.0</v>
      </c>
      <c r="G2774" s="1" t="s">
        <v>7016</v>
      </c>
      <c r="H2774" s="4">
        <v>44716.0</v>
      </c>
      <c r="I2774" s="1" t="s">
        <v>80</v>
      </c>
      <c r="K2774" s="1">
        <v>0.0</v>
      </c>
      <c r="L2774" s="1" t="s">
        <v>2201</v>
      </c>
      <c r="M2774" s="1" t="str">
        <f>VLOOKUP(L2774,'Copy of PMD Workday Constants -'!B2773:W3459,22,false)</f>
        <v>#N/A</v>
      </c>
      <c r="N2774" s="1" t="s">
        <v>32</v>
      </c>
      <c r="O2774" s="1" t="s">
        <v>33</v>
      </c>
      <c r="P2774" s="1" t="s">
        <v>64</v>
      </c>
      <c r="Q2774" s="1" t="s">
        <v>64</v>
      </c>
      <c r="R2774" s="1" t="s">
        <v>65</v>
      </c>
      <c r="T2774" s="1">
        <v>1.00649936E8</v>
      </c>
      <c r="W2774" s="1" t="s">
        <v>258</v>
      </c>
      <c r="X2774" s="1" t="s">
        <v>3462</v>
      </c>
    </row>
    <row r="2775">
      <c r="A2775" s="1" t="s">
        <v>8394</v>
      </c>
      <c r="B2775" s="1" t="s">
        <v>1247</v>
      </c>
      <c r="C2775" s="1" t="s">
        <v>8395</v>
      </c>
      <c r="D2775" s="1" t="s">
        <v>51</v>
      </c>
      <c r="E2775" s="1" t="s">
        <v>29</v>
      </c>
      <c r="F2775" s="5">
        <v>300000.0</v>
      </c>
      <c r="G2775" s="1" t="s">
        <v>7016</v>
      </c>
      <c r="H2775" s="1" t="s">
        <v>2510</v>
      </c>
      <c r="I2775" s="1" t="s">
        <v>301</v>
      </c>
      <c r="K2775" s="1">
        <v>0.0</v>
      </c>
      <c r="L2775" s="1" t="s">
        <v>4112</v>
      </c>
      <c r="M2775" s="1" t="str">
        <f>VLOOKUP(L2775,'Copy of PMD Workday Constants -'!B2774:W3460,22,false)</f>
        <v>#N/A</v>
      </c>
      <c r="N2775" s="1" t="s">
        <v>32</v>
      </c>
      <c r="O2775" s="1" t="s">
        <v>33</v>
      </c>
      <c r="P2775" s="1" t="s">
        <v>34</v>
      </c>
      <c r="Q2775" s="1" t="s">
        <v>34</v>
      </c>
      <c r="R2775" s="1" t="s">
        <v>35</v>
      </c>
      <c r="T2775" s="1">
        <v>1.00584558E8</v>
      </c>
      <c r="W2775" s="1" t="s">
        <v>140</v>
      </c>
      <c r="X2775" s="1" t="s">
        <v>8396</v>
      </c>
    </row>
    <row r="2776">
      <c r="A2776" s="1" t="s">
        <v>8397</v>
      </c>
      <c r="B2776" s="1" t="s">
        <v>1072</v>
      </c>
      <c r="C2776" s="1" t="s">
        <v>8398</v>
      </c>
      <c r="D2776" s="1" t="s">
        <v>28</v>
      </c>
      <c r="E2776" s="1" t="s">
        <v>29</v>
      </c>
      <c r="F2776" s="5">
        <v>300000.0</v>
      </c>
      <c r="G2776" s="1" t="s">
        <v>7016</v>
      </c>
      <c r="H2776" s="1" t="s">
        <v>6003</v>
      </c>
      <c r="I2776" s="4">
        <v>44630.0</v>
      </c>
      <c r="K2776" s="1">
        <v>0.0</v>
      </c>
      <c r="L2776" s="1" t="s">
        <v>588</v>
      </c>
      <c r="M2776" s="1" t="str">
        <f>VLOOKUP(L2776,'Copy of PMD Workday Constants -'!B2775:W3461,22,false)</f>
        <v>#N/A</v>
      </c>
      <c r="N2776" s="1" t="s">
        <v>32</v>
      </c>
      <c r="O2776" s="1" t="s">
        <v>33</v>
      </c>
      <c r="P2776" s="1" t="s">
        <v>34</v>
      </c>
      <c r="Q2776" s="1" t="s">
        <v>34</v>
      </c>
      <c r="R2776" s="1" t="s">
        <v>35</v>
      </c>
      <c r="S2776" s="1" t="s">
        <v>36</v>
      </c>
      <c r="T2776" s="1">
        <v>1.00609607E8</v>
      </c>
      <c r="W2776" s="1" t="s">
        <v>91</v>
      </c>
      <c r="X2776" s="1" t="s">
        <v>1879</v>
      </c>
    </row>
    <row r="2777">
      <c r="A2777" s="1" t="s">
        <v>8399</v>
      </c>
      <c r="B2777" s="1" t="s">
        <v>1387</v>
      </c>
      <c r="C2777" s="1" t="s">
        <v>8400</v>
      </c>
      <c r="D2777" s="1" t="s">
        <v>51</v>
      </c>
      <c r="E2777" s="1" t="s">
        <v>29</v>
      </c>
      <c r="F2777" s="5">
        <v>300000.0</v>
      </c>
      <c r="G2777" s="1" t="s">
        <v>7016</v>
      </c>
      <c r="H2777" s="1" t="s">
        <v>8401</v>
      </c>
      <c r="I2777" s="4">
        <v>44571.0</v>
      </c>
      <c r="K2777" s="1">
        <v>0.0</v>
      </c>
      <c r="L2777" s="1" t="s">
        <v>682</v>
      </c>
      <c r="M2777" s="1" t="str">
        <f>VLOOKUP(L2777,'Copy of PMD Workday Constants -'!B2776:W3462,22,false)</f>
        <v>#N/A</v>
      </c>
      <c r="N2777" s="1" t="s">
        <v>32</v>
      </c>
      <c r="O2777" s="1" t="s">
        <v>33</v>
      </c>
      <c r="P2777" s="1" t="s">
        <v>112</v>
      </c>
      <c r="Q2777" s="1" t="s">
        <v>112</v>
      </c>
      <c r="R2777" s="1" t="s">
        <v>113</v>
      </c>
      <c r="S2777" s="1" t="s">
        <v>73</v>
      </c>
      <c r="T2777" s="1">
        <v>1.00629293E8</v>
      </c>
      <c r="W2777" s="1" t="s">
        <v>91</v>
      </c>
      <c r="X2777" s="1" t="s">
        <v>127</v>
      </c>
    </row>
    <row r="2778">
      <c r="A2778" s="1" t="s">
        <v>8402</v>
      </c>
      <c r="B2778" s="1" t="s">
        <v>6446</v>
      </c>
      <c r="C2778" s="1" t="s">
        <v>8403</v>
      </c>
      <c r="D2778" s="1" t="s">
        <v>79</v>
      </c>
      <c r="E2778" s="1" t="s">
        <v>29</v>
      </c>
      <c r="F2778" s="5">
        <v>300000.0</v>
      </c>
      <c r="G2778" s="1" t="s">
        <v>7016</v>
      </c>
      <c r="H2778" s="1" t="s">
        <v>7081</v>
      </c>
      <c r="I2778" s="1" t="s">
        <v>575</v>
      </c>
      <c r="K2778" s="1">
        <v>0.0</v>
      </c>
      <c r="L2778" s="1" t="s">
        <v>1249</v>
      </c>
      <c r="M2778" s="1" t="str">
        <f>VLOOKUP(L2778,'Copy of PMD Workday Constants -'!B2777:W3463,22,false)</f>
        <v>#N/A</v>
      </c>
      <c r="N2778" s="1" t="s">
        <v>32</v>
      </c>
      <c r="O2778" s="1" t="s">
        <v>33</v>
      </c>
      <c r="P2778" s="1" t="s">
        <v>222</v>
      </c>
      <c r="Q2778" s="1" t="s">
        <v>222</v>
      </c>
      <c r="R2778" s="1" t="s">
        <v>223</v>
      </c>
      <c r="S2778" s="1" t="s">
        <v>646</v>
      </c>
      <c r="T2778" s="1">
        <v>1.00609871E8</v>
      </c>
      <c r="V2778" s="1" t="s">
        <v>257</v>
      </c>
      <c r="W2778" s="1" t="s">
        <v>258</v>
      </c>
      <c r="X2778" s="1" t="s">
        <v>1250</v>
      </c>
    </row>
    <row r="2779">
      <c r="A2779" s="1" t="s">
        <v>8404</v>
      </c>
      <c r="B2779" s="1" t="s">
        <v>317</v>
      </c>
      <c r="C2779" s="1" t="s">
        <v>8405</v>
      </c>
      <c r="D2779" s="1" t="s">
        <v>51</v>
      </c>
      <c r="E2779" s="1" t="s">
        <v>29</v>
      </c>
      <c r="F2779" s="5">
        <v>300000.0</v>
      </c>
      <c r="G2779" s="1" t="s">
        <v>7016</v>
      </c>
      <c r="H2779" s="4">
        <v>44716.0</v>
      </c>
      <c r="I2779" s="1" t="s">
        <v>1369</v>
      </c>
      <c r="K2779" s="1">
        <v>0.0</v>
      </c>
      <c r="L2779" s="1" t="s">
        <v>319</v>
      </c>
      <c r="M2779" s="1" t="str">
        <f>VLOOKUP(L2779,'Copy of PMD Workday Constants -'!B2778:W3464,22,false)</f>
        <v>#N/A</v>
      </c>
      <c r="N2779" s="1" t="s">
        <v>32</v>
      </c>
      <c r="O2779" s="1" t="s">
        <v>33</v>
      </c>
      <c r="P2779" s="1" t="s">
        <v>82</v>
      </c>
      <c r="Q2779" s="1" t="s">
        <v>82</v>
      </c>
      <c r="R2779" s="1" t="s">
        <v>83</v>
      </c>
      <c r="S2779" s="1" t="s">
        <v>84</v>
      </c>
      <c r="T2779" s="1">
        <v>1.00654705E8</v>
      </c>
      <c r="W2779" s="1" t="s">
        <v>85</v>
      </c>
      <c r="X2779" s="1" t="s">
        <v>8406</v>
      </c>
    </row>
    <row r="2780">
      <c r="A2780" s="1" t="s">
        <v>8407</v>
      </c>
      <c r="B2780" s="1" t="s">
        <v>4602</v>
      </c>
      <c r="C2780" s="1" t="s">
        <v>8408</v>
      </c>
      <c r="D2780" s="1" t="s">
        <v>28</v>
      </c>
      <c r="E2780" s="1" t="s">
        <v>29</v>
      </c>
      <c r="F2780" s="5">
        <v>300000.0</v>
      </c>
      <c r="G2780" s="1" t="s">
        <v>7016</v>
      </c>
      <c r="H2780" s="1" t="s">
        <v>2510</v>
      </c>
      <c r="I2780" s="1" t="s">
        <v>152</v>
      </c>
      <c r="K2780" s="1">
        <v>0.0</v>
      </c>
      <c r="L2780" s="1" t="s">
        <v>428</v>
      </c>
      <c r="M2780" s="1" t="str">
        <f>VLOOKUP(L2780,'Copy of PMD Workday Constants -'!B2779:W3465,22,false)</f>
        <v>#N/A</v>
      </c>
      <c r="N2780" s="1" t="s">
        <v>32</v>
      </c>
      <c r="O2780" s="1" t="s">
        <v>33</v>
      </c>
      <c r="P2780" s="1" t="s">
        <v>173</v>
      </c>
      <c r="Q2780" s="1" t="s">
        <v>173</v>
      </c>
      <c r="R2780" s="1" t="s">
        <v>174</v>
      </c>
      <c r="T2780" s="1">
        <v>1.00654085E8</v>
      </c>
      <c r="W2780" s="1" t="s">
        <v>74</v>
      </c>
      <c r="X2780" s="1" t="s">
        <v>5970</v>
      </c>
    </row>
    <row r="2781">
      <c r="A2781" s="1" t="s">
        <v>8409</v>
      </c>
      <c r="B2781" s="1" t="s">
        <v>137</v>
      </c>
      <c r="C2781" s="1" t="s">
        <v>8410</v>
      </c>
      <c r="D2781" s="1" t="s">
        <v>28</v>
      </c>
      <c r="E2781" s="1" t="s">
        <v>29</v>
      </c>
      <c r="F2781" s="5">
        <v>300000.0</v>
      </c>
      <c r="G2781" s="1" t="s">
        <v>7016</v>
      </c>
      <c r="H2781" s="1" t="s">
        <v>8411</v>
      </c>
      <c r="I2781" s="1" t="s">
        <v>810</v>
      </c>
      <c r="K2781" s="1">
        <v>0.0</v>
      </c>
      <c r="L2781" s="1" t="s">
        <v>8412</v>
      </c>
      <c r="M2781" s="1" t="str">
        <f>VLOOKUP(L2781,'Copy of PMD Workday Constants -'!B2780:W3466,22,false)</f>
        <v>#N/A</v>
      </c>
      <c r="N2781" s="1" t="s">
        <v>32</v>
      </c>
      <c r="O2781" s="1" t="s">
        <v>33</v>
      </c>
      <c r="P2781" s="1" t="s">
        <v>34</v>
      </c>
      <c r="Q2781" s="1" t="s">
        <v>34</v>
      </c>
      <c r="R2781" s="1" t="s">
        <v>35</v>
      </c>
      <c r="S2781" s="1" t="s">
        <v>612</v>
      </c>
      <c r="T2781" s="1">
        <v>1.00611799E8</v>
      </c>
      <c r="W2781" s="1" t="s">
        <v>140</v>
      </c>
      <c r="X2781" s="1" t="s">
        <v>8412</v>
      </c>
    </row>
    <row r="2782">
      <c r="A2782" s="1" t="s">
        <v>8413</v>
      </c>
      <c r="B2782" s="1" t="s">
        <v>3283</v>
      </c>
      <c r="C2782" s="1" t="s">
        <v>8414</v>
      </c>
      <c r="D2782" s="1" t="s">
        <v>103</v>
      </c>
      <c r="E2782" s="1" t="s">
        <v>29</v>
      </c>
      <c r="F2782" s="5">
        <v>300000.0</v>
      </c>
      <c r="G2782" s="1" t="s">
        <v>7016</v>
      </c>
      <c r="H2782" s="1" t="s">
        <v>3028</v>
      </c>
      <c r="I2782" s="4">
        <v>44813.0</v>
      </c>
      <c r="K2782" s="1">
        <v>0.0</v>
      </c>
      <c r="L2782" s="1" t="s">
        <v>428</v>
      </c>
      <c r="M2782" s="1" t="str">
        <f>VLOOKUP(L2782,'Copy of PMD Workday Constants -'!B2781:W3467,22,false)</f>
        <v>#N/A</v>
      </c>
      <c r="N2782" s="1" t="s">
        <v>32</v>
      </c>
      <c r="O2782" s="1" t="s">
        <v>33</v>
      </c>
      <c r="P2782" s="1" t="s">
        <v>173</v>
      </c>
      <c r="Q2782" s="1" t="s">
        <v>173</v>
      </c>
      <c r="R2782" s="1" t="s">
        <v>174</v>
      </c>
      <c r="S2782" s="1" t="s">
        <v>153</v>
      </c>
      <c r="T2782" s="1">
        <v>1.00654085E8</v>
      </c>
      <c r="W2782" s="1" t="s">
        <v>85</v>
      </c>
      <c r="X2782" s="1" t="s">
        <v>428</v>
      </c>
    </row>
    <row r="2783">
      <c r="A2783" s="1" t="s">
        <v>8415</v>
      </c>
      <c r="B2783" s="1" t="s">
        <v>8416</v>
      </c>
      <c r="C2783" s="1" t="s">
        <v>8417</v>
      </c>
      <c r="D2783" s="1" t="s">
        <v>103</v>
      </c>
      <c r="E2783" s="1" t="s">
        <v>29</v>
      </c>
      <c r="F2783" s="5">
        <v>300000.0</v>
      </c>
      <c r="G2783" s="1" t="s">
        <v>7016</v>
      </c>
      <c r="H2783" s="4">
        <v>44566.0</v>
      </c>
      <c r="I2783" s="1" t="s">
        <v>152</v>
      </c>
      <c r="K2783" s="1">
        <v>0.0</v>
      </c>
      <c r="L2783" s="1" t="s">
        <v>8418</v>
      </c>
      <c r="M2783" s="1" t="str">
        <f>VLOOKUP(L2783,'Copy of PMD Workday Constants -'!B2782:W3468,22,false)</f>
        <v>#N/A</v>
      </c>
      <c r="N2783" s="1" t="s">
        <v>32</v>
      </c>
      <c r="O2783" s="1" t="s">
        <v>33</v>
      </c>
      <c r="P2783" s="1" t="s">
        <v>64</v>
      </c>
      <c r="Q2783" s="1" t="s">
        <v>64</v>
      </c>
      <c r="R2783" s="1" t="s">
        <v>65</v>
      </c>
      <c r="S2783" s="1" t="s">
        <v>66</v>
      </c>
      <c r="T2783" s="1">
        <v>1.01238292E8</v>
      </c>
      <c r="W2783" s="1" t="s">
        <v>147</v>
      </c>
      <c r="X2783" s="1" t="s">
        <v>8418</v>
      </c>
    </row>
    <row r="2784">
      <c r="A2784" s="1" t="s">
        <v>8419</v>
      </c>
      <c r="B2784" s="1" t="s">
        <v>411</v>
      </c>
      <c r="C2784" s="1" t="s">
        <v>5584</v>
      </c>
      <c r="D2784" s="1" t="s">
        <v>28</v>
      </c>
      <c r="E2784" s="1" t="s">
        <v>29</v>
      </c>
      <c r="F2784" s="5">
        <v>300000.0</v>
      </c>
      <c r="G2784" s="1" t="s">
        <v>7016</v>
      </c>
      <c r="H2784" s="1" t="s">
        <v>3034</v>
      </c>
      <c r="I2784" s="1" t="s">
        <v>302</v>
      </c>
      <c r="K2784" s="1">
        <v>0.0</v>
      </c>
      <c r="L2784" s="1" t="s">
        <v>1757</v>
      </c>
      <c r="M2784" s="1" t="str">
        <f>VLOOKUP(L2784,'Copy of PMD Workday Constants -'!B2783:W3469,22,false)</f>
        <v>#N/A</v>
      </c>
      <c r="N2784" s="1" t="s">
        <v>32</v>
      </c>
      <c r="O2784" s="1" t="s">
        <v>33</v>
      </c>
      <c r="P2784" s="1" t="s">
        <v>112</v>
      </c>
      <c r="Q2784" s="1" t="s">
        <v>112</v>
      </c>
      <c r="R2784" s="1" t="s">
        <v>113</v>
      </c>
      <c r="S2784" s="1" t="s">
        <v>120</v>
      </c>
      <c r="T2784" s="1">
        <v>1.00597983E8</v>
      </c>
      <c r="W2784" s="1" t="s">
        <v>56</v>
      </c>
      <c r="X2784" s="1" t="s">
        <v>2377</v>
      </c>
    </row>
    <row r="2785">
      <c r="A2785" s="1" t="s">
        <v>8420</v>
      </c>
      <c r="B2785" s="1" t="s">
        <v>2375</v>
      </c>
      <c r="C2785" s="1" t="s">
        <v>8421</v>
      </c>
      <c r="D2785" s="1" t="s">
        <v>51</v>
      </c>
      <c r="E2785" s="1" t="s">
        <v>29</v>
      </c>
      <c r="F2785" s="5">
        <v>300000.0</v>
      </c>
      <c r="G2785" s="1" t="s">
        <v>7016</v>
      </c>
      <c r="H2785" s="4">
        <v>44502.0</v>
      </c>
      <c r="I2785" s="1" t="s">
        <v>80</v>
      </c>
      <c r="K2785" s="1">
        <v>0.0</v>
      </c>
      <c r="L2785" s="1" t="s">
        <v>1902</v>
      </c>
      <c r="M2785" s="1" t="str">
        <f>VLOOKUP(L2785,'Copy of PMD Workday Constants -'!B2784:W3470,22,false)</f>
        <v>#N/A</v>
      </c>
      <c r="N2785" s="1" t="s">
        <v>32</v>
      </c>
      <c r="O2785" s="1" t="s">
        <v>33</v>
      </c>
      <c r="P2785" s="1" t="s">
        <v>173</v>
      </c>
      <c r="Q2785" s="1" t="s">
        <v>173</v>
      </c>
      <c r="R2785" s="1" t="s">
        <v>174</v>
      </c>
      <c r="S2785" s="1" t="s">
        <v>1496</v>
      </c>
      <c r="T2785" s="1">
        <v>1.00956516E8</v>
      </c>
      <c r="W2785" s="1" t="s">
        <v>258</v>
      </c>
      <c r="X2785" s="1" t="s">
        <v>3462</v>
      </c>
    </row>
    <row r="2786">
      <c r="A2786" s="1" t="s">
        <v>8422</v>
      </c>
      <c r="B2786" s="1" t="s">
        <v>2079</v>
      </c>
      <c r="C2786" s="1" t="s">
        <v>8423</v>
      </c>
      <c r="D2786" s="1" t="s">
        <v>51</v>
      </c>
      <c r="E2786" s="1" t="s">
        <v>29</v>
      </c>
      <c r="F2786" s="5">
        <v>300000.0</v>
      </c>
      <c r="G2786" s="1" t="s">
        <v>7016</v>
      </c>
      <c r="H2786" s="1" t="s">
        <v>1708</v>
      </c>
      <c r="I2786" s="1" t="s">
        <v>104</v>
      </c>
      <c r="K2786" s="1">
        <v>0.0</v>
      </c>
      <c r="L2786" s="1" t="s">
        <v>5683</v>
      </c>
      <c r="M2786" s="1" t="str">
        <f>VLOOKUP(L2786,'Copy of PMD Workday Constants -'!B2785:W3471,22,false)</f>
        <v>#N/A</v>
      </c>
      <c r="N2786" s="1" t="s">
        <v>32</v>
      </c>
      <c r="O2786" s="1" t="s">
        <v>33</v>
      </c>
      <c r="P2786" s="1" t="s">
        <v>210</v>
      </c>
      <c r="Q2786" s="1" t="s">
        <v>210</v>
      </c>
      <c r="R2786" s="1" t="s">
        <v>211</v>
      </c>
      <c r="T2786" s="1">
        <v>1.00624257E8</v>
      </c>
      <c r="W2786" s="1" t="s">
        <v>258</v>
      </c>
      <c r="X2786" s="1" t="s">
        <v>5683</v>
      </c>
    </row>
    <row r="2787">
      <c r="A2787" s="1" t="s">
        <v>8424</v>
      </c>
      <c r="B2787" s="1" t="s">
        <v>8425</v>
      </c>
      <c r="C2787" s="1" t="s">
        <v>8426</v>
      </c>
      <c r="D2787" s="1" t="s">
        <v>51</v>
      </c>
      <c r="E2787" s="1" t="s">
        <v>29</v>
      </c>
      <c r="F2787" s="5">
        <v>300000.0</v>
      </c>
      <c r="G2787" s="1" t="s">
        <v>7016</v>
      </c>
      <c r="H2787" s="4">
        <v>43864.0</v>
      </c>
      <c r="I2787" s="1" t="s">
        <v>166</v>
      </c>
      <c r="K2787" s="1">
        <v>0.0</v>
      </c>
      <c r="L2787" s="1" t="s">
        <v>3137</v>
      </c>
      <c r="M2787" s="1" t="str">
        <f>VLOOKUP(L2787,'Copy of PMD Workday Constants -'!B2786:W3472,22,false)</f>
        <v>#N/A</v>
      </c>
      <c r="N2787" s="1" t="s">
        <v>32</v>
      </c>
      <c r="O2787" s="1" t="s">
        <v>33</v>
      </c>
      <c r="P2787" s="1" t="s">
        <v>82</v>
      </c>
      <c r="Q2787" s="1" t="s">
        <v>82</v>
      </c>
      <c r="R2787" s="1" t="s">
        <v>83</v>
      </c>
      <c r="S2787" s="1" t="s">
        <v>180</v>
      </c>
      <c r="T2787" s="1">
        <v>1.00586452E8</v>
      </c>
      <c r="W2787" s="1" t="s">
        <v>85</v>
      </c>
      <c r="X2787" s="1" t="s">
        <v>5126</v>
      </c>
    </row>
    <row r="2788">
      <c r="A2788" s="1" t="s">
        <v>8427</v>
      </c>
      <c r="B2788" s="1" t="s">
        <v>8428</v>
      </c>
      <c r="C2788" s="1" t="s">
        <v>8429</v>
      </c>
      <c r="D2788" s="1" t="s">
        <v>51</v>
      </c>
      <c r="E2788" s="1" t="s">
        <v>29</v>
      </c>
      <c r="F2788" s="5">
        <v>300000.0</v>
      </c>
      <c r="G2788" s="1" t="s">
        <v>7016</v>
      </c>
      <c r="H2788" s="4">
        <v>44626.0</v>
      </c>
      <c r="I2788" s="4">
        <v>44780.0</v>
      </c>
      <c r="K2788" s="1">
        <v>0.0</v>
      </c>
      <c r="L2788" s="1" t="s">
        <v>8430</v>
      </c>
      <c r="M2788" s="1" t="str">
        <f>VLOOKUP(L2788,'Copy of PMD Workday Constants -'!B2787:W3473,22,false)</f>
        <v>#N/A</v>
      </c>
      <c r="N2788" s="1" t="s">
        <v>32</v>
      </c>
      <c r="O2788" s="1" t="s">
        <v>33</v>
      </c>
      <c r="P2788" s="1" t="s">
        <v>210</v>
      </c>
      <c r="Q2788" s="1" t="s">
        <v>210</v>
      </c>
      <c r="R2788" s="1" t="s">
        <v>211</v>
      </c>
      <c r="S2788" s="1" t="s">
        <v>297</v>
      </c>
      <c r="T2788" s="1">
        <v>1.0065102E8</v>
      </c>
      <c r="W2788" s="1" t="s">
        <v>258</v>
      </c>
      <c r="X2788" s="1" t="s">
        <v>8431</v>
      </c>
    </row>
    <row r="2789">
      <c r="A2789" s="1" t="s">
        <v>8432</v>
      </c>
      <c r="B2789" s="1" t="s">
        <v>6404</v>
      </c>
      <c r="C2789" s="1" t="s">
        <v>8433</v>
      </c>
      <c r="D2789" s="1" t="s">
        <v>103</v>
      </c>
      <c r="E2789" s="1" t="s">
        <v>29</v>
      </c>
      <c r="F2789" s="5">
        <v>300000.0</v>
      </c>
      <c r="G2789" s="1" t="s">
        <v>7016</v>
      </c>
      <c r="H2789" s="1" t="s">
        <v>466</v>
      </c>
      <c r="I2789" s="1" t="s">
        <v>1134</v>
      </c>
      <c r="K2789" s="1">
        <v>0.0</v>
      </c>
      <c r="L2789" s="1" t="s">
        <v>4338</v>
      </c>
      <c r="M2789" s="1" t="str">
        <f>VLOOKUP(L2789,'Copy of PMD Workday Constants -'!B2788:W3474,22,false)</f>
        <v>#N/A</v>
      </c>
      <c r="N2789" s="1" t="s">
        <v>32</v>
      </c>
      <c r="O2789" s="1" t="s">
        <v>33</v>
      </c>
      <c r="P2789" s="1" t="s">
        <v>173</v>
      </c>
      <c r="Q2789" s="1" t="s">
        <v>173</v>
      </c>
      <c r="R2789" s="1" t="s">
        <v>174</v>
      </c>
      <c r="T2789" s="1">
        <v>1.00616269E8</v>
      </c>
      <c r="W2789" s="1" t="s">
        <v>115</v>
      </c>
      <c r="X2789" s="1" t="s">
        <v>6773</v>
      </c>
    </row>
    <row r="2790">
      <c r="A2790" s="1" t="s">
        <v>8434</v>
      </c>
      <c r="B2790" s="1" t="s">
        <v>353</v>
      </c>
      <c r="C2790" s="1" t="s">
        <v>8435</v>
      </c>
      <c r="D2790" s="1" t="s">
        <v>51</v>
      </c>
      <c r="E2790" s="1" t="s">
        <v>29</v>
      </c>
      <c r="F2790" s="5">
        <v>300000.0</v>
      </c>
      <c r="G2790" s="1" t="s">
        <v>7016</v>
      </c>
      <c r="H2790" s="1" t="s">
        <v>1644</v>
      </c>
      <c r="I2790" s="1" t="s">
        <v>152</v>
      </c>
      <c r="K2790" s="1">
        <v>0.0</v>
      </c>
      <c r="L2790" s="1" t="s">
        <v>2201</v>
      </c>
      <c r="M2790" s="1" t="str">
        <f>VLOOKUP(L2790,'Copy of PMD Workday Constants -'!B2789:W3475,22,false)</f>
        <v>#N/A</v>
      </c>
      <c r="N2790" s="1" t="s">
        <v>32</v>
      </c>
      <c r="O2790" s="1" t="s">
        <v>33</v>
      </c>
      <c r="P2790" s="1" t="s">
        <v>64</v>
      </c>
      <c r="Q2790" s="1" t="s">
        <v>64</v>
      </c>
      <c r="R2790" s="1" t="s">
        <v>65</v>
      </c>
      <c r="S2790" s="1" t="s">
        <v>1496</v>
      </c>
      <c r="T2790" s="1">
        <v>1.00649936E8</v>
      </c>
      <c r="W2790" s="1" t="s">
        <v>258</v>
      </c>
      <c r="X2790" s="1" t="s">
        <v>2847</v>
      </c>
    </row>
    <row r="2791">
      <c r="A2791" s="1" t="s">
        <v>8436</v>
      </c>
      <c r="B2791" s="1" t="s">
        <v>8437</v>
      </c>
      <c r="C2791" s="1" t="s">
        <v>8438</v>
      </c>
      <c r="D2791" s="1" t="s">
        <v>28</v>
      </c>
      <c r="E2791" s="1" t="s">
        <v>29</v>
      </c>
      <c r="F2791" s="5">
        <v>300000.0</v>
      </c>
      <c r="G2791" s="1" t="s">
        <v>7016</v>
      </c>
      <c r="H2791" s="1" t="s">
        <v>1005</v>
      </c>
      <c r="I2791" s="1" t="s">
        <v>80</v>
      </c>
      <c r="K2791" s="1">
        <v>0.0</v>
      </c>
      <c r="L2791" s="1" t="s">
        <v>843</v>
      </c>
      <c r="M2791" s="1" t="str">
        <f>VLOOKUP(L2791,'Copy of PMD Workday Constants -'!B2790:W3476,22,false)</f>
        <v>#N/A</v>
      </c>
      <c r="N2791" s="1" t="s">
        <v>32</v>
      </c>
      <c r="O2791" s="1" t="s">
        <v>33</v>
      </c>
      <c r="P2791" s="1" t="s">
        <v>173</v>
      </c>
      <c r="Q2791" s="1" t="s">
        <v>173</v>
      </c>
      <c r="R2791" s="1" t="s">
        <v>174</v>
      </c>
      <c r="S2791" s="1" t="s">
        <v>8439</v>
      </c>
      <c r="T2791" s="1">
        <v>1.00655091E8</v>
      </c>
      <c r="W2791" s="1" t="s">
        <v>147</v>
      </c>
      <c r="X2791" s="1" t="s">
        <v>8440</v>
      </c>
    </row>
    <row r="2792">
      <c r="A2792" s="1" t="s">
        <v>8441</v>
      </c>
      <c r="B2792" s="1" t="s">
        <v>7439</v>
      </c>
      <c r="C2792" s="1" t="s">
        <v>8442</v>
      </c>
      <c r="D2792" s="1" t="s">
        <v>51</v>
      </c>
      <c r="E2792" s="1" t="s">
        <v>29</v>
      </c>
      <c r="F2792" s="5">
        <v>300000.0</v>
      </c>
      <c r="G2792" s="1" t="s">
        <v>7016</v>
      </c>
      <c r="H2792" s="4">
        <v>44475.0</v>
      </c>
      <c r="I2792" s="1" t="s">
        <v>248</v>
      </c>
      <c r="K2792" s="1">
        <v>0.0</v>
      </c>
      <c r="L2792" s="1" t="s">
        <v>7276</v>
      </c>
      <c r="M2792" s="1" t="str">
        <f>VLOOKUP(L2792,'Copy of PMD Workday Constants -'!B2791:W3477,22,false)</f>
        <v>#N/A</v>
      </c>
      <c r="N2792" s="1" t="s">
        <v>32</v>
      </c>
      <c r="O2792" s="1" t="s">
        <v>33</v>
      </c>
      <c r="P2792" s="1" t="s">
        <v>64</v>
      </c>
      <c r="Q2792" s="1" t="s">
        <v>64</v>
      </c>
      <c r="R2792" s="1" t="s">
        <v>65</v>
      </c>
      <c r="S2792" s="1" t="s">
        <v>1336</v>
      </c>
      <c r="T2792" s="1">
        <v>1.00587219E8</v>
      </c>
      <c r="U2792" s="1" t="s">
        <v>8443</v>
      </c>
      <c r="V2792" s="1" t="s">
        <v>187</v>
      </c>
      <c r="W2792" s="1" t="s">
        <v>47</v>
      </c>
      <c r="X2792" s="1" t="s">
        <v>7276</v>
      </c>
    </row>
    <row r="2793">
      <c r="A2793" s="1" t="s">
        <v>8444</v>
      </c>
      <c r="B2793" s="1" t="s">
        <v>8445</v>
      </c>
      <c r="C2793" s="1" t="s">
        <v>8446</v>
      </c>
      <c r="D2793" s="1" t="s">
        <v>28</v>
      </c>
      <c r="E2793" s="1" t="s">
        <v>29</v>
      </c>
      <c r="F2793" s="5">
        <v>300000.0</v>
      </c>
      <c r="G2793" s="1" t="s">
        <v>7016</v>
      </c>
      <c r="H2793" s="4">
        <v>44716.0</v>
      </c>
      <c r="I2793" s="4">
        <v>44872.0</v>
      </c>
      <c r="K2793" s="1">
        <v>0.0</v>
      </c>
      <c r="L2793" s="1" t="s">
        <v>8447</v>
      </c>
      <c r="M2793" s="1" t="str">
        <f>VLOOKUP(L2793,'Copy of PMD Workday Constants -'!B2792:W3478,22,false)</f>
        <v>#N/A</v>
      </c>
      <c r="N2793" s="1" t="s">
        <v>32</v>
      </c>
      <c r="O2793" s="1" t="s">
        <v>33</v>
      </c>
      <c r="P2793" s="1" t="s">
        <v>173</v>
      </c>
      <c r="Q2793" s="1" t="s">
        <v>173</v>
      </c>
      <c r="R2793" s="1" t="s">
        <v>174</v>
      </c>
      <c r="T2793" s="1">
        <v>1.01148201E8</v>
      </c>
      <c r="W2793" s="1" t="s">
        <v>47</v>
      </c>
      <c r="X2793" s="1" t="s">
        <v>8447</v>
      </c>
    </row>
    <row r="2794">
      <c r="A2794" s="1" t="s">
        <v>8448</v>
      </c>
      <c r="B2794" s="1" t="s">
        <v>219</v>
      </c>
      <c r="C2794" s="1" t="s">
        <v>8449</v>
      </c>
      <c r="D2794" s="1" t="s">
        <v>51</v>
      </c>
      <c r="E2794" s="1" t="s">
        <v>29</v>
      </c>
      <c r="F2794" s="5">
        <v>300000.0</v>
      </c>
      <c r="G2794" s="1" t="s">
        <v>7016</v>
      </c>
      <c r="H2794" s="1" t="s">
        <v>2318</v>
      </c>
      <c r="I2794" s="4">
        <v>44568.0</v>
      </c>
      <c r="K2794" s="1">
        <v>0.0</v>
      </c>
      <c r="L2794" s="1" t="s">
        <v>2093</v>
      </c>
      <c r="M2794" s="1" t="str">
        <f>VLOOKUP(L2794,'Copy of PMD Workday Constants -'!B2793:W3479,22,false)</f>
        <v>#N/A</v>
      </c>
      <c r="N2794" s="1" t="s">
        <v>32</v>
      </c>
      <c r="O2794" s="1" t="s">
        <v>33</v>
      </c>
      <c r="P2794" s="1" t="s">
        <v>222</v>
      </c>
      <c r="Q2794" s="1" t="s">
        <v>222</v>
      </c>
      <c r="R2794" s="1" t="s">
        <v>223</v>
      </c>
      <c r="S2794" s="1" t="s">
        <v>646</v>
      </c>
      <c r="T2794" s="1">
        <v>1.00612055E8</v>
      </c>
      <c r="W2794" s="1" t="s">
        <v>91</v>
      </c>
      <c r="X2794" s="1" t="s">
        <v>8450</v>
      </c>
    </row>
    <row r="2795">
      <c r="A2795" s="1" t="s">
        <v>8451</v>
      </c>
      <c r="B2795" s="1" t="s">
        <v>6446</v>
      </c>
      <c r="C2795" s="1" t="s">
        <v>8403</v>
      </c>
      <c r="D2795" s="1" t="s">
        <v>28</v>
      </c>
      <c r="E2795" s="1" t="s">
        <v>29</v>
      </c>
      <c r="F2795" s="5">
        <v>300000.0</v>
      </c>
      <c r="G2795" s="1" t="s">
        <v>7016</v>
      </c>
      <c r="H2795" s="4">
        <v>44779.0</v>
      </c>
      <c r="I2795" s="1" t="s">
        <v>575</v>
      </c>
      <c r="K2795" s="1">
        <v>0.0</v>
      </c>
      <c r="L2795" s="1" t="s">
        <v>1249</v>
      </c>
      <c r="M2795" s="1" t="str">
        <f>VLOOKUP(L2795,'Copy of PMD Workday Constants -'!B2794:W3480,22,false)</f>
        <v>#N/A</v>
      </c>
      <c r="N2795" s="1" t="s">
        <v>32</v>
      </c>
      <c r="O2795" s="1" t="s">
        <v>33</v>
      </c>
      <c r="P2795" s="1" t="s">
        <v>222</v>
      </c>
      <c r="Q2795" s="1" t="s">
        <v>222</v>
      </c>
      <c r="R2795" s="1" t="s">
        <v>223</v>
      </c>
      <c r="S2795" s="1" t="s">
        <v>646</v>
      </c>
      <c r="T2795" s="1">
        <v>1.00609871E8</v>
      </c>
      <c r="W2795" s="1" t="s">
        <v>258</v>
      </c>
      <c r="X2795" s="1" t="s">
        <v>1250</v>
      </c>
    </row>
    <row r="2796">
      <c r="A2796" s="1" t="s">
        <v>8452</v>
      </c>
      <c r="B2796" s="1" t="s">
        <v>8453</v>
      </c>
      <c r="C2796" s="1" t="s">
        <v>8454</v>
      </c>
      <c r="D2796" s="1" t="s">
        <v>103</v>
      </c>
      <c r="E2796" s="1" t="s">
        <v>29</v>
      </c>
      <c r="F2796" s="5">
        <v>300000.0</v>
      </c>
      <c r="G2796" s="1" t="s">
        <v>7016</v>
      </c>
      <c r="H2796" s="1" t="s">
        <v>2484</v>
      </c>
      <c r="I2796" s="1" t="s">
        <v>43</v>
      </c>
      <c r="K2796" s="1">
        <v>0.0</v>
      </c>
      <c r="L2796" s="1" t="s">
        <v>968</v>
      </c>
      <c r="M2796" s="1" t="str">
        <f>VLOOKUP(L2796,'Copy of PMD Workday Constants -'!B2795:W3481,22,false)</f>
        <v>#N/A</v>
      </c>
      <c r="N2796" s="1" t="s">
        <v>32</v>
      </c>
      <c r="O2796" s="1" t="s">
        <v>33</v>
      </c>
      <c r="P2796" s="1" t="s">
        <v>210</v>
      </c>
      <c r="Q2796" s="1" t="s">
        <v>210</v>
      </c>
      <c r="R2796" s="1" t="s">
        <v>211</v>
      </c>
      <c r="T2796" s="1">
        <v>1.00647262E8</v>
      </c>
      <c r="W2796" s="1" t="s">
        <v>56</v>
      </c>
      <c r="X2796" s="1" t="s">
        <v>1558</v>
      </c>
    </row>
    <row r="2797">
      <c r="A2797" s="1" t="s">
        <v>8455</v>
      </c>
      <c r="B2797" s="1" t="s">
        <v>6344</v>
      </c>
      <c r="C2797" s="1" t="s">
        <v>8456</v>
      </c>
      <c r="D2797" s="1" t="s">
        <v>28</v>
      </c>
      <c r="E2797" s="1" t="s">
        <v>29</v>
      </c>
      <c r="F2797" s="5">
        <v>300000.0</v>
      </c>
      <c r="G2797" s="1" t="s">
        <v>7016</v>
      </c>
      <c r="H2797" s="4">
        <v>44083.0</v>
      </c>
      <c r="I2797" s="4">
        <v>44567.0</v>
      </c>
      <c r="K2797" s="1">
        <v>0.0</v>
      </c>
      <c r="L2797" s="1" t="s">
        <v>1031</v>
      </c>
      <c r="M2797" s="1" t="str">
        <f>VLOOKUP(L2797,'Copy of PMD Workday Constants -'!B2796:W3482,22,false)</f>
        <v>#N/A</v>
      </c>
      <c r="N2797" s="1" t="s">
        <v>32</v>
      </c>
      <c r="O2797" s="1" t="s">
        <v>33</v>
      </c>
      <c r="P2797" s="1" t="s">
        <v>64</v>
      </c>
      <c r="Q2797" s="1" t="s">
        <v>64</v>
      </c>
      <c r="R2797" s="1" t="s">
        <v>65</v>
      </c>
      <c r="S2797" s="1" t="s">
        <v>229</v>
      </c>
      <c r="T2797" s="1">
        <v>1.00879751E8</v>
      </c>
      <c r="W2797" s="1" t="s">
        <v>85</v>
      </c>
      <c r="X2797" s="1" t="s">
        <v>2418</v>
      </c>
    </row>
    <row r="2798">
      <c r="A2798" s="1" t="s">
        <v>8457</v>
      </c>
      <c r="B2798" s="1" t="s">
        <v>6183</v>
      </c>
      <c r="C2798" s="1" t="s">
        <v>8458</v>
      </c>
      <c r="D2798" s="1" t="s">
        <v>28</v>
      </c>
      <c r="E2798" s="1" t="s">
        <v>29</v>
      </c>
      <c r="F2798" s="5">
        <v>300000.0</v>
      </c>
      <c r="G2798" s="1" t="s">
        <v>7016</v>
      </c>
      <c r="H2798" s="1" t="s">
        <v>2935</v>
      </c>
      <c r="I2798" s="1" t="s">
        <v>80</v>
      </c>
      <c r="K2798" s="1">
        <v>0.0</v>
      </c>
      <c r="L2798" s="1" t="s">
        <v>3043</v>
      </c>
      <c r="M2798" s="1" t="str">
        <f>VLOOKUP(L2798,'Copy of PMD Workday Constants -'!B2797:W3483,22,false)</f>
        <v>#N/A</v>
      </c>
      <c r="N2798" s="1" t="s">
        <v>32</v>
      </c>
      <c r="O2798" s="1" t="s">
        <v>33</v>
      </c>
      <c r="P2798" s="1" t="s">
        <v>222</v>
      </c>
      <c r="Q2798" s="1" t="s">
        <v>222</v>
      </c>
      <c r="R2798" s="1" t="s">
        <v>223</v>
      </c>
      <c r="S2798" s="1" t="s">
        <v>90</v>
      </c>
      <c r="T2798" s="1">
        <v>1.00638978E8</v>
      </c>
      <c r="W2798" s="1" t="s">
        <v>1303</v>
      </c>
      <c r="X2798" s="1" t="s">
        <v>239</v>
      </c>
    </row>
    <row r="2799">
      <c r="A2799" s="1" t="s">
        <v>8459</v>
      </c>
      <c r="B2799" s="1" t="s">
        <v>324</v>
      </c>
      <c r="C2799" s="1" t="s">
        <v>8460</v>
      </c>
      <c r="D2799" s="1" t="s">
        <v>28</v>
      </c>
      <c r="E2799" s="1" t="s">
        <v>29</v>
      </c>
      <c r="F2799" s="5">
        <v>300000.0</v>
      </c>
      <c r="G2799" s="1" t="s">
        <v>7016</v>
      </c>
      <c r="H2799" s="4">
        <v>44564.0</v>
      </c>
      <c r="I2799" s="1" t="s">
        <v>661</v>
      </c>
      <c r="K2799" s="1">
        <v>0.0</v>
      </c>
      <c r="L2799" s="1" t="s">
        <v>3975</v>
      </c>
      <c r="M2799" s="1" t="str">
        <f>VLOOKUP(L2799,'Copy of PMD Workday Constants -'!B2798:W3484,22,false)</f>
        <v>#N/A</v>
      </c>
      <c r="N2799" s="1" t="s">
        <v>32</v>
      </c>
      <c r="O2799" s="1" t="s">
        <v>33</v>
      </c>
      <c r="P2799" s="1" t="s">
        <v>210</v>
      </c>
      <c r="Q2799" s="1" t="s">
        <v>210</v>
      </c>
      <c r="R2799" s="1" t="s">
        <v>211</v>
      </c>
      <c r="S2799" s="1" t="s">
        <v>212</v>
      </c>
      <c r="T2799" s="1">
        <v>1.00623535E8</v>
      </c>
      <c r="W2799" s="1" t="s">
        <v>56</v>
      </c>
      <c r="X2799" s="1" t="s">
        <v>3768</v>
      </c>
    </row>
    <row r="2800">
      <c r="A2800" s="1" t="s">
        <v>8461</v>
      </c>
      <c r="B2800" s="1" t="s">
        <v>8462</v>
      </c>
      <c r="C2800" s="1" t="s">
        <v>8463</v>
      </c>
      <c r="D2800" s="1" t="s">
        <v>28</v>
      </c>
      <c r="E2800" s="1" t="s">
        <v>29</v>
      </c>
      <c r="F2800" s="5">
        <v>300000.0</v>
      </c>
      <c r="G2800" s="1" t="s">
        <v>7016</v>
      </c>
      <c r="H2800" s="1" t="s">
        <v>2241</v>
      </c>
      <c r="I2800" s="1" t="s">
        <v>104</v>
      </c>
      <c r="K2800" s="1">
        <v>0.0</v>
      </c>
      <c r="L2800" s="1" t="s">
        <v>7184</v>
      </c>
      <c r="M2800" s="1" t="str">
        <f>VLOOKUP(L2800,'Copy of PMD Workday Constants -'!B2799:W3485,22,false)</f>
        <v>#N/A</v>
      </c>
      <c r="N2800" s="1" t="s">
        <v>32</v>
      </c>
      <c r="O2800" s="1" t="s">
        <v>33</v>
      </c>
      <c r="P2800" s="1" t="s">
        <v>54</v>
      </c>
      <c r="Q2800" s="1" t="s">
        <v>54</v>
      </c>
      <c r="R2800" s="1" t="s">
        <v>55</v>
      </c>
      <c r="T2800" s="1">
        <v>1.00642211E8</v>
      </c>
      <c r="W2800" s="1" t="s">
        <v>533</v>
      </c>
      <c r="X2800" s="1" t="s">
        <v>8464</v>
      </c>
    </row>
    <row r="2801">
      <c r="A2801" s="1" t="s">
        <v>8465</v>
      </c>
      <c r="B2801" s="1" t="s">
        <v>40</v>
      </c>
      <c r="C2801" s="1" t="s">
        <v>8466</v>
      </c>
      <c r="D2801" s="1" t="s">
        <v>28</v>
      </c>
      <c r="E2801" s="1" t="s">
        <v>29</v>
      </c>
      <c r="F2801" s="5">
        <v>300000.0</v>
      </c>
      <c r="G2801" s="1" t="s">
        <v>7016</v>
      </c>
      <c r="H2801" s="1" t="s">
        <v>3007</v>
      </c>
      <c r="I2801" s="1" t="s">
        <v>80</v>
      </c>
      <c r="K2801" s="1">
        <v>0.0</v>
      </c>
      <c r="L2801" s="1" t="s">
        <v>44</v>
      </c>
      <c r="M2801" s="1" t="str">
        <f>VLOOKUP(L2801,'Copy of PMD Workday Constants -'!B2800:W3486,22,false)</f>
        <v>#N/A</v>
      </c>
      <c r="N2801" s="1" t="s">
        <v>32</v>
      </c>
      <c r="O2801" s="1" t="s">
        <v>33</v>
      </c>
      <c r="P2801" s="1" t="s">
        <v>34</v>
      </c>
      <c r="Q2801" s="1" t="s">
        <v>34</v>
      </c>
      <c r="R2801" s="1" t="s">
        <v>35</v>
      </c>
      <c r="T2801" s="1">
        <v>1.00587944E8</v>
      </c>
      <c r="W2801" s="1" t="s">
        <v>47</v>
      </c>
      <c r="X2801" s="1" t="s">
        <v>127</v>
      </c>
    </row>
    <row r="2802">
      <c r="A2802" s="1" t="s">
        <v>8467</v>
      </c>
      <c r="B2802" s="1" t="s">
        <v>4939</v>
      </c>
      <c r="C2802" s="1" t="s">
        <v>6266</v>
      </c>
      <c r="D2802" s="1" t="s">
        <v>51</v>
      </c>
      <c r="E2802" s="1" t="s">
        <v>29</v>
      </c>
      <c r="F2802" s="5">
        <v>300000.0</v>
      </c>
      <c r="G2802" s="1" t="s">
        <v>7016</v>
      </c>
      <c r="H2802" s="1" t="s">
        <v>4570</v>
      </c>
      <c r="I2802" s="4">
        <v>44569.0</v>
      </c>
      <c r="K2802" s="1">
        <v>0.0</v>
      </c>
      <c r="L2802" s="1" t="s">
        <v>1549</v>
      </c>
      <c r="M2802" s="1" t="str">
        <f>VLOOKUP(L2802,'Copy of PMD Workday Constants -'!B2801:W3487,22,false)</f>
        <v>#N/A</v>
      </c>
      <c r="N2802" s="1" t="s">
        <v>32</v>
      </c>
      <c r="O2802" s="1" t="s">
        <v>33</v>
      </c>
      <c r="P2802" s="1" t="s">
        <v>173</v>
      </c>
      <c r="Q2802" s="1" t="s">
        <v>173</v>
      </c>
      <c r="R2802" s="1" t="s">
        <v>174</v>
      </c>
      <c r="T2802" s="1">
        <v>1.00646908E8</v>
      </c>
      <c r="W2802" s="1" t="s">
        <v>947</v>
      </c>
      <c r="X2802" s="1" t="s">
        <v>8468</v>
      </c>
    </row>
    <row r="2803">
      <c r="A2803" s="1" t="s">
        <v>8469</v>
      </c>
      <c r="B2803" s="1" t="s">
        <v>129</v>
      </c>
      <c r="C2803" s="1" t="s">
        <v>8470</v>
      </c>
      <c r="D2803" s="1" t="s">
        <v>51</v>
      </c>
      <c r="E2803" s="1" t="s">
        <v>29</v>
      </c>
      <c r="F2803" s="5">
        <v>300000.0</v>
      </c>
      <c r="G2803" s="1" t="s">
        <v>7016</v>
      </c>
      <c r="H2803" s="4">
        <v>44897.0</v>
      </c>
      <c r="I2803" s="1" t="s">
        <v>80</v>
      </c>
      <c r="K2803" s="1">
        <v>0.0</v>
      </c>
      <c r="L2803" s="1" t="s">
        <v>5431</v>
      </c>
      <c r="M2803" s="1" t="str">
        <f>VLOOKUP(L2803,'Copy of PMD Workday Constants -'!B2802:W3488,22,false)</f>
        <v>#N/A</v>
      </c>
      <c r="N2803" s="1" t="s">
        <v>32</v>
      </c>
      <c r="O2803" s="1" t="s">
        <v>33</v>
      </c>
      <c r="P2803" s="1" t="s">
        <v>34</v>
      </c>
      <c r="Q2803" s="1" t="s">
        <v>34</v>
      </c>
      <c r="R2803" s="1" t="s">
        <v>35</v>
      </c>
      <c r="S2803" s="1" t="s">
        <v>1166</v>
      </c>
      <c r="T2803" s="1">
        <v>1.00580806E8</v>
      </c>
      <c r="W2803" s="1" t="s">
        <v>74</v>
      </c>
      <c r="X2803" s="1" t="s">
        <v>8471</v>
      </c>
    </row>
    <row r="2804">
      <c r="A2804" s="1" t="s">
        <v>8472</v>
      </c>
      <c r="B2804" s="1" t="s">
        <v>1062</v>
      </c>
      <c r="C2804" s="1" t="s">
        <v>8473</v>
      </c>
      <c r="D2804" s="1" t="s">
        <v>51</v>
      </c>
      <c r="E2804" s="1" t="s">
        <v>29</v>
      </c>
      <c r="F2804" s="5">
        <v>300000.0</v>
      </c>
      <c r="G2804" s="1" t="s">
        <v>7016</v>
      </c>
      <c r="H2804" s="4">
        <v>44716.0</v>
      </c>
      <c r="I2804" s="1" t="s">
        <v>80</v>
      </c>
      <c r="K2804" s="1">
        <v>0.0</v>
      </c>
      <c r="L2804" s="1" t="s">
        <v>4634</v>
      </c>
      <c r="M2804" s="1" t="str">
        <f>VLOOKUP(L2804,'Copy of PMD Workday Constants -'!B2803:W3489,22,false)</f>
        <v>#N/A</v>
      </c>
      <c r="N2804" s="1" t="s">
        <v>32</v>
      </c>
      <c r="O2804" s="1" t="s">
        <v>33</v>
      </c>
      <c r="P2804" s="1" t="s">
        <v>112</v>
      </c>
      <c r="Q2804" s="1" t="s">
        <v>112</v>
      </c>
      <c r="R2804" s="1" t="s">
        <v>113</v>
      </c>
      <c r="S2804" s="1" t="s">
        <v>134</v>
      </c>
      <c r="T2804" s="1">
        <v>1.00585718E8</v>
      </c>
      <c r="U2804" s="1" t="s">
        <v>8474</v>
      </c>
      <c r="V2804" s="1" t="s">
        <v>346</v>
      </c>
      <c r="W2804" s="1" t="s">
        <v>493</v>
      </c>
      <c r="X2804" s="1" t="s">
        <v>1711</v>
      </c>
    </row>
    <row r="2805">
      <c r="A2805" s="1" t="s">
        <v>8475</v>
      </c>
      <c r="B2805" s="1" t="s">
        <v>2263</v>
      </c>
      <c r="C2805" s="1" t="s">
        <v>8476</v>
      </c>
      <c r="D2805" s="1" t="s">
        <v>28</v>
      </c>
      <c r="E2805" s="1" t="s">
        <v>29</v>
      </c>
      <c r="F2805" s="5">
        <v>300000.0</v>
      </c>
      <c r="G2805" s="1" t="s">
        <v>7016</v>
      </c>
      <c r="H2805" s="1" t="s">
        <v>498</v>
      </c>
      <c r="I2805" s="1" t="s">
        <v>104</v>
      </c>
      <c r="K2805" s="1">
        <v>0.0</v>
      </c>
      <c r="L2805" s="1" t="s">
        <v>7718</v>
      </c>
      <c r="M2805" s="1" t="str">
        <f>VLOOKUP(L2805,'Copy of PMD Workday Constants -'!B2804:W3490,22,false)</f>
        <v>#N/A</v>
      </c>
      <c r="N2805" s="1" t="s">
        <v>32</v>
      </c>
      <c r="O2805" s="1" t="s">
        <v>33</v>
      </c>
      <c r="P2805" s="1" t="s">
        <v>112</v>
      </c>
      <c r="Q2805" s="1" t="s">
        <v>112</v>
      </c>
      <c r="R2805" s="1" t="s">
        <v>113</v>
      </c>
      <c r="S2805" s="1" t="s">
        <v>114</v>
      </c>
      <c r="T2805" s="1">
        <v>1.00625107E8</v>
      </c>
      <c r="W2805" s="1" t="s">
        <v>147</v>
      </c>
      <c r="X2805" s="1" t="s">
        <v>279</v>
      </c>
    </row>
    <row r="2806">
      <c r="A2806" s="1" t="s">
        <v>8477</v>
      </c>
      <c r="B2806" s="1" t="s">
        <v>3881</v>
      </c>
      <c r="C2806" s="1" t="s">
        <v>6266</v>
      </c>
      <c r="D2806" s="1" t="s">
        <v>28</v>
      </c>
      <c r="E2806" s="1" t="s">
        <v>29</v>
      </c>
      <c r="F2806" s="5">
        <v>300000.0</v>
      </c>
      <c r="G2806" s="1" t="s">
        <v>7016</v>
      </c>
      <c r="H2806" s="1" t="s">
        <v>8478</v>
      </c>
      <c r="I2806" s="4">
        <v>44569.0</v>
      </c>
      <c r="K2806" s="1">
        <v>0.0</v>
      </c>
      <c r="L2806" s="1" t="s">
        <v>1549</v>
      </c>
      <c r="M2806" s="1" t="str">
        <f>VLOOKUP(L2806,'Copy of PMD Workday Constants -'!B2805:W3491,22,false)</f>
        <v>#N/A</v>
      </c>
      <c r="N2806" s="1" t="s">
        <v>32</v>
      </c>
      <c r="O2806" s="1" t="s">
        <v>33</v>
      </c>
      <c r="P2806" s="1" t="s">
        <v>173</v>
      </c>
      <c r="Q2806" s="1" t="s">
        <v>173</v>
      </c>
      <c r="R2806" s="1" t="s">
        <v>174</v>
      </c>
      <c r="T2806" s="1">
        <v>1.00646908E8</v>
      </c>
      <c r="W2806" s="1" t="s">
        <v>947</v>
      </c>
      <c r="X2806" s="1" t="s">
        <v>4942</v>
      </c>
    </row>
    <row r="2807">
      <c r="A2807" s="1" t="s">
        <v>8479</v>
      </c>
      <c r="B2807" s="1" t="s">
        <v>776</v>
      </c>
      <c r="C2807" s="1" t="s">
        <v>8480</v>
      </c>
      <c r="D2807" s="1" t="s">
        <v>51</v>
      </c>
      <c r="E2807" s="1" t="s">
        <v>29</v>
      </c>
      <c r="F2807" s="5">
        <v>300000.0</v>
      </c>
      <c r="G2807" s="1" t="s">
        <v>7016</v>
      </c>
      <c r="H2807" s="4">
        <v>44810.0</v>
      </c>
      <c r="I2807" s="1" t="s">
        <v>80</v>
      </c>
      <c r="K2807" s="1">
        <v>0.0</v>
      </c>
      <c r="L2807" s="1" t="s">
        <v>5265</v>
      </c>
      <c r="M2807" s="1" t="str">
        <f>VLOOKUP(L2807,'Copy of PMD Workday Constants -'!B2806:W3492,22,false)</f>
        <v>#N/A</v>
      </c>
      <c r="N2807" s="1" t="s">
        <v>32</v>
      </c>
      <c r="O2807" s="1" t="s">
        <v>33</v>
      </c>
      <c r="P2807" s="1" t="s">
        <v>173</v>
      </c>
      <c r="Q2807" s="1" t="s">
        <v>173</v>
      </c>
      <c r="R2807" s="1" t="s">
        <v>174</v>
      </c>
      <c r="T2807" s="1">
        <v>1.00644077E8</v>
      </c>
      <c r="W2807" s="1" t="s">
        <v>74</v>
      </c>
      <c r="X2807" s="1" t="s">
        <v>8481</v>
      </c>
    </row>
    <row r="2808">
      <c r="A2808" s="1" t="s">
        <v>8482</v>
      </c>
      <c r="B2808" s="1" t="s">
        <v>7154</v>
      </c>
      <c r="C2808" s="1" t="s">
        <v>8483</v>
      </c>
      <c r="D2808" s="1" t="s">
        <v>28</v>
      </c>
      <c r="E2808" s="1" t="s">
        <v>29</v>
      </c>
      <c r="F2808" s="5">
        <v>300000.0</v>
      </c>
      <c r="G2808" s="1" t="s">
        <v>7016</v>
      </c>
      <c r="H2808" s="4">
        <v>44809.0</v>
      </c>
      <c r="I2808" s="1" t="s">
        <v>132</v>
      </c>
      <c r="K2808" s="1">
        <v>0.0</v>
      </c>
      <c r="L2808" s="1" t="s">
        <v>7047</v>
      </c>
      <c r="M2808" s="1" t="str">
        <f>VLOOKUP(L2808,'Copy of PMD Workday Constants -'!B2807:W3493,22,false)</f>
        <v>#N/A</v>
      </c>
      <c r="N2808" s="1" t="s">
        <v>32</v>
      </c>
      <c r="O2808" s="1" t="s">
        <v>33</v>
      </c>
      <c r="P2808" s="1" t="s">
        <v>34</v>
      </c>
      <c r="Q2808" s="1" t="s">
        <v>34</v>
      </c>
      <c r="R2808" s="1" t="s">
        <v>35</v>
      </c>
      <c r="S2808" s="1" t="s">
        <v>1166</v>
      </c>
      <c r="T2808" s="1">
        <v>1.01090216E8</v>
      </c>
      <c r="W2808" s="1" t="s">
        <v>456</v>
      </c>
      <c r="X2808" s="1" t="s">
        <v>7047</v>
      </c>
    </row>
    <row r="2809">
      <c r="A2809" s="1" t="s">
        <v>8484</v>
      </c>
      <c r="B2809" s="1" t="s">
        <v>2263</v>
      </c>
      <c r="C2809" s="1" t="s">
        <v>8485</v>
      </c>
      <c r="D2809" s="1" t="s">
        <v>51</v>
      </c>
      <c r="E2809" s="1" t="s">
        <v>29</v>
      </c>
      <c r="F2809" s="5">
        <v>300000.0</v>
      </c>
      <c r="G2809" s="1" t="s">
        <v>7016</v>
      </c>
      <c r="H2809" s="1" t="s">
        <v>698</v>
      </c>
      <c r="I2809" s="1" t="s">
        <v>810</v>
      </c>
      <c r="K2809" s="1">
        <v>0.0</v>
      </c>
      <c r="L2809" s="1" t="s">
        <v>8486</v>
      </c>
      <c r="M2809" s="1" t="str">
        <f>VLOOKUP(L2809,'Copy of PMD Workday Constants -'!B2808:W3494,22,false)</f>
        <v>#N/A</v>
      </c>
      <c r="N2809" s="1" t="s">
        <v>32</v>
      </c>
      <c r="O2809" s="1" t="s">
        <v>33</v>
      </c>
      <c r="P2809" s="1" t="s">
        <v>173</v>
      </c>
      <c r="Q2809" s="1" t="s">
        <v>173</v>
      </c>
      <c r="R2809" s="1" t="s">
        <v>174</v>
      </c>
      <c r="T2809" s="1">
        <v>1.00631616E8</v>
      </c>
      <c r="W2809" s="1" t="s">
        <v>115</v>
      </c>
      <c r="X2809" s="1" t="s">
        <v>8486</v>
      </c>
    </row>
    <row r="2810">
      <c r="A2810" s="1" t="s">
        <v>8487</v>
      </c>
      <c r="B2810" s="1" t="s">
        <v>1319</v>
      </c>
      <c r="C2810" s="1" t="s">
        <v>8488</v>
      </c>
      <c r="D2810" s="1" t="s">
        <v>103</v>
      </c>
      <c r="E2810" s="1" t="s">
        <v>29</v>
      </c>
      <c r="F2810" s="5">
        <v>300000.0</v>
      </c>
      <c r="G2810" s="1" t="s">
        <v>7016</v>
      </c>
      <c r="H2810" s="4">
        <v>44775.0</v>
      </c>
      <c r="I2810" s="4">
        <v>44568.0</v>
      </c>
      <c r="K2810" s="1">
        <v>0.0</v>
      </c>
      <c r="L2810" s="1" t="s">
        <v>1249</v>
      </c>
      <c r="M2810" s="1" t="str">
        <f>VLOOKUP(L2810,'Copy of PMD Workday Constants -'!B2809:W3495,22,false)</f>
        <v>#N/A</v>
      </c>
      <c r="N2810" s="1" t="s">
        <v>32</v>
      </c>
      <c r="O2810" s="1" t="s">
        <v>33</v>
      </c>
      <c r="P2810" s="1" t="s">
        <v>222</v>
      </c>
      <c r="Q2810" s="1" t="s">
        <v>222</v>
      </c>
      <c r="R2810" s="1" t="s">
        <v>223</v>
      </c>
      <c r="S2810" s="1" t="s">
        <v>646</v>
      </c>
      <c r="T2810" s="1">
        <v>1.00609871E8</v>
      </c>
      <c r="W2810" s="1" t="s">
        <v>436</v>
      </c>
      <c r="X2810" s="1" t="s">
        <v>1249</v>
      </c>
    </row>
    <row r="2811">
      <c r="A2811" s="1" t="s">
        <v>8489</v>
      </c>
      <c r="B2811" s="1" t="s">
        <v>2429</v>
      </c>
      <c r="C2811" s="1" t="s">
        <v>8490</v>
      </c>
      <c r="D2811" s="1" t="s">
        <v>28</v>
      </c>
      <c r="E2811" s="1" t="s">
        <v>29</v>
      </c>
      <c r="F2811" s="5">
        <v>300000.0</v>
      </c>
      <c r="G2811" s="1" t="s">
        <v>7016</v>
      </c>
      <c r="H2811" s="1" t="s">
        <v>3496</v>
      </c>
      <c r="I2811" s="1" t="s">
        <v>80</v>
      </c>
      <c r="K2811" s="1">
        <v>0.0</v>
      </c>
      <c r="L2811" s="1" t="s">
        <v>790</v>
      </c>
      <c r="M2811" s="1" t="str">
        <f>VLOOKUP(L2811,'Copy of PMD Workday Constants -'!B2810:W3496,22,false)</f>
        <v>#N/A</v>
      </c>
      <c r="N2811" s="1" t="s">
        <v>32</v>
      </c>
      <c r="O2811" s="1" t="s">
        <v>33</v>
      </c>
      <c r="P2811" s="1" t="s">
        <v>64</v>
      </c>
      <c r="Q2811" s="1" t="s">
        <v>64</v>
      </c>
      <c r="R2811" s="1" t="s">
        <v>65</v>
      </c>
      <c r="S2811" s="1" t="s">
        <v>791</v>
      </c>
      <c r="T2811" s="1">
        <v>1.00661738E8</v>
      </c>
      <c r="W2811" s="1" t="s">
        <v>456</v>
      </c>
      <c r="X2811" s="1" t="s">
        <v>2432</v>
      </c>
    </row>
    <row r="2812">
      <c r="A2812" s="1" t="s">
        <v>8491</v>
      </c>
      <c r="B2812" s="1" t="s">
        <v>341</v>
      </c>
      <c r="C2812" s="1" t="s">
        <v>8492</v>
      </c>
      <c r="D2812" s="1" t="s">
        <v>28</v>
      </c>
      <c r="E2812" s="1" t="s">
        <v>29</v>
      </c>
      <c r="F2812" s="5">
        <v>300000.0</v>
      </c>
      <c r="G2812" s="1" t="s">
        <v>7016</v>
      </c>
      <c r="H2812" s="4">
        <v>44384.0</v>
      </c>
      <c r="I2812" s="1" t="s">
        <v>1349</v>
      </c>
      <c r="K2812" s="1">
        <v>0.0</v>
      </c>
      <c r="L2812" s="1" t="s">
        <v>415</v>
      </c>
      <c r="M2812" s="1" t="str">
        <f>VLOOKUP(L2812,'Copy of PMD Workday Constants -'!B2811:W3497,22,false)</f>
        <v>#N/A</v>
      </c>
      <c r="N2812" s="1" t="s">
        <v>32</v>
      </c>
      <c r="O2812" s="1" t="s">
        <v>33</v>
      </c>
      <c r="P2812" s="1" t="s">
        <v>210</v>
      </c>
      <c r="Q2812" s="1" t="s">
        <v>210</v>
      </c>
      <c r="R2812" s="1" t="s">
        <v>211</v>
      </c>
      <c r="T2812" s="1">
        <v>1.00650375E8</v>
      </c>
      <c r="W2812" s="1" t="s">
        <v>85</v>
      </c>
      <c r="X2812" s="1" t="s">
        <v>415</v>
      </c>
    </row>
    <row r="2813">
      <c r="A2813" s="1" t="s">
        <v>8493</v>
      </c>
      <c r="B2813" s="1" t="s">
        <v>304</v>
      </c>
      <c r="C2813" s="1" t="s">
        <v>8494</v>
      </c>
      <c r="D2813" s="1" t="s">
        <v>51</v>
      </c>
      <c r="E2813" s="1" t="s">
        <v>29</v>
      </c>
      <c r="F2813" s="5">
        <v>300000.0</v>
      </c>
      <c r="G2813" s="1" t="s">
        <v>7016</v>
      </c>
      <c r="H2813" s="4">
        <v>44779.0</v>
      </c>
      <c r="I2813" s="1" t="s">
        <v>248</v>
      </c>
      <c r="K2813" s="1">
        <v>0.0</v>
      </c>
      <c r="L2813" s="1" t="s">
        <v>1646</v>
      </c>
      <c r="M2813" s="1" t="str">
        <f>VLOOKUP(L2813,'Copy of PMD Workday Constants -'!B2812:W3498,22,false)</f>
        <v>#N/A</v>
      </c>
      <c r="N2813" s="1" t="s">
        <v>32</v>
      </c>
      <c r="O2813" s="1" t="s">
        <v>33</v>
      </c>
      <c r="P2813" s="1" t="s">
        <v>64</v>
      </c>
      <c r="Q2813" s="1" t="s">
        <v>64</v>
      </c>
      <c r="R2813" s="1" t="s">
        <v>65</v>
      </c>
      <c r="T2813" s="1">
        <v>1.00650657E8</v>
      </c>
      <c r="W2813" s="1" t="s">
        <v>308</v>
      </c>
      <c r="X2813" s="1" t="s">
        <v>1400</v>
      </c>
    </row>
    <row r="2814">
      <c r="A2814" s="1" t="s">
        <v>8495</v>
      </c>
      <c r="B2814" s="1" t="s">
        <v>2263</v>
      </c>
      <c r="C2814" s="1" t="s">
        <v>8496</v>
      </c>
      <c r="D2814" s="1" t="s">
        <v>28</v>
      </c>
      <c r="E2814" s="1" t="s">
        <v>29</v>
      </c>
      <c r="F2814" s="5">
        <v>300000.0</v>
      </c>
      <c r="G2814" s="1" t="s">
        <v>7016</v>
      </c>
      <c r="H2814" s="4">
        <v>43750.0</v>
      </c>
      <c r="I2814" s="1" t="s">
        <v>264</v>
      </c>
      <c r="K2814" s="1">
        <v>0.0</v>
      </c>
      <c r="L2814" s="1" t="s">
        <v>4644</v>
      </c>
      <c r="M2814" s="1" t="str">
        <f>VLOOKUP(L2814,'Copy of PMD Workday Constants -'!B2813:W3499,22,false)</f>
        <v>#N/A</v>
      </c>
      <c r="N2814" s="1" t="s">
        <v>32</v>
      </c>
      <c r="O2814" s="1" t="s">
        <v>33</v>
      </c>
      <c r="P2814" s="1" t="s">
        <v>210</v>
      </c>
      <c r="Q2814" s="1" t="s">
        <v>210</v>
      </c>
      <c r="R2814" s="1" t="s">
        <v>211</v>
      </c>
      <c r="S2814" s="1" t="s">
        <v>1313</v>
      </c>
      <c r="T2814" s="1">
        <v>1.00637587E8</v>
      </c>
      <c r="W2814" s="1" t="s">
        <v>577</v>
      </c>
      <c r="X2814" s="1" t="s">
        <v>5385</v>
      </c>
    </row>
    <row r="2815">
      <c r="A2815" s="1" t="s">
        <v>8497</v>
      </c>
      <c r="B2815" s="1" t="s">
        <v>1516</v>
      </c>
      <c r="C2815" s="1" t="s">
        <v>8498</v>
      </c>
      <c r="D2815" s="1" t="s">
        <v>51</v>
      </c>
      <c r="E2815" s="1" t="s">
        <v>29</v>
      </c>
      <c r="F2815" s="5">
        <v>300000.0</v>
      </c>
      <c r="G2815" s="1" t="s">
        <v>7016</v>
      </c>
      <c r="H2815" s="1" t="s">
        <v>1708</v>
      </c>
      <c r="I2815" s="1" t="s">
        <v>732</v>
      </c>
      <c r="K2815" s="1">
        <v>0.0</v>
      </c>
      <c r="L2815" s="1" t="s">
        <v>1486</v>
      </c>
      <c r="M2815" s="1" t="str">
        <f>VLOOKUP(L2815,'Copy of PMD Workday Constants -'!B2814:W3500,22,false)</f>
        <v>#N/A</v>
      </c>
      <c r="N2815" s="1" t="s">
        <v>32</v>
      </c>
      <c r="O2815" s="1" t="s">
        <v>33</v>
      </c>
      <c r="P2815" s="1" t="s">
        <v>82</v>
      </c>
      <c r="Q2815" s="1" t="s">
        <v>82</v>
      </c>
      <c r="R2815" s="1" t="s">
        <v>83</v>
      </c>
      <c r="S2815" s="1" t="s">
        <v>583</v>
      </c>
      <c r="T2815" s="1">
        <v>1.006324E8</v>
      </c>
      <c r="W2815" s="1" t="s">
        <v>456</v>
      </c>
      <c r="X2815" s="1" t="s">
        <v>1486</v>
      </c>
    </row>
    <row r="2816">
      <c r="A2816" s="1" t="s">
        <v>8499</v>
      </c>
      <c r="B2816" s="1" t="s">
        <v>3355</v>
      </c>
      <c r="C2816" s="1" t="s">
        <v>8500</v>
      </c>
      <c r="D2816" s="1" t="s">
        <v>28</v>
      </c>
      <c r="E2816" s="1" t="s">
        <v>29</v>
      </c>
      <c r="F2816" s="5">
        <v>300000.0</v>
      </c>
      <c r="G2816" s="1" t="s">
        <v>7016</v>
      </c>
      <c r="H2816" s="1" t="s">
        <v>706</v>
      </c>
      <c r="I2816" s="1" t="s">
        <v>302</v>
      </c>
      <c r="K2816" s="1">
        <v>0.0</v>
      </c>
      <c r="L2816" s="1" t="s">
        <v>72</v>
      </c>
      <c r="M2816" s="1" t="str">
        <f>VLOOKUP(L2816,'Copy of PMD Workday Constants -'!B2815:W3501,22,false)</f>
        <v>#N/A</v>
      </c>
      <c r="N2816" s="1" t="s">
        <v>32</v>
      </c>
      <c r="O2816" s="1" t="s">
        <v>33</v>
      </c>
      <c r="P2816" s="1" t="s">
        <v>34</v>
      </c>
      <c r="Q2816" s="1" t="s">
        <v>34</v>
      </c>
      <c r="R2816" s="1" t="s">
        <v>35</v>
      </c>
      <c r="S2816" s="1" t="s">
        <v>126</v>
      </c>
      <c r="T2816" s="1">
        <v>1.0060843E8</v>
      </c>
      <c r="W2816" s="1" t="s">
        <v>74</v>
      </c>
      <c r="X2816" s="1" t="s">
        <v>2700</v>
      </c>
    </row>
    <row r="2817">
      <c r="A2817" s="1" t="s">
        <v>8501</v>
      </c>
      <c r="B2817" s="1" t="s">
        <v>7330</v>
      </c>
      <c r="C2817" s="1" t="s">
        <v>8502</v>
      </c>
      <c r="D2817" s="1" t="s">
        <v>51</v>
      </c>
      <c r="E2817" s="1" t="s">
        <v>29</v>
      </c>
      <c r="F2817" s="5">
        <v>300000.0</v>
      </c>
      <c r="G2817" s="1" t="s">
        <v>7016</v>
      </c>
      <c r="H2817" s="4">
        <v>44809.0</v>
      </c>
      <c r="I2817" s="1" t="s">
        <v>810</v>
      </c>
      <c r="K2817" s="1">
        <v>0.0</v>
      </c>
      <c r="L2817" s="1" t="s">
        <v>467</v>
      </c>
      <c r="M2817" s="1" t="str">
        <f>VLOOKUP(L2817,'Copy of PMD Workday Constants -'!B2816:W3502,22,false)</f>
        <v>#N/A</v>
      </c>
      <c r="N2817" s="1" t="s">
        <v>32</v>
      </c>
      <c r="O2817" s="1" t="s">
        <v>33</v>
      </c>
      <c r="P2817" s="1" t="s">
        <v>64</v>
      </c>
      <c r="Q2817" s="1" t="s">
        <v>64</v>
      </c>
      <c r="R2817" s="1" t="s">
        <v>65</v>
      </c>
      <c r="T2817" s="1">
        <v>1.01170594E8</v>
      </c>
      <c r="W2817" s="1" t="s">
        <v>56</v>
      </c>
      <c r="X2817" s="1" t="s">
        <v>467</v>
      </c>
    </row>
    <row r="2818">
      <c r="A2818" s="1" t="s">
        <v>8503</v>
      </c>
      <c r="B2818" s="1" t="s">
        <v>1305</v>
      </c>
      <c r="C2818" s="1" t="s">
        <v>8504</v>
      </c>
      <c r="D2818" s="1" t="s">
        <v>79</v>
      </c>
      <c r="E2818" s="1" t="s">
        <v>29</v>
      </c>
      <c r="F2818" s="5">
        <v>300000.0</v>
      </c>
      <c r="G2818" s="1" t="s">
        <v>7016</v>
      </c>
      <c r="H2818" s="4">
        <v>44807.0</v>
      </c>
      <c r="I2818" s="4">
        <v>45202.0</v>
      </c>
      <c r="K2818" s="1">
        <v>0.0</v>
      </c>
      <c r="L2818" s="1" t="s">
        <v>454</v>
      </c>
      <c r="M2818" s="1" t="str">
        <f>VLOOKUP(L2818,'Copy of PMD Workday Constants -'!B2817:W3503,22,false)</f>
        <v>#N/A</v>
      </c>
      <c r="N2818" s="1" t="s">
        <v>32</v>
      </c>
      <c r="O2818" s="1" t="s">
        <v>33</v>
      </c>
      <c r="P2818" s="1" t="s">
        <v>112</v>
      </c>
      <c r="Q2818" s="1" t="s">
        <v>112</v>
      </c>
      <c r="R2818" s="1" t="s">
        <v>113</v>
      </c>
      <c r="S2818" s="1" t="s">
        <v>455</v>
      </c>
      <c r="T2818" s="1">
        <v>1.00611486E8</v>
      </c>
      <c r="U2818" s="1" t="s">
        <v>8504</v>
      </c>
      <c r="V2818" s="1" t="s">
        <v>346</v>
      </c>
      <c r="W2818" s="1" t="s">
        <v>456</v>
      </c>
      <c r="X2818" s="1" t="s">
        <v>8505</v>
      </c>
    </row>
    <row r="2819">
      <c r="A2819" s="1" t="s">
        <v>8506</v>
      </c>
      <c r="B2819" s="1" t="s">
        <v>430</v>
      </c>
      <c r="C2819" s="1" t="s">
        <v>8507</v>
      </c>
      <c r="D2819" s="1" t="s">
        <v>28</v>
      </c>
      <c r="E2819" s="1" t="s">
        <v>29</v>
      </c>
      <c r="F2819" s="5">
        <v>300000.0</v>
      </c>
      <c r="G2819" s="1" t="s">
        <v>7016</v>
      </c>
      <c r="H2819" s="4">
        <v>44317.0</v>
      </c>
      <c r="I2819" s="1" t="s">
        <v>302</v>
      </c>
      <c r="K2819" s="1">
        <v>0.0</v>
      </c>
      <c r="L2819" s="1" t="s">
        <v>428</v>
      </c>
      <c r="M2819" s="1" t="str">
        <f>VLOOKUP(L2819,'Copy of PMD Workday Constants -'!B2818:W3504,22,false)</f>
        <v>#N/A</v>
      </c>
      <c r="N2819" s="1" t="s">
        <v>32</v>
      </c>
      <c r="O2819" s="1" t="s">
        <v>33</v>
      </c>
      <c r="P2819" s="1" t="s">
        <v>173</v>
      </c>
      <c r="Q2819" s="1" t="s">
        <v>173</v>
      </c>
      <c r="R2819" s="1" t="s">
        <v>174</v>
      </c>
      <c r="S2819" s="1" t="s">
        <v>153</v>
      </c>
      <c r="T2819" s="1">
        <v>1.00654085E8</v>
      </c>
      <c r="W2819" s="1" t="s">
        <v>85</v>
      </c>
      <c r="X2819" s="1" t="s">
        <v>3220</v>
      </c>
    </row>
    <row r="2820">
      <c r="A2820" s="1" t="s">
        <v>8508</v>
      </c>
      <c r="B2820" s="1" t="s">
        <v>8509</v>
      </c>
      <c r="C2820" s="1" t="s">
        <v>8510</v>
      </c>
      <c r="D2820" s="1" t="s">
        <v>51</v>
      </c>
      <c r="E2820" s="1" t="s">
        <v>29</v>
      </c>
      <c r="F2820" s="5">
        <v>300000.0</v>
      </c>
      <c r="G2820" s="1" t="s">
        <v>7016</v>
      </c>
      <c r="H2820" s="1" t="s">
        <v>1785</v>
      </c>
      <c r="I2820" s="1" t="s">
        <v>80</v>
      </c>
      <c r="K2820" s="1">
        <v>0.0</v>
      </c>
      <c r="L2820" s="1" t="s">
        <v>1616</v>
      </c>
      <c r="M2820" s="1" t="str">
        <f>VLOOKUP(L2820,'Copy of PMD Workday Constants -'!B2819:W3505,22,false)</f>
        <v>#N/A</v>
      </c>
      <c r="N2820" s="1" t="s">
        <v>32</v>
      </c>
      <c r="O2820" s="1" t="s">
        <v>33</v>
      </c>
      <c r="P2820" s="1" t="s">
        <v>64</v>
      </c>
      <c r="Q2820" s="1" t="s">
        <v>64</v>
      </c>
      <c r="R2820" s="1" t="s">
        <v>65</v>
      </c>
      <c r="S2820" s="1" t="s">
        <v>791</v>
      </c>
      <c r="T2820" s="1">
        <v>1.0065462E8</v>
      </c>
      <c r="W2820" s="1" t="s">
        <v>85</v>
      </c>
      <c r="X2820" s="1" t="s">
        <v>1616</v>
      </c>
    </row>
    <row r="2821">
      <c r="A2821" s="1" t="s">
        <v>8511</v>
      </c>
      <c r="B2821" s="1" t="s">
        <v>8512</v>
      </c>
      <c r="C2821" s="1" t="s">
        <v>8513</v>
      </c>
      <c r="D2821" s="1" t="s">
        <v>103</v>
      </c>
      <c r="E2821" s="1" t="s">
        <v>29</v>
      </c>
      <c r="F2821" s="5">
        <v>300000.0</v>
      </c>
      <c r="G2821" s="1" t="s">
        <v>7016</v>
      </c>
      <c r="H2821" s="1" t="s">
        <v>8514</v>
      </c>
      <c r="I2821" s="4">
        <v>44872.0</v>
      </c>
      <c r="K2821" s="1">
        <v>0.0</v>
      </c>
      <c r="L2821" s="1" t="s">
        <v>8515</v>
      </c>
      <c r="M2821" s="1" t="str">
        <f>VLOOKUP(L2821,'Copy of PMD Workday Constants -'!B2820:W3506,22,false)</f>
        <v>#N/A</v>
      </c>
      <c r="N2821" s="1" t="s">
        <v>32</v>
      </c>
      <c r="O2821" s="1" t="s">
        <v>33</v>
      </c>
      <c r="P2821" s="1" t="s">
        <v>222</v>
      </c>
      <c r="Q2821" s="1" t="s">
        <v>222</v>
      </c>
      <c r="R2821" s="1" t="s">
        <v>223</v>
      </c>
      <c r="S2821" s="1" t="s">
        <v>601</v>
      </c>
      <c r="T2821" s="1">
        <v>1.00878189E8</v>
      </c>
      <c r="W2821" s="1" t="s">
        <v>74</v>
      </c>
      <c r="X2821" s="1" t="s">
        <v>8515</v>
      </c>
    </row>
    <row r="2822">
      <c r="A2822" s="1" t="s">
        <v>8516</v>
      </c>
      <c r="B2822" s="1" t="s">
        <v>8517</v>
      </c>
      <c r="C2822" s="1" t="s">
        <v>8518</v>
      </c>
      <c r="D2822" s="1" t="s">
        <v>103</v>
      </c>
      <c r="E2822" s="1" t="s">
        <v>29</v>
      </c>
      <c r="F2822" s="5">
        <v>300000.0</v>
      </c>
      <c r="G2822" s="1" t="s">
        <v>7016</v>
      </c>
      <c r="H2822" s="1" t="s">
        <v>1785</v>
      </c>
      <c r="I2822" s="4">
        <v>44840.0</v>
      </c>
      <c r="K2822" s="1">
        <v>0.0</v>
      </c>
      <c r="L2822" s="1" t="s">
        <v>2174</v>
      </c>
      <c r="M2822" s="1" t="str">
        <f>VLOOKUP(L2822,'Copy of PMD Workday Constants -'!B2821:W3507,22,false)</f>
        <v>#N/A</v>
      </c>
      <c r="N2822" s="1" t="s">
        <v>32</v>
      </c>
      <c r="O2822" s="1" t="s">
        <v>33</v>
      </c>
      <c r="P2822" s="1" t="s">
        <v>112</v>
      </c>
      <c r="Q2822" s="1" t="s">
        <v>112</v>
      </c>
      <c r="R2822" s="1" t="s">
        <v>113</v>
      </c>
      <c r="S2822" s="1" t="s">
        <v>455</v>
      </c>
      <c r="T2822" s="1">
        <v>1.00631322E8</v>
      </c>
      <c r="U2822" s="1" t="s">
        <v>8519</v>
      </c>
      <c r="V2822" s="1" t="s">
        <v>46</v>
      </c>
      <c r="W2822" s="1" t="s">
        <v>456</v>
      </c>
      <c r="X2822" s="1" t="s">
        <v>8520</v>
      </c>
    </row>
    <row r="2823">
      <c r="A2823" s="1" t="s">
        <v>8521</v>
      </c>
      <c r="B2823" s="1" t="s">
        <v>8522</v>
      </c>
      <c r="C2823" s="1" t="s">
        <v>8523</v>
      </c>
      <c r="D2823" s="1" t="s">
        <v>28</v>
      </c>
      <c r="E2823" s="1" t="s">
        <v>29</v>
      </c>
      <c r="F2823" s="5">
        <v>300000.0</v>
      </c>
      <c r="G2823" s="1" t="s">
        <v>7016</v>
      </c>
      <c r="H2823" s="1" t="s">
        <v>698</v>
      </c>
      <c r="I2823" s="1" t="s">
        <v>732</v>
      </c>
      <c r="K2823" s="1">
        <v>0.0</v>
      </c>
      <c r="L2823" s="1" t="s">
        <v>72</v>
      </c>
      <c r="M2823" s="1" t="str">
        <f>VLOOKUP(L2823,'Copy of PMD Workday Constants -'!B2822:W3508,22,false)</f>
        <v>#N/A</v>
      </c>
      <c r="N2823" s="1" t="s">
        <v>32</v>
      </c>
      <c r="O2823" s="1" t="s">
        <v>33</v>
      </c>
      <c r="P2823" s="1" t="s">
        <v>34</v>
      </c>
      <c r="Q2823" s="1" t="s">
        <v>34</v>
      </c>
      <c r="R2823" s="1" t="s">
        <v>35</v>
      </c>
      <c r="S2823" s="1" t="s">
        <v>126</v>
      </c>
      <c r="T2823" s="1">
        <v>1.0060843E8</v>
      </c>
      <c r="X2823" s="1" t="s">
        <v>72</v>
      </c>
    </row>
    <row r="2824">
      <c r="A2824" s="1" t="s">
        <v>8524</v>
      </c>
      <c r="B2824" s="1" t="s">
        <v>1062</v>
      </c>
      <c r="C2824" s="1" t="s">
        <v>8525</v>
      </c>
      <c r="D2824" s="1" t="s">
        <v>103</v>
      </c>
      <c r="E2824" s="1" t="s">
        <v>29</v>
      </c>
      <c r="F2824" s="5">
        <v>300000.0</v>
      </c>
      <c r="G2824" s="1" t="s">
        <v>7016</v>
      </c>
      <c r="H2824" s="4">
        <v>44779.0</v>
      </c>
      <c r="I2824" s="4">
        <v>44568.0</v>
      </c>
      <c r="K2824" s="1">
        <v>0.0</v>
      </c>
      <c r="L2824" s="1" t="s">
        <v>8526</v>
      </c>
      <c r="M2824" s="1" t="str">
        <f>VLOOKUP(L2824,'Copy of PMD Workday Constants -'!B2823:W3509,22,false)</f>
        <v>#N/A</v>
      </c>
      <c r="N2824" s="1" t="s">
        <v>32</v>
      </c>
      <c r="O2824" s="1" t="s">
        <v>33</v>
      </c>
      <c r="P2824" s="1" t="s">
        <v>173</v>
      </c>
      <c r="Q2824" s="1" t="s">
        <v>173</v>
      </c>
      <c r="R2824" s="1" t="s">
        <v>174</v>
      </c>
      <c r="T2824" s="1">
        <v>1.01127888E8</v>
      </c>
      <c r="W2824" s="1" t="s">
        <v>493</v>
      </c>
      <c r="X2824" s="1" t="s">
        <v>8526</v>
      </c>
    </row>
    <row r="2825">
      <c r="A2825" s="1" t="s">
        <v>8527</v>
      </c>
      <c r="B2825" s="1" t="s">
        <v>627</v>
      </c>
      <c r="C2825" s="1" t="s">
        <v>8528</v>
      </c>
      <c r="D2825" s="1" t="s">
        <v>51</v>
      </c>
      <c r="E2825" s="1" t="s">
        <v>29</v>
      </c>
      <c r="F2825" s="5">
        <v>300000.0</v>
      </c>
      <c r="G2825" s="1" t="s">
        <v>7016</v>
      </c>
      <c r="H2825" s="1" t="s">
        <v>1785</v>
      </c>
      <c r="I2825" s="1" t="s">
        <v>248</v>
      </c>
      <c r="K2825" s="1">
        <v>0.0</v>
      </c>
      <c r="L2825" s="1" t="s">
        <v>1351</v>
      </c>
      <c r="M2825" s="1" t="str">
        <f>VLOOKUP(L2825,'Copy of PMD Workday Constants -'!B2824:W3510,22,false)</f>
        <v>#N/A</v>
      </c>
      <c r="N2825" s="1" t="s">
        <v>32</v>
      </c>
      <c r="O2825" s="1" t="s">
        <v>33</v>
      </c>
      <c r="P2825" s="1" t="s">
        <v>34</v>
      </c>
      <c r="Q2825" s="1" t="s">
        <v>34</v>
      </c>
      <c r="R2825" s="1" t="s">
        <v>35</v>
      </c>
      <c r="S2825" s="1" t="s">
        <v>126</v>
      </c>
      <c r="T2825" s="1">
        <v>1.00585872E8</v>
      </c>
      <c r="W2825" s="1" t="s">
        <v>47</v>
      </c>
      <c r="X2825" s="1" t="s">
        <v>1351</v>
      </c>
    </row>
    <row r="2826">
      <c r="A2826" s="1" t="s">
        <v>8529</v>
      </c>
      <c r="B2826" s="1" t="s">
        <v>4095</v>
      </c>
      <c r="C2826" s="1" t="s">
        <v>8530</v>
      </c>
      <c r="D2826" s="1" t="s">
        <v>28</v>
      </c>
      <c r="E2826" s="1" t="s">
        <v>29</v>
      </c>
      <c r="F2826" s="5">
        <v>300000.0</v>
      </c>
      <c r="G2826" s="1" t="s">
        <v>7016</v>
      </c>
      <c r="H2826" s="4">
        <v>44685.0</v>
      </c>
      <c r="I2826" s="1" t="s">
        <v>302</v>
      </c>
      <c r="K2826" s="1">
        <v>0.0</v>
      </c>
      <c r="L2826" s="1" t="s">
        <v>588</v>
      </c>
      <c r="M2826" s="1" t="str">
        <f>VLOOKUP(L2826,'Copy of PMD Workday Constants -'!B2825:W3511,22,false)</f>
        <v>#N/A</v>
      </c>
      <c r="N2826" s="1" t="s">
        <v>32</v>
      </c>
      <c r="O2826" s="1" t="s">
        <v>33</v>
      </c>
      <c r="P2826" s="1" t="s">
        <v>34</v>
      </c>
      <c r="Q2826" s="1" t="s">
        <v>34</v>
      </c>
      <c r="R2826" s="1" t="s">
        <v>35</v>
      </c>
      <c r="T2826" s="1">
        <v>1.00609607E8</v>
      </c>
      <c r="W2826" s="1" t="s">
        <v>91</v>
      </c>
      <c r="X2826" s="1" t="s">
        <v>8531</v>
      </c>
    </row>
    <row r="2827">
      <c r="A2827" s="1" t="s">
        <v>8532</v>
      </c>
      <c r="B2827" s="1" t="s">
        <v>5884</v>
      </c>
      <c r="C2827" s="1" t="s">
        <v>8533</v>
      </c>
      <c r="D2827" s="1" t="s">
        <v>51</v>
      </c>
      <c r="E2827" s="1" t="s">
        <v>29</v>
      </c>
      <c r="F2827" s="5">
        <v>300000.0</v>
      </c>
      <c r="G2827" s="1" t="s">
        <v>7016</v>
      </c>
      <c r="H2827" s="4">
        <v>44230.0</v>
      </c>
      <c r="I2827" s="1" t="s">
        <v>152</v>
      </c>
      <c r="K2827" s="1">
        <v>0.0</v>
      </c>
      <c r="L2827" s="1" t="s">
        <v>370</v>
      </c>
      <c r="M2827" s="1" t="str">
        <f>VLOOKUP(L2827,'Copy of PMD Workday Constants -'!B2826:W3512,22,false)</f>
        <v>#N/A</v>
      </c>
      <c r="N2827" s="1" t="s">
        <v>32</v>
      </c>
      <c r="O2827" s="1" t="s">
        <v>33</v>
      </c>
      <c r="P2827" s="1" t="s">
        <v>210</v>
      </c>
      <c r="Q2827" s="1" t="s">
        <v>210</v>
      </c>
      <c r="R2827" s="1" t="s">
        <v>211</v>
      </c>
      <c r="S2827" s="1" t="s">
        <v>297</v>
      </c>
      <c r="T2827" s="1">
        <v>1.00658132E8</v>
      </c>
      <c r="W2827" s="1" t="s">
        <v>258</v>
      </c>
      <c r="X2827" s="1" t="s">
        <v>4357</v>
      </c>
    </row>
    <row r="2828">
      <c r="A2828" s="1" t="s">
        <v>8534</v>
      </c>
      <c r="B2828" s="1" t="s">
        <v>6796</v>
      </c>
      <c r="C2828" s="1" t="s">
        <v>8535</v>
      </c>
      <c r="D2828" s="1" t="s">
        <v>28</v>
      </c>
      <c r="E2828" s="1" t="s">
        <v>29</v>
      </c>
      <c r="F2828" s="5">
        <v>300000.0</v>
      </c>
      <c r="G2828" s="1" t="s">
        <v>7016</v>
      </c>
      <c r="H2828" s="1" t="s">
        <v>2290</v>
      </c>
      <c r="I2828" s="1" t="s">
        <v>732</v>
      </c>
      <c r="K2828" s="1">
        <v>0.0</v>
      </c>
      <c r="L2828" s="1" t="s">
        <v>618</v>
      </c>
      <c r="M2828" s="1" t="str">
        <f>VLOOKUP(L2828,'Copy of PMD Workday Constants -'!B2827:W3513,22,false)</f>
        <v>#N/A</v>
      </c>
      <c r="N2828" s="1" t="s">
        <v>32</v>
      </c>
      <c r="O2828" s="1" t="s">
        <v>33</v>
      </c>
      <c r="P2828" s="1" t="s">
        <v>173</v>
      </c>
      <c r="Q2828" s="1" t="s">
        <v>173</v>
      </c>
      <c r="R2828" s="1" t="s">
        <v>174</v>
      </c>
      <c r="T2828" s="1">
        <v>1.00591141E8</v>
      </c>
      <c r="W2828" s="1" t="s">
        <v>74</v>
      </c>
      <c r="X2828" s="1" t="s">
        <v>2066</v>
      </c>
    </row>
    <row r="2829">
      <c r="A2829" s="1" t="s">
        <v>8536</v>
      </c>
      <c r="B2829" s="1" t="s">
        <v>324</v>
      </c>
      <c r="C2829" s="1" t="s">
        <v>8537</v>
      </c>
      <c r="D2829" s="1" t="s">
        <v>51</v>
      </c>
      <c r="E2829" s="1" t="s">
        <v>29</v>
      </c>
      <c r="F2829" s="5">
        <v>300000.0</v>
      </c>
      <c r="G2829" s="1" t="s">
        <v>7016</v>
      </c>
      <c r="H2829" s="1" t="s">
        <v>8538</v>
      </c>
      <c r="I2829" s="1" t="s">
        <v>1350</v>
      </c>
      <c r="K2829" s="1">
        <v>0.0</v>
      </c>
      <c r="L2829" s="1" t="s">
        <v>327</v>
      </c>
      <c r="M2829" s="1" t="str">
        <f>VLOOKUP(L2829,'Copy of PMD Workday Constants -'!B2828:W3514,22,false)</f>
        <v>#N/A</v>
      </c>
      <c r="N2829" s="1" t="s">
        <v>32</v>
      </c>
      <c r="O2829" s="1" t="s">
        <v>33</v>
      </c>
      <c r="P2829" s="1" t="s">
        <v>112</v>
      </c>
      <c r="Q2829" s="1" t="s">
        <v>112</v>
      </c>
      <c r="R2829" s="1" t="s">
        <v>113</v>
      </c>
      <c r="S2829" s="1" t="s">
        <v>120</v>
      </c>
      <c r="T2829" s="1">
        <v>1.00646485E8</v>
      </c>
      <c r="W2829" s="1" t="s">
        <v>56</v>
      </c>
      <c r="X2829" s="1" t="s">
        <v>2487</v>
      </c>
    </row>
    <row r="2830">
      <c r="A2830" s="1" t="s">
        <v>8539</v>
      </c>
      <c r="B2830" s="1" t="s">
        <v>8153</v>
      </c>
      <c r="C2830" s="1" t="s">
        <v>8540</v>
      </c>
      <c r="D2830" s="1" t="s">
        <v>28</v>
      </c>
      <c r="E2830" s="1" t="s">
        <v>29</v>
      </c>
      <c r="F2830" s="5">
        <v>300000.0</v>
      </c>
      <c r="G2830" s="1" t="s">
        <v>7016</v>
      </c>
      <c r="H2830" s="4">
        <v>44563.0</v>
      </c>
      <c r="I2830" s="1" t="s">
        <v>132</v>
      </c>
      <c r="K2830" s="1">
        <v>0.0</v>
      </c>
      <c r="L2830" s="1" t="s">
        <v>3848</v>
      </c>
      <c r="M2830" s="1" t="str">
        <f>VLOOKUP(L2830,'Copy of PMD Workday Constants -'!B2829:W3515,22,false)</f>
        <v>#N/A</v>
      </c>
      <c r="N2830" s="1" t="s">
        <v>32</v>
      </c>
      <c r="O2830" s="1" t="s">
        <v>33</v>
      </c>
      <c r="P2830" s="1" t="s">
        <v>173</v>
      </c>
      <c r="Q2830" s="1" t="s">
        <v>173</v>
      </c>
      <c r="R2830" s="1" t="s">
        <v>174</v>
      </c>
      <c r="S2830" s="1" t="s">
        <v>612</v>
      </c>
      <c r="T2830" s="1">
        <v>1.00654914E8</v>
      </c>
      <c r="W2830" s="1" t="s">
        <v>74</v>
      </c>
      <c r="X2830" s="1" t="s">
        <v>3745</v>
      </c>
    </row>
    <row r="2831">
      <c r="A2831" s="1" t="s">
        <v>8541</v>
      </c>
      <c r="B2831" s="1" t="s">
        <v>4820</v>
      </c>
      <c r="C2831" s="1" t="s">
        <v>8542</v>
      </c>
      <c r="D2831" s="1" t="s">
        <v>51</v>
      </c>
      <c r="E2831" s="1" t="s">
        <v>29</v>
      </c>
      <c r="F2831" s="5">
        <v>300000.0</v>
      </c>
      <c r="G2831" s="1" t="s">
        <v>7016</v>
      </c>
      <c r="H2831" s="1" t="s">
        <v>2484</v>
      </c>
      <c r="I2831" s="4">
        <v>44630.0</v>
      </c>
      <c r="K2831" s="1">
        <v>0.0</v>
      </c>
      <c r="L2831" s="1" t="s">
        <v>1981</v>
      </c>
      <c r="M2831" s="1" t="str">
        <f>VLOOKUP(L2831,'Copy of PMD Workday Constants -'!B2830:W3516,22,false)</f>
        <v>#N/A</v>
      </c>
      <c r="N2831" s="1" t="s">
        <v>32</v>
      </c>
      <c r="O2831" s="1" t="s">
        <v>33</v>
      </c>
      <c r="P2831" s="1" t="s">
        <v>64</v>
      </c>
      <c r="Q2831" s="1" t="s">
        <v>64</v>
      </c>
      <c r="R2831" s="1" t="s">
        <v>65</v>
      </c>
      <c r="S2831" s="1" t="s">
        <v>1336</v>
      </c>
      <c r="T2831" s="1">
        <v>1.00638494E8</v>
      </c>
      <c r="W2831" s="1" t="s">
        <v>74</v>
      </c>
      <c r="X2831" s="1" t="s">
        <v>1982</v>
      </c>
    </row>
    <row r="2832">
      <c r="A2832" s="1" t="s">
        <v>8543</v>
      </c>
      <c r="B2832" s="1" t="s">
        <v>8544</v>
      </c>
      <c r="C2832" s="1" t="s">
        <v>8545</v>
      </c>
      <c r="D2832" s="1" t="s">
        <v>28</v>
      </c>
      <c r="E2832" s="1" t="s">
        <v>29</v>
      </c>
      <c r="F2832" s="5">
        <v>300000.0</v>
      </c>
      <c r="G2832" s="1" t="s">
        <v>7016</v>
      </c>
      <c r="H2832" s="1" t="s">
        <v>3496</v>
      </c>
      <c r="I2832" s="1" t="s">
        <v>80</v>
      </c>
      <c r="K2832" s="1">
        <v>0.0</v>
      </c>
      <c r="L2832" s="1" t="s">
        <v>2703</v>
      </c>
      <c r="M2832" s="1" t="str">
        <f>VLOOKUP(L2832,'Copy of PMD Workday Constants -'!B2831:W3517,22,false)</f>
        <v>#N/A</v>
      </c>
      <c r="N2832" s="1" t="s">
        <v>32</v>
      </c>
      <c r="O2832" s="1" t="s">
        <v>33</v>
      </c>
      <c r="P2832" s="1" t="s">
        <v>34</v>
      </c>
      <c r="Q2832" s="1" t="s">
        <v>34</v>
      </c>
      <c r="R2832" s="1" t="s">
        <v>35</v>
      </c>
      <c r="S2832" s="1" t="s">
        <v>383</v>
      </c>
      <c r="T2832" s="1">
        <v>1.00866856E8</v>
      </c>
      <c r="W2832" s="1" t="s">
        <v>947</v>
      </c>
      <c r="X2832" s="1" t="s">
        <v>2703</v>
      </c>
    </row>
    <row r="2833">
      <c r="A2833" s="1" t="s">
        <v>8546</v>
      </c>
      <c r="B2833" s="1" t="s">
        <v>8544</v>
      </c>
      <c r="C2833" s="1" t="s">
        <v>8547</v>
      </c>
      <c r="D2833" s="1" t="s">
        <v>28</v>
      </c>
      <c r="E2833" s="1" t="s">
        <v>29</v>
      </c>
      <c r="F2833" s="5">
        <v>300000.0</v>
      </c>
      <c r="G2833" s="1" t="s">
        <v>7016</v>
      </c>
      <c r="H2833" s="1" t="s">
        <v>3496</v>
      </c>
      <c r="I2833" s="1" t="s">
        <v>80</v>
      </c>
      <c r="K2833" s="1">
        <v>0.0</v>
      </c>
      <c r="L2833" s="1" t="s">
        <v>2703</v>
      </c>
      <c r="M2833" s="1" t="str">
        <f>VLOOKUP(L2833,'Copy of PMD Workday Constants -'!B2832:W3518,22,false)</f>
        <v>#N/A</v>
      </c>
      <c r="N2833" s="1" t="s">
        <v>32</v>
      </c>
      <c r="O2833" s="1" t="s">
        <v>33</v>
      </c>
      <c r="P2833" s="1" t="s">
        <v>34</v>
      </c>
      <c r="Q2833" s="1" t="s">
        <v>34</v>
      </c>
      <c r="R2833" s="1" t="s">
        <v>35</v>
      </c>
      <c r="S2833" s="1" t="s">
        <v>383</v>
      </c>
      <c r="T2833" s="1">
        <v>1.00866856E8</v>
      </c>
      <c r="W2833" s="1" t="s">
        <v>947</v>
      </c>
      <c r="X2833" s="1" t="s">
        <v>2703</v>
      </c>
    </row>
    <row r="2834">
      <c r="A2834" s="1" t="s">
        <v>8548</v>
      </c>
      <c r="B2834" s="1" t="s">
        <v>8544</v>
      </c>
      <c r="C2834" s="1" t="s">
        <v>8549</v>
      </c>
      <c r="D2834" s="1" t="s">
        <v>28</v>
      </c>
      <c r="E2834" s="1" t="s">
        <v>29</v>
      </c>
      <c r="F2834" s="5">
        <v>300000.0</v>
      </c>
      <c r="G2834" s="1" t="s">
        <v>7016</v>
      </c>
      <c r="H2834" s="1" t="s">
        <v>3496</v>
      </c>
      <c r="I2834" s="1" t="s">
        <v>80</v>
      </c>
      <c r="K2834" s="1">
        <v>0.0</v>
      </c>
      <c r="L2834" s="1" t="s">
        <v>2703</v>
      </c>
      <c r="M2834" s="1" t="str">
        <f>VLOOKUP(L2834,'Copy of PMD Workday Constants -'!B2833:W3519,22,false)</f>
        <v>#N/A</v>
      </c>
      <c r="N2834" s="1" t="s">
        <v>32</v>
      </c>
      <c r="O2834" s="1" t="s">
        <v>33</v>
      </c>
      <c r="P2834" s="1" t="s">
        <v>34</v>
      </c>
      <c r="Q2834" s="1" t="s">
        <v>34</v>
      </c>
      <c r="R2834" s="1" t="s">
        <v>35</v>
      </c>
      <c r="S2834" s="1" t="s">
        <v>612</v>
      </c>
      <c r="T2834" s="1">
        <v>1.00866856E8</v>
      </c>
      <c r="W2834" s="1" t="s">
        <v>947</v>
      </c>
      <c r="X2834" s="1" t="s">
        <v>2703</v>
      </c>
    </row>
    <row r="2835">
      <c r="A2835" s="1" t="s">
        <v>8550</v>
      </c>
      <c r="B2835" s="1" t="s">
        <v>317</v>
      </c>
      <c r="C2835" s="1" t="s">
        <v>8551</v>
      </c>
      <c r="D2835" s="1" t="s">
        <v>51</v>
      </c>
      <c r="E2835" s="1" t="s">
        <v>29</v>
      </c>
      <c r="F2835" s="5">
        <v>300000.0</v>
      </c>
      <c r="G2835" s="1" t="s">
        <v>7016</v>
      </c>
      <c r="H2835" s="1" t="s">
        <v>8552</v>
      </c>
      <c r="I2835" s="4">
        <v>44689.0</v>
      </c>
      <c r="K2835" s="1">
        <v>0.0</v>
      </c>
      <c r="L2835" s="1" t="s">
        <v>3623</v>
      </c>
      <c r="M2835" s="1" t="str">
        <f>VLOOKUP(L2835,'Copy of PMD Workday Constants -'!B2834:W3520,22,false)</f>
        <v>#N/A</v>
      </c>
      <c r="N2835" s="1" t="s">
        <v>32</v>
      </c>
      <c r="O2835" s="1" t="s">
        <v>33</v>
      </c>
      <c r="P2835" s="1" t="s">
        <v>82</v>
      </c>
      <c r="Q2835" s="1" t="s">
        <v>82</v>
      </c>
      <c r="R2835" s="1" t="s">
        <v>83</v>
      </c>
      <c r="S2835" s="1" t="s">
        <v>84</v>
      </c>
      <c r="T2835" s="1">
        <v>1.00929557E8</v>
      </c>
      <c r="W2835" s="1" t="s">
        <v>85</v>
      </c>
      <c r="X2835" s="1" t="s">
        <v>3623</v>
      </c>
    </row>
    <row r="2836">
      <c r="A2836" s="1" t="s">
        <v>8553</v>
      </c>
      <c r="B2836" s="1" t="s">
        <v>8554</v>
      </c>
      <c r="C2836" s="1" t="s">
        <v>8555</v>
      </c>
      <c r="D2836" s="1" t="s">
        <v>28</v>
      </c>
      <c r="E2836" s="1" t="s">
        <v>29</v>
      </c>
      <c r="F2836" s="5">
        <v>300000.0</v>
      </c>
      <c r="G2836" s="1" t="s">
        <v>7016</v>
      </c>
      <c r="H2836" s="4">
        <v>44868.0</v>
      </c>
      <c r="I2836" s="1" t="s">
        <v>104</v>
      </c>
      <c r="K2836" s="1">
        <v>0.0</v>
      </c>
      <c r="L2836" s="1" t="s">
        <v>893</v>
      </c>
      <c r="M2836" s="1" t="str">
        <f>VLOOKUP(L2836,'Copy of PMD Workday Constants -'!B2835:W3521,22,false)</f>
        <v>#N/A</v>
      </c>
      <c r="N2836" s="1" t="s">
        <v>32</v>
      </c>
      <c r="O2836" s="1" t="s">
        <v>33</v>
      </c>
      <c r="P2836" s="1" t="s">
        <v>82</v>
      </c>
      <c r="Q2836" s="1" t="s">
        <v>82</v>
      </c>
      <c r="R2836" s="1" t="s">
        <v>83</v>
      </c>
      <c r="T2836" s="1">
        <v>1.0112897E8</v>
      </c>
      <c r="W2836" s="1" t="s">
        <v>85</v>
      </c>
      <c r="X2836" s="1" t="s">
        <v>893</v>
      </c>
    </row>
    <row r="2837">
      <c r="A2837" s="1" t="s">
        <v>8556</v>
      </c>
      <c r="B2837" s="1" t="s">
        <v>2277</v>
      </c>
      <c r="C2837" s="1" t="s">
        <v>8557</v>
      </c>
      <c r="D2837" s="1" t="s">
        <v>51</v>
      </c>
      <c r="E2837" s="1" t="s">
        <v>29</v>
      </c>
      <c r="F2837" s="5">
        <v>300000.0</v>
      </c>
      <c r="G2837" s="1" t="s">
        <v>7016</v>
      </c>
      <c r="H2837" s="4">
        <v>43959.0</v>
      </c>
      <c r="I2837" s="1" t="s">
        <v>80</v>
      </c>
      <c r="K2837" s="1">
        <v>0.0</v>
      </c>
      <c r="L2837" s="1" t="s">
        <v>4794</v>
      </c>
      <c r="M2837" s="1" t="str">
        <f>VLOOKUP(L2837,'Copy of PMD Workday Constants -'!B2836:W3522,22,false)</f>
        <v>#N/A</v>
      </c>
      <c r="N2837" s="1" t="s">
        <v>32</v>
      </c>
      <c r="O2837" s="1" t="s">
        <v>33</v>
      </c>
      <c r="P2837" s="1" t="s">
        <v>173</v>
      </c>
      <c r="Q2837" s="1" t="s">
        <v>173</v>
      </c>
      <c r="R2837" s="1" t="s">
        <v>174</v>
      </c>
      <c r="S2837" s="1" t="s">
        <v>540</v>
      </c>
      <c r="T2837" s="1">
        <v>1.00875111E8</v>
      </c>
      <c r="W2837" s="1" t="s">
        <v>258</v>
      </c>
      <c r="X2837" s="1" t="s">
        <v>4795</v>
      </c>
    </row>
    <row r="2838">
      <c r="A2838" s="1" t="s">
        <v>8558</v>
      </c>
      <c r="B2838" s="1" t="s">
        <v>993</v>
      </c>
      <c r="C2838" s="1" t="s">
        <v>8559</v>
      </c>
      <c r="D2838" s="1" t="s">
        <v>103</v>
      </c>
      <c r="E2838" s="1" t="s">
        <v>29</v>
      </c>
      <c r="F2838" s="5">
        <v>300000.0</v>
      </c>
      <c r="G2838" s="1" t="s">
        <v>7016</v>
      </c>
      <c r="H2838" s="1" t="s">
        <v>592</v>
      </c>
      <c r="I2838" s="1" t="s">
        <v>699</v>
      </c>
      <c r="K2838" s="1">
        <v>0.0</v>
      </c>
      <c r="L2838" s="1" t="s">
        <v>2540</v>
      </c>
      <c r="M2838" s="1" t="str">
        <f>VLOOKUP(L2838,'Copy of PMD Workday Constants -'!B2837:W3523,22,false)</f>
        <v>#N/A</v>
      </c>
      <c r="N2838" s="1" t="s">
        <v>32</v>
      </c>
      <c r="O2838" s="1" t="s">
        <v>33</v>
      </c>
      <c r="P2838" s="1" t="s">
        <v>222</v>
      </c>
      <c r="Q2838" s="1" t="s">
        <v>222</v>
      </c>
      <c r="R2838" s="1" t="s">
        <v>223</v>
      </c>
      <c r="S2838" s="1" t="s">
        <v>601</v>
      </c>
      <c r="T2838" s="1">
        <v>1.00599268E8</v>
      </c>
      <c r="W2838" s="1" t="s">
        <v>74</v>
      </c>
      <c r="X2838" s="1" t="s">
        <v>8560</v>
      </c>
    </row>
    <row r="2839">
      <c r="A2839" s="1" t="s">
        <v>8561</v>
      </c>
      <c r="B2839" s="1" t="s">
        <v>1204</v>
      </c>
      <c r="C2839" s="1" t="s">
        <v>8562</v>
      </c>
      <c r="D2839" s="1" t="s">
        <v>28</v>
      </c>
      <c r="E2839" s="1" t="s">
        <v>29</v>
      </c>
      <c r="F2839" s="5">
        <v>300000.0</v>
      </c>
      <c r="G2839" s="1" t="s">
        <v>7016</v>
      </c>
      <c r="H2839" s="1" t="s">
        <v>2142</v>
      </c>
      <c r="I2839" s="4">
        <v>44689.0</v>
      </c>
      <c r="K2839" s="1">
        <v>0.0</v>
      </c>
      <c r="L2839" s="1" t="s">
        <v>909</v>
      </c>
      <c r="M2839" s="1" t="str">
        <f>VLOOKUP(L2839,'Copy of PMD Workday Constants -'!B2838:W3524,22,false)</f>
        <v>#N/A</v>
      </c>
      <c r="N2839" s="1" t="s">
        <v>32</v>
      </c>
      <c r="O2839" s="1" t="s">
        <v>33</v>
      </c>
      <c r="P2839" s="1" t="s">
        <v>82</v>
      </c>
      <c r="Q2839" s="1" t="s">
        <v>82</v>
      </c>
      <c r="R2839" s="1" t="s">
        <v>83</v>
      </c>
      <c r="S2839" s="1" t="s">
        <v>84</v>
      </c>
      <c r="T2839" s="1">
        <v>1.00649698E8</v>
      </c>
      <c r="W2839" s="1" t="s">
        <v>85</v>
      </c>
      <c r="X2839" s="1" t="s">
        <v>909</v>
      </c>
    </row>
    <row r="2840">
      <c r="A2840" s="1" t="s">
        <v>8563</v>
      </c>
      <c r="B2840" s="1" t="s">
        <v>2372</v>
      </c>
      <c r="C2840" s="1" t="s">
        <v>8564</v>
      </c>
      <c r="D2840" s="1" t="s">
        <v>51</v>
      </c>
      <c r="E2840" s="1" t="s">
        <v>29</v>
      </c>
      <c r="F2840" s="5">
        <v>300000.0</v>
      </c>
      <c r="G2840" s="1" t="s">
        <v>7016</v>
      </c>
      <c r="H2840" s="4">
        <v>44205.0</v>
      </c>
      <c r="I2840" s="1" t="s">
        <v>302</v>
      </c>
      <c r="K2840" s="1">
        <v>0.0</v>
      </c>
      <c r="L2840" s="1" t="s">
        <v>1031</v>
      </c>
      <c r="M2840" s="1" t="str">
        <f>VLOOKUP(L2840,'Copy of PMD Workday Constants -'!B2839:W3525,22,false)</f>
        <v>#N/A</v>
      </c>
      <c r="N2840" s="1" t="s">
        <v>32</v>
      </c>
      <c r="O2840" s="1" t="s">
        <v>33</v>
      </c>
      <c r="P2840" s="1" t="s">
        <v>64</v>
      </c>
      <c r="Q2840" s="1" t="s">
        <v>64</v>
      </c>
      <c r="R2840" s="1" t="s">
        <v>65</v>
      </c>
      <c r="S2840" s="1" t="s">
        <v>229</v>
      </c>
      <c r="T2840" s="1">
        <v>1.00879751E8</v>
      </c>
      <c r="W2840" s="1" t="s">
        <v>56</v>
      </c>
      <c r="X2840" s="1" t="s">
        <v>6019</v>
      </c>
    </row>
    <row r="2841">
      <c r="A2841" s="1" t="s">
        <v>8565</v>
      </c>
      <c r="B2841" s="1" t="s">
        <v>77</v>
      </c>
      <c r="C2841" s="1" t="s">
        <v>8566</v>
      </c>
      <c r="D2841" s="1" t="s">
        <v>28</v>
      </c>
      <c r="E2841" s="1" t="s">
        <v>29</v>
      </c>
      <c r="F2841" s="5">
        <v>300000.0</v>
      </c>
      <c r="G2841" s="1" t="s">
        <v>7016</v>
      </c>
      <c r="H2841" s="4">
        <v>44654.0</v>
      </c>
      <c r="I2841" s="1" t="s">
        <v>80</v>
      </c>
      <c r="K2841" s="1">
        <v>0.0</v>
      </c>
      <c r="L2841" s="1" t="s">
        <v>6791</v>
      </c>
      <c r="M2841" s="1" t="str">
        <f>VLOOKUP(L2841,'Copy of PMD Workday Constants -'!B2840:W3526,22,false)</f>
        <v>#N/A</v>
      </c>
      <c r="N2841" s="1" t="s">
        <v>32</v>
      </c>
      <c r="O2841" s="1" t="s">
        <v>33</v>
      </c>
      <c r="P2841" s="1" t="s">
        <v>82</v>
      </c>
      <c r="Q2841" s="1" t="s">
        <v>82</v>
      </c>
      <c r="R2841" s="1" t="s">
        <v>83</v>
      </c>
      <c r="S2841" s="1" t="s">
        <v>84</v>
      </c>
      <c r="T2841" s="1">
        <v>1.00594243E8</v>
      </c>
      <c r="W2841" s="1" t="s">
        <v>85</v>
      </c>
      <c r="X2841" s="1" t="s">
        <v>7194</v>
      </c>
    </row>
    <row r="2842">
      <c r="A2842" s="1" t="s">
        <v>8567</v>
      </c>
      <c r="B2842" s="1" t="s">
        <v>93</v>
      </c>
      <c r="C2842" s="1" t="s">
        <v>8568</v>
      </c>
      <c r="D2842" s="1" t="s">
        <v>28</v>
      </c>
      <c r="E2842" s="1" t="s">
        <v>29</v>
      </c>
      <c r="F2842" s="5">
        <v>300000.0</v>
      </c>
      <c r="G2842" s="1" t="s">
        <v>7016</v>
      </c>
      <c r="H2842" s="4">
        <v>44208.0</v>
      </c>
      <c r="I2842" s="1" t="s">
        <v>80</v>
      </c>
      <c r="K2842" s="1">
        <v>0.0</v>
      </c>
      <c r="L2842" s="1" t="s">
        <v>209</v>
      </c>
      <c r="M2842" s="1" t="str">
        <f>VLOOKUP(L2842,'Copy of PMD Workday Constants -'!B2841:W3527,22,false)</f>
        <v>#N/A</v>
      </c>
      <c r="N2842" s="1" t="s">
        <v>32</v>
      </c>
      <c r="O2842" s="1" t="s">
        <v>33</v>
      </c>
      <c r="P2842" s="1" t="s">
        <v>210</v>
      </c>
      <c r="Q2842" s="1" t="s">
        <v>210</v>
      </c>
      <c r="R2842" s="1" t="s">
        <v>211</v>
      </c>
      <c r="S2842" s="1" t="s">
        <v>212</v>
      </c>
      <c r="T2842" s="1">
        <v>1.00628186E8</v>
      </c>
      <c r="W2842" s="1" t="s">
        <v>56</v>
      </c>
      <c r="X2842" s="1" t="s">
        <v>8569</v>
      </c>
    </row>
    <row r="2843">
      <c r="A2843" s="1" t="s">
        <v>8570</v>
      </c>
      <c r="B2843" s="1" t="s">
        <v>673</v>
      </c>
      <c r="C2843" s="1" t="s">
        <v>8571</v>
      </c>
      <c r="D2843" s="1" t="s">
        <v>51</v>
      </c>
      <c r="E2843" s="1" t="s">
        <v>29</v>
      </c>
      <c r="F2843" s="5">
        <v>300000.0</v>
      </c>
      <c r="G2843" s="1" t="s">
        <v>7016</v>
      </c>
      <c r="H2843" s="1" t="s">
        <v>375</v>
      </c>
      <c r="I2843" s="1" t="s">
        <v>80</v>
      </c>
      <c r="K2843" s="1">
        <v>0.0</v>
      </c>
      <c r="L2843" s="1" t="s">
        <v>4432</v>
      </c>
      <c r="M2843" s="1" t="str">
        <f>VLOOKUP(L2843,'Copy of PMD Workday Constants -'!B2842:W3528,22,false)</f>
        <v>#N/A</v>
      </c>
      <c r="N2843" s="1" t="s">
        <v>32</v>
      </c>
      <c r="O2843" s="1" t="s">
        <v>33</v>
      </c>
      <c r="P2843" s="1" t="s">
        <v>34</v>
      </c>
      <c r="Q2843" s="1" t="s">
        <v>34</v>
      </c>
      <c r="R2843" s="1" t="s">
        <v>35</v>
      </c>
      <c r="T2843" s="1">
        <v>1.00586334E8</v>
      </c>
      <c r="W2843" s="1" t="s">
        <v>47</v>
      </c>
      <c r="X2843" s="1" t="s">
        <v>675</v>
      </c>
    </row>
    <row r="2844">
      <c r="A2844" s="1" t="s">
        <v>8572</v>
      </c>
      <c r="B2844" s="1" t="s">
        <v>3343</v>
      </c>
      <c r="C2844" s="1" t="s">
        <v>8573</v>
      </c>
      <c r="D2844" s="1" t="s">
        <v>28</v>
      </c>
      <c r="E2844" s="1" t="s">
        <v>29</v>
      </c>
      <c r="F2844" s="5">
        <v>300000.0</v>
      </c>
      <c r="G2844" s="1" t="s">
        <v>7016</v>
      </c>
      <c r="H2844" s="4">
        <v>44866.0</v>
      </c>
      <c r="I2844" s="1" t="s">
        <v>152</v>
      </c>
      <c r="K2844" s="1">
        <v>0.0</v>
      </c>
      <c r="L2844" s="1" t="s">
        <v>2275</v>
      </c>
      <c r="M2844" s="1" t="str">
        <f>VLOOKUP(L2844,'Copy of PMD Workday Constants -'!B2843:W3529,22,false)</f>
        <v>#N/A</v>
      </c>
      <c r="N2844" s="1" t="s">
        <v>32</v>
      </c>
      <c r="O2844" s="1" t="s">
        <v>33</v>
      </c>
      <c r="P2844" s="1" t="s">
        <v>173</v>
      </c>
      <c r="Q2844" s="1" t="s">
        <v>173</v>
      </c>
      <c r="R2844" s="1" t="s">
        <v>174</v>
      </c>
      <c r="S2844" s="1" t="s">
        <v>153</v>
      </c>
      <c r="T2844" s="1">
        <v>1.00650783E8</v>
      </c>
      <c r="W2844" s="1" t="s">
        <v>140</v>
      </c>
      <c r="X2844" s="1" t="s">
        <v>2275</v>
      </c>
    </row>
    <row r="2845">
      <c r="A2845" s="1" t="s">
        <v>8574</v>
      </c>
      <c r="B2845" s="1" t="s">
        <v>489</v>
      </c>
      <c r="C2845" s="1" t="s">
        <v>8575</v>
      </c>
      <c r="D2845" s="1" t="s">
        <v>51</v>
      </c>
      <c r="E2845" s="1" t="s">
        <v>29</v>
      </c>
      <c r="F2845" s="5">
        <v>300000.0</v>
      </c>
      <c r="G2845" s="1" t="s">
        <v>7016</v>
      </c>
      <c r="H2845" s="1" t="s">
        <v>5928</v>
      </c>
      <c r="I2845" s="4">
        <v>44689.0</v>
      </c>
      <c r="K2845" s="1">
        <v>0.0</v>
      </c>
      <c r="L2845" s="1" t="s">
        <v>847</v>
      </c>
      <c r="M2845" s="1" t="str">
        <f>VLOOKUP(L2845,'Copy of PMD Workday Constants -'!B2844:W3530,22,false)</f>
        <v>#N/A</v>
      </c>
      <c r="N2845" s="1" t="s">
        <v>32</v>
      </c>
      <c r="O2845" s="1" t="s">
        <v>33</v>
      </c>
      <c r="P2845" s="1" t="s">
        <v>173</v>
      </c>
      <c r="Q2845" s="1" t="s">
        <v>173</v>
      </c>
      <c r="R2845" s="1" t="s">
        <v>174</v>
      </c>
      <c r="S2845" s="1" t="s">
        <v>612</v>
      </c>
      <c r="T2845" s="1">
        <v>1.00586701E8</v>
      </c>
      <c r="W2845" s="1" t="s">
        <v>493</v>
      </c>
      <c r="X2845" s="1" t="s">
        <v>1529</v>
      </c>
    </row>
    <row r="2846">
      <c r="A2846" s="1" t="s">
        <v>8576</v>
      </c>
      <c r="B2846" s="1" t="s">
        <v>26</v>
      </c>
      <c r="C2846" s="1" t="s">
        <v>8577</v>
      </c>
      <c r="D2846" s="1" t="s">
        <v>51</v>
      </c>
      <c r="E2846" s="1" t="s">
        <v>29</v>
      </c>
      <c r="F2846" s="5">
        <v>300000.0</v>
      </c>
      <c r="G2846" s="1" t="s">
        <v>7016</v>
      </c>
      <c r="H2846" s="4">
        <v>44294.0</v>
      </c>
      <c r="I2846" s="4">
        <v>44780.0</v>
      </c>
      <c r="K2846" s="1">
        <v>0.0</v>
      </c>
      <c r="L2846" s="1" t="s">
        <v>4290</v>
      </c>
      <c r="M2846" s="1" t="str">
        <f>VLOOKUP(L2846,'Copy of PMD Workday Constants -'!B2845:W3531,22,false)</f>
        <v>#N/A</v>
      </c>
      <c r="N2846" s="1" t="s">
        <v>32</v>
      </c>
      <c r="O2846" s="1" t="s">
        <v>33</v>
      </c>
      <c r="P2846" s="1" t="s">
        <v>173</v>
      </c>
      <c r="Q2846" s="1" t="s">
        <v>173</v>
      </c>
      <c r="R2846" s="1" t="s">
        <v>174</v>
      </c>
      <c r="T2846" s="1">
        <v>1.00660061E8</v>
      </c>
      <c r="W2846" s="1" t="s">
        <v>37</v>
      </c>
      <c r="X2846" s="1" t="s">
        <v>3765</v>
      </c>
    </row>
    <row r="2847">
      <c r="A2847" s="1" t="s">
        <v>8578</v>
      </c>
      <c r="B2847" s="1" t="s">
        <v>507</v>
      </c>
      <c r="C2847" s="1" t="s">
        <v>8579</v>
      </c>
      <c r="D2847" s="1" t="s">
        <v>28</v>
      </c>
      <c r="E2847" s="1" t="s">
        <v>29</v>
      </c>
      <c r="F2847" s="5">
        <v>300000.0</v>
      </c>
      <c r="G2847" s="1" t="s">
        <v>7016</v>
      </c>
      <c r="H2847" s="4">
        <v>44107.0</v>
      </c>
      <c r="I2847" s="1" t="s">
        <v>302</v>
      </c>
      <c r="K2847" s="1">
        <v>0.0</v>
      </c>
      <c r="L2847" s="1" t="s">
        <v>454</v>
      </c>
      <c r="M2847" s="1" t="str">
        <f>VLOOKUP(L2847,'Copy of PMD Workday Constants -'!B2846:W3532,22,false)</f>
        <v>#N/A</v>
      </c>
      <c r="N2847" s="1" t="s">
        <v>32</v>
      </c>
      <c r="O2847" s="1" t="s">
        <v>33</v>
      </c>
      <c r="P2847" s="1" t="s">
        <v>112</v>
      </c>
      <c r="Q2847" s="1" t="s">
        <v>112</v>
      </c>
      <c r="R2847" s="1" t="s">
        <v>113</v>
      </c>
      <c r="S2847" s="1" t="s">
        <v>153</v>
      </c>
      <c r="T2847" s="1">
        <v>1.00611486E8</v>
      </c>
      <c r="W2847" s="1" t="s">
        <v>456</v>
      </c>
      <c r="X2847" s="1" t="s">
        <v>1622</v>
      </c>
    </row>
    <row r="2848">
      <c r="A2848" s="1" t="s">
        <v>8580</v>
      </c>
      <c r="B2848" s="1" t="s">
        <v>744</v>
      </c>
      <c r="C2848" s="1" t="s">
        <v>8581</v>
      </c>
      <c r="D2848" s="1" t="s">
        <v>28</v>
      </c>
      <c r="E2848" s="1" t="s">
        <v>29</v>
      </c>
      <c r="F2848" s="5">
        <v>300000.0</v>
      </c>
      <c r="G2848" s="1" t="s">
        <v>7016</v>
      </c>
      <c r="H2848" s="1" t="s">
        <v>8582</v>
      </c>
      <c r="I2848" s="1" t="s">
        <v>4589</v>
      </c>
      <c r="K2848" s="1">
        <v>0.0</v>
      </c>
      <c r="L2848" s="1" t="s">
        <v>2163</v>
      </c>
      <c r="M2848" s="1" t="str">
        <f>VLOOKUP(L2848,'Copy of PMD Workday Constants -'!B2847:W3533,22,false)</f>
        <v>#N/A</v>
      </c>
      <c r="N2848" s="1" t="s">
        <v>32</v>
      </c>
      <c r="O2848" s="1" t="s">
        <v>33</v>
      </c>
      <c r="P2848" s="1" t="s">
        <v>210</v>
      </c>
      <c r="Q2848" s="1" t="s">
        <v>210</v>
      </c>
      <c r="R2848" s="1" t="s">
        <v>211</v>
      </c>
      <c r="S2848" s="1" t="s">
        <v>8583</v>
      </c>
      <c r="T2848" s="1">
        <v>1.00608366E8</v>
      </c>
      <c r="W2848" s="1" t="s">
        <v>258</v>
      </c>
      <c r="X2848" s="1" t="s">
        <v>2163</v>
      </c>
    </row>
    <row r="2849">
      <c r="A2849" s="1" t="s">
        <v>8584</v>
      </c>
      <c r="B2849" s="1" t="s">
        <v>1667</v>
      </c>
      <c r="C2849" s="1" t="s">
        <v>8585</v>
      </c>
      <c r="D2849" s="1" t="s">
        <v>103</v>
      </c>
      <c r="E2849" s="1" t="s">
        <v>29</v>
      </c>
      <c r="F2849" s="5">
        <v>300000.0</v>
      </c>
      <c r="G2849" s="1" t="s">
        <v>7016</v>
      </c>
      <c r="H2849" s="1" t="s">
        <v>2837</v>
      </c>
      <c r="I2849" s="1" t="s">
        <v>104</v>
      </c>
      <c r="K2849" s="1">
        <v>0.0</v>
      </c>
      <c r="L2849" s="1" t="s">
        <v>428</v>
      </c>
      <c r="M2849" s="1" t="str">
        <f>VLOOKUP(L2849,'Copy of PMD Workday Constants -'!B2848:W3534,22,false)</f>
        <v>#N/A</v>
      </c>
      <c r="N2849" s="1" t="s">
        <v>32</v>
      </c>
      <c r="O2849" s="1" t="s">
        <v>33</v>
      </c>
      <c r="P2849" s="1" t="s">
        <v>173</v>
      </c>
      <c r="Q2849" s="1" t="s">
        <v>173</v>
      </c>
      <c r="R2849" s="1" t="s">
        <v>174</v>
      </c>
      <c r="S2849" s="1" t="s">
        <v>153</v>
      </c>
      <c r="T2849" s="1">
        <v>1.00654085E8</v>
      </c>
      <c r="W2849" s="1" t="s">
        <v>85</v>
      </c>
      <c r="X2849" s="1" t="s">
        <v>5970</v>
      </c>
    </row>
    <row r="2850">
      <c r="A2850" s="1" t="s">
        <v>8586</v>
      </c>
      <c r="B2850" s="1" t="s">
        <v>3146</v>
      </c>
      <c r="C2850" s="1" t="s">
        <v>8587</v>
      </c>
      <c r="D2850" s="1" t="s">
        <v>28</v>
      </c>
      <c r="E2850" s="1" t="s">
        <v>29</v>
      </c>
      <c r="F2850" s="5">
        <v>300000.0</v>
      </c>
      <c r="G2850" s="1" t="s">
        <v>7016</v>
      </c>
      <c r="H2850" s="4">
        <v>44481.0</v>
      </c>
      <c r="I2850" s="1" t="s">
        <v>104</v>
      </c>
      <c r="K2850" s="1">
        <v>0.0</v>
      </c>
      <c r="L2850" s="1" t="s">
        <v>893</v>
      </c>
      <c r="M2850" s="1" t="str">
        <f>VLOOKUP(L2850,'Copy of PMD Workday Constants -'!B2849:W3535,22,false)</f>
        <v>#N/A</v>
      </c>
      <c r="N2850" s="1" t="s">
        <v>32</v>
      </c>
      <c r="O2850" s="1" t="s">
        <v>33</v>
      </c>
      <c r="P2850" s="1" t="s">
        <v>82</v>
      </c>
      <c r="Q2850" s="1" t="s">
        <v>82</v>
      </c>
      <c r="R2850" s="1" t="s">
        <v>83</v>
      </c>
      <c r="T2850" s="1">
        <v>1.0112897E8</v>
      </c>
      <c r="W2850" s="1" t="s">
        <v>85</v>
      </c>
      <c r="X2850" s="1" t="s">
        <v>893</v>
      </c>
    </row>
    <row r="2851">
      <c r="A2851" s="1" t="s">
        <v>8588</v>
      </c>
      <c r="B2851" s="1" t="s">
        <v>8589</v>
      </c>
      <c r="C2851" s="1" t="s">
        <v>8590</v>
      </c>
      <c r="D2851" s="1" t="s">
        <v>51</v>
      </c>
      <c r="E2851" s="1" t="s">
        <v>29</v>
      </c>
      <c r="F2851" s="5">
        <v>300000.0</v>
      </c>
      <c r="G2851" s="1" t="s">
        <v>7016</v>
      </c>
      <c r="H2851" s="4">
        <v>44717.0</v>
      </c>
      <c r="I2851" s="1" t="s">
        <v>526</v>
      </c>
      <c r="K2851" s="1">
        <v>0.0</v>
      </c>
      <c r="L2851" s="1" t="s">
        <v>2201</v>
      </c>
      <c r="M2851" s="1" t="str">
        <f>VLOOKUP(L2851,'Copy of PMD Workday Constants -'!B2850:W3536,22,false)</f>
        <v>#N/A</v>
      </c>
      <c r="N2851" s="1" t="s">
        <v>32</v>
      </c>
      <c r="O2851" s="1" t="s">
        <v>33</v>
      </c>
      <c r="P2851" s="1" t="s">
        <v>64</v>
      </c>
      <c r="Q2851" s="1" t="s">
        <v>64</v>
      </c>
      <c r="R2851" s="1" t="s">
        <v>65</v>
      </c>
      <c r="S2851" s="1" t="s">
        <v>1496</v>
      </c>
      <c r="T2851" s="1">
        <v>1.00649936E8</v>
      </c>
      <c r="W2851" s="1" t="s">
        <v>56</v>
      </c>
      <c r="X2851" s="1" t="s">
        <v>8591</v>
      </c>
    </row>
    <row r="2852">
      <c r="A2852" s="1" t="s">
        <v>8592</v>
      </c>
      <c r="B2852" s="1" t="s">
        <v>800</v>
      </c>
      <c r="C2852" s="1" t="s">
        <v>8593</v>
      </c>
      <c r="D2852" s="1" t="s">
        <v>79</v>
      </c>
      <c r="E2852" s="1" t="s">
        <v>29</v>
      </c>
      <c r="F2852" s="5">
        <v>300000.0</v>
      </c>
      <c r="G2852" s="1" t="s">
        <v>7016</v>
      </c>
      <c r="H2852" s="4">
        <v>44565.0</v>
      </c>
      <c r="I2852" s="1" t="s">
        <v>1134</v>
      </c>
      <c r="K2852" s="1">
        <v>0.0</v>
      </c>
      <c r="L2852" s="1" t="s">
        <v>435</v>
      </c>
      <c r="M2852" s="1" t="str">
        <f>VLOOKUP(L2852,'Copy of PMD Workday Constants -'!B2851:W3537,22,false)</f>
        <v>#N/A</v>
      </c>
      <c r="N2852" s="1" t="s">
        <v>32</v>
      </c>
      <c r="O2852" s="1" t="s">
        <v>33</v>
      </c>
      <c r="P2852" s="1" t="s">
        <v>64</v>
      </c>
      <c r="Q2852" s="1" t="s">
        <v>64</v>
      </c>
      <c r="R2852" s="1" t="s">
        <v>65</v>
      </c>
      <c r="S2852" s="1" t="s">
        <v>98</v>
      </c>
      <c r="T2852" s="1">
        <v>1.00653756E8</v>
      </c>
      <c r="W2852" s="1" t="s">
        <v>56</v>
      </c>
      <c r="X2852" s="1" t="s">
        <v>8594</v>
      </c>
    </row>
    <row r="2853">
      <c r="A2853" s="1" t="s">
        <v>8595</v>
      </c>
      <c r="B2853" s="1" t="s">
        <v>776</v>
      </c>
      <c r="C2853" s="1" t="s">
        <v>8596</v>
      </c>
      <c r="D2853" s="1" t="s">
        <v>28</v>
      </c>
      <c r="E2853" s="1" t="s">
        <v>29</v>
      </c>
      <c r="F2853" s="5">
        <v>300000.0</v>
      </c>
      <c r="G2853" s="1" t="s">
        <v>7016</v>
      </c>
      <c r="H2853" s="4">
        <v>44900.0</v>
      </c>
      <c r="I2853" s="1" t="s">
        <v>80</v>
      </c>
      <c r="K2853" s="1">
        <v>0.0</v>
      </c>
      <c r="L2853" s="1" t="s">
        <v>2547</v>
      </c>
      <c r="M2853" s="1" t="str">
        <f>VLOOKUP(L2853,'Copy of PMD Workday Constants -'!B2852:W3538,22,false)</f>
        <v>#N/A</v>
      </c>
      <c r="N2853" s="1" t="s">
        <v>32</v>
      </c>
      <c r="O2853" s="1" t="s">
        <v>33</v>
      </c>
      <c r="P2853" s="1" t="s">
        <v>64</v>
      </c>
      <c r="Q2853" s="1" t="s">
        <v>64</v>
      </c>
      <c r="R2853" s="1" t="s">
        <v>65</v>
      </c>
      <c r="T2853" s="1">
        <v>1.00592932E8</v>
      </c>
      <c r="U2853" s="1" t="s">
        <v>8596</v>
      </c>
      <c r="V2853" s="1" t="s">
        <v>781</v>
      </c>
      <c r="W2853" s="1" t="s">
        <v>74</v>
      </c>
      <c r="X2853" s="1" t="s">
        <v>8597</v>
      </c>
    </row>
    <row r="2854">
      <c r="A2854" s="1" t="s">
        <v>8598</v>
      </c>
      <c r="B2854" s="1" t="s">
        <v>7960</v>
      </c>
      <c r="C2854" s="1" t="s">
        <v>8599</v>
      </c>
      <c r="D2854" s="1" t="s">
        <v>79</v>
      </c>
      <c r="E2854" s="1" t="s">
        <v>29</v>
      </c>
      <c r="F2854" s="5">
        <v>300000.0</v>
      </c>
      <c r="G2854" s="1" t="s">
        <v>7016</v>
      </c>
      <c r="H2854" s="4">
        <v>44869.0</v>
      </c>
      <c r="I2854" s="1" t="s">
        <v>941</v>
      </c>
      <c r="K2854" s="1">
        <v>0.0</v>
      </c>
      <c r="L2854" s="1" t="s">
        <v>517</v>
      </c>
      <c r="M2854" s="1" t="str">
        <f>VLOOKUP(L2854,'Copy of PMD Workday Constants -'!B2853:W3539,22,false)</f>
        <v>#N/A</v>
      </c>
      <c r="N2854" s="1" t="s">
        <v>32</v>
      </c>
      <c r="O2854" s="1" t="s">
        <v>33</v>
      </c>
      <c r="P2854" s="1" t="s">
        <v>64</v>
      </c>
      <c r="Q2854" s="1" t="s">
        <v>64</v>
      </c>
      <c r="R2854" s="1" t="s">
        <v>65</v>
      </c>
      <c r="S2854" s="1" t="s">
        <v>229</v>
      </c>
      <c r="T2854" s="1">
        <v>1.01001596E8</v>
      </c>
      <c r="U2854" s="1" t="s">
        <v>8600</v>
      </c>
      <c r="V2854" s="1" t="s">
        <v>781</v>
      </c>
      <c r="W2854" s="1" t="s">
        <v>85</v>
      </c>
      <c r="X2854" s="1" t="s">
        <v>7958</v>
      </c>
    </row>
    <row r="2855">
      <c r="A2855" s="1" t="s">
        <v>8601</v>
      </c>
      <c r="B2855" s="1" t="s">
        <v>4425</v>
      </c>
      <c r="C2855" s="1" t="s">
        <v>8602</v>
      </c>
      <c r="D2855" s="1" t="s">
        <v>28</v>
      </c>
      <c r="E2855" s="1" t="s">
        <v>29</v>
      </c>
      <c r="F2855" s="5">
        <v>300000.0</v>
      </c>
      <c r="G2855" s="1" t="s">
        <v>7016</v>
      </c>
      <c r="H2855" s="1" t="s">
        <v>569</v>
      </c>
      <c r="I2855" s="1" t="s">
        <v>152</v>
      </c>
      <c r="K2855" s="1">
        <v>0.0</v>
      </c>
      <c r="L2855" s="1" t="s">
        <v>2672</v>
      </c>
      <c r="M2855" s="1" t="str">
        <f>VLOOKUP(L2855,'Copy of PMD Workday Constants -'!B2854:W3540,22,false)</f>
        <v>#N/A</v>
      </c>
      <c r="N2855" s="1" t="s">
        <v>32</v>
      </c>
      <c r="O2855" s="1" t="s">
        <v>33</v>
      </c>
      <c r="P2855" s="1" t="s">
        <v>173</v>
      </c>
      <c r="Q2855" s="1" t="s">
        <v>173</v>
      </c>
      <c r="R2855" s="1" t="s">
        <v>174</v>
      </c>
      <c r="T2855" s="1">
        <v>1.00607244E8</v>
      </c>
      <c r="W2855" s="1" t="s">
        <v>493</v>
      </c>
      <c r="X2855" s="1" t="s">
        <v>2672</v>
      </c>
    </row>
    <row r="2856">
      <c r="A2856" s="1" t="s">
        <v>8603</v>
      </c>
      <c r="B2856" s="1" t="s">
        <v>4425</v>
      </c>
      <c r="C2856" s="1" t="s">
        <v>8604</v>
      </c>
      <c r="D2856" s="1" t="s">
        <v>28</v>
      </c>
      <c r="E2856" s="1" t="s">
        <v>29</v>
      </c>
      <c r="F2856" s="5">
        <v>300000.0</v>
      </c>
      <c r="G2856" s="1" t="s">
        <v>7016</v>
      </c>
      <c r="H2856" s="1" t="s">
        <v>569</v>
      </c>
      <c r="I2856" s="1" t="s">
        <v>152</v>
      </c>
      <c r="K2856" s="1">
        <v>0.0</v>
      </c>
      <c r="L2856" s="1" t="s">
        <v>2672</v>
      </c>
      <c r="M2856" s="1" t="str">
        <f>VLOOKUP(L2856,'Copy of PMD Workday Constants -'!B2855:W3541,22,false)</f>
        <v>#N/A</v>
      </c>
      <c r="N2856" s="1" t="s">
        <v>32</v>
      </c>
      <c r="O2856" s="1" t="s">
        <v>33</v>
      </c>
      <c r="P2856" s="1" t="s">
        <v>173</v>
      </c>
      <c r="Q2856" s="1" t="s">
        <v>173</v>
      </c>
      <c r="R2856" s="1" t="s">
        <v>174</v>
      </c>
      <c r="T2856" s="1">
        <v>1.00607244E8</v>
      </c>
      <c r="W2856" s="1" t="s">
        <v>493</v>
      </c>
      <c r="X2856" s="1" t="s">
        <v>2672</v>
      </c>
    </row>
    <row r="2857">
      <c r="A2857" s="1" t="s">
        <v>8605</v>
      </c>
      <c r="B2857" s="1" t="s">
        <v>3529</v>
      </c>
      <c r="C2857" s="1" t="s">
        <v>8606</v>
      </c>
      <c r="D2857" s="1" t="s">
        <v>51</v>
      </c>
      <c r="E2857" s="1" t="s">
        <v>29</v>
      </c>
      <c r="F2857" s="5">
        <v>300000.0</v>
      </c>
      <c r="G2857" s="1" t="s">
        <v>7016</v>
      </c>
      <c r="H2857" s="4">
        <v>44866.0</v>
      </c>
      <c r="I2857" s="1" t="s">
        <v>152</v>
      </c>
      <c r="K2857" s="1">
        <v>0.0</v>
      </c>
      <c r="L2857" s="1" t="s">
        <v>4490</v>
      </c>
      <c r="M2857" s="1" t="str">
        <f>VLOOKUP(L2857,'Copy of PMD Workday Constants -'!B2856:W3542,22,false)</f>
        <v>#N/A</v>
      </c>
      <c r="N2857" s="1" t="s">
        <v>32</v>
      </c>
      <c r="O2857" s="1" t="s">
        <v>33</v>
      </c>
      <c r="P2857" s="1" t="s">
        <v>54</v>
      </c>
      <c r="Q2857" s="1" t="s">
        <v>54</v>
      </c>
      <c r="R2857" s="1" t="s">
        <v>55</v>
      </c>
      <c r="T2857" s="1">
        <v>1.00646804E8</v>
      </c>
      <c r="W2857" s="1" t="s">
        <v>258</v>
      </c>
      <c r="X2857" s="1" t="s">
        <v>8607</v>
      </c>
    </row>
    <row r="2858">
      <c r="A2858" s="1" t="s">
        <v>8608</v>
      </c>
      <c r="B2858" s="1" t="s">
        <v>610</v>
      </c>
      <c r="C2858" s="1" t="s">
        <v>8609</v>
      </c>
      <c r="D2858" s="1" t="s">
        <v>51</v>
      </c>
      <c r="E2858" s="1" t="s">
        <v>29</v>
      </c>
      <c r="F2858" s="5">
        <v>300000.0</v>
      </c>
      <c r="G2858" s="1" t="s">
        <v>7016</v>
      </c>
      <c r="H2858" s="4">
        <v>44567.0</v>
      </c>
      <c r="I2858" s="4">
        <v>45170.0</v>
      </c>
      <c r="K2858" s="1">
        <v>0.0</v>
      </c>
      <c r="L2858" s="1" t="s">
        <v>1591</v>
      </c>
      <c r="M2858" s="1" t="str">
        <f>VLOOKUP(L2858,'Copy of PMD Workday Constants -'!B2857:W3543,22,false)</f>
        <v>#N/A</v>
      </c>
      <c r="N2858" s="1" t="s">
        <v>32</v>
      </c>
      <c r="O2858" s="1" t="s">
        <v>33</v>
      </c>
      <c r="P2858" s="1" t="s">
        <v>34</v>
      </c>
      <c r="Q2858" s="1" t="s">
        <v>34</v>
      </c>
      <c r="R2858" s="1" t="s">
        <v>35</v>
      </c>
      <c r="T2858" s="1">
        <v>1.00587799E8</v>
      </c>
      <c r="W2858" s="1" t="s">
        <v>47</v>
      </c>
      <c r="X2858" s="1" t="s">
        <v>8610</v>
      </c>
    </row>
    <row r="2859">
      <c r="A2859" s="1" t="s">
        <v>8611</v>
      </c>
      <c r="B2859" s="1" t="s">
        <v>2534</v>
      </c>
      <c r="C2859" s="1" t="s">
        <v>8612</v>
      </c>
      <c r="D2859" s="1" t="s">
        <v>28</v>
      </c>
      <c r="E2859" s="1" t="s">
        <v>29</v>
      </c>
      <c r="F2859" s="5">
        <v>300000.0</v>
      </c>
      <c r="G2859" s="1" t="s">
        <v>7016</v>
      </c>
      <c r="H2859" s="1" t="s">
        <v>592</v>
      </c>
      <c r="I2859" s="1" t="s">
        <v>96</v>
      </c>
      <c r="K2859" s="1">
        <v>0.0</v>
      </c>
      <c r="L2859" s="1" t="s">
        <v>1486</v>
      </c>
      <c r="M2859" s="1" t="str">
        <f>VLOOKUP(L2859,'Copy of PMD Workday Constants -'!B2858:W3544,22,false)</f>
        <v>#N/A</v>
      </c>
      <c r="N2859" s="1" t="s">
        <v>32</v>
      </c>
      <c r="O2859" s="1" t="s">
        <v>33</v>
      </c>
      <c r="P2859" s="1" t="s">
        <v>82</v>
      </c>
      <c r="Q2859" s="1" t="s">
        <v>82</v>
      </c>
      <c r="R2859" s="1" t="s">
        <v>83</v>
      </c>
      <c r="S2859" s="1" t="s">
        <v>583</v>
      </c>
      <c r="T2859" s="1">
        <v>1.006324E8</v>
      </c>
      <c r="W2859" s="1" t="s">
        <v>456</v>
      </c>
      <c r="X2859" s="1" t="s">
        <v>1486</v>
      </c>
    </row>
    <row r="2860">
      <c r="A2860" s="1" t="s">
        <v>8613</v>
      </c>
      <c r="B2860" s="1" t="s">
        <v>8614</v>
      </c>
      <c r="C2860" s="1" t="s">
        <v>8615</v>
      </c>
      <c r="D2860" s="1" t="s">
        <v>103</v>
      </c>
      <c r="E2860" s="1" t="s">
        <v>29</v>
      </c>
      <c r="F2860" s="5">
        <v>300000.0</v>
      </c>
      <c r="G2860" s="1" t="s">
        <v>7016</v>
      </c>
      <c r="H2860" s="4">
        <v>44565.0</v>
      </c>
      <c r="I2860" s="1" t="s">
        <v>302</v>
      </c>
      <c r="K2860" s="1">
        <v>0.0</v>
      </c>
      <c r="L2860" s="1" t="s">
        <v>968</v>
      </c>
      <c r="M2860" s="1" t="str">
        <f>VLOOKUP(L2860,'Copy of PMD Workday Constants -'!B2859:W3545,22,false)</f>
        <v>#N/A</v>
      </c>
      <c r="N2860" s="1" t="s">
        <v>32</v>
      </c>
      <c r="O2860" s="1" t="s">
        <v>33</v>
      </c>
      <c r="P2860" s="1" t="s">
        <v>210</v>
      </c>
      <c r="Q2860" s="1" t="s">
        <v>210</v>
      </c>
      <c r="R2860" s="1" t="s">
        <v>211</v>
      </c>
      <c r="S2860" s="1" t="s">
        <v>416</v>
      </c>
      <c r="T2860" s="1">
        <v>1.00647262E8</v>
      </c>
      <c r="W2860" s="1" t="s">
        <v>56</v>
      </c>
      <c r="X2860" s="1" t="s">
        <v>1558</v>
      </c>
    </row>
    <row r="2861">
      <c r="A2861" s="1" t="s">
        <v>8616</v>
      </c>
      <c r="B2861" s="1" t="s">
        <v>1373</v>
      </c>
      <c r="C2861" s="1" t="s">
        <v>8617</v>
      </c>
      <c r="D2861" s="1" t="s">
        <v>28</v>
      </c>
      <c r="E2861" s="1" t="s">
        <v>29</v>
      </c>
      <c r="F2861" s="5">
        <v>300000.0</v>
      </c>
      <c r="G2861" s="1" t="s">
        <v>7016</v>
      </c>
      <c r="H2861" s="4">
        <v>44837.0</v>
      </c>
      <c r="I2861" s="1" t="s">
        <v>152</v>
      </c>
      <c r="K2861" s="1">
        <v>0.0</v>
      </c>
      <c r="L2861" s="1" t="s">
        <v>5404</v>
      </c>
      <c r="M2861" s="1" t="str">
        <f>VLOOKUP(L2861,'Copy of PMD Workday Constants -'!B2860:W3546,22,false)</f>
        <v>#N/A</v>
      </c>
      <c r="N2861" s="1" t="s">
        <v>32</v>
      </c>
      <c r="O2861" s="1" t="s">
        <v>33</v>
      </c>
      <c r="P2861" s="1" t="s">
        <v>64</v>
      </c>
      <c r="Q2861" s="1" t="s">
        <v>64</v>
      </c>
      <c r="R2861" s="1" t="s">
        <v>65</v>
      </c>
      <c r="T2861" s="1">
        <v>1.00650453E8</v>
      </c>
      <c r="W2861" s="1" t="s">
        <v>74</v>
      </c>
      <c r="X2861" s="1" t="s">
        <v>5404</v>
      </c>
    </row>
    <row r="2862">
      <c r="A2862" s="1" t="s">
        <v>8618</v>
      </c>
      <c r="B2862" s="1" t="s">
        <v>7446</v>
      </c>
      <c r="C2862" s="1" t="s">
        <v>8619</v>
      </c>
      <c r="D2862" s="1" t="s">
        <v>51</v>
      </c>
      <c r="E2862" s="1" t="s">
        <v>29</v>
      </c>
      <c r="F2862" s="5">
        <v>300000.0</v>
      </c>
      <c r="G2862" s="1" t="s">
        <v>7016</v>
      </c>
      <c r="H2862" s="1" t="s">
        <v>170</v>
      </c>
      <c r="I2862" s="1" t="s">
        <v>132</v>
      </c>
      <c r="K2862" s="1">
        <v>0.0</v>
      </c>
      <c r="L2862" s="1" t="s">
        <v>1344</v>
      </c>
      <c r="M2862" s="1" t="str">
        <f>VLOOKUP(L2862,'Copy of PMD Workday Constants -'!B2861:W3547,22,false)</f>
        <v>#N/A</v>
      </c>
      <c r="N2862" s="1" t="s">
        <v>32</v>
      </c>
      <c r="O2862" s="1" t="s">
        <v>33</v>
      </c>
      <c r="P2862" s="1" t="s">
        <v>112</v>
      </c>
      <c r="Q2862" s="1" t="s">
        <v>112</v>
      </c>
      <c r="R2862" s="1" t="s">
        <v>113</v>
      </c>
      <c r="S2862" s="1" t="s">
        <v>134</v>
      </c>
      <c r="T2862" s="1">
        <v>1.0061941E8</v>
      </c>
      <c r="W2862" s="1" t="s">
        <v>74</v>
      </c>
      <c r="X2862" s="1" t="s">
        <v>8620</v>
      </c>
    </row>
    <row r="2863">
      <c r="A2863" s="1" t="s">
        <v>8621</v>
      </c>
      <c r="B2863" s="1" t="s">
        <v>4089</v>
      </c>
      <c r="C2863" s="1" t="s">
        <v>8622</v>
      </c>
      <c r="D2863" s="1" t="s">
        <v>103</v>
      </c>
      <c r="E2863" s="1" t="s">
        <v>29</v>
      </c>
      <c r="F2863" s="5">
        <v>300000.0</v>
      </c>
      <c r="G2863" s="1" t="s">
        <v>7016</v>
      </c>
      <c r="H2863" s="4">
        <v>44748.0</v>
      </c>
      <c r="I2863" s="1" t="s">
        <v>80</v>
      </c>
      <c r="K2863" s="1">
        <v>0.0</v>
      </c>
      <c r="L2863" s="1" t="s">
        <v>6583</v>
      </c>
      <c r="M2863" s="1" t="str">
        <f>VLOOKUP(L2863,'Copy of PMD Workday Constants -'!B2862:W3548,22,false)</f>
        <v>#N/A</v>
      </c>
      <c r="N2863" s="1" t="s">
        <v>32</v>
      </c>
      <c r="O2863" s="1" t="s">
        <v>33</v>
      </c>
      <c r="P2863" s="1" t="s">
        <v>222</v>
      </c>
      <c r="Q2863" s="1" t="s">
        <v>222</v>
      </c>
      <c r="R2863" s="1" t="s">
        <v>223</v>
      </c>
      <c r="S2863" s="1" t="s">
        <v>8623</v>
      </c>
      <c r="T2863" s="1">
        <v>1.00614144E8</v>
      </c>
      <c r="W2863" s="1" t="s">
        <v>74</v>
      </c>
      <c r="X2863" s="1" t="s">
        <v>6583</v>
      </c>
    </row>
    <row r="2864">
      <c r="A2864" s="1" t="s">
        <v>8624</v>
      </c>
      <c r="B2864" s="1" t="s">
        <v>1813</v>
      </c>
      <c r="C2864" s="1" t="s">
        <v>8625</v>
      </c>
      <c r="D2864" s="1" t="s">
        <v>51</v>
      </c>
      <c r="E2864" s="1" t="s">
        <v>29</v>
      </c>
      <c r="F2864" s="5">
        <v>300000.0</v>
      </c>
      <c r="G2864" s="1" t="s">
        <v>7016</v>
      </c>
      <c r="H2864" s="1" t="s">
        <v>509</v>
      </c>
      <c r="I2864" s="4">
        <v>44626.0</v>
      </c>
      <c r="K2864" s="1">
        <v>0.0</v>
      </c>
      <c r="L2864" s="1" t="s">
        <v>3249</v>
      </c>
      <c r="M2864" s="1" t="str">
        <f>VLOOKUP(L2864,'Copy of PMD Workday Constants -'!B2863:W3549,22,false)</f>
        <v>#N/A</v>
      </c>
      <c r="N2864" s="1" t="s">
        <v>32</v>
      </c>
      <c r="O2864" s="1" t="s">
        <v>33</v>
      </c>
      <c r="P2864" s="1" t="s">
        <v>173</v>
      </c>
      <c r="Q2864" s="1" t="s">
        <v>173</v>
      </c>
      <c r="R2864" s="1" t="s">
        <v>174</v>
      </c>
      <c r="T2864" s="1">
        <v>1.00633763E8</v>
      </c>
      <c r="W2864" s="1" t="s">
        <v>74</v>
      </c>
      <c r="X2864" s="1" t="s">
        <v>8626</v>
      </c>
    </row>
    <row r="2865">
      <c r="A2865" s="1" t="s">
        <v>8627</v>
      </c>
      <c r="B2865" s="1" t="s">
        <v>776</v>
      </c>
      <c r="C2865" s="1" t="s">
        <v>8628</v>
      </c>
      <c r="D2865" s="1" t="s">
        <v>103</v>
      </c>
      <c r="E2865" s="1" t="s">
        <v>29</v>
      </c>
      <c r="F2865" s="5">
        <v>300000.0</v>
      </c>
      <c r="G2865" s="1" t="s">
        <v>7016</v>
      </c>
      <c r="H2865" s="4">
        <v>44683.0</v>
      </c>
      <c r="I2865" s="4">
        <v>44717.0</v>
      </c>
      <c r="K2865" s="1">
        <v>0.0</v>
      </c>
      <c r="L2865" s="1" t="s">
        <v>779</v>
      </c>
      <c r="M2865" s="1" t="str">
        <f>VLOOKUP(L2865,'Copy of PMD Workday Constants -'!B2864:W3550,22,false)</f>
        <v>#N/A</v>
      </c>
      <c r="N2865" s="1" t="s">
        <v>32</v>
      </c>
      <c r="O2865" s="1" t="s">
        <v>33</v>
      </c>
      <c r="P2865" s="1" t="s">
        <v>222</v>
      </c>
      <c r="Q2865" s="1" t="s">
        <v>222</v>
      </c>
      <c r="R2865" s="1" t="s">
        <v>223</v>
      </c>
      <c r="S2865" s="1" t="s">
        <v>601</v>
      </c>
      <c r="T2865" s="1">
        <v>1.0061139E8</v>
      </c>
      <c r="W2865" s="1" t="s">
        <v>74</v>
      </c>
      <c r="X2865" s="1" t="s">
        <v>8481</v>
      </c>
    </row>
    <row r="2866">
      <c r="A2866" s="1" t="s">
        <v>8629</v>
      </c>
      <c r="B2866" s="1" t="s">
        <v>2415</v>
      </c>
      <c r="C2866" s="1" t="s">
        <v>8630</v>
      </c>
      <c r="D2866" s="1" t="s">
        <v>103</v>
      </c>
      <c r="E2866" s="1" t="s">
        <v>29</v>
      </c>
      <c r="F2866" s="5">
        <v>300000.0</v>
      </c>
      <c r="G2866" s="1" t="s">
        <v>7016</v>
      </c>
      <c r="H2866" s="4">
        <v>44567.0</v>
      </c>
      <c r="I2866" s="4">
        <v>44567.0</v>
      </c>
      <c r="K2866" s="1">
        <v>0.0</v>
      </c>
      <c r="L2866" s="1" t="s">
        <v>2201</v>
      </c>
      <c r="M2866" s="1" t="str">
        <f>VLOOKUP(L2866,'Copy of PMD Workday Constants -'!B2865:W3551,22,false)</f>
        <v>#N/A</v>
      </c>
      <c r="N2866" s="1" t="s">
        <v>32</v>
      </c>
      <c r="O2866" s="1" t="s">
        <v>33</v>
      </c>
      <c r="P2866" s="1" t="s">
        <v>64</v>
      </c>
      <c r="Q2866" s="1" t="s">
        <v>64</v>
      </c>
      <c r="R2866" s="1" t="s">
        <v>65</v>
      </c>
      <c r="T2866" s="1">
        <v>1.00649936E8</v>
      </c>
      <c r="W2866" s="1" t="s">
        <v>258</v>
      </c>
      <c r="X2866" s="1" t="s">
        <v>8631</v>
      </c>
    </row>
    <row r="2867">
      <c r="A2867" s="1" t="s">
        <v>8632</v>
      </c>
      <c r="B2867" s="1" t="s">
        <v>2641</v>
      </c>
      <c r="C2867" s="1" t="s">
        <v>8633</v>
      </c>
      <c r="D2867" s="1" t="s">
        <v>28</v>
      </c>
      <c r="E2867" s="1" t="s">
        <v>29</v>
      </c>
      <c r="F2867" s="5">
        <v>300000.0</v>
      </c>
      <c r="G2867" s="1" t="s">
        <v>7016</v>
      </c>
      <c r="H2867" s="4">
        <v>44567.0</v>
      </c>
      <c r="I2867" s="1" t="s">
        <v>104</v>
      </c>
      <c r="K2867" s="1">
        <v>0.0</v>
      </c>
      <c r="L2867" s="1" t="s">
        <v>539</v>
      </c>
      <c r="M2867" s="1" t="str">
        <f>VLOOKUP(L2867,'Copy of PMD Workday Constants -'!B2866:W3552,22,false)</f>
        <v>#N/A</v>
      </c>
      <c r="N2867" s="1" t="s">
        <v>32</v>
      </c>
      <c r="O2867" s="1" t="s">
        <v>33</v>
      </c>
      <c r="P2867" s="1" t="s">
        <v>173</v>
      </c>
      <c r="Q2867" s="1" t="s">
        <v>173</v>
      </c>
      <c r="R2867" s="1" t="s">
        <v>174</v>
      </c>
      <c r="S2867" s="1" t="s">
        <v>540</v>
      </c>
      <c r="T2867" s="1">
        <v>1.00586314E8</v>
      </c>
      <c r="W2867" s="1" t="s">
        <v>456</v>
      </c>
      <c r="X2867" s="1" t="s">
        <v>7684</v>
      </c>
    </row>
    <row r="2868">
      <c r="A2868" s="1" t="s">
        <v>8634</v>
      </c>
      <c r="B2868" s="1" t="s">
        <v>6924</v>
      </c>
      <c r="C2868" s="1" t="s">
        <v>8635</v>
      </c>
      <c r="D2868" s="1" t="s">
        <v>51</v>
      </c>
      <c r="E2868" s="1" t="s">
        <v>29</v>
      </c>
      <c r="F2868" s="5">
        <v>300000.0</v>
      </c>
      <c r="G2868" s="1" t="s">
        <v>7016</v>
      </c>
      <c r="H2868" s="4">
        <v>44686.0</v>
      </c>
      <c r="I2868" s="4">
        <v>44626.0</v>
      </c>
      <c r="K2868" s="1">
        <v>0.0</v>
      </c>
      <c r="L2868" s="1" t="s">
        <v>8636</v>
      </c>
      <c r="M2868" s="1" t="str">
        <f>VLOOKUP(L2868,'Copy of PMD Workday Constants -'!B2867:W3553,22,false)</f>
        <v>#N/A</v>
      </c>
      <c r="N2868" s="1" t="s">
        <v>32</v>
      </c>
      <c r="O2868" s="1" t="s">
        <v>33</v>
      </c>
      <c r="P2868" s="1" t="s">
        <v>222</v>
      </c>
      <c r="Q2868" s="1" t="s">
        <v>222</v>
      </c>
      <c r="R2868" s="1" t="s">
        <v>223</v>
      </c>
      <c r="S2868" s="1" t="s">
        <v>654</v>
      </c>
      <c r="T2868" s="1">
        <v>1.00882152E8</v>
      </c>
      <c r="W2868" s="1" t="s">
        <v>258</v>
      </c>
      <c r="X2868" s="1" t="s">
        <v>8636</v>
      </c>
    </row>
    <row r="2869">
      <c r="A2869" s="1" t="s">
        <v>8637</v>
      </c>
      <c r="B2869" s="1" t="s">
        <v>3420</v>
      </c>
      <c r="C2869" s="1" t="s">
        <v>8638</v>
      </c>
      <c r="D2869" s="1" t="s">
        <v>51</v>
      </c>
      <c r="E2869" s="1" t="s">
        <v>29</v>
      </c>
      <c r="F2869" s="5">
        <v>300000.0</v>
      </c>
      <c r="G2869" s="1" t="s">
        <v>7016</v>
      </c>
      <c r="H2869" s="4">
        <v>44686.0</v>
      </c>
      <c r="I2869" s="1" t="s">
        <v>132</v>
      </c>
      <c r="K2869" s="1">
        <v>0.0</v>
      </c>
      <c r="L2869" s="1" t="s">
        <v>3848</v>
      </c>
      <c r="M2869" s="1" t="str">
        <f>VLOOKUP(L2869,'Copy of PMD Workday Constants -'!B2868:W3554,22,false)</f>
        <v>#N/A</v>
      </c>
      <c r="N2869" s="1" t="s">
        <v>32</v>
      </c>
      <c r="O2869" s="1" t="s">
        <v>33</v>
      </c>
      <c r="P2869" s="1" t="s">
        <v>173</v>
      </c>
      <c r="Q2869" s="1" t="s">
        <v>173</v>
      </c>
      <c r="R2869" s="1" t="s">
        <v>174</v>
      </c>
      <c r="T2869" s="1">
        <v>1.00654914E8</v>
      </c>
      <c r="W2869" s="1" t="s">
        <v>140</v>
      </c>
      <c r="X2869" s="1" t="s">
        <v>3849</v>
      </c>
    </row>
    <row r="2870">
      <c r="A2870" s="1" t="s">
        <v>8639</v>
      </c>
      <c r="B2870" s="1" t="s">
        <v>1415</v>
      </c>
      <c r="C2870" s="1" t="s">
        <v>8640</v>
      </c>
      <c r="D2870" s="1" t="s">
        <v>28</v>
      </c>
      <c r="E2870" s="1" t="s">
        <v>29</v>
      </c>
      <c r="F2870" s="5">
        <v>300000.0</v>
      </c>
      <c r="G2870" s="1" t="s">
        <v>7016</v>
      </c>
      <c r="H2870" s="1" t="s">
        <v>1005</v>
      </c>
      <c r="I2870" s="1" t="s">
        <v>302</v>
      </c>
      <c r="K2870" s="1">
        <v>0.0</v>
      </c>
      <c r="L2870" s="1" t="s">
        <v>836</v>
      </c>
      <c r="M2870" s="1" t="str">
        <f>VLOOKUP(L2870,'Copy of PMD Workday Constants -'!B2869:W3555,22,false)</f>
        <v>#N/A</v>
      </c>
      <c r="N2870" s="1" t="s">
        <v>32</v>
      </c>
      <c r="O2870" s="1" t="s">
        <v>33</v>
      </c>
      <c r="P2870" s="1" t="s">
        <v>173</v>
      </c>
      <c r="Q2870" s="1" t="s">
        <v>173</v>
      </c>
      <c r="R2870" s="1" t="s">
        <v>174</v>
      </c>
      <c r="S2870" s="1" t="s">
        <v>612</v>
      </c>
      <c r="T2870" s="1">
        <v>1.00648457E8</v>
      </c>
      <c r="W2870" s="1" t="s">
        <v>1303</v>
      </c>
      <c r="X2870" s="1" t="s">
        <v>1418</v>
      </c>
    </row>
    <row r="2871">
      <c r="A2871" s="1" t="s">
        <v>8641</v>
      </c>
      <c r="B2871" s="1" t="s">
        <v>129</v>
      </c>
      <c r="C2871" s="1" t="s">
        <v>8642</v>
      </c>
      <c r="D2871" s="1" t="s">
        <v>103</v>
      </c>
      <c r="E2871" s="1" t="s">
        <v>29</v>
      </c>
      <c r="F2871" s="5">
        <v>300000.0</v>
      </c>
      <c r="G2871" s="1" t="s">
        <v>7016</v>
      </c>
      <c r="H2871" s="4">
        <v>44686.0</v>
      </c>
      <c r="I2871" s="1" t="s">
        <v>810</v>
      </c>
      <c r="K2871" s="1">
        <v>0.0</v>
      </c>
      <c r="L2871" s="1" t="s">
        <v>4785</v>
      </c>
      <c r="M2871" s="1" t="str">
        <f>VLOOKUP(L2871,'Copy of PMD Workday Constants -'!B2870:W3556,22,false)</f>
        <v>#N/A</v>
      </c>
      <c r="N2871" s="1" t="s">
        <v>32</v>
      </c>
      <c r="O2871" s="1" t="s">
        <v>33</v>
      </c>
      <c r="P2871" s="1" t="s">
        <v>173</v>
      </c>
      <c r="Q2871" s="1" t="s">
        <v>173</v>
      </c>
      <c r="R2871" s="1" t="s">
        <v>174</v>
      </c>
      <c r="T2871" s="1">
        <v>1.00609226E8</v>
      </c>
      <c r="W2871" s="1" t="s">
        <v>74</v>
      </c>
      <c r="X2871" s="1" t="s">
        <v>8643</v>
      </c>
    </row>
    <row r="2872">
      <c r="A2872" s="1" t="s">
        <v>8644</v>
      </c>
      <c r="B2872" s="1" t="s">
        <v>3355</v>
      </c>
      <c r="C2872" s="1" t="s">
        <v>8645</v>
      </c>
      <c r="D2872" s="1" t="s">
        <v>51</v>
      </c>
      <c r="E2872" s="1" t="s">
        <v>29</v>
      </c>
      <c r="F2872" s="5">
        <v>300000.0</v>
      </c>
      <c r="G2872" s="1" t="s">
        <v>7016</v>
      </c>
      <c r="H2872" s="1" t="s">
        <v>1078</v>
      </c>
      <c r="I2872" s="1" t="s">
        <v>264</v>
      </c>
      <c r="J2872" s="1" t="s">
        <v>8646</v>
      </c>
      <c r="K2872" s="1">
        <v>0.0</v>
      </c>
      <c r="L2872" s="1" t="s">
        <v>72</v>
      </c>
      <c r="M2872" s="1" t="str">
        <f>VLOOKUP(L2872,'Copy of PMD Workday Constants -'!B2871:W3557,22,false)</f>
        <v>#N/A</v>
      </c>
      <c r="N2872" s="1" t="s">
        <v>32</v>
      </c>
      <c r="O2872" s="1" t="s">
        <v>33</v>
      </c>
      <c r="P2872" s="1" t="s">
        <v>34</v>
      </c>
      <c r="Q2872" s="1" t="s">
        <v>34</v>
      </c>
      <c r="R2872" s="1" t="s">
        <v>35</v>
      </c>
      <c r="S2872" s="1" t="s">
        <v>126</v>
      </c>
      <c r="T2872" s="1">
        <v>1.0060843E8</v>
      </c>
      <c r="W2872" s="1" t="s">
        <v>74</v>
      </c>
      <c r="X2872" s="1" t="s">
        <v>72</v>
      </c>
    </row>
    <row r="2873">
      <c r="A2873" s="1" t="s">
        <v>8647</v>
      </c>
      <c r="B2873" s="1" t="s">
        <v>1184</v>
      </c>
      <c r="C2873" s="1" t="s">
        <v>8648</v>
      </c>
      <c r="D2873" s="1" t="s">
        <v>28</v>
      </c>
      <c r="E2873" s="1" t="s">
        <v>29</v>
      </c>
      <c r="F2873" s="5">
        <v>300000.0</v>
      </c>
      <c r="G2873" s="1" t="s">
        <v>7016</v>
      </c>
      <c r="H2873" s="4">
        <v>44206.0</v>
      </c>
      <c r="I2873" s="1" t="s">
        <v>152</v>
      </c>
      <c r="K2873" s="1">
        <v>0.0</v>
      </c>
      <c r="L2873" s="1" t="s">
        <v>3063</v>
      </c>
      <c r="M2873" s="1" t="str">
        <f>VLOOKUP(L2873,'Copy of PMD Workday Constants -'!B2872:W3558,22,false)</f>
        <v>#N/A</v>
      </c>
      <c r="N2873" s="1" t="s">
        <v>32</v>
      </c>
      <c r="O2873" s="1" t="s">
        <v>33</v>
      </c>
      <c r="P2873" s="1" t="s">
        <v>34</v>
      </c>
      <c r="Q2873" s="1" t="s">
        <v>34</v>
      </c>
      <c r="R2873" s="1" t="s">
        <v>35</v>
      </c>
      <c r="S2873" s="1" t="s">
        <v>416</v>
      </c>
      <c r="T2873" s="1">
        <v>1.00622716E8</v>
      </c>
      <c r="W2873" s="1" t="s">
        <v>56</v>
      </c>
      <c r="X2873" s="1" t="s">
        <v>3063</v>
      </c>
    </row>
    <row r="2874">
      <c r="A2874" s="1" t="s">
        <v>8649</v>
      </c>
      <c r="B2874" s="1" t="s">
        <v>8650</v>
      </c>
      <c r="C2874" s="1" t="s">
        <v>8651</v>
      </c>
      <c r="D2874" s="1" t="s">
        <v>28</v>
      </c>
      <c r="E2874" s="1" t="s">
        <v>29</v>
      </c>
      <c r="F2874" s="5">
        <v>300000.0</v>
      </c>
      <c r="G2874" s="1" t="s">
        <v>7016</v>
      </c>
      <c r="H2874" s="4">
        <v>44900.0</v>
      </c>
      <c r="I2874" s="1" t="s">
        <v>80</v>
      </c>
      <c r="K2874" s="1">
        <v>0.0</v>
      </c>
      <c r="L2874" s="1" t="s">
        <v>983</v>
      </c>
      <c r="M2874" s="1" t="str">
        <f>VLOOKUP(L2874,'Copy of PMD Workday Constants -'!B2873:W3559,22,false)</f>
        <v>#N/A</v>
      </c>
      <c r="N2874" s="1" t="s">
        <v>32</v>
      </c>
      <c r="O2874" s="1" t="s">
        <v>33</v>
      </c>
      <c r="P2874" s="1" t="s">
        <v>112</v>
      </c>
      <c r="Q2874" s="1" t="s">
        <v>112</v>
      </c>
      <c r="R2874" s="1" t="s">
        <v>113</v>
      </c>
      <c r="S2874" s="1" t="s">
        <v>307</v>
      </c>
      <c r="T2874" s="1">
        <v>1.00607644E8</v>
      </c>
      <c r="W2874" s="1" t="s">
        <v>391</v>
      </c>
      <c r="X2874" s="1" t="s">
        <v>8652</v>
      </c>
    </row>
    <row r="2875">
      <c r="A2875" s="1" t="s">
        <v>8653</v>
      </c>
      <c r="B2875" s="1" t="s">
        <v>6529</v>
      </c>
      <c r="C2875" s="1" t="s">
        <v>8654</v>
      </c>
      <c r="D2875" s="1" t="s">
        <v>28</v>
      </c>
      <c r="E2875" s="1" t="s">
        <v>29</v>
      </c>
      <c r="F2875" s="5">
        <v>300000.0</v>
      </c>
      <c r="G2875" s="1" t="s">
        <v>7016</v>
      </c>
      <c r="H2875" s="1" t="s">
        <v>698</v>
      </c>
      <c r="I2875" s="1" t="s">
        <v>941</v>
      </c>
      <c r="K2875" s="1">
        <v>0.0</v>
      </c>
      <c r="L2875" s="1" t="s">
        <v>8655</v>
      </c>
      <c r="M2875" s="1" t="str">
        <f>VLOOKUP(L2875,'Copy of PMD Workday Constants -'!B2874:W3560,22,false)</f>
        <v>#N/A</v>
      </c>
      <c r="N2875" s="1" t="s">
        <v>32</v>
      </c>
      <c r="O2875" s="1" t="s">
        <v>33</v>
      </c>
      <c r="P2875" s="1" t="s">
        <v>34</v>
      </c>
      <c r="Q2875" s="1" t="s">
        <v>34</v>
      </c>
      <c r="R2875" s="1" t="s">
        <v>35</v>
      </c>
      <c r="S2875" s="1" t="s">
        <v>1336</v>
      </c>
      <c r="T2875" s="1">
        <v>1.01083148E8</v>
      </c>
      <c r="W2875" s="1" t="s">
        <v>533</v>
      </c>
      <c r="X2875" s="1" t="s">
        <v>8655</v>
      </c>
    </row>
    <row r="2876">
      <c r="A2876" s="1" t="s">
        <v>8656</v>
      </c>
      <c r="B2876" s="1" t="s">
        <v>954</v>
      </c>
      <c r="C2876" s="1" t="s">
        <v>8657</v>
      </c>
      <c r="D2876" s="1" t="s">
        <v>51</v>
      </c>
      <c r="E2876" s="1" t="s">
        <v>29</v>
      </c>
      <c r="F2876" s="5">
        <v>300000.0</v>
      </c>
      <c r="G2876" s="1" t="s">
        <v>7016</v>
      </c>
      <c r="H2876" s="4">
        <v>44866.0</v>
      </c>
      <c r="I2876" s="1" t="s">
        <v>80</v>
      </c>
      <c r="K2876" s="1">
        <v>0.0</v>
      </c>
      <c r="L2876" s="1" t="s">
        <v>2703</v>
      </c>
      <c r="M2876" s="1" t="str">
        <f>VLOOKUP(L2876,'Copy of PMD Workday Constants -'!B2875:W3561,22,false)</f>
        <v>#N/A</v>
      </c>
      <c r="N2876" s="1" t="s">
        <v>32</v>
      </c>
      <c r="O2876" s="1" t="s">
        <v>33</v>
      </c>
      <c r="P2876" s="1" t="s">
        <v>34</v>
      </c>
      <c r="Q2876" s="1" t="s">
        <v>34</v>
      </c>
      <c r="R2876" s="1" t="s">
        <v>35</v>
      </c>
      <c r="S2876" s="1" t="s">
        <v>383</v>
      </c>
      <c r="T2876" s="1">
        <v>1.00866856E8</v>
      </c>
      <c r="W2876" s="1" t="s">
        <v>147</v>
      </c>
      <c r="X2876" s="1" t="s">
        <v>2703</v>
      </c>
    </row>
    <row r="2877">
      <c r="A2877" s="1" t="s">
        <v>8658</v>
      </c>
      <c r="B2877" s="1" t="s">
        <v>8659</v>
      </c>
      <c r="C2877" s="1" t="s">
        <v>8660</v>
      </c>
      <c r="D2877" s="1" t="s">
        <v>103</v>
      </c>
      <c r="E2877" s="1" t="s">
        <v>29</v>
      </c>
      <c r="F2877" s="5">
        <v>300000.0</v>
      </c>
      <c r="G2877" s="1" t="s">
        <v>7016</v>
      </c>
      <c r="H2877" s="1" t="s">
        <v>1330</v>
      </c>
      <c r="I2877" s="1" t="s">
        <v>732</v>
      </c>
      <c r="K2877" s="1">
        <v>0.0</v>
      </c>
      <c r="L2877" s="1" t="s">
        <v>7272</v>
      </c>
      <c r="M2877" s="1" t="str">
        <f>VLOOKUP(L2877,'Copy of PMD Workday Constants -'!B2876:W3562,22,false)</f>
        <v>#N/A</v>
      </c>
      <c r="N2877" s="1" t="s">
        <v>32</v>
      </c>
      <c r="O2877" s="1" t="s">
        <v>33</v>
      </c>
      <c r="P2877" s="1" t="s">
        <v>173</v>
      </c>
      <c r="Q2877" s="1" t="s">
        <v>173</v>
      </c>
      <c r="R2877" s="1" t="s">
        <v>174</v>
      </c>
      <c r="T2877" s="1">
        <v>1.0065252E8</v>
      </c>
      <c r="W2877" s="1" t="s">
        <v>115</v>
      </c>
      <c r="X2877" s="1" t="s">
        <v>7272</v>
      </c>
    </row>
    <row r="2878">
      <c r="A2878" s="1" t="s">
        <v>8661</v>
      </c>
      <c r="B2878" s="1" t="s">
        <v>8662</v>
      </c>
      <c r="C2878" s="1" t="s">
        <v>8663</v>
      </c>
      <c r="D2878" s="1" t="s">
        <v>51</v>
      </c>
      <c r="E2878" s="1" t="s">
        <v>29</v>
      </c>
      <c r="F2878" s="5">
        <v>300000.0</v>
      </c>
      <c r="G2878" s="1" t="s">
        <v>7016</v>
      </c>
      <c r="H2878" s="1" t="s">
        <v>1765</v>
      </c>
      <c r="I2878" s="1" t="s">
        <v>302</v>
      </c>
      <c r="K2878" s="1">
        <v>0.0</v>
      </c>
      <c r="L2878" s="1" t="s">
        <v>2377</v>
      </c>
      <c r="M2878" s="1" t="str">
        <f>VLOOKUP(L2878,'Copy of PMD Workday Constants -'!B2877:W3563,22,false)</f>
        <v>#N/A</v>
      </c>
      <c r="N2878" s="1" t="s">
        <v>32</v>
      </c>
      <c r="O2878" s="1" t="s">
        <v>33</v>
      </c>
      <c r="P2878" s="1" t="s">
        <v>112</v>
      </c>
      <c r="Q2878" s="1" t="s">
        <v>112</v>
      </c>
      <c r="R2878" s="1" t="s">
        <v>113</v>
      </c>
      <c r="T2878" s="1">
        <v>1.00927997E8</v>
      </c>
      <c r="W2878" s="1" t="s">
        <v>436</v>
      </c>
      <c r="X2878" s="1" t="s">
        <v>2377</v>
      </c>
    </row>
    <row r="2879">
      <c r="A2879" s="1" t="s">
        <v>8664</v>
      </c>
      <c r="B2879" s="1" t="s">
        <v>77</v>
      </c>
      <c r="C2879" s="1" t="s">
        <v>8665</v>
      </c>
      <c r="D2879" s="1" t="s">
        <v>28</v>
      </c>
      <c r="E2879" s="1" t="s">
        <v>29</v>
      </c>
      <c r="F2879" s="5">
        <v>300000.0</v>
      </c>
      <c r="G2879" s="1" t="s">
        <v>7016</v>
      </c>
      <c r="H2879" s="1" t="s">
        <v>2691</v>
      </c>
      <c r="I2879" s="4">
        <v>44717.0</v>
      </c>
      <c r="K2879" s="1">
        <v>0.0</v>
      </c>
      <c r="L2879" s="1" t="s">
        <v>4027</v>
      </c>
      <c r="M2879" s="1" t="str">
        <f>VLOOKUP(L2879,'Copy of PMD Workday Constants -'!B2878:W3564,22,false)</f>
        <v>#N/A</v>
      </c>
      <c r="N2879" s="1" t="s">
        <v>32</v>
      </c>
      <c r="O2879" s="1" t="s">
        <v>33</v>
      </c>
      <c r="P2879" s="1" t="s">
        <v>82</v>
      </c>
      <c r="Q2879" s="1" t="s">
        <v>82</v>
      </c>
      <c r="R2879" s="1" t="s">
        <v>83</v>
      </c>
      <c r="T2879" s="1">
        <v>1.00607635E8</v>
      </c>
      <c r="W2879" s="1" t="s">
        <v>85</v>
      </c>
      <c r="X2879" s="1" t="s">
        <v>193</v>
      </c>
    </row>
    <row r="2880">
      <c r="A2880" s="1" t="s">
        <v>8666</v>
      </c>
      <c r="B2880" s="1" t="s">
        <v>368</v>
      </c>
      <c r="C2880" s="1" t="s">
        <v>8667</v>
      </c>
      <c r="D2880" s="1" t="s">
        <v>28</v>
      </c>
      <c r="E2880" s="1" t="s">
        <v>29</v>
      </c>
      <c r="F2880" s="5">
        <v>300000.0</v>
      </c>
      <c r="G2880" s="1" t="s">
        <v>7016</v>
      </c>
      <c r="H2880" s="4">
        <v>44868.0</v>
      </c>
      <c r="I2880" s="1" t="s">
        <v>80</v>
      </c>
      <c r="K2880" s="1">
        <v>0.0</v>
      </c>
      <c r="L2880" s="1" t="s">
        <v>2201</v>
      </c>
      <c r="M2880" s="1" t="str">
        <f>VLOOKUP(L2880,'Copy of PMD Workday Constants -'!B2879:W3565,22,false)</f>
        <v>#N/A</v>
      </c>
      <c r="N2880" s="1" t="s">
        <v>32</v>
      </c>
      <c r="O2880" s="1" t="s">
        <v>33</v>
      </c>
      <c r="P2880" s="1" t="s">
        <v>64</v>
      </c>
      <c r="Q2880" s="1" t="s">
        <v>64</v>
      </c>
      <c r="R2880" s="1" t="s">
        <v>65</v>
      </c>
      <c r="S2880" s="1" t="s">
        <v>1496</v>
      </c>
      <c r="T2880" s="1">
        <v>1.00649936E8</v>
      </c>
      <c r="W2880" s="1" t="s">
        <v>258</v>
      </c>
      <c r="X2880" s="1" t="s">
        <v>8668</v>
      </c>
    </row>
    <row r="2881">
      <c r="A2881" s="1" t="s">
        <v>8669</v>
      </c>
      <c r="B2881" s="1" t="s">
        <v>1721</v>
      </c>
      <c r="C2881" s="1" t="s">
        <v>8670</v>
      </c>
      <c r="D2881" s="1" t="s">
        <v>28</v>
      </c>
      <c r="E2881" s="1" t="s">
        <v>29</v>
      </c>
      <c r="F2881" s="5">
        <v>300000.0</v>
      </c>
      <c r="G2881" s="1" t="s">
        <v>7016</v>
      </c>
      <c r="H2881" s="4">
        <v>44418.0</v>
      </c>
      <c r="I2881" s="1" t="s">
        <v>80</v>
      </c>
      <c r="K2881" s="1">
        <v>0.0</v>
      </c>
      <c r="L2881" s="1" t="s">
        <v>2747</v>
      </c>
      <c r="M2881" s="1" t="str">
        <f>VLOOKUP(L2881,'Copy of PMD Workday Constants -'!B2880:W3566,22,false)</f>
        <v>#N/A</v>
      </c>
      <c r="N2881" s="1" t="s">
        <v>32</v>
      </c>
      <c r="O2881" s="1" t="s">
        <v>33</v>
      </c>
      <c r="P2881" s="1" t="s">
        <v>64</v>
      </c>
      <c r="Q2881" s="1" t="s">
        <v>64</v>
      </c>
      <c r="R2881" s="1" t="s">
        <v>65</v>
      </c>
      <c r="T2881" s="1">
        <v>1.00586524E8</v>
      </c>
      <c r="W2881" s="1" t="s">
        <v>391</v>
      </c>
      <c r="X2881" s="1" t="s">
        <v>6482</v>
      </c>
    </row>
    <row r="2882">
      <c r="A2882" s="1" t="s">
        <v>8671</v>
      </c>
      <c r="B2882" s="1" t="s">
        <v>40</v>
      </c>
      <c r="C2882" s="1" t="s">
        <v>8672</v>
      </c>
      <c r="D2882" s="1" t="s">
        <v>51</v>
      </c>
      <c r="E2882" s="1" t="s">
        <v>29</v>
      </c>
      <c r="F2882" s="5">
        <v>300000.0</v>
      </c>
      <c r="G2882" s="1" t="s">
        <v>7016</v>
      </c>
      <c r="H2882" s="1" t="s">
        <v>8673</v>
      </c>
      <c r="I2882" s="4">
        <v>44932.0</v>
      </c>
      <c r="K2882" s="1">
        <v>0.0</v>
      </c>
      <c r="L2882" s="1" t="s">
        <v>3727</v>
      </c>
      <c r="M2882" s="1" t="str">
        <f>VLOOKUP(L2882,'Copy of PMD Workday Constants -'!B2881:W3567,22,false)</f>
        <v>#N/A</v>
      </c>
      <c r="N2882" s="1" t="s">
        <v>32</v>
      </c>
      <c r="O2882" s="1" t="s">
        <v>33</v>
      </c>
      <c r="P2882" s="1" t="s">
        <v>222</v>
      </c>
      <c r="Q2882" s="1" t="s">
        <v>222</v>
      </c>
      <c r="R2882" s="1" t="s">
        <v>223</v>
      </c>
      <c r="S2882" s="1" t="s">
        <v>482</v>
      </c>
      <c r="T2882" s="1">
        <v>1.00611158E8</v>
      </c>
      <c r="W2882" s="1" t="s">
        <v>47</v>
      </c>
      <c r="X2882" s="1" t="s">
        <v>3727</v>
      </c>
    </row>
    <row r="2883">
      <c r="A2883" s="1" t="s">
        <v>8674</v>
      </c>
      <c r="B2883" s="1" t="s">
        <v>8675</v>
      </c>
      <c r="C2883" s="1" t="s">
        <v>8676</v>
      </c>
      <c r="D2883" s="1" t="s">
        <v>51</v>
      </c>
      <c r="E2883" s="1" t="s">
        <v>29</v>
      </c>
      <c r="F2883" s="5">
        <v>300000.0</v>
      </c>
      <c r="G2883" s="1" t="s">
        <v>7016</v>
      </c>
      <c r="H2883" s="1" t="s">
        <v>8677</v>
      </c>
      <c r="I2883" s="1" t="s">
        <v>80</v>
      </c>
      <c r="K2883" s="1">
        <v>0.0</v>
      </c>
      <c r="L2883" s="1" t="s">
        <v>3137</v>
      </c>
      <c r="M2883" s="1" t="str">
        <f>VLOOKUP(L2883,'Copy of PMD Workday Constants -'!B2882:W3568,22,false)</f>
        <v>#N/A</v>
      </c>
      <c r="N2883" s="1" t="s">
        <v>32</v>
      </c>
      <c r="O2883" s="1" t="s">
        <v>33</v>
      </c>
      <c r="P2883" s="1" t="s">
        <v>82</v>
      </c>
      <c r="Q2883" s="1" t="s">
        <v>82</v>
      </c>
      <c r="R2883" s="1" t="s">
        <v>83</v>
      </c>
      <c r="S2883" s="1" t="s">
        <v>180</v>
      </c>
      <c r="T2883" s="1">
        <v>1.00586452E8</v>
      </c>
      <c r="W2883" s="1" t="s">
        <v>85</v>
      </c>
      <c r="X2883" s="1" t="s">
        <v>5126</v>
      </c>
    </row>
    <row r="2884">
      <c r="A2884" s="1" t="s">
        <v>8678</v>
      </c>
      <c r="B2884" s="1" t="s">
        <v>1204</v>
      </c>
      <c r="C2884" s="1" t="s">
        <v>8679</v>
      </c>
      <c r="D2884" s="1" t="s">
        <v>51</v>
      </c>
      <c r="E2884" s="1" t="s">
        <v>29</v>
      </c>
      <c r="F2884" s="5">
        <v>300000.0</v>
      </c>
      <c r="G2884" s="1" t="s">
        <v>7016</v>
      </c>
      <c r="H2884" s="1" t="s">
        <v>8680</v>
      </c>
      <c r="I2884" s="1" t="s">
        <v>96</v>
      </c>
      <c r="K2884" s="1">
        <v>0.0</v>
      </c>
      <c r="L2884" s="1" t="s">
        <v>1973</v>
      </c>
      <c r="M2884" s="1" t="str">
        <f>VLOOKUP(L2884,'Copy of PMD Workday Constants -'!B2883:W3569,22,false)</f>
        <v>#N/A</v>
      </c>
      <c r="N2884" s="1" t="s">
        <v>32</v>
      </c>
      <c r="O2884" s="1" t="s">
        <v>33</v>
      </c>
      <c r="P2884" s="1" t="s">
        <v>82</v>
      </c>
      <c r="Q2884" s="1" t="s">
        <v>82</v>
      </c>
      <c r="R2884" s="1" t="s">
        <v>83</v>
      </c>
      <c r="S2884" s="1" t="s">
        <v>180</v>
      </c>
      <c r="T2884" s="1">
        <v>1.00619692E8</v>
      </c>
      <c r="W2884" s="1" t="s">
        <v>85</v>
      </c>
      <c r="X2884" s="1" t="s">
        <v>1973</v>
      </c>
    </row>
    <row r="2885">
      <c r="A2885" s="1" t="s">
        <v>8681</v>
      </c>
      <c r="B2885" s="1" t="s">
        <v>3711</v>
      </c>
      <c r="C2885" s="1" t="s">
        <v>8682</v>
      </c>
      <c r="D2885" s="1" t="s">
        <v>28</v>
      </c>
      <c r="E2885" s="1" t="s">
        <v>29</v>
      </c>
      <c r="F2885" s="5">
        <v>300000.0</v>
      </c>
      <c r="G2885" s="1" t="s">
        <v>7016</v>
      </c>
      <c r="H2885" s="1" t="s">
        <v>1220</v>
      </c>
      <c r="I2885" s="1" t="s">
        <v>810</v>
      </c>
      <c r="K2885" s="1">
        <v>0.0</v>
      </c>
      <c r="L2885" s="1" t="s">
        <v>1075</v>
      </c>
      <c r="M2885" s="1" t="str">
        <f>VLOOKUP(L2885,'Copy of PMD Workday Constants -'!B2884:W3570,22,false)</f>
        <v>#N/A</v>
      </c>
      <c r="N2885" s="1" t="s">
        <v>32</v>
      </c>
      <c r="O2885" s="1" t="s">
        <v>33</v>
      </c>
      <c r="P2885" s="1" t="s">
        <v>34</v>
      </c>
      <c r="Q2885" s="1" t="s">
        <v>34</v>
      </c>
      <c r="R2885" s="1" t="s">
        <v>35</v>
      </c>
      <c r="S2885" s="1" t="s">
        <v>36</v>
      </c>
      <c r="T2885" s="1">
        <v>1.00601386E8</v>
      </c>
      <c r="W2885" s="1" t="s">
        <v>91</v>
      </c>
      <c r="X2885" s="1" t="s">
        <v>602</v>
      </c>
    </row>
    <row r="2886">
      <c r="A2886" s="1" t="s">
        <v>8683</v>
      </c>
      <c r="B2886" s="1" t="s">
        <v>2152</v>
      </c>
      <c r="C2886" s="1" t="s">
        <v>8684</v>
      </c>
      <c r="D2886" s="1" t="s">
        <v>51</v>
      </c>
      <c r="E2886" s="1" t="s">
        <v>29</v>
      </c>
      <c r="F2886" s="5">
        <v>300000.0</v>
      </c>
      <c r="G2886" s="1" t="s">
        <v>7016</v>
      </c>
      <c r="H2886" s="1" t="s">
        <v>460</v>
      </c>
      <c r="I2886" s="4">
        <v>44571.0</v>
      </c>
      <c r="K2886" s="1">
        <v>0.0</v>
      </c>
      <c r="L2886" s="1" t="s">
        <v>2762</v>
      </c>
      <c r="M2886" s="1" t="str">
        <f>VLOOKUP(L2886,'Copy of PMD Workday Constants -'!B2885:W3571,22,false)</f>
        <v>#N/A</v>
      </c>
      <c r="N2886" s="1" t="s">
        <v>32</v>
      </c>
      <c r="O2886" s="1" t="s">
        <v>33</v>
      </c>
      <c r="P2886" s="1" t="s">
        <v>82</v>
      </c>
      <c r="Q2886" s="1" t="s">
        <v>82</v>
      </c>
      <c r="R2886" s="1" t="s">
        <v>83</v>
      </c>
      <c r="S2886" s="1" t="s">
        <v>583</v>
      </c>
      <c r="T2886" s="1">
        <v>1.00637221E8</v>
      </c>
      <c r="W2886" s="1" t="s">
        <v>456</v>
      </c>
      <c r="X2886" s="1" t="s">
        <v>8685</v>
      </c>
    </row>
    <row r="2887">
      <c r="A2887" s="1" t="s">
        <v>8686</v>
      </c>
      <c r="B2887" s="1" t="s">
        <v>913</v>
      </c>
      <c r="C2887" s="1" t="s">
        <v>8687</v>
      </c>
      <c r="D2887" s="1" t="s">
        <v>103</v>
      </c>
      <c r="E2887" s="1" t="s">
        <v>29</v>
      </c>
      <c r="F2887" s="5">
        <v>300000.0</v>
      </c>
      <c r="G2887" s="1" t="s">
        <v>7016</v>
      </c>
      <c r="H2887" s="1" t="s">
        <v>2826</v>
      </c>
      <c r="I2887" s="4">
        <v>44567.0</v>
      </c>
      <c r="K2887" s="1">
        <v>0.0</v>
      </c>
      <c r="L2887" s="1" t="s">
        <v>915</v>
      </c>
      <c r="M2887" s="1" t="str">
        <f>VLOOKUP(L2887,'Copy of PMD Workday Constants -'!B2886:W3572,22,false)</f>
        <v>#N/A</v>
      </c>
      <c r="N2887" s="1" t="s">
        <v>32</v>
      </c>
      <c r="O2887" s="1" t="s">
        <v>33</v>
      </c>
      <c r="P2887" s="1" t="s">
        <v>112</v>
      </c>
      <c r="Q2887" s="1" t="s">
        <v>112</v>
      </c>
      <c r="R2887" s="1" t="s">
        <v>113</v>
      </c>
      <c r="S2887" s="1" t="s">
        <v>455</v>
      </c>
      <c r="T2887" s="1">
        <v>1.00592304E8</v>
      </c>
      <c r="W2887" s="1" t="s">
        <v>85</v>
      </c>
      <c r="X2887" s="1" t="s">
        <v>3148</v>
      </c>
    </row>
    <row r="2888">
      <c r="A2888" s="1" t="s">
        <v>8688</v>
      </c>
      <c r="B2888" s="1" t="s">
        <v>2011</v>
      </c>
      <c r="C2888" s="1" t="s">
        <v>8689</v>
      </c>
      <c r="D2888" s="1" t="s">
        <v>28</v>
      </c>
      <c r="E2888" s="1" t="s">
        <v>29</v>
      </c>
      <c r="F2888" s="5">
        <v>300000.0</v>
      </c>
      <c r="G2888" s="1" t="s">
        <v>7016</v>
      </c>
      <c r="H2888" s="1" t="s">
        <v>460</v>
      </c>
      <c r="I2888" s="1" t="s">
        <v>217</v>
      </c>
      <c r="K2888" s="1">
        <v>0.0</v>
      </c>
      <c r="L2888" s="1" t="s">
        <v>1823</v>
      </c>
      <c r="M2888" s="1" t="str">
        <f>VLOOKUP(L2888,'Copy of PMD Workday Constants -'!B2887:W3573,22,false)</f>
        <v>#N/A</v>
      </c>
      <c r="N2888" s="1" t="s">
        <v>32</v>
      </c>
      <c r="O2888" s="1" t="s">
        <v>33</v>
      </c>
      <c r="P2888" s="1" t="s">
        <v>222</v>
      </c>
      <c r="Q2888" s="1" t="s">
        <v>222</v>
      </c>
      <c r="R2888" s="1" t="s">
        <v>223</v>
      </c>
      <c r="S2888" s="1" t="s">
        <v>601</v>
      </c>
      <c r="T2888" s="1">
        <v>1.0064195E8</v>
      </c>
      <c r="W2888" s="1" t="s">
        <v>56</v>
      </c>
      <c r="X2888" s="1" t="s">
        <v>8690</v>
      </c>
    </row>
    <row r="2889">
      <c r="A2889" s="1" t="s">
        <v>8691</v>
      </c>
      <c r="B2889" s="1" t="s">
        <v>348</v>
      </c>
      <c r="C2889" s="1" t="s">
        <v>8692</v>
      </c>
      <c r="D2889" s="1" t="s">
        <v>28</v>
      </c>
      <c r="E2889" s="1" t="s">
        <v>29</v>
      </c>
      <c r="F2889" s="5">
        <v>300000.0</v>
      </c>
      <c r="G2889" s="1" t="s">
        <v>7016</v>
      </c>
      <c r="H2889" s="1" t="s">
        <v>1055</v>
      </c>
      <c r="I2889" s="1" t="s">
        <v>191</v>
      </c>
      <c r="K2889" s="1">
        <v>0.0</v>
      </c>
      <c r="L2889" s="1" t="s">
        <v>350</v>
      </c>
      <c r="M2889" s="1" t="str">
        <f>VLOOKUP(L2889,'Copy of PMD Workday Constants -'!B2888:W3574,22,false)</f>
        <v>#N/A</v>
      </c>
      <c r="N2889" s="1" t="s">
        <v>32</v>
      </c>
      <c r="O2889" s="1" t="s">
        <v>33</v>
      </c>
      <c r="P2889" s="1" t="s">
        <v>82</v>
      </c>
      <c r="Q2889" s="1" t="s">
        <v>82</v>
      </c>
      <c r="R2889" s="1" t="s">
        <v>83</v>
      </c>
      <c r="S2889" s="1" t="s">
        <v>180</v>
      </c>
      <c r="T2889" s="1">
        <v>1.00582847E8</v>
      </c>
      <c r="W2889" s="1" t="s">
        <v>85</v>
      </c>
      <c r="X2889" s="1" t="s">
        <v>1692</v>
      </c>
    </row>
    <row r="2890">
      <c r="A2890" s="1" t="s">
        <v>8693</v>
      </c>
      <c r="B2890" s="1" t="s">
        <v>8694</v>
      </c>
      <c r="C2890" s="1" t="s">
        <v>8695</v>
      </c>
      <c r="D2890" s="1" t="s">
        <v>28</v>
      </c>
      <c r="E2890" s="1" t="s">
        <v>29</v>
      </c>
      <c r="F2890" s="5">
        <v>300000.0</v>
      </c>
      <c r="G2890" s="1" t="s">
        <v>7016</v>
      </c>
      <c r="H2890" s="4">
        <v>44443.0</v>
      </c>
      <c r="I2890" s="1" t="s">
        <v>661</v>
      </c>
      <c r="K2890" s="1">
        <v>0.0</v>
      </c>
      <c r="L2890" s="1" t="s">
        <v>3019</v>
      </c>
      <c r="M2890" s="1" t="str">
        <f>VLOOKUP(L2890,'Copy of PMD Workday Constants -'!B2889:W3575,22,false)</f>
        <v>#N/A</v>
      </c>
      <c r="N2890" s="1" t="s">
        <v>32</v>
      </c>
      <c r="O2890" s="1" t="s">
        <v>33</v>
      </c>
      <c r="P2890" s="1" t="s">
        <v>112</v>
      </c>
      <c r="Q2890" s="1" t="s">
        <v>112</v>
      </c>
      <c r="R2890" s="1" t="s">
        <v>113</v>
      </c>
      <c r="T2890" s="1">
        <v>1.00627256E8</v>
      </c>
      <c r="W2890" s="1" t="s">
        <v>147</v>
      </c>
      <c r="X2890" s="1" t="s">
        <v>3019</v>
      </c>
    </row>
    <row r="2891">
      <c r="A2891" s="1" t="s">
        <v>8696</v>
      </c>
      <c r="B2891" s="1" t="s">
        <v>684</v>
      </c>
      <c r="C2891" s="1" t="s">
        <v>8697</v>
      </c>
      <c r="D2891" s="1" t="s">
        <v>103</v>
      </c>
      <c r="E2891" s="1" t="s">
        <v>29</v>
      </c>
      <c r="F2891" s="5">
        <v>300000.0</v>
      </c>
      <c r="G2891" s="1" t="s">
        <v>7016</v>
      </c>
      <c r="H2891" s="4">
        <v>44297.0</v>
      </c>
      <c r="I2891" s="4">
        <v>44571.0</v>
      </c>
      <c r="K2891" s="1">
        <v>0.0</v>
      </c>
      <c r="L2891" s="1" t="s">
        <v>5650</v>
      </c>
      <c r="M2891" s="1" t="str">
        <f>VLOOKUP(L2891,'Copy of PMD Workday Constants -'!B2890:W3576,22,false)</f>
        <v>#N/A</v>
      </c>
      <c r="N2891" s="1" t="s">
        <v>32</v>
      </c>
      <c r="O2891" s="1" t="s">
        <v>33</v>
      </c>
      <c r="P2891" s="1" t="s">
        <v>34</v>
      </c>
      <c r="Q2891" s="1" t="s">
        <v>34</v>
      </c>
      <c r="R2891" s="1" t="s">
        <v>35</v>
      </c>
      <c r="S2891" s="1" t="s">
        <v>126</v>
      </c>
      <c r="T2891" s="1">
        <v>1.00597272E8</v>
      </c>
      <c r="W2891" s="1" t="s">
        <v>391</v>
      </c>
      <c r="X2891" s="1" t="s">
        <v>5650</v>
      </c>
    </row>
    <row r="2892">
      <c r="A2892" s="1" t="s">
        <v>8698</v>
      </c>
      <c r="B2892" s="1" t="s">
        <v>1041</v>
      </c>
      <c r="C2892" s="1" t="s">
        <v>8699</v>
      </c>
      <c r="D2892" s="1" t="s">
        <v>28</v>
      </c>
      <c r="E2892" s="1" t="s">
        <v>29</v>
      </c>
      <c r="F2892" s="5">
        <v>300000.0</v>
      </c>
      <c r="G2892" s="1" t="s">
        <v>7016</v>
      </c>
      <c r="H2892" s="1" t="s">
        <v>6500</v>
      </c>
      <c r="I2892" s="1" t="s">
        <v>6596</v>
      </c>
      <c r="K2892" s="1">
        <v>0.0</v>
      </c>
      <c r="L2892" s="1" t="s">
        <v>3137</v>
      </c>
      <c r="M2892" s="1" t="str">
        <f>VLOOKUP(L2892,'Copy of PMD Workday Constants -'!B2891:W3577,22,false)</f>
        <v>#N/A</v>
      </c>
      <c r="N2892" s="1" t="s">
        <v>32</v>
      </c>
      <c r="O2892" s="1" t="s">
        <v>33</v>
      </c>
      <c r="P2892" s="1" t="s">
        <v>82</v>
      </c>
      <c r="Q2892" s="1" t="s">
        <v>82</v>
      </c>
      <c r="R2892" s="1" t="s">
        <v>83</v>
      </c>
      <c r="S2892" s="1" t="s">
        <v>180</v>
      </c>
      <c r="T2892" s="1">
        <v>1.00586452E8</v>
      </c>
      <c r="W2892" s="1" t="s">
        <v>85</v>
      </c>
      <c r="X2892" s="1" t="s">
        <v>5126</v>
      </c>
    </row>
    <row r="2893">
      <c r="A2893" s="1" t="s">
        <v>8700</v>
      </c>
      <c r="B2893" s="1" t="s">
        <v>1305</v>
      </c>
      <c r="C2893" s="1" t="s">
        <v>8701</v>
      </c>
      <c r="D2893" s="1" t="s">
        <v>28</v>
      </c>
      <c r="E2893" s="1" t="s">
        <v>29</v>
      </c>
      <c r="F2893" s="5">
        <v>300000.0</v>
      </c>
      <c r="G2893" s="1" t="s">
        <v>7016</v>
      </c>
      <c r="H2893" s="4">
        <v>44384.0</v>
      </c>
      <c r="I2893" s="1" t="s">
        <v>80</v>
      </c>
      <c r="K2893" s="1">
        <v>0.0</v>
      </c>
      <c r="L2893" s="1" t="s">
        <v>454</v>
      </c>
      <c r="M2893" s="1" t="str">
        <f>VLOOKUP(L2893,'Copy of PMD Workday Constants -'!B2892:W3578,22,false)</f>
        <v>#N/A</v>
      </c>
      <c r="N2893" s="1" t="s">
        <v>32</v>
      </c>
      <c r="O2893" s="1" t="s">
        <v>33</v>
      </c>
      <c r="P2893" s="1" t="s">
        <v>112</v>
      </c>
      <c r="Q2893" s="1" t="s">
        <v>112</v>
      </c>
      <c r="R2893" s="1" t="s">
        <v>113</v>
      </c>
      <c r="S2893" s="1" t="s">
        <v>455</v>
      </c>
      <c r="T2893" s="1">
        <v>1.00611486E8</v>
      </c>
      <c r="W2893" s="1" t="s">
        <v>456</v>
      </c>
      <c r="X2893" s="1" t="s">
        <v>454</v>
      </c>
    </row>
    <row r="2894">
      <c r="A2894" s="1" t="s">
        <v>8702</v>
      </c>
      <c r="B2894" s="1" t="s">
        <v>1648</v>
      </c>
      <c r="C2894" s="1" t="s">
        <v>8703</v>
      </c>
      <c r="D2894" s="1" t="s">
        <v>51</v>
      </c>
      <c r="E2894" s="1" t="s">
        <v>29</v>
      </c>
      <c r="F2894" s="5">
        <v>300000.0</v>
      </c>
      <c r="G2894" s="1" t="s">
        <v>7016</v>
      </c>
      <c r="H2894" s="1" t="s">
        <v>556</v>
      </c>
      <c r="I2894" s="1" t="s">
        <v>104</v>
      </c>
      <c r="K2894" s="1">
        <v>0.0</v>
      </c>
      <c r="L2894" s="1" t="s">
        <v>1238</v>
      </c>
      <c r="M2894" s="1" t="str">
        <f>VLOOKUP(L2894,'Copy of PMD Workday Constants -'!B2893:W3579,22,false)</f>
        <v>#N/A</v>
      </c>
      <c r="N2894" s="1" t="s">
        <v>32</v>
      </c>
      <c r="O2894" s="1" t="s">
        <v>33</v>
      </c>
      <c r="P2894" s="1" t="s">
        <v>210</v>
      </c>
      <c r="Q2894" s="1" t="s">
        <v>210</v>
      </c>
      <c r="R2894" s="1" t="s">
        <v>211</v>
      </c>
      <c r="S2894" s="1" t="s">
        <v>416</v>
      </c>
      <c r="T2894" s="1">
        <v>1.00586959E8</v>
      </c>
      <c r="W2894" s="1" t="s">
        <v>56</v>
      </c>
      <c r="X2894" s="1" t="s">
        <v>1238</v>
      </c>
    </row>
    <row r="2895">
      <c r="A2895" s="1" t="s">
        <v>8704</v>
      </c>
      <c r="B2895" s="1" t="s">
        <v>225</v>
      </c>
      <c r="C2895" s="1" t="s">
        <v>8705</v>
      </c>
      <c r="D2895" s="1" t="s">
        <v>103</v>
      </c>
      <c r="E2895" s="1" t="s">
        <v>29</v>
      </c>
      <c r="F2895" s="5">
        <v>300000.0</v>
      </c>
      <c r="G2895" s="1" t="s">
        <v>7016</v>
      </c>
      <c r="H2895" s="4">
        <v>44870.0</v>
      </c>
      <c r="I2895" s="1" t="s">
        <v>152</v>
      </c>
      <c r="K2895" s="1">
        <v>0.0</v>
      </c>
      <c r="L2895" s="1" t="s">
        <v>1747</v>
      </c>
      <c r="M2895" s="1" t="str">
        <f>VLOOKUP(L2895,'Copy of PMD Workday Constants -'!B2894:W3580,22,false)</f>
        <v>#N/A</v>
      </c>
      <c r="N2895" s="1" t="s">
        <v>32</v>
      </c>
      <c r="O2895" s="1" t="s">
        <v>33</v>
      </c>
      <c r="P2895" s="1" t="s">
        <v>173</v>
      </c>
      <c r="Q2895" s="1" t="s">
        <v>173</v>
      </c>
      <c r="R2895" s="1" t="s">
        <v>174</v>
      </c>
      <c r="T2895" s="1">
        <v>1.00639495E8</v>
      </c>
      <c r="W2895" s="1" t="s">
        <v>85</v>
      </c>
      <c r="X2895" s="1" t="s">
        <v>3115</v>
      </c>
    </row>
    <row r="2896">
      <c r="A2896" s="1" t="s">
        <v>8706</v>
      </c>
      <c r="B2896" s="1" t="s">
        <v>573</v>
      </c>
      <c r="C2896" s="1" t="s">
        <v>8707</v>
      </c>
      <c r="D2896" s="1" t="s">
        <v>28</v>
      </c>
      <c r="E2896" s="1" t="s">
        <v>29</v>
      </c>
      <c r="F2896" s="5">
        <v>300000.0</v>
      </c>
      <c r="G2896" s="1" t="s">
        <v>7016</v>
      </c>
      <c r="H2896" s="1" t="s">
        <v>1669</v>
      </c>
      <c r="I2896" s="1" t="s">
        <v>80</v>
      </c>
      <c r="K2896" s="1">
        <v>0.0</v>
      </c>
      <c r="L2896" s="1" t="s">
        <v>2417</v>
      </c>
      <c r="M2896" s="1" t="str">
        <f>VLOOKUP(L2896,'Copy of PMD Workday Constants -'!B2895:W3581,22,false)</f>
        <v>#N/A</v>
      </c>
      <c r="N2896" s="1" t="s">
        <v>32</v>
      </c>
      <c r="O2896" s="1" t="s">
        <v>33</v>
      </c>
      <c r="P2896" s="1" t="s">
        <v>34</v>
      </c>
      <c r="Q2896" s="1" t="s">
        <v>34</v>
      </c>
      <c r="R2896" s="1" t="s">
        <v>35</v>
      </c>
      <c r="T2896" s="1">
        <v>1.00642238E8</v>
      </c>
      <c r="W2896" s="1" t="s">
        <v>577</v>
      </c>
      <c r="X2896" s="1" t="s">
        <v>8708</v>
      </c>
    </row>
    <row r="2897">
      <c r="A2897" s="1" t="s">
        <v>8709</v>
      </c>
      <c r="B2897" s="1" t="s">
        <v>3585</v>
      </c>
      <c r="C2897" s="1" t="s">
        <v>8710</v>
      </c>
      <c r="D2897" s="1" t="s">
        <v>51</v>
      </c>
      <c r="E2897" s="1" t="s">
        <v>29</v>
      </c>
      <c r="F2897" s="5">
        <v>300000.0</v>
      </c>
      <c r="G2897" s="1" t="s">
        <v>7016</v>
      </c>
      <c r="H2897" s="1" t="s">
        <v>8514</v>
      </c>
      <c r="I2897" s="1" t="s">
        <v>80</v>
      </c>
      <c r="K2897" s="1">
        <v>0.0</v>
      </c>
      <c r="L2897" s="1" t="s">
        <v>5807</v>
      </c>
      <c r="M2897" s="1" t="str">
        <f>VLOOKUP(L2897,'Copy of PMD Workday Constants -'!B2896:W3582,22,false)</f>
        <v>#N/A</v>
      </c>
      <c r="N2897" s="1" t="s">
        <v>32</v>
      </c>
      <c r="O2897" s="1" t="s">
        <v>33</v>
      </c>
      <c r="P2897" s="1" t="s">
        <v>173</v>
      </c>
      <c r="Q2897" s="1" t="s">
        <v>173</v>
      </c>
      <c r="R2897" s="1" t="s">
        <v>174</v>
      </c>
      <c r="T2897" s="1">
        <v>1.00589278E8</v>
      </c>
      <c r="X2897" s="1" t="s">
        <v>6139</v>
      </c>
    </row>
    <row r="2898">
      <c r="A2898" s="1" t="s">
        <v>8711</v>
      </c>
      <c r="B2898" s="1" t="s">
        <v>8712</v>
      </c>
      <c r="C2898" s="1" t="s">
        <v>8713</v>
      </c>
      <c r="D2898" s="1" t="s">
        <v>103</v>
      </c>
      <c r="E2898" s="1" t="s">
        <v>29</v>
      </c>
      <c r="F2898" s="5">
        <v>300000.0</v>
      </c>
      <c r="G2898" s="1" t="s">
        <v>7016</v>
      </c>
      <c r="H2898" s="4">
        <v>44807.0</v>
      </c>
      <c r="I2898" s="1" t="s">
        <v>80</v>
      </c>
      <c r="K2898" s="1">
        <v>0.0</v>
      </c>
      <c r="L2898" s="1" t="s">
        <v>2522</v>
      </c>
      <c r="M2898" s="1" t="str">
        <f>VLOOKUP(L2898,'Copy of PMD Workday Constants -'!B2897:W3583,22,false)</f>
        <v>#N/A</v>
      </c>
      <c r="N2898" s="1" t="s">
        <v>32</v>
      </c>
      <c r="O2898" s="1" t="s">
        <v>33</v>
      </c>
      <c r="P2898" s="1" t="s">
        <v>173</v>
      </c>
      <c r="Q2898" s="1" t="s">
        <v>173</v>
      </c>
      <c r="R2898" s="1" t="s">
        <v>174</v>
      </c>
      <c r="S2898" s="1" t="s">
        <v>612</v>
      </c>
      <c r="T2898" s="1">
        <v>1.00590772E8</v>
      </c>
      <c r="W2898" s="1" t="s">
        <v>140</v>
      </c>
      <c r="X2898" s="1" t="s">
        <v>8714</v>
      </c>
    </row>
    <row r="2899">
      <c r="A2899" s="1" t="s">
        <v>8715</v>
      </c>
      <c r="B2899" s="1" t="s">
        <v>8716</v>
      </c>
      <c r="C2899" s="1" t="s">
        <v>8717</v>
      </c>
      <c r="D2899" s="1" t="s">
        <v>28</v>
      </c>
      <c r="E2899" s="1" t="s">
        <v>29</v>
      </c>
      <c r="F2899" s="5">
        <v>300000.0</v>
      </c>
      <c r="G2899" s="1" t="s">
        <v>7016</v>
      </c>
      <c r="H2899" s="1" t="s">
        <v>1078</v>
      </c>
      <c r="I2899" s="1" t="s">
        <v>8718</v>
      </c>
      <c r="K2899" s="1">
        <v>0.0</v>
      </c>
      <c r="L2899" s="1" t="s">
        <v>1659</v>
      </c>
      <c r="M2899" s="1" t="str">
        <f>VLOOKUP(L2899,'Copy of PMD Workday Constants -'!B2898:W3584,22,false)</f>
        <v>#N/A</v>
      </c>
      <c r="N2899" s="1" t="s">
        <v>32</v>
      </c>
      <c r="O2899" s="1" t="s">
        <v>33</v>
      </c>
      <c r="P2899" s="1" t="s">
        <v>173</v>
      </c>
      <c r="Q2899" s="1" t="s">
        <v>173</v>
      </c>
      <c r="R2899" s="1" t="s">
        <v>174</v>
      </c>
      <c r="S2899" s="1" t="s">
        <v>612</v>
      </c>
      <c r="T2899" s="1">
        <v>1.00650786E8</v>
      </c>
      <c r="W2899" s="1" t="s">
        <v>115</v>
      </c>
      <c r="X2899" s="1" t="s">
        <v>3157</v>
      </c>
    </row>
    <row r="2900">
      <c r="A2900" s="1" t="s">
        <v>8719</v>
      </c>
      <c r="B2900" s="1" t="s">
        <v>8716</v>
      </c>
      <c r="C2900" s="1" t="s">
        <v>8720</v>
      </c>
      <c r="D2900" s="1" t="s">
        <v>28</v>
      </c>
      <c r="E2900" s="1" t="s">
        <v>29</v>
      </c>
      <c r="F2900" s="5">
        <v>300000.0</v>
      </c>
      <c r="G2900" s="1" t="s">
        <v>7016</v>
      </c>
      <c r="H2900" s="1" t="s">
        <v>1078</v>
      </c>
      <c r="I2900" s="1" t="s">
        <v>8721</v>
      </c>
      <c r="K2900" s="1">
        <v>0.0</v>
      </c>
      <c r="L2900" s="1" t="s">
        <v>1659</v>
      </c>
      <c r="M2900" s="1" t="str">
        <f>VLOOKUP(L2900,'Copy of PMD Workday Constants -'!B2899:W3585,22,false)</f>
        <v>#N/A</v>
      </c>
      <c r="N2900" s="1" t="s">
        <v>32</v>
      </c>
      <c r="O2900" s="1" t="s">
        <v>33</v>
      </c>
      <c r="P2900" s="1" t="s">
        <v>173</v>
      </c>
      <c r="Q2900" s="1" t="s">
        <v>173</v>
      </c>
      <c r="R2900" s="1" t="s">
        <v>174</v>
      </c>
      <c r="S2900" s="1" t="s">
        <v>612</v>
      </c>
      <c r="T2900" s="1">
        <v>1.00650786E8</v>
      </c>
      <c r="W2900" s="1" t="s">
        <v>436</v>
      </c>
      <c r="X2900" s="1" t="s">
        <v>3157</v>
      </c>
    </row>
    <row r="2901">
      <c r="A2901" s="1" t="s">
        <v>8722</v>
      </c>
      <c r="B2901" s="1" t="s">
        <v>1285</v>
      </c>
      <c r="C2901" s="1" t="s">
        <v>8723</v>
      </c>
      <c r="D2901" s="1" t="s">
        <v>51</v>
      </c>
      <c r="E2901" s="1" t="s">
        <v>29</v>
      </c>
      <c r="F2901" s="5">
        <v>300000.0</v>
      </c>
      <c r="G2901" s="1" t="s">
        <v>7016</v>
      </c>
      <c r="H2901" s="4">
        <v>44625.0</v>
      </c>
      <c r="I2901" s="1" t="s">
        <v>104</v>
      </c>
      <c r="K2901" s="1">
        <v>0.0</v>
      </c>
      <c r="L2901" s="1" t="s">
        <v>7718</v>
      </c>
      <c r="M2901" s="1" t="str">
        <f>VLOOKUP(L2901,'Copy of PMD Workday Constants -'!B2900:W3586,22,false)</f>
        <v>#N/A</v>
      </c>
      <c r="N2901" s="1" t="s">
        <v>32</v>
      </c>
      <c r="O2901" s="1" t="s">
        <v>33</v>
      </c>
      <c r="P2901" s="1" t="s">
        <v>112</v>
      </c>
      <c r="Q2901" s="1" t="s">
        <v>112</v>
      </c>
      <c r="R2901" s="1" t="s">
        <v>113</v>
      </c>
      <c r="S2901" s="1" t="s">
        <v>134</v>
      </c>
      <c r="T2901" s="1">
        <v>1.00625107E8</v>
      </c>
      <c r="W2901" s="1" t="s">
        <v>74</v>
      </c>
      <c r="X2901" s="1" t="s">
        <v>7718</v>
      </c>
    </row>
    <row r="2902">
      <c r="A2902" s="1" t="s">
        <v>8724</v>
      </c>
      <c r="B2902" s="1" t="s">
        <v>3585</v>
      </c>
      <c r="C2902" s="1" t="s">
        <v>8725</v>
      </c>
      <c r="D2902" s="1" t="s">
        <v>28</v>
      </c>
      <c r="E2902" s="1" t="s">
        <v>29</v>
      </c>
      <c r="F2902" s="5">
        <v>300000.0</v>
      </c>
      <c r="G2902" s="1" t="s">
        <v>7016</v>
      </c>
      <c r="H2902" s="1" t="s">
        <v>1220</v>
      </c>
      <c r="I2902" s="1" t="s">
        <v>264</v>
      </c>
      <c r="K2902" s="1">
        <v>0.0</v>
      </c>
      <c r="L2902" s="1" t="s">
        <v>1039</v>
      </c>
      <c r="M2902" s="1" t="str">
        <f>VLOOKUP(L2902,'Copy of PMD Workday Constants -'!B2901:W3587,22,false)</f>
        <v>#N/A</v>
      </c>
      <c r="N2902" s="1" t="s">
        <v>32</v>
      </c>
      <c r="O2902" s="1" t="s">
        <v>33</v>
      </c>
      <c r="P2902" s="1" t="s">
        <v>112</v>
      </c>
      <c r="Q2902" s="1" t="s">
        <v>112</v>
      </c>
      <c r="R2902" s="1" t="s">
        <v>113</v>
      </c>
      <c r="S2902" s="1" t="s">
        <v>134</v>
      </c>
      <c r="T2902" s="1">
        <v>1.00633489E8</v>
      </c>
      <c r="X2902" s="1" t="s">
        <v>3587</v>
      </c>
    </row>
    <row r="2903">
      <c r="A2903" s="1" t="s">
        <v>8726</v>
      </c>
      <c r="B2903" s="1" t="s">
        <v>1763</v>
      </c>
      <c r="C2903" s="1" t="s">
        <v>8727</v>
      </c>
      <c r="D2903" s="1" t="s">
        <v>51</v>
      </c>
      <c r="E2903" s="1" t="s">
        <v>29</v>
      </c>
      <c r="F2903" s="5">
        <v>300000.0</v>
      </c>
      <c r="G2903" s="1" t="s">
        <v>7016</v>
      </c>
      <c r="H2903" s="4">
        <v>44839.0</v>
      </c>
      <c r="I2903" s="1" t="s">
        <v>80</v>
      </c>
      <c r="K2903" s="1">
        <v>0.0</v>
      </c>
      <c r="L2903" s="1" t="s">
        <v>3231</v>
      </c>
      <c r="M2903" s="1" t="str">
        <f>VLOOKUP(L2903,'Copy of PMD Workday Constants -'!B2902:W3588,22,false)</f>
        <v>#N/A</v>
      </c>
      <c r="N2903" s="1" t="s">
        <v>32</v>
      </c>
      <c r="O2903" s="1" t="s">
        <v>33</v>
      </c>
      <c r="P2903" s="1" t="s">
        <v>112</v>
      </c>
      <c r="Q2903" s="1" t="s">
        <v>112</v>
      </c>
      <c r="R2903" s="1" t="s">
        <v>113</v>
      </c>
      <c r="S2903" s="1" t="s">
        <v>307</v>
      </c>
      <c r="T2903" s="1">
        <v>1.00592784E8</v>
      </c>
      <c r="W2903" s="1" t="s">
        <v>533</v>
      </c>
      <c r="X2903" s="1" t="s">
        <v>1766</v>
      </c>
    </row>
    <row r="2904">
      <c r="A2904" s="1" t="s">
        <v>8728</v>
      </c>
      <c r="B2904" s="1" t="s">
        <v>4061</v>
      </c>
      <c r="C2904" s="1" t="s">
        <v>8729</v>
      </c>
      <c r="D2904" s="1" t="s">
        <v>28</v>
      </c>
      <c r="E2904" s="1" t="s">
        <v>29</v>
      </c>
      <c r="F2904" s="5">
        <v>300000.0</v>
      </c>
      <c r="G2904" s="1" t="s">
        <v>7016</v>
      </c>
      <c r="H2904" s="1" t="s">
        <v>4063</v>
      </c>
      <c r="I2904" s="1" t="s">
        <v>998</v>
      </c>
      <c r="K2904" s="1">
        <v>0.0</v>
      </c>
      <c r="L2904" s="1" t="s">
        <v>3480</v>
      </c>
      <c r="M2904" s="1" t="str">
        <f>VLOOKUP(L2904,'Copy of PMD Workday Constants -'!B2903:W3589,22,false)</f>
        <v>#N/A</v>
      </c>
      <c r="N2904" s="1" t="s">
        <v>32</v>
      </c>
      <c r="O2904" s="1" t="s">
        <v>33</v>
      </c>
      <c r="P2904" s="1" t="s">
        <v>112</v>
      </c>
      <c r="Q2904" s="1" t="s">
        <v>112</v>
      </c>
      <c r="R2904" s="1" t="s">
        <v>113</v>
      </c>
      <c r="S2904" s="1" t="s">
        <v>307</v>
      </c>
      <c r="T2904" s="1">
        <v>1.00628223E8</v>
      </c>
      <c r="W2904" s="1" t="s">
        <v>391</v>
      </c>
      <c r="X2904" s="1" t="s">
        <v>3480</v>
      </c>
    </row>
    <row r="2905">
      <c r="A2905" s="1" t="s">
        <v>8730</v>
      </c>
      <c r="B2905" s="1" t="s">
        <v>8731</v>
      </c>
      <c r="C2905" s="1" t="s">
        <v>8732</v>
      </c>
      <c r="D2905" s="1" t="s">
        <v>51</v>
      </c>
      <c r="E2905" s="1" t="s">
        <v>29</v>
      </c>
      <c r="F2905" s="5">
        <v>300000.0</v>
      </c>
      <c r="G2905" s="1" t="s">
        <v>7016</v>
      </c>
      <c r="H2905" s="1" t="s">
        <v>1186</v>
      </c>
      <c r="I2905" s="1" t="s">
        <v>4378</v>
      </c>
      <c r="K2905" s="1">
        <v>0.0</v>
      </c>
      <c r="L2905" s="1" t="s">
        <v>645</v>
      </c>
      <c r="M2905" s="1" t="str">
        <f>VLOOKUP(L2905,'Copy of PMD Workday Constants -'!B2904:W3590,22,false)</f>
        <v>#N/A</v>
      </c>
      <c r="N2905" s="1" t="s">
        <v>32</v>
      </c>
      <c r="O2905" s="1" t="s">
        <v>33</v>
      </c>
      <c r="P2905" s="1" t="s">
        <v>64</v>
      </c>
      <c r="Q2905" s="1" t="s">
        <v>64</v>
      </c>
      <c r="R2905" s="1" t="s">
        <v>65</v>
      </c>
      <c r="S2905" s="1" t="s">
        <v>98</v>
      </c>
      <c r="T2905" s="1">
        <v>1.00653597E8</v>
      </c>
      <c r="W2905" s="1" t="s">
        <v>436</v>
      </c>
      <c r="X2905" s="1" t="s">
        <v>8733</v>
      </c>
    </row>
    <row r="2906">
      <c r="A2906" s="1" t="s">
        <v>8734</v>
      </c>
      <c r="B2906" s="1" t="s">
        <v>8043</v>
      </c>
      <c r="C2906" s="1" t="s">
        <v>8735</v>
      </c>
      <c r="D2906" s="1" t="s">
        <v>51</v>
      </c>
      <c r="E2906" s="1" t="s">
        <v>29</v>
      </c>
      <c r="F2906" s="5">
        <v>300000.0</v>
      </c>
      <c r="G2906" s="1" t="s">
        <v>7016</v>
      </c>
      <c r="H2906" s="1" t="s">
        <v>4413</v>
      </c>
      <c r="I2906" s="1" t="s">
        <v>248</v>
      </c>
      <c r="K2906" s="1">
        <v>0.0</v>
      </c>
      <c r="L2906" s="1" t="s">
        <v>1249</v>
      </c>
      <c r="M2906" s="1" t="str">
        <f>VLOOKUP(L2906,'Copy of PMD Workday Constants -'!B2905:W3591,22,false)</f>
        <v>#N/A</v>
      </c>
      <c r="N2906" s="1" t="s">
        <v>32</v>
      </c>
      <c r="O2906" s="1" t="s">
        <v>33</v>
      </c>
      <c r="P2906" s="1" t="s">
        <v>222</v>
      </c>
      <c r="Q2906" s="1" t="s">
        <v>222</v>
      </c>
      <c r="R2906" s="1" t="s">
        <v>223</v>
      </c>
      <c r="S2906" s="1" t="s">
        <v>185</v>
      </c>
      <c r="T2906" s="1">
        <v>1.00609871E8</v>
      </c>
      <c r="W2906" s="1" t="s">
        <v>493</v>
      </c>
      <c r="X2906" s="1" t="s">
        <v>8736</v>
      </c>
    </row>
    <row r="2907">
      <c r="A2907" s="1" t="s">
        <v>8737</v>
      </c>
      <c r="B2907" s="1" t="s">
        <v>8738</v>
      </c>
      <c r="C2907" s="1" t="s">
        <v>8739</v>
      </c>
      <c r="D2907" s="1" t="s">
        <v>28</v>
      </c>
      <c r="E2907" s="1" t="s">
        <v>29</v>
      </c>
      <c r="F2907" s="5">
        <v>300000.0</v>
      </c>
      <c r="G2907" s="1" t="s">
        <v>7016</v>
      </c>
      <c r="H2907" s="4">
        <v>44807.0</v>
      </c>
      <c r="I2907" s="1" t="s">
        <v>301</v>
      </c>
      <c r="K2907" s="1">
        <v>0.0</v>
      </c>
      <c r="L2907" s="1" t="s">
        <v>2066</v>
      </c>
      <c r="M2907" s="1" t="str">
        <f>VLOOKUP(L2907,'Copy of PMD Workday Constants -'!B2906:W3592,22,false)</f>
        <v>#N/A</v>
      </c>
      <c r="N2907" s="1" t="s">
        <v>32</v>
      </c>
      <c r="O2907" s="1" t="s">
        <v>33</v>
      </c>
      <c r="P2907" s="1" t="s">
        <v>54</v>
      </c>
      <c r="Q2907" s="1" t="s">
        <v>54</v>
      </c>
      <c r="R2907" s="1" t="s">
        <v>55</v>
      </c>
      <c r="S2907" s="1" t="s">
        <v>185</v>
      </c>
      <c r="T2907" s="1">
        <v>1.0058019E8</v>
      </c>
      <c r="W2907" s="1" t="s">
        <v>250</v>
      </c>
      <c r="X2907" s="1" t="s">
        <v>2066</v>
      </c>
    </row>
    <row r="2908">
      <c r="A2908" s="1" t="s">
        <v>8740</v>
      </c>
      <c r="B2908" s="1" t="s">
        <v>3478</v>
      </c>
      <c r="C2908" s="1" t="s">
        <v>8741</v>
      </c>
      <c r="D2908" s="1" t="s">
        <v>51</v>
      </c>
      <c r="E2908" s="1" t="s">
        <v>29</v>
      </c>
      <c r="F2908" s="5">
        <v>300000.0</v>
      </c>
      <c r="G2908" s="1" t="s">
        <v>7016</v>
      </c>
      <c r="H2908" s="1" t="s">
        <v>1064</v>
      </c>
      <c r="I2908" s="1" t="s">
        <v>406</v>
      </c>
      <c r="K2908" s="1">
        <v>0.0</v>
      </c>
      <c r="L2908" s="1" t="s">
        <v>836</v>
      </c>
      <c r="M2908" s="1" t="str">
        <f>VLOOKUP(L2908,'Copy of PMD Workday Constants -'!B2907:W3593,22,false)</f>
        <v>#N/A</v>
      </c>
      <c r="N2908" s="1" t="s">
        <v>32</v>
      </c>
      <c r="O2908" s="1" t="s">
        <v>33</v>
      </c>
      <c r="P2908" s="1" t="s">
        <v>173</v>
      </c>
      <c r="Q2908" s="1" t="s">
        <v>173</v>
      </c>
      <c r="R2908" s="1" t="s">
        <v>174</v>
      </c>
      <c r="S2908" s="1" t="s">
        <v>612</v>
      </c>
      <c r="T2908" s="1">
        <v>1.00648457E8</v>
      </c>
      <c r="W2908" s="1" t="s">
        <v>947</v>
      </c>
      <c r="X2908" s="1" t="s">
        <v>6060</v>
      </c>
    </row>
    <row r="2909">
      <c r="A2909" s="1" t="s">
        <v>8742</v>
      </c>
      <c r="B2909" s="1" t="s">
        <v>8743</v>
      </c>
      <c r="C2909" s="1" t="s">
        <v>8744</v>
      </c>
      <c r="D2909" s="1" t="s">
        <v>51</v>
      </c>
      <c r="E2909" s="1" t="s">
        <v>29</v>
      </c>
      <c r="F2909" s="5">
        <v>300000.0</v>
      </c>
      <c r="G2909" s="1" t="s">
        <v>7016</v>
      </c>
      <c r="H2909" s="4">
        <v>44622.0</v>
      </c>
      <c r="I2909" s="1" t="s">
        <v>302</v>
      </c>
      <c r="K2909" s="1">
        <v>0.0</v>
      </c>
      <c r="L2909" s="1" t="s">
        <v>2970</v>
      </c>
      <c r="M2909" s="1" t="str">
        <f>VLOOKUP(L2909,'Copy of PMD Workday Constants -'!B2908:W3594,22,false)</f>
        <v>#N/A</v>
      </c>
      <c r="N2909" s="1" t="s">
        <v>32</v>
      </c>
      <c r="O2909" s="1" t="s">
        <v>33</v>
      </c>
      <c r="P2909" s="1" t="s">
        <v>173</v>
      </c>
      <c r="Q2909" s="1" t="s">
        <v>173</v>
      </c>
      <c r="R2909" s="1" t="s">
        <v>174</v>
      </c>
      <c r="S2909" s="1" t="s">
        <v>126</v>
      </c>
      <c r="T2909" s="1">
        <v>1.00616377E8</v>
      </c>
      <c r="W2909" s="1" t="s">
        <v>74</v>
      </c>
      <c r="X2909" s="1" t="s">
        <v>8447</v>
      </c>
    </row>
    <row r="2910">
      <c r="A2910" s="1" t="s">
        <v>8745</v>
      </c>
      <c r="B2910" s="1" t="s">
        <v>1339</v>
      </c>
      <c r="C2910" s="1" t="s">
        <v>8746</v>
      </c>
      <c r="D2910" s="1" t="s">
        <v>51</v>
      </c>
      <c r="E2910" s="1" t="s">
        <v>29</v>
      </c>
      <c r="F2910" s="5">
        <v>300000.0</v>
      </c>
      <c r="G2910" s="1" t="s">
        <v>7016</v>
      </c>
      <c r="H2910" s="4">
        <v>44537.0</v>
      </c>
      <c r="I2910" s="1" t="s">
        <v>302</v>
      </c>
      <c r="K2910" s="1">
        <v>0.0</v>
      </c>
      <c r="L2910" s="1" t="s">
        <v>968</v>
      </c>
      <c r="M2910" s="1" t="str">
        <f>VLOOKUP(L2910,'Copy of PMD Workday Constants -'!B2909:W3595,22,false)</f>
        <v>#N/A</v>
      </c>
      <c r="N2910" s="1" t="s">
        <v>32</v>
      </c>
      <c r="O2910" s="1" t="s">
        <v>33</v>
      </c>
      <c r="P2910" s="1" t="s">
        <v>210</v>
      </c>
      <c r="Q2910" s="1" t="s">
        <v>210</v>
      </c>
      <c r="R2910" s="1" t="s">
        <v>211</v>
      </c>
      <c r="S2910" s="1" t="s">
        <v>416</v>
      </c>
      <c r="T2910" s="1">
        <v>1.00647262E8</v>
      </c>
      <c r="W2910" s="1" t="s">
        <v>56</v>
      </c>
      <c r="X2910" s="1" t="s">
        <v>1558</v>
      </c>
    </row>
    <row r="2911">
      <c r="A2911" s="1" t="s">
        <v>8747</v>
      </c>
      <c r="B2911" s="1" t="s">
        <v>8748</v>
      </c>
      <c r="C2911" s="1" t="s">
        <v>8749</v>
      </c>
      <c r="D2911" s="1" t="s">
        <v>28</v>
      </c>
      <c r="E2911" s="1" t="s">
        <v>29</v>
      </c>
      <c r="F2911" s="5">
        <v>300000.0</v>
      </c>
      <c r="G2911" s="1" t="s">
        <v>7016</v>
      </c>
      <c r="H2911" s="1" t="s">
        <v>1842</v>
      </c>
      <c r="I2911" s="4">
        <v>44601.0</v>
      </c>
      <c r="K2911" s="1">
        <v>0.0</v>
      </c>
      <c r="L2911" s="1" t="s">
        <v>618</v>
      </c>
      <c r="M2911" s="1" t="str">
        <f>VLOOKUP(L2911,'Copy of PMD Workday Constants -'!B2910:W3596,22,false)</f>
        <v>#N/A</v>
      </c>
      <c r="N2911" s="1" t="s">
        <v>32</v>
      </c>
      <c r="O2911" s="1" t="s">
        <v>33</v>
      </c>
      <c r="P2911" s="1" t="s">
        <v>173</v>
      </c>
      <c r="Q2911" s="1" t="s">
        <v>173</v>
      </c>
      <c r="R2911" s="1" t="s">
        <v>174</v>
      </c>
      <c r="T2911" s="1">
        <v>1.00591141E8</v>
      </c>
      <c r="W2911" s="1" t="s">
        <v>339</v>
      </c>
      <c r="X2911" s="1" t="s">
        <v>8750</v>
      </c>
    </row>
    <row r="2912">
      <c r="A2912" s="1" t="s">
        <v>8751</v>
      </c>
      <c r="B2912" s="1" t="s">
        <v>8752</v>
      </c>
      <c r="C2912" s="1" t="s">
        <v>8753</v>
      </c>
      <c r="D2912" s="1" t="s">
        <v>103</v>
      </c>
      <c r="E2912" s="1" t="s">
        <v>29</v>
      </c>
      <c r="F2912" s="5">
        <v>300000.0</v>
      </c>
      <c r="G2912" s="1" t="s">
        <v>7016</v>
      </c>
      <c r="H2912" s="4">
        <v>44777.0</v>
      </c>
      <c r="I2912" s="1" t="s">
        <v>2485</v>
      </c>
      <c r="K2912" s="1">
        <v>0.0</v>
      </c>
      <c r="L2912" s="1" t="s">
        <v>8754</v>
      </c>
      <c r="M2912" s="1" t="str">
        <f>VLOOKUP(L2912,'Copy of PMD Workday Constants -'!B2911:W3597,22,false)</f>
        <v>#N/A</v>
      </c>
      <c r="N2912" s="1" t="s">
        <v>32</v>
      </c>
      <c r="O2912" s="1" t="s">
        <v>33</v>
      </c>
      <c r="P2912" s="1" t="s">
        <v>222</v>
      </c>
      <c r="Q2912" s="1" t="s">
        <v>222</v>
      </c>
      <c r="R2912" s="1" t="s">
        <v>223</v>
      </c>
      <c r="S2912" s="1" t="s">
        <v>482</v>
      </c>
      <c r="T2912" s="1">
        <v>1.00639544E8</v>
      </c>
      <c r="W2912" s="1" t="s">
        <v>85</v>
      </c>
      <c r="X2912" s="1" t="s">
        <v>6283</v>
      </c>
    </row>
    <row r="2913">
      <c r="A2913" s="1" t="s">
        <v>8755</v>
      </c>
      <c r="B2913" s="1" t="s">
        <v>2867</v>
      </c>
      <c r="C2913" s="1" t="s">
        <v>8756</v>
      </c>
      <c r="D2913" s="1" t="s">
        <v>51</v>
      </c>
      <c r="E2913" s="1" t="s">
        <v>29</v>
      </c>
      <c r="F2913" s="5">
        <v>300000.0</v>
      </c>
      <c r="G2913" s="1" t="s">
        <v>7016</v>
      </c>
      <c r="H2913" s="1" t="s">
        <v>810</v>
      </c>
      <c r="I2913" s="1" t="s">
        <v>1746</v>
      </c>
      <c r="K2913" s="1">
        <v>0.0</v>
      </c>
      <c r="L2913" s="1" t="s">
        <v>3813</v>
      </c>
      <c r="M2913" s="1" t="str">
        <f>VLOOKUP(L2913,'Copy of PMD Workday Constants -'!B2912:W3598,22,false)</f>
        <v>#N/A</v>
      </c>
      <c r="N2913" s="1" t="s">
        <v>32</v>
      </c>
      <c r="O2913" s="1" t="s">
        <v>33</v>
      </c>
      <c r="P2913" s="1" t="s">
        <v>112</v>
      </c>
      <c r="Q2913" s="1" t="s">
        <v>112</v>
      </c>
      <c r="R2913" s="1" t="s">
        <v>113</v>
      </c>
      <c r="T2913" s="1">
        <v>1.00650841E8</v>
      </c>
      <c r="W2913" s="1" t="s">
        <v>85</v>
      </c>
      <c r="X2913" s="1" t="s">
        <v>3813</v>
      </c>
    </row>
    <row r="2914">
      <c r="A2914" s="1" t="s">
        <v>8757</v>
      </c>
      <c r="B2914" s="1" t="s">
        <v>954</v>
      </c>
      <c r="C2914" s="1" t="s">
        <v>8758</v>
      </c>
      <c r="D2914" s="1" t="s">
        <v>28</v>
      </c>
      <c r="E2914" s="1" t="s">
        <v>29</v>
      </c>
      <c r="F2914" s="5">
        <v>300000.0</v>
      </c>
      <c r="G2914" s="1" t="s">
        <v>7016</v>
      </c>
      <c r="H2914" s="1" t="s">
        <v>3808</v>
      </c>
      <c r="I2914" s="1" t="s">
        <v>8093</v>
      </c>
      <c r="K2914" s="1">
        <v>0.0</v>
      </c>
      <c r="L2914" s="1" t="s">
        <v>956</v>
      </c>
      <c r="M2914" s="1" t="str">
        <f>VLOOKUP(L2914,'Copy of PMD Workday Constants -'!B2913:W3599,22,false)</f>
        <v>#N/A</v>
      </c>
      <c r="N2914" s="1" t="s">
        <v>32</v>
      </c>
      <c r="O2914" s="1" t="s">
        <v>33</v>
      </c>
      <c r="P2914" s="1" t="s">
        <v>173</v>
      </c>
      <c r="Q2914" s="1" t="s">
        <v>173</v>
      </c>
      <c r="R2914" s="1" t="s">
        <v>174</v>
      </c>
      <c r="S2914" s="1" t="s">
        <v>612</v>
      </c>
      <c r="T2914" s="1">
        <v>1.00623421E8</v>
      </c>
      <c r="W2914" s="1" t="s">
        <v>147</v>
      </c>
      <c r="X2914" s="1" t="s">
        <v>3809</v>
      </c>
    </row>
    <row r="2915">
      <c r="A2915" s="1" t="s">
        <v>8759</v>
      </c>
      <c r="B2915" s="1" t="s">
        <v>623</v>
      </c>
      <c r="C2915" s="1" t="s">
        <v>8760</v>
      </c>
      <c r="D2915" s="1" t="s">
        <v>51</v>
      </c>
      <c r="E2915" s="1" t="s">
        <v>29</v>
      </c>
      <c r="F2915" s="5">
        <v>300000.0</v>
      </c>
      <c r="G2915" s="1" t="s">
        <v>7016</v>
      </c>
      <c r="H2915" s="4">
        <v>44777.0</v>
      </c>
      <c r="I2915" s="1" t="s">
        <v>104</v>
      </c>
      <c r="K2915" s="1">
        <v>0.0</v>
      </c>
      <c r="L2915" s="1" t="s">
        <v>198</v>
      </c>
      <c r="M2915" s="1" t="str">
        <f>VLOOKUP(L2915,'Copy of PMD Workday Constants -'!B2914:W3600,22,false)</f>
        <v>#N/A</v>
      </c>
      <c r="N2915" s="1" t="s">
        <v>32</v>
      </c>
      <c r="O2915" s="1" t="s">
        <v>33</v>
      </c>
      <c r="P2915" s="1" t="s">
        <v>82</v>
      </c>
      <c r="Q2915" s="1" t="s">
        <v>82</v>
      </c>
      <c r="R2915" s="1" t="s">
        <v>83</v>
      </c>
      <c r="S2915" s="1" t="s">
        <v>180</v>
      </c>
      <c r="T2915" s="1">
        <v>1.00590896E8</v>
      </c>
      <c r="W2915" s="1" t="s">
        <v>85</v>
      </c>
      <c r="X2915" s="1" t="s">
        <v>2497</v>
      </c>
    </row>
    <row r="2916">
      <c r="A2916" s="1" t="s">
        <v>8761</v>
      </c>
      <c r="B2916" s="1" t="s">
        <v>1184</v>
      </c>
      <c r="C2916" s="1" t="s">
        <v>8762</v>
      </c>
      <c r="D2916" s="1" t="s">
        <v>28</v>
      </c>
      <c r="E2916" s="1" t="s">
        <v>29</v>
      </c>
      <c r="F2916" s="5">
        <v>300000.0</v>
      </c>
      <c r="G2916" s="1" t="s">
        <v>7016</v>
      </c>
      <c r="H2916" s="1" t="s">
        <v>4084</v>
      </c>
      <c r="I2916" s="4">
        <v>44569.0</v>
      </c>
      <c r="K2916" s="1">
        <v>0.0</v>
      </c>
      <c r="L2916" s="1" t="s">
        <v>1188</v>
      </c>
      <c r="M2916" s="1" t="str">
        <f>VLOOKUP(L2916,'Copy of PMD Workday Constants -'!B2915:W3601,22,false)</f>
        <v>#N/A</v>
      </c>
      <c r="N2916" s="1" t="s">
        <v>32</v>
      </c>
      <c r="O2916" s="1" t="s">
        <v>33</v>
      </c>
      <c r="P2916" s="1" t="s">
        <v>64</v>
      </c>
      <c r="Q2916" s="1" t="s">
        <v>64</v>
      </c>
      <c r="R2916" s="1" t="s">
        <v>65</v>
      </c>
      <c r="T2916" s="1">
        <v>1.00968114E8</v>
      </c>
      <c r="W2916" s="1" t="s">
        <v>56</v>
      </c>
      <c r="X2916" s="1" t="s">
        <v>1188</v>
      </c>
    </row>
    <row r="2917">
      <c r="A2917" s="1" t="s">
        <v>8763</v>
      </c>
      <c r="B2917" s="1" t="s">
        <v>507</v>
      </c>
      <c r="C2917" s="1" t="s">
        <v>8764</v>
      </c>
      <c r="D2917" s="1" t="s">
        <v>28</v>
      </c>
      <c r="E2917" s="1" t="s">
        <v>29</v>
      </c>
      <c r="F2917" s="5">
        <v>300000.0</v>
      </c>
      <c r="G2917" s="1" t="s">
        <v>7016</v>
      </c>
      <c r="H2917" s="4">
        <v>44595.0</v>
      </c>
      <c r="I2917" s="1" t="s">
        <v>302</v>
      </c>
      <c r="K2917" s="1">
        <v>0.0</v>
      </c>
      <c r="L2917" s="1" t="s">
        <v>3290</v>
      </c>
      <c r="M2917" s="1" t="str">
        <f>VLOOKUP(L2917,'Copy of PMD Workday Constants -'!B2916:W3602,22,false)</f>
        <v>#N/A</v>
      </c>
      <c r="N2917" s="1" t="s">
        <v>32</v>
      </c>
      <c r="O2917" s="1" t="s">
        <v>33</v>
      </c>
      <c r="P2917" s="1" t="s">
        <v>112</v>
      </c>
      <c r="Q2917" s="1" t="s">
        <v>112</v>
      </c>
      <c r="R2917" s="1" t="s">
        <v>113</v>
      </c>
      <c r="S2917" s="1" t="s">
        <v>455</v>
      </c>
      <c r="T2917" s="1">
        <v>1.00625578E8</v>
      </c>
      <c r="W2917" s="1" t="s">
        <v>456</v>
      </c>
      <c r="X2917" s="1" t="s">
        <v>3290</v>
      </c>
    </row>
    <row r="2918">
      <c r="A2918" s="1" t="s">
        <v>8765</v>
      </c>
      <c r="B2918" s="1" t="s">
        <v>507</v>
      </c>
      <c r="C2918" s="1" t="s">
        <v>8766</v>
      </c>
      <c r="D2918" s="1" t="s">
        <v>28</v>
      </c>
      <c r="E2918" s="1" t="s">
        <v>29</v>
      </c>
      <c r="F2918" s="5">
        <v>300000.0</v>
      </c>
      <c r="G2918" s="1" t="s">
        <v>7016</v>
      </c>
      <c r="H2918" s="4">
        <v>44595.0</v>
      </c>
      <c r="I2918" s="1" t="s">
        <v>302</v>
      </c>
      <c r="K2918" s="1">
        <v>0.0</v>
      </c>
      <c r="L2918" s="1" t="s">
        <v>3290</v>
      </c>
      <c r="M2918" s="1" t="str">
        <f>VLOOKUP(L2918,'Copy of PMD Workday Constants -'!B2917:W3603,22,false)</f>
        <v>#N/A</v>
      </c>
      <c r="N2918" s="1" t="s">
        <v>32</v>
      </c>
      <c r="O2918" s="1" t="s">
        <v>33</v>
      </c>
      <c r="P2918" s="1" t="s">
        <v>112</v>
      </c>
      <c r="Q2918" s="1" t="s">
        <v>112</v>
      </c>
      <c r="R2918" s="1" t="s">
        <v>113</v>
      </c>
      <c r="S2918" s="1" t="s">
        <v>455</v>
      </c>
      <c r="T2918" s="1">
        <v>1.00625578E8</v>
      </c>
      <c r="W2918" s="1" t="s">
        <v>456</v>
      </c>
      <c r="X2918" s="1" t="s">
        <v>3290</v>
      </c>
    </row>
    <row r="2919">
      <c r="A2919" s="1" t="s">
        <v>8767</v>
      </c>
      <c r="B2919" s="1" t="s">
        <v>859</v>
      </c>
      <c r="C2919" s="1" t="s">
        <v>8768</v>
      </c>
      <c r="D2919" s="1" t="s">
        <v>28</v>
      </c>
      <c r="E2919" s="1" t="s">
        <v>29</v>
      </c>
      <c r="F2919" s="5">
        <v>300000.0</v>
      </c>
      <c r="G2919" s="1" t="s">
        <v>7016</v>
      </c>
      <c r="H2919" s="1" t="s">
        <v>537</v>
      </c>
      <c r="I2919" s="1" t="s">
        <v>80</v>
      </c>
      <c r="K2919" s="1">
        <v>0.0</v>
      </c>
      <c r="L2919" s="1" t="s">
        <v>2703</v>
      </c>
      <c r="M2919" s="1" t="str">
        <f>VLOOKUP(L2919,'Copy of PMD Workday Constants -'!B2918:W3604,22,false)</f>
        <v>#N/A</v>
      </c>
      <c r="N2919" s="1" t="s">
        <v>32</v>
      </c>
      <c r="O2919" s="1" t="s">
        <v>33</v>
      </c>
      <c r="P2919" s="1" t="s">
        <v>34</v>
      </c>
      <c r="Q2919" s="1" t="s">
        <v>34</v>
      </c>
      <c r="R2919" s="1" t="s">
        <v>35</v>
      </c>
      <c r="S2919" s="1" t="s">
        <v>612</v>
      </c>
      <c r="T2919" s="1">
        <v>1.00866856E8</v>
      </c>
      <c r="W2919" s="1" t="s">
        <v>147</v>
      </c>
      <c r="X2919" s="1" t="s">
        <v>2703</v>
      </c>
    </row>
    <row r="2920">
      <c r="A2920" s="1" t="s">
        <v>8769</v>
      </c>
      <c r="B2920" s="1" t="s">
        <v>489</v>
      </c>
      <c r="C2920" s="1" t="s">
        <v>8770</v>
      </c>
      <c r="D2920" s="1" t="s">
        <v>28</v>
      </c>
      <c r="E2920" s="1" t="s">
        <v>29</v>
      </c>
      <c r="F2920" s="5">
        <v>300000.0</v>
      </c>
      <c r="G2920" s="1" t="s">
        <v>7016</v>
      </c>
      <c r="H2920" s="1" t="s">
        <v>2318</v>
      </c>
      <c r="I2920" s="4">
        <v>44601.0</v>
      </c>
      <c r="K2920" s="1">
        <v>0.0</v>
      </c>
      <c r="L2920" s="1" t="s">
        <v>847</v>
      </c>
      <c r="M2920" s="1" t="str">
        <f>VLOOKUP(L2920,'Copy of PMD Workday Constants -'!B2919:W3605,22,false)</f>
        <v>#N/A</v>
      </c>
      <c r="N2920" s="1" t="s">
        <v>32</v>
      </c>
      <c r="O2920" s="1" t="s">
        <v>33</v>
      </c>
      <c r="P2920" s="1" t="s">
        <v>173</v>
      </c>
      <c r="Q2920" s="1" t="s">
        <v>173</v>
      </c>
      <c r="R2920" s="1" t="s">
        <v>174</v>
      </c>
      <c r="T2920" s="1">
        <v>1.00586701E8</v>
      </c>
      <c r="W2920" s="1" t="s">
        <v>493</v>
      </c>
      <c r="X2920" s="1" t="s">
        <v>848</v>
      </c>
    </row>
    <row r="2921">
      <c r="A2921" s="1" t="s">
        <v>8771</v>
      </c>
      <c r="B2921" s="1" t="s">
        <v>610</v>
      </c>
      <c r="C2921" s="1" t="s">
        <v>8772</v>
      </c>
      <c r="D2921" s="1" t="s">
        <v>28</v>
      </c>
      <c r="E2921" s="1" t="s">
        <v>29</v>
      </c>
      <c r="F2921" s="5">
        <v>300000.0</v>
      </c>
      <c r="G2921" s="1" t="s">
        <v>7016</v>
      </c>
      <c r="H2921" s="1" t="s">
        <v>283</v>
      </c>
      <c r="I2921" s="4">
        <v>44570.0</v>
      </c>
      <c r="K2921" s="1">
        <v>0.0</v>
      </c>
      <c r="L2921" s="1" t="s">
        <v>4315</v>
      </c>
      <c r="M2921" s="1" t="str">
        <f>VLOOKUP(L2921,'Copy of PMD Workday Constants -'!B2920:W3606,22,false)</f>
        <v>#N/A</v>
      </c>
      <c r="N2921" s="1" t="s">
        <v>32</v>
      </c>
      <c r="O2921" s="1" t="s">
        <v>33</v>
      </c>
      <c r="P2921" s="1" t="s">
        <v>173</v>
      </c>
      <c r="Q2921" s="1" t="s">
        <v>173</v>
      </c>
      <c r="R2921" s="1" t="s">
        <v>174</v>
      </c>
      <c r="S2921" s="1" t="s">
        <v>612</v>
      </c>
      <c r="T2921" s="1">
        <v>1.00589292E8</v>
      </c>
      <c r="W2921" s="1" t="s">
        <v>47</v>
      </c>
      <c r="X2921" s="1" t="s">
        <v>4315</v>
      </c>
    </row>
    <row r="2922">
      <c r="A2922" s="1" t="s">
        <v>8773</v>
      </c>
      <c r="B2922" s="1" t="s">
        <v>143</v>
      </c>
      <c r="C2922" s="1" t="s">
        <v>8774</v>
      </c>
      <c r="D2922" s="1" t="s">
        <v>103</v>
      </c>
      <c r="E2922" s="1" t="s">
        <v>29</v>
      </c>
      <c r="F2922" s="5">
        <v>300000.0</v>
      </c>
      <c r="G2922" s="1" t="s">
        <v>7016</v>
      </c>
      <c r="H2922" s="1" t="s">
        <v>263</v>
      </c>
      <c r="I2922" s="1" t="s">
        <v>43</v>
      </c>
      <c r="K2922" s="1">
        <v>0.0</v>
      </c>
      <c r="L2922" s="1" t="s">
        <v>481</v>
      </c>
      <c r="M2922" s="1" t="str">
        <f>VLOOKUP(L2922,'Copy of PMD Workday Constants -'!B2921:W3607,22,false)</f>
        <v>#N/A</v>
      </c>
      <c r="N2922" s="1" t="s">
        <v>32</v>
      </c>
      <c r="O2922" s="1" t="s">
        <v>33</v>
      </c>
      <c r="P2922" s="1" t="s">
        <v>222</v>
      </c>
      <c r="Q2922" s="1" t="s">
        <v>222</v>
      </c>
      <c r="R2922" s="1" t="s">
        <v>223</v>
      </c>
      <c r="S2922" s="1" t="s">
        <v>482</v>
      </c>
      <c r="T2922" s="1">
        <v>1.00654864E8</v>
      </c>
      <c r="W2922" s="1" t="s">
        <v>147</v>
      </c>
      <c r="X2922" s="1" t="s">
        <v>8775</v>
      </c>
    </row>
    <row r="2923">
      <c r="A2923" s="1" t="s">
        <v>8776</v>
      </c>
      <c r="B2923" s="1" t="s">
        <v>485</v>
      </c>
      <c r="C2923" s="1" t="s">
        <v>8777</v>
      </c>
      <c r="D2923" s="1" t="s">
        <v>51</v>
      </c>
      <c r="E2923" s="1" t="s">
        <v>29</v>
      </c>
      <c r="F2923" s="5">
        <v>300000.0</v>
      </c>
      <c r="G2923" s="1" t="s">
        <v>7016</v>
      </c>
      <c r="H2923" s="4">
        <v>44718.0</v>
      </c>
      <c r="I2923" s="1" t="s">
        <v>302</v>
      </c>
      <c r="K2923" s="1">
        <v>0.0</v>
      </c>
      <c r="L2923" s="1" t="s">
        <v>481</v>
      </c>
      <c r="M2923" s="1" t="str">
        <f>VLOOKUP(L2923,'Copy of PMD Workday Constants -'!B2922:W3608,22,false)</f>
        <v>#N/A</v>
      </c>
      <c r="N2923" s="1" t="s">
        <v>32</v>
      </c>
      <c r="O2923" s="1" t="s">
        <v>33</v>
      </c>
      <c r="P2923" s="1" t="s">
        <v>222</v>
      </c>
      <c r="Q2923" s="1" t="s">
        <v>222</v>
      </c>
      <c r="R2923" s="1" t="s">
        <v>223</v>
      </c>
      <c r="S2923" s="1" t="s">
        <v>482</v>
      </c>
      <c r="T2923" s="1">
        <v>1.00654864E8</v>
      </c>
      <c r="W2923" s="1" t="s">
        <v>115</v>
      </c>
      <c r="X2923" s="1" t="s">
        <v>7481</v>
      </c>
    </row>
    <row r="2924">
      <c r="A2924" s="1" t="s">
        <v>8778</v>
      </c>
      <c r="B2924" s="1" t="s">
        <v>8779</v>
      </c>
      <c r="C2924" s="1" t="s">
        <v>8780</v>
      </c>
      <c r="D2924" s="1" t="s">
        <v>103</v>
      </c>
      <c r="E2924" s="1" t="s">
        <v>29</v>
      </c>
      <c r="F2924" s="5">
        <v>300000.0</v>
      </c>
      <c r="G2924" s="1" t="s">
        <v>7016</v>
      </c>
      <c r="H2924" s="1" t="s">
        <v>1287</v>
      </c>
      <c r="I2924" s="1" t="s">
        <v>80</v>
      </c>
      <c r="K2924" s="1">
        <v>0.0</v>
      </c>
      <c r="L2924" s="1" t="s">
        <v>3917</v>
      </c>
      <c r="M2924" s="1" t="str">
        <f>VLOOKUP(L2924,'Copy of PMD Workday Constants -'!B2923:W3609,22,false)</f>
        <v>#N/A</v>
      </c>
      <c r="N2924" s="1" t="s">
        <v>32</v>
      </c>
      <c r="O2924" s="1" t="s">
        <v>33</v>
      </c>
      <c r="P2924" s="1" t="s">
        <v>82</v>
      </c>
      <c r="Q2924" s="1" t="s">
        <v>82</v>
      </c>
      <c r="R2924" s="1" t="s">
        <v>83</v>
      </c>
      <c r="S2924" s="1" t="s">
        <v>180</v>
      </c>
      <c r="T2924" s="1">
        <v>1.00611547E8</v>
      </c>
      <c r="W2924" s="1" t="s">
        <v>1801</v>
      </c>
      <c r="X2924" s="1" t="s">
        <v>1293</v>
      </c>
    </row>
    <row r="2925">
      <c r="A2925" s="1" t="s">
        <v>8781</v>
      </c>
      <c r="B2925" s="1" t="s">
        <v>8782</v>
      </c>
      <c r="C2925" s="1" t="s">
        <v>8783</v>
      </c>
      <c r="D2925" s="1" t="s">
        <v>103</v>
      </c>
      <c r="E2925" s="1" t="s">
        <v>29</v>
      </c>
      <c r="F2925" s="5">
        <v>300000.0</v>
      </c>
      <c r="G2925" s="1" t="s">
        <v>7016</v>
      </c>
      <c r="H2925" s="4">
        <v>44718.0</v>
      </c>
      <c r="I2925" s="1" t="s">
        <v>152</v>
      </c>
      <c r="K2925" s="1">
        <v>0.0</v>
      </c>
      <c r="L2925" s="1" t="s">
        <v>5184</v>
      </c>
      <c r="M2925" s="1" t="str">
        <f>VLOOKUP(L2925,'Copy of PMD Workday Constants -'!B2924:W3610,22,false)</f>
        <v>#N/A</v>
      </c>
      <c r="N2925" s="1" t="s">
        <v>32</v>
      </c>
      <c r="O2925" s="1" t="s">
        <v>33</v>
      </c>
      <c r="P2925" s="1" t="s">
        <v>64</v>
      </c>
      <c r="Q2925" s="1" t="s">
        <v>64</v>
      </c>
      <c r="R2925" s="1" t="s">
        <v>65</v>
      </c>
      <c r="S2925" s="1" t="s">
        <v>791</v>
      </c>
      <c r="T2925" s="1">
        <v>1.00568413E8</v>
      </c>
      <c r="W2925" s="1" t="s">
        <v>74</v>
      </c>
      <c r="X2925" s="1" t="s">
        <v>7801</v>
      </c>
    </row>
    <row r="2926">
      <c r="A2926" s="1" t="s">
        <v>8784</v>
      </c>
      <c r="B2926" s="1" t="s">
        <v>3126</v>
      </c>
      <c r="C2926" s="1" t="s">
        <v>8785</v>
      </c>
      <c r="D2926" s="1" t="s">
        <v>51</v>
      </c>
      <c r="E2926" s="1" t="s">
        <v>29</v>
      </c>
      <c r="F2926" s="5">
        <v>300000.0</v>
      </c>
      <c r="G2926" s="1" t="s">
        <v>7016</v>
      </c>
      <c r="H2926" s="4">
        <v>44687.0</v>
      </c>
      <c r="I2926" s="4">
        <v>44752.0</v>
      </c>
      <c r="K2926" s="1">
        <v>0.0</v>
      </c>
      <c r="L2926" s="1" t="s">
        <v>505</v>
      </c>
      <c r="M2926" s="1" t="str">
        <f>VLOOKUP(L2926,'Copy of PMD Workday Constants -'!B2925:W3611,22,false)</f>
        <v>#N/A</v>
      </c>
      <c r="N2926" s="1" t="s">
        <v>32</v>
      </c>
      <c r="O2926" s="1" t="s">
        <v>33</v>
      </c>
      <c r="P2926" s="1" t="s">
        <v>112</v>
      </c>
      <c r="Q2926" s="1" t="s">
        <v>112</v>
      </c>
      <c r="R2926" s="1" t="s">
        <v>113</v>
      </c>
      <c r="S2926" s="1" t="s">
        <v>120</v>
      </c>
      <c r="T2926" s="1">
        <v>1.0062347E8</v>
      </c>
      <c r="W2926" s="1" t="s">
        <v>577</v>
      </c>
      <c r="X2926" s="1" t="s">
        <v>505</v>
      </c>
    </row>
    <row r="2927">
      <c r="A2927" s="1" t="s">
        <v>8786</v>
      </c>
      <c r="B2927" s="1" t="s">
        <v>913</v>
      </c>
      <c r="C2927" s="1" t="s">
        <v>8787</v>
      </c>
      <c r="D2927" s="1" t="s">
        <v>51</v>
      </c>
      <c r="E2927" s="1" t="s">
        <v>29</v>
      </c>
      <c r="F2927" s="5">
        <v>300000.0</v>
      </c>
      <c r="G2927" s="1" t="s">
        <v>7016</v>
      </c>
      <c r="H2927" s="1" t="s">
        <v>442</v>
      </c>
      <c r="I2927" s="1" t="s">
        <v>80</v>
      </c>
      <c r="K2927" s="1">
        <v>0.0</v>
      </c>
      <c r="L2927" s="1" t="s">
        <v>428</v>
      </c>
      <c r="M2927" s="1" t="str">
        <f>VLOOKUP(L2927,'Copy of PMD Workday Constants -'!B2926:W3612,22,false)</f>
        <v>#N/A</v>
      </c>
      <c r="N2927" s="1" t="s">
        <v>32</v>
      </c>
      <c r="O2927" s="1" t="s">
        <v>33</v>
      </c>
      <c r="P2927" s="1" t="s">
        <v>173</v>
      </c>
      <c r="Q2927" s="1" t="s">
        <v>173</v>
      </c>
      <c r="R2927" s="1" t="s">
        <v>174</v>
      </c>
      <c r="S2927" s="1" t="s">
        <v>153</v>
      </c>
      <c r="T2927" s="1">
        <v>1.00654085E8</v>
      </c>
      <c r="W2927" s="1" t="s">
        <v>85</v>
      </c>
      <c r="X2927" s="1" t="s">
        <v>428</v>
      </c>
    </row>
    <row r="2928">
      <c r="A2928" s="1" t="s">
        <v>8788</v>
      </c>
      <c r="B2928" s="1" t="s">
        <v>808</v>
      </c>
      <c r="C2928" s="1" t="s">
        <v>8789</v>
      </c>
      <c r="D2928" s="1" t="s">
        <v>28</v>
      </c>
      <c r="E2928" s="1" t="s">
        <v>29</v>
      </c>
      <c r="F2928" s="5">
        <v>300000.0</v>
      </c>
      <c r="G2928" s="1" t="s">
        <v>7016</v>
      </c>
      <c r="H2928" s="1" t="s">
        <v>785</v>
      </c>
      <c r="I2928" s="1" t="s">
        <v>810</v>
      </c>
      <c r="K2928" s="1">
        <v>0.0</v>
      </c>
      <c r="L2928" s="1" t="s">
        <v>505</v>
      </c>
      <c r="M2928" s="1" t="str">
        <f>VLOOKUP(L2928,'Copy of PMD Workday Constants -'!B2927:W3613,22,false)</f>
        <v>#N/A</v>
      </c>
      <c r="N2928" s="1" t="s">
        <v>32</v>
      </c>
      <c r="O2928" s="1" t="s">
        <v>33</v>
      </c>
      <c r="P2928" s="1" t="s">
        <v>112</v>
      </c>
      <c r="Q2928" s="1" t="s">
        <v>112</v>
      </c>
      <c r="R2928" s="1" t="s">
        <v>113</v>
      </c>
      <c r="S2928" s="1" t="s">
        <v>126</v>
      </c>
      <c r="T2928" s="1">
        <v>1.0062347E8</v>
      </c>
      <c r="W2928" s="1" t="s">
        <v>308</v>
      </c>
      <c r="X2928" s="1" t="s">
        <v>3435</v>
      </c>
    </row>
    <row r="2929">
      <c r="A2929" s="1" t="s">
        <v>8790</v>
      </c>
      <c r="B2929" s="1" t="s">
        <v>2429</v>
      </c>
      <c r="C2929" s="1" t="s">
        <v>8791</v>
      </c>
      <c r="D2929" s="1" t="s">
        <v>51</v>
      </c>
      <c r="E2929" s="1" t="s">
        <v>29</v>
      </c>
      <c r="F2929" s="5">
        <v>300000.0</v>
      </c>
      <c r="G2929" s="1" t="s">
        <v>7016</v>
      </c>
      <c r="H2929" s="4">
        <v>44625.0</v>
      </c>
      <c r="I2929" s="1" t="s">
        <v>264</v>
      </c>
      <c r="K2929" s="1">
        <v>0.0</v>
      </c>
      <c r="L2929" s="1" t="s">
        <v>3171</v>
      </c>
      <c r="M2929" s="1" t="str">
        <f>VLOOKUP(L2929,'Copy of PMD Workday Constants -'!B2928:W3614,22,false)</f>
        <v>#N/A</v>
      </c>
      <c r="N2929" s="1" t="s">
        <v>32</v>
      </c>
      <c r="O2929" s="1" t="s">
        <v>33</v>
      </c>
      <c r="P2929" s="1" t="s">
        <v>173</v>
      </c>
      <c r="Q2929" s="1" t="s">
        <v>173</v>
      </c>
      <c r="R2929" s="1" t="s">
        <v>174</v>
      </c>
      <c r="T2929" s="1">
        <v>1.01170527E8</v>
      </c>
      <c r="W2929" s="1" t="s">
        <v>456</v>
      </c>
      <c r="X2929" s="1" t="s">
        <v>2432</v>
      </c>
    </row>
    <row r="2930">
      <c r="A2930" s="1" t="s">
        <v>8792</v>
      </c>
      <c r="B2930" s="1" t="s">
        <v>3542</v>
      </c>
      <c r="C2930" s="1" t="s">
        <v>8793</v>
      </c>
      <c r="D2930" s="1" t="s">
        <v>51</v>
      </c>
      <c r="E2930" s="1" t="s">
        <v>29</v>
      </c>
      <c r="F2930" s="5">
        <v>300000.0</v>
      </c>
      <c r="G2930" s="1" t="s">
        <v>7016</v>
      </c>
      <c r="H2930" s="4">
        <v>44108.0</v>
      </c>
      <c r="I2930" s="1" t="s">
        <v>104</v>
      </c>
      <c r="K2930" s="1">
        <v>0.0</v>
      </c>
      <c r="L2930" s="1" t="s">
        <v>2417</v>
      </c>
      <c r="M2930" s="1" t="str">
        <f>VLOOKUP(L2930,'Copy of PMD Workday Constants -'!B2929:W3615,22,false)</f>
        <v>#N/A</v>
      </c>
      <c r="N2930" s="1" t="s">
        <v>32</v>
      </c>
      <c r="O2930" s="1" t="s">
        <v>33</v>
      </c>
      <c r="P2930" s="1" t="s">
        <v>34</v>
      </c>
      <c r="Q2930" s="1" t="s">
        <v>34</v>
      </c>
      <c r="R2930" s="1" t="s">
        <v>35</v>
      </c>
      <c r="S2930" s="1" t="s">
        <v>114</v>
      </c>
      <c r="T2930" s="1">
        <v>1.00642238E8</v>
      </c>
      <c r="W2930" s="1" t="s">
        <v>947</v>
      </c>
      <c r="X2930" s="1" t="s">
        <v>8794</v>
      </c>
    </row>
    <row r="2931">
      <c r="A2931" s="1" t="s">
        <v>8795</v>
      </c>
      <c r="B2931" s="1" t="s">
        <v>304</v>
      </c>
      <c r="C2931" s="1" t="s">
        <v>8796</v>
      </c>
      <c r="D2931" s="1" t="s">
        <v>51</v>
      </c>
      <c r="E2931" s="1" t="s">
        <v>29</v>
      </c>
      <c r="F2931" s="5">
        <v>300000.0</v>
      </c>
      <c r="G2931" s="1" t="s">
        <v>7016</v>
      </c>
      <c r="H2931" s="4">
        <v>44595.0</v>
      </c>
      <c r="I2931" s="1" t="s">
        <v>80</v>
      </c>
      <c r="K2931" s="1">
        <v>0.0</v>
      </c>
      <c r="L2931" s="1" t="s">
        <v>309</v>
      </c>
      <c r="M2931" s="1" t="str">
        <f>VLOOKUP(L2931,'Copy of PMD Workday Constants -'!B2930:W3616,22,false)</f>
        <v>#N/A</v>
      </c>
      <c r="N2931" s="1" t="s">
        <v>32</v>
      </c>
      <c r="O2931" s="1" t="s">
        <v>33</v>
      </c>
      <c r="P2931" s="1" t="s">
        <v>34</v>
      </c>
      <c r="Q2931" s="1" t="s">
        <v>34</v>
      </c>
      <c r="R2931" s="1" t="s">
        <v>35</v>
      </c>
      <c r="S2931" s="1" t="s">
        <v>126</v>
      </c>
      <c r="T2931" s="1">
        <v>1.00608155E8</v>
      </c>
      <c r="W2931" s="1" t="s">
        <v>308</v>
      </c>
      <c r="X2931" s="1" t="s">
        <v>1193</v>
      </c>
    </row>
    <row r="2932">
      <c r="A2932" s="1" t="s">
        <v>8797</v>
      </c>
      <c r="B2932" s="1" t="s">
        <v>8798</v>
      </c>
      <c r="C2932" s="1" t="s">
        <v>8799</v>
      </c>
      <c r="D2932" s="1" t="s">
        <v>51</v>
      </c>
      <c r="E2932" s="1" t="s">
        <v>29</v>
      </c>
      <c r="F2932" s="5">
        <v>300000.0</v>
      </c>
      <c r="G2932" s="1" t="s">
        <v>7016</v>
      </c>
      <c r="H2932" s="4">
        <v>44564.0</v>
      </c>
      <c r="I2932" s="1" t="s">
        <v>80</v>
      </c>
      <c r="K2932" s="1">
        <v>0.0</v>
      </c>
      <c r="L2932" s="1" t="s">
        <v>1312</v>
      </c>
      <c r="M2932" s="1" t="str">
        <f>VLOOKUP(L2932,'Copy of PMD Workday Constants -'!B2931:W3617,22,false)</f>
        <v>#N/A</v>
      </c>
      <c r="N2932" s="1" t="s">
        <v>32</v>
      </c>
      <c r="O2932" s="1" t="s">
        <v>33</v>
      </c>
      <c r="P2932" s="1" t="s">
        <v>210</v>
      </c>
      <c r="Q2932" s="1" t="s">
        <v>210</v>
      </c>
      <c r="R2932" s="1" t="s">
        <v>211</v>
      </c>
      <c r="S2932" s="1" t="s">
        <v>1313</v>
      </c>
      <c r="T2932" s="1">
        <v>1.00660608E8</v>
      </c>
      <c r="W2932" s="1" t="s">
        <v>436</v>
      </c>
      <c r="X2932" s="1" t="s">
        <v>1314</v>
      </c>
    </row>
    <row r="2933">
      <c r="A2933" s="1" t="s">
        <v>8800</v>
      </c>
      <c r="B2933" s="1" t="s">
        <v>7734</v>
      </c>
      <c r="C2933" s="1" t="s">
        <v>8801</v>
      </c>
      <c r="D2933" s="1" t="s">
        <v>28</v>
      </c>
      <c r="E2933" s="1" t="s">
        <v>29</v>
      </c>
      <c r="F2933" s="5">
        <v>300000.0</v>
      </c>
      <c r="G2933" s="1" t="s">
        <v>7016</v>
      </c>
      <c r="H2933" s="4">
        <v>44538.0</v>
      </c>
      <c r="I2933" s="1" t="s">
        <v>302</v>
      </c>
      <c r="K2933" s="1">
        <v>0.0</v>
      </c>
      <c r="L2933" s="1" t="s">
        <v>1486</v>
      </c>
      <c r="M2933" s="1" t="str">
        <f>VLOOKUP(L2933,'Copy of PMD Workday Constants -'!B2932:W3618,22,false)</f>
        <v>#N/A</v>
      </c>
      <c r="N2933" s="1" t="s">
        <v>32</v>
      </c>
      <c r="O2933" s="1" t="s">
        <v>33</v>
      </c>
      <c r="P2933" s="1" t="s">
        <v>82</v>
      </c>
      <c r="Q2933" s="1" t="s">
        <v>82</v>
      </c>
      <c r="R2933" s="1" t="s">
        <v>83</v>
      </c>
      <c r="S2933" s="1" t="s">
        <v>583</v>
      </c>
      <c r="T2933" s="1">
        <v>1.006324E8</v>
      </c>
      <c r="W2933" s="1" t="s">
        <v>456</v>
      </c>
      <c r="X2933" s="1" t="s">
        <v>5517</v>
      </c>
    </row>
    <row r="2934">
      <c r="A2934" s="1" t="s">
        <v>8802</v>
      </c>
      <c r="B2934" s="1" t="s">
        <v>1184</v>
      </c>
      <c r="C2934" s="1" t="s">
        <v>8803</v>
      </c>
      <c r="D2934" s="1" t="s">
        <v>103</v>
      </c>
      <c r="E2934" s="1" t="s">
        <v>29</v>
      </c>
      <c r="F2934" s="5">
        <v>300000.0</v>
      </c>
      <c r="G2934" s="1" t="s">
        <v>7016</v>
      </c>
      <c r="H2934" s="4">
        <v>44381.0</v>
      </c>
      <c r="I2934" s="4">
        <v>44569.0</v>
      </c>
      <c r="K2934" s="1">
        <v>0.0</v>
      </c>
      <c r="L2934" s="1" t="s">
        <v>1188</v>
      </c>
      <c r="M2934" s="1" t="str">
        <f>VLOOKUP(L2934,'Copy of PMD Workday Constants -'!B2933:W3619,22,false)</f>
        <v>#N/A</v>
      </c>
      <c r="N2934" s="1" t="s">
        <v>32</v>
      </c>
      <c r="O2934" s="1" t="s">
        <v>33</v>
      </c>
      <c r="P2934" s="1" t="s">
        <v>64</v>
      </c>
      <c r="Q2934" s="1" t="s">
        <v>64</v>
      </c>
      <c r="R2934" s="1" t="s">
        <v>65</v>
      </c>
      <c r="S2934" s="1" t="s">
        <v>98</v>
      </c>
      <c r="T2934" s="1">
        <v>1.00968114E8</v>
      </c>
      <c r="W2934" s="1" t="s">
        <v>56</v>
      </c>
      <c r="X2934" s="1" t="s">
        <v>1188</v>
      </c>
    </row>
    <row r="2935">
      <c r="A2935" s="1" t="s">
        <v>8804</v>
      </c>
      <c r="B2935" s="1" t="s">
        <v>973</v>
      </c>
      <c r="C2935" s="1" t="s">
        <v>8805</v>
      </c>
      <c r="D2935" s="1" t="s">
        <v>28</v>
      </c>
      <c r="E2935" s="1" t="s">
        <v>29</v>
      </c>
      <c r="F2935" s="5">
        <v>300000.0</v>
      </c>
      <c r="G2935" s="1" t="s">
        <v>7016</v>
      </c>
      <c r="H2935" s="4">
        <v>44508.0</v>
      </c>
      <c r="I2935" s="1" t="s">
        <v>732</v>
      </c>
      <c r="K2935" s="1">
        <v>0.0</v>
      </c>
      <c r="L2935" s="1" t="s">
        <v>2762</v>
      </c>
      <c r="M2935" s="1" t="str">
        <f>VLOOKUP(L2935,'Copy of PMD Workday Constants -'!B2934:W3620,22,false)</f>
        <v>#N/A</v>
      </c>
      <c r="N2935" s="1" t="s">
        <v>32</v>
      </c>
      <c r="O2935" s="1" t="s">
        <v>33</v>
      </c>
      <c r="P2935" s="1" t="s">
        <v>82</v>
      </c>
      <c r="Q2935" s="1" t="s">
        <v>82</v>
      </c>
      <c r="R2935" s="1" t="s">
        <v>83</v>
      </c>
      <c r="S2935" s="1" t="s">
        <v>583</v>
      </c>
      <c r="T2935" s="1">
        <v>1.00637221E8</v>
      </c>
      <c r="W2935" s="1" t="s">
        <v>456</v>
      </c>
      <c r="X2935" s="1" t="s">
        <v>5517</v>
      </c>
    </row>
    <row r="2936">
      <c r="A2936" s="1" t="s">
        <v>8806</v>
      </c>
      <c r="B2936" s="1" t="s">
        <v>8614</v>
      </c>
      <c r="C2936" s="1" t="s">
        <v>8807</v>
      </c>
      <c r="D2936" s="1" t="s">
        <v>51</v>
      </c>
      <c r="E2936" s="1" t="s">
        <v>29</v>
      </c>
      <c r="F2936" s="5">
        <v>300000.0</v>
      </c>
      <c r="G2936" s="1" t="s">
        <v>7016</v>
      </c>
      <c r="H2936" s="1" t="s">
        <v>8808</v>
      </c>
      <c r="I2936" s="1" t="s">
        <v>43</v>
      </c>
      <c r="K2936" s="1">
        <v>0.0</v>
      </c>
      <c r="L2936" s="1" t="s">
        <v>968</v>
      </c>
      <c r="M2936" s="1" t="str">
        <f>VLOOKUP(L2936,'Copy of PMD Workday Constants -'!B2935:W3621,22,false)</f>
        <v>#N/A</v>
      </c>
      <c r="N2936" s="1" t="s">
        <v>32</v>
      </c>
      <c r="O2936" s="1" t="s">
        <v>33</v>
      </c>
      <c r="P2936" s="1" t="s">
        <v>210</v>
      </c>
      <c r="Q2936" s="1" t="s">
        <v>210</v>
      </c>
      <c r="R2936" s="1" t="s">
        <v>211</v>
      </c>
      <c r="S2936" s="1" t="s">
        <v>416</v>
      </c>
      <c r="T2936" s="1">
        <v>1.00647262E8</v>
      </c>
      <c r="W2936" s="1" t="s">
        <v>56</v>
      </c>
      <c r="X2936" s="1" t="s">
        <v>1558</v>
      </c>
    </row>
    <row r="2937">
      <c r="A2937" s="1" t="s">
        <v>8809</v>
      </c>
      <c r="B2937" s="1" t="s">
        <v>1112</v>
      </c>
      <c r="C2937" s="1" t="s">
        <v>8810</v>
      </c>
      <c r="D2937" s="1" t="s">
        <v>28</v>
      </c>
      <c r="E2937" s="1" t="s">
        <v>29</v>
      </c>
      <c r="F2937" s="5">
        <v>300000.0</v>
      </c>
      <c r="G2937" s="1" t="s">
        <v>7016</v>
      </c>
      <c r="H2937" s="4">
        <v>44900.0</v>
      </c>
      <c r="I2937" s="1" t="s">
        <v>1134</v>
      </c>
      <c r="K2937" s="1">
        <v>0.0</v>
      </c>
      <c r="L2937" s="1" t="s">
        <v>6202</v>
      </c>
      <c r="M2937" s="1" t="str">
        <f>VLOOKUP(L2937,'Copy of PMD Workday Constants -'!B2936:W3622,22,false)</f>
        <v>#N/A</v>
      </c>
      <c r="N2937" s="1" t="s">
        <v>32</v>
      </c>
      <c r="O2937" s="1" t="s">
        <v>33</v>
      </c>
      <c r="P2937" s="1" t="s">
        <v>210</v>
      </c>
      <c r="Q2937" s="1" t="s">
        <v>210</v>
      </c>
      <c r="R2937" s="1" t="s">
        <v>211</v>
      </c>
      <c r="T2937" s="1">
        <v>1.00911004E8</v>
      </c>
      <c r="W2937" s="1" t="s">
        <v>56</v>
      </c>
      <c r="X2937" s="1" t="s">
        <v>8811</v>
      </c>
    </row>
    <row r="2938">
      <c r="A2938" s="1" t="s">
        <v>8812</v>
      </c>
      <c r="B2938" s="1" t="s">
        <v>1449</v>
      </c>
      <c r="C2938" s="1" t="s">
        <v>8813</v>
      </c>
      <c r="D2938" s="1" t="s">
        <v>28</v>
      </c>
      <c r="E2938" s="1" t="s">
        <v>29</v>
      </c>
      <c r="F2938" s="5">
        <v>300000.0</v>
      </c>
      <c r="G2938" s="1" t="s">
        <v>7016</v>
      </c>
      <c r="H2938" s="1" t="s">
        <v>2515</v>
      </c>
      <c r="I2938" s="1" t="s">
        <v>302</v>
      </c>
      <c r="K2938" s="1">
        <v>0.0</v>
      </c>
      <c r="L2938" s="1" t="s">
        <v>5214</v>
      </c>
      <c r="M2938" s="1" t="str">
        <f>VLOOKUP(L2938,'Copy of PMD Workday Constants -'!B2937:W3623,22,false)</f>
        <v>#N/A</v>
      </c>
      <c r="N2938" s="1" t="s">
        <v>32</v>
      </c>
      <c r="O2938" s="1" t="s">
        <v>33</v>
      </c>
      <c r="P2938" s="1" t="s">
        <v>222</v>
      </c>
      <c r="Q2938" s="1" t="s">
        <v>222</v>
      </c>
      <c r="R2938" s="1" t="s">
        <v>223</v>
      </c>
      <c r="T2938" s="1">
        <v>1.00611354E8</v>
      </c>
      <c r="W2938" s="1" t="s">
        <v>493</v>
      </c>
      <c r="X2938" s="1" t="s">
        <v>5214</v>
      </c>
    </row>
    <row r="2939">
      <c r="A2939" s="1" t="s">
        <v>8814</v>
      </c>
      <c r="B2939" s="1" t="s">
        <v>1184</v>
      </c>
      <c r="C2939" s="1" t="s">
        <v>8815</v>
      </c>
      <c r="D2939" s="1" t="s">
        <v>28</v>
      </c>
      <c r="E2939" s="1" t="s">
        <v>29</v>
      </c>
      <c r="F2939" s="5">
        <v>300000.0</v>
      </c>
      <c r="G2939" s="1" t="s">
        <v>7016</v>
      </c>
      <c r="H2939" s="1" t="s">
        <v>42</v>
      </c>
      <c r="I2939" s="4">
        <v>44573.0</v>
      </c>
      <c r="K2939" s="1">
        <v>0.0</v>
      </c>
      <c r="L2939" s="1" t="s">
        <v>5172</v>
      </c>
      <c r="M2939" s="1" t="str">
        <f>VLOOKUP(L2939,'Copy of PMD Workday Constants -'!B2938:W3624,22,false)</f>
        <v>#N/A</v>
      </c>
      <c r="N2939" s="1" t="s">
        <v>32</v>
      </c>
      <c r="O2939" s="1" t="s">
        <v>33</v>
      </c>
      <c r="P2939" s="1" t="s">
        <v>210</v>
      </c>
      <c r="Q2939" s="1" t="s">
        <v>210</v>
      </c>
      <c r="R2939" s="1" t="s">
        <v>211</v>
      </c>
      <c r="S2939" s="1" t="s">
        <v>1336</v>
      </c>
      <c r="T2939" s="1">
        <v>1.00620643E8</v>
      </c>
      <c r="W2939" s="1" t="s">
        <v>56</v>
      </c>
      <c r="X2939" s="1" t="s">
        <v>1337</v>
      </c>
    </row>
    <row r="2940">
      <c r="A2940" s="1" t="s">
        <v>8816</v>
      </c>
      <c r="B2940" s="1" t="s">
        <v>4473</v>
      </c>
      <c r="C2940" s="1" t="s">
        <v>8817</v>
      </c>
      <c r="D2940" s="1" t="s">
        <v>103</v>
      </c>
      <c r="E2940" s="1" t="s">
        <v>29</v>
      </c>
      <c r="F2940" s="5">
        <v>300000.0</v>
      </c>
      <c r="G2940" s="1" t="s">
        <v>7016</v>
      </c>
      <c r="H2940" s="4">
        <v>44625.0</v>
      </c>
      <c r="I2940" s="1" t="s">
        <v>732</v>
      </c>
      <c r="K2940" s="1">
        <v>0.0</v>
      </c>
      <c r="L2940" s="1" t="s">
        <v>1770</v>
      </c>
      <c r="M2940" s="1" t="str">
        <f>VLOOKUP(L2940,'Copy of PMD Workday Constants -'!B2939:W3625,22,false)</f>
        <v>#N/A</v>
      </c>
      <c r="N2940" s="1" t="s">
        <v>32</v>
      </c>
      <c r="O2940" s="1" t="s">
        <v>33</v>
      </c>
      <c r="P2940" s="1" t="s">
        <v>210</v>
      </c>
      <c r="Q2940" s="1" t="s">
        <v>210</v>
      </c>
      <c r="R2940" s="1" t="s">
        <v>211</v>
      </c>
      <c r="S2940" s="1" t="s">
        <v>1313</v>
      </c>
      <c r="T2940" s="1">
        <v>1.00593918E8</v>
      </c>
      <c r="W2940" s="1" t="s">
        <v>436</v>
      </c>
      <c r="X2940" s="1" t="s">
        <v>1314</v>
      </c>
    </row>
    <row r="2941">
      <c r="A2941" s="1" t="s">
        <v>8818</v>
      </c>
      <c r="B2941" s="1" t="s">
        <v>368</v>
      </c>
      <c r="C2941" s="1" t="s">
        <v>8819</v>
      </c>
      <c r="D2941" s="1" t="s">
        <v>28</v>
      </c>
      <c r="E2941" s="1" t="s">
        <v>29</v>
      </c>
      <c r="F2941" s="5">
        <v>300000.0</v>
      </c>
      <c r="G2941" s="1" t="s">
        <v>7016</v>
      </c>
      <c r="H2941" s="4">
        <v>44626.0</v>
      </c>
      <c r="I2941" s="4">
        <v>44601.0</v>
      </c>
      <c r="K2941" s="1">
        <v>0.0</v>
      </c>
      <c r="L2941" s="1" t="s">
        <v>6429</v>
      </c>
      <c r="M2941" s="1" t="str">
        <f>VLOOKUP(L2941,'Copy of PMD Workday Constants -'!B2940:W3626,22,false)</f>
        <v>#N/A</v>
      </c>
      <c r="N2941" s="1" t="s">
        <v>32</v>
      </c>
      <c r="O2941" s="1" t="s">
        <v>33</v>
      </c>
      <c r="P2941" s="1" t="s">
        <v>210</v>
      </c>
      <c r="Q2941" s="1" t="s">
        <v>210</v>
      </c>
      <c r="R2941" s="1" t="s">
        <v>211</v>
      </c>
      <c r="T2941" s="1">
        <v>1.01161608E8</v>
      </c>
      <c r="W2941" s="1" t="s">
        <v>258</v>
      </c>
      <c r="X2941" s="1" t="s">
        <v>2991</v>
      </c>
    </row>
    <row r="2942">
      <c r="A2942" s="1" t="s">
        <v>8820</v>
      </c>
      <c r="B2942" s="1" t="s">
        <v>747</v>
      </c>
      <c r="C2942" s="1" t="s">
        <v>8821</v>
      </c>
      <c r="D2942" s="1" t="s">
        <v>51</v>
      </c>
      <c r="E2942" s="1" t="s">
        <v>29</v>
      </c>
      <c r="F2942" s="5">
        <v>300000.0</v>
      </c>
      <c r="G2942" s="1" t="s">
        <v>7016</v>
      </c>
      <c r="H2942" s="4">
        <v>44871.0</v>
      </c>
      <c r="I2942" s="1" t="s">
        <v>248</v>
      </c>
      <c r="K2942" s="1">
        <v>0.0</v>
      </c>
      <c r="L2942" s="1" t="s">
        <v>6081</v>
      </c>
      <c r="M2942" s="1" t="str">
        <f>VLOOKUP(L2942,'Copy of PMD Workday Constants -'!B2941:W3627,22,false)</f>
        <v>#N/A</v>
      </c>
      <c r="N2942" s="1" t="s">
        <v>32</v>
      </c>
      <c r="O2942" s="1" t="s">
        <v>33</v>
      </c>
      <c r="P2942" s="1" t="s">
        <v>222</v>
      </c>
      <c r="Q2942" s="1" t="s">
        <v>222</v>
      </c>
      <c r="R2942" s="1" t="s">
        <v>223</v>
      </c>
      <c r="T2942" s="1">
        <v>1.00632043E8</v>
      </c>
      <c r="W2942" s="1" t="s">
        <v>37</v>
      </c>
      <c r="X2942" s="1" t="s">
        <v>8822</v>
      </c>
    </row>
    <row r="2943">
      <c r="A2943" s="1" t="s">
        <v>8823</v>
      </c>
      <c r="B2943" s="1" t="s">
        <v>8824</v>
      </c>
      <c r="C2943" s="1" t="s">
        <v>8825</v>
      </c>
      <c r="D2943" s="1" t="s">
        <v>51</v>
      </c>
      <c r="E2943" s="1" t="s">
        <v>29</v>
      </c>
      <c r="F2943" s="5">
        <v>300000.0</v>
      </c>
      <c r="G2943" s="1" t="s">
        <v>7016</v>
      </c>
      <c r="H2943" s="4">
        <v>44840.0</v>
      </c>
      <c r="I2943" s="1" t="s">
        <v>96</v>
      </c>
      <c r="K2943" s="1">
        <v>0.0</v>
      </c>
      <c r="L2943" s="1" t="s">
        <v>2747</v>
      </c>
      <c r="M2943" s="1" t="str">
        <f>VLOOKUP(L2943,'Copy of PMD Workday Constants -'!B2942:W3628,22,false)</f>
        <v>#N/A</v>
      </c>
      <c r="N2943" s="1" t="s">
        <v>32</v>
      </c>
      <c r="O2943" s="1" t="s">
        <v>33</v>
      </c>
      <c r="P2943" s="1" t="s">
        <v>64</v>
      </c>
      <c r="Q2943" s="1" t="s">
        <v>64</v>
      </c>
      <c r="R2943" s="1" t="s">
        <v>65</v>
      </c>
      <c r="T2943" s="1">
        <v>1.00586524E8</v>
      </c>
      <c r="W2943" s="1" t="s">
        <v>74</v>
      </c>
      <c r="X2943" s="1" t="s">
        <v>2747</v>
      </c>
    </row>
    <row r="2944">
      <c r="A2944" s="1" t="s">
        <v>8826</v>
      </c>
      <c r="B2944" s="1" t="s">
        <v>2429</v>
      </c>
      <c r="C2944" s="1" t="s">
        <v>8827</v>
      </c>
      <c r="D2944" s="1" t="s">
        <v>51</v>
      </c>
      <c r="E2944" s="1" t="s">
        <v>29</v>
      </c>
      <c r="F2944" s="5">
        <v>300000.0</v>
      </c>
      <c r="G2944" s="1" t="s">
        <v>7016</v>
      </c>
      <c r="H2944" s="1" t="s">
        <v>2622</v>
      </c>
      <c r="I2944" s="1" t="s">
        <v>1187</v>
      </c>
      <c r="K2944" s="1">
        <v>0.0</v>
      </c>
      <c r="L2944" s="1" t="s">
        <v>3674</v>
      </c>
      <c r="M2944" s="1" t="str">
        <f>VLOOKUP(L2944,'Copy of PMD Workday Constants -'!B2943:W3629,22,false)</f>
        <v>#N/A</v>
      </c>
      <c r="N2944" s="1" t="s">
        <v>32</v>
      </c>
      <c r="O2944" s="1" t="s">
        <v>33</v>
      </c>
      <c r="P2944" s="1" t="s">
        <v>173</v>
      </c>
      <c r="Q2944" s="1" t="s">
        <v>173</v>
      </c>
      <c r="R2944" s="1" t="s">
        <v>174</v>
      </c>
      <c r="S2944" s="1" t="s">
        <v>791</v>
      </c>
      <c r="T2944" s="1">
        <v>1.0058537E8</v>
      </c>
      <c r="W2944" s="1" t="s">
        <v>456</v>
      </c>
      <c r="X2944" s="1" t="s">
        <v>2432</v>
      </c>
    </row>
    <row r="2945">
      <c r="A2945" s="1" t="s">
        <v>8828</v>
      </c>
      <c r="B2945" s="1" t="s">
        <v>6529</v>
      </c>
      <c r="C2945" s="1" t="s">
        <v>8829</v>
      </c>
      <c r="D2945" s="1" t="s">
        <v>28</v>
      </c>
      <c r="E2945" s="1" t="s">
        <v>29</v>
      </c>
      <c r="F2945" s="5">
        <v>300000.0</v>
      </c>
      <c r="G2945" s="1" t="s">
        <v>7016</v>
      </c>
      <c r="H2945" s="4">
        <v>44441.0</v>
      </c>
      <c r="I2945" s="1" t="s">
        <v>191</v>
      </c>
      <c r="K2945" s="1">
        <v>0.0</v>
      </c>
      <c r="L2945" s="1" t="s">
        <v>157</v>
      </c>
      <c r="M2945" s="1" t="str">
        <f>VLOOKUP(L2945,'Copy of PMD Workday Constants -'!B2944:W3630,22,false)</f>
        <v>#N/A</v>
      </c>
      <c r="N2945" s="1" t="s">
        <v>32</v>
      </c>
      <c r="O2945" s="1" t="s">
        <v>33</v>
      </c>
      <c r="P2945" s="1" t="s">
        <v>112</v>
      </c>
      <c r="Q2945" s="1" t="s">
        <v>112</v>
      </c>
      <c r="R2945" s="1" t="s">
        <v>113</v>
      </c>
      <c r="S2945" s="1" t="s">
        <v>66</v>
      </c>
      <c r="T2945" s="1">
        <v>1.00658522E8</v>
      </c>
      <c r="W2945" s="1" t="s">
        <v>91</v>
      </c>
      <c r="X2945" s="1" t="s">
        <v>2166</v>
      </c>
    </row>
    <row r="2946">
      <c r="A2946" s="1" t="s">
        <v>8830</v>
      </c>
      <c r="B2946" s="1" t="s">
        <v>931</v>
      </c>
      <c r="C2946" s="1" t="s">
        <v>8831</v>
      </c>
      <c r="D2946" s="1" t="s">
        <v>51</v>
      </c>
      <c r="E2946" s="1" t="s">
        <v>29</v>
      </c>
      <c r="F2946" s="5">
        <v>300000.0</v>
      </c>
      <c r="G2946" s="1" t="s">
        <v>7016</v>
      </c>
      <c r="H2946" s="1" t="s">
        <v>2994</v>
      </c>
      <c r="I2946" s="1" t="s">
        <v>96</v>
      </c>
      <c r="K2946" s="1">
        <v>0.0</v>
      </c>
      <c r="L2946" s="1" t="s">
        <v>1697</v>
      </c>
      <c r="M2946" s="1" t="str">
        <f>VLOOKUP(L2946,'Copy of PMD Workday Constants -'!B2945:W3631,22,false)</f>
        <v>#N/A</v>
      </c>
      <c r="N2946" s="1" t="s">
        <v>32</v>
      </c>
      <c r="O2946" s="1" t="s">
        <v>33</v>
      </c>
      <c r="P2946" s="1" t="s">
        <v>82</v>
      </c>
      <c r="Q2946" s="1" t="s">
        <v>82</v>
      </c>
      <c r="R2946" s="1" t="s">
        <v>83</v>
      </c>
      <c r="S2946" s="1" t="s">
        <v>84</v>
      </c>
      <c r="T2946" s="1">
        <v>1.00589728E8</v>
      </c>
      <c r="W2946" s="1" t="s">
        <v>85</v>
      </c>
      <c r="X2946" s="1" t="s">
        <v>1697</v>
      </c>
    </row>
    <row r="2947">
      <c r="A2947" s="1" t="s">
        <v>8832</v>
      </c>
      <c r="B2947" s="1" t="s">
        <v>800</v>
      </c>
      <c r="C2947" s="1" t="s">
        <v>8833</v>
      </c>
      <c r="D2947" s="1" t="s">
        <v>28</v>
      </c>
      <c r="E2947" s="1" t="s">
        <v>29</v>
      </c>
      <c r="F2947" s="5">
        <v>300000.0</v>
      </c>
      <c r="G2947" s="1" t="s">
        <v>7016</v>
      </c>
      <c r="H2947" s="1" t="s">
        <v>1575</v>
      </c>
      <c r="I2947" s="1" t="s">
        <v>80</v>
      </c>
      <c r="K2947" s="1">
        <v>0.0</v>
      </c>
      <c r="L2947" s="1" t="s">
        <v>435</v>
      </c>
      <c r="M2947" s="1" t="str">
        <f>VLOOKUP(L2947,'Copy of PMD Workday Constants -'!B2946:W3632,22,false)</f>
        <v>#N/A</v>
      </c>
      <c r="N2947" s="1" t="s">
        <v>32</v>
      </c>
      <c r="O2947" s="1" t="s">
        <v>33</v>
      </c>
      <c r="P2947" s="1" t="s">
        <v>64</v>
      </c>
      <c r="Q2947" s="1" t="s">
        <v>64</v>
      </c>
      <c r="R2947" s="1" t="s">
        <v>65</v>
      </c>
      <c r="S2947" s="1" t="s">
        <v>98</v>
      </c>
      <c r="T2947" s="1">
        <v>1.00653756E8</v>
      </c>
      <c r="W2947" s="1" t="s">
        <v>56</v>
      </c>
      <c r="X2947" s="1" t="s">
        <v>435</v>
      </c>
    </row>
    <row r="2948">
      <c r="A2948" s="1" t="s">
        <v>8834</v>
      </c>
      <c r="B2948" s="1" t="s">
        <v>8835</v>
      </c>
      <c r="C2948" s="1" t="s">
        <v>8836</v>
      </c>
      <c r="D2948" s="1" t="s">
        <v>28</v>
      </c>
      <c r="E2948" s="1" t="s">
        <v>29</v>
      </c>
      <c r="F2948" s="5">
        <v>300000.0</v>
      </c>
      <c r="G2948" s="1" t="s">
        <v>7016</v>
      </c>
      <c r="H2948" s="1" t="s">
        <v>2515</v>
      </c>
      <c r="I2948" s="1" t="s">
        <v>810</v>
      </c>
      <c r="K2948" s="1">
        <v>0.0</v>
      </c>
      <c r="L2948" s="1" t="s">
        <v>5184</v>
      </c>
      <c r="M2948" s="1" t="str">
        <f>VLOOKUP(L2948,'Copy of PMD Workday Constants -'!B2947:W3633,22,false)</f>
        <v>#N/A</v>
      </c>
      <c r="N2948" s="1" t="s">
        <v>32</v>
      </c>
      <c r="O2948" s="1" t="s">
        <v>33</v>
      </c>
      <c r="P2948" s="1" t="s">
        <v>64</v>
      </c>
      <c r="Q2948" s="1" t="s">
        <v>64</v>
      </c>
      <c r="R2948" s="1" t="s">
        <v>65</v>
      </c>
      <c r="S2948" s="1" t="s">
        <v>791</v>
      </c>
      <c r="T2948" s="1">
        <v>1.00568413E8</v>
      </c>
      <c r="X2948" s="1" t="s">
        <v>7801</v>
      </c>
    </row>
    <row r="2949">
      <c r="A2949" s="1" t="s">
        <v>8837</v>
      </c>
      <c r="B2949" s="1" t="s">
        <v>580</v>
      </c>
      <c r="C2949" s="1" t="s">
        <v>8838</v>
      </c>
      <c r="D2949" s="1" t="s">
        <v>28</v>
      </c>
      <c r="E2949" s="1" t="s">
        <v>29</v>
      </c>
      <c r="F2949" s="5">
        <v>300000.0</v>
      </c>
      <c r="G2949" s="1" t="s">
        <v>7016</v>
      </c>
      <c r="H2949" s="4">
        <v>44625.0</v>
      </c>
      <c r="I2949" s="1" t="s">
        <v>96</v>
      </c>
      <c r="K2949" s="1">
        <v>0.0</v>
      </c>
      <c r="L2949" s="1" t="s">
        <v>5734</v>
      </c>
      <c r="M2949" s="1" t="str">
        <f>VLOOKUP(L2949,'Copy of PMD Workday Constants -'!B2948:W3634,22,false)</f>
        <v>#N/A</v>
      </c>
      <c r="N2949" s="1" t="s">
        <v>32</v>
      </c>
      <c r="O2949" s="1" t="s">
        <v>33</v>
      </c>
      <c r="P2949" s="1" t="s">
        <v>173</v>
      </c>
      <c r="Q2949" s="1" t="s">
        <v>173</v>
      </c>
      <c r="R2949" s="1" t="s">
        <v>174</v>
      </c>
      <c r="S2949" s="1" t="s">
        <v>153</v>
      </c>
      <c r="T2949" s="1">
        <v>1.00648324E8</v>
      </c>
      <c r="W2949" s="1" t="s">
        <v>456</v>
      </c>
      <c r="X2949" s="1" t="s">
        <v>5735</v>
      </c>
    </row>
    <row r="2950">
      <c r="A2950" s="1" t="s">
        <v>8839</v>
      </c>
      <c r="B2950" s="1" t="s">
        <v>776</v>
      </c>
      <c r="C2950" s="1" t="s">
        <v>8840</v>
      </c>
      <c r="D2950" s="1" t="s">
        <v>28</v>
      </c>
      <c r="E2950" s="1" t="s">
        <v>29</v>
      </c>
      <c r="F2950" s="5">
        <v>300000.0</v>
      </c>
      <c r="G2950" s="1" t="s">
        <v>7016</v>
      </c>
      <c r="H2950" s="4">
        <v>44746.0</v>
      </c>
      <c r="I2950" s="1" t="s">
        <v>301</v>
      </c>
      <c r="K2950" s="1">
        <v>0.0</v>
      </c>
      <c r="L2950" s="1" t="s">
        <v>2546</v>
      </c>
      <c r="M2950" s="1" t="str">
        <f>VLOOKUP(L2950,'Copy of PMD Workday Constants -'!B2949:W3635,22,false)</f>
        <v>#N/A</v>
      </c>
      <c r="N2950" s="1" t="s">
        <v>32</v>
      </c>
      <c r="O2950" s="1" t="s">
        <v>33</v>
      </c>
      <c r="P2950" s="1" t="s">
        <v>173</v>
      </c>
      <c r="Q2950" s="1" t="s">
        <v>173</v>
      </c>
      <c r="R2950" s="1" t="s">
        <v>174</v>
      </c>
      <c r="T2950" s="1">
        <v>1.00628059E8</v>
      </c>
      <c r="W2950" s="1" t="s">
        <v>74</v>
      </c>
      <c r="X2950" s="1" t="s">
        <v>2546</v>
      </c>
    </row>
    <row r="2951">
      <c r="A2951" s="1" t="s">
        <v>8841</v>
      </c>
      <c r="B2951" s="1" t="s">
        <v>7439</v>
      </c>
      <c r="C2951" s="1" t="s">
        <v>8842</v>
      </c>
      <c r="D2951" s="1" t="s">
        <v>103</v>
      </c>
      <c r="E2951" s="1" t="s">
        <v>29</v>
      </c>
      <c r="F2951" s="5">
        <v>299000.0</v>
      </c>
      <c r="G2951" s="1" t="s">
        <v>7016</v>
      </c>
      <c r="H2951" s="1" t="s">
        <v>2837</v>
      </c>
      <c r="I2951" s="1" t="s">
        <v>248</v>
      </c>
      <c r="K2951" s="1">
        <v>0.0</v>
      </c>
      <c r="L2951" s="1" t="s">
        <v>1380</v>
      </c>
      <c r="M2951" s="1" t="str">
        <f>VLOOKUP(L2951,'Copy of PMD Workday Constants -'!B2950:W3636,22,false)</f>
        <v>#N/A</v>
      </c>
      <c r="N2951" s="1" t="s">
        <v>32</v>
      </c>
      <c r="O2951" s="1" t="s">
        <v>33</v>
      </c>
      <c r="P2951" s="1" t="s">
        <v>34</v>
      </c>
      <c r="Q2951" s="1" t="s">
        <v>34</v>
      </c>
      <c r="R2951" s="1" t="s">
        <v>35</v>
      </c>
      <c r="S2951" s="1" t="s">
        <v>126</v>
      </c>
      <c r="T2951" s="1">
        <v>1.00587434E8</v>
      </c>
      <c r="W2951" s="1" t="s">
        <v>47</v>
      </c>
      <c r="X2951" s="1" t="s">
        <v>1380</v>
      </c>
    </row>
    <row r="2952">
      <c r="A2952" s="1" t="s">
        <v>8843</v>
      </c>
      <c r="B2952" s="1" t="s">
        <v>5634</v>
      </c>
      <c r="C2952" s="1" t="s">
        <v>8844</v>
      </c>
      <c r="D2952" s="1" t="s">
        <v>79</v>
      </c>
      <c r="E2952" s="1" t="s">
        <v>29</v>
      </c>
      <c r="F2952" s="5">
        <v>298875.0</v>
      </c>
      <c r="G2952" s="1" t="s">
        <v>7016</v>
      </c>
      <c r="H2952" s="1" t="s">
        <v>865</v>
      </c>
      <c r="I2952" s="4">
        <v>44718.0</v>
      </c>
      <c r="K2952" s="1">
        <v>0.0</v>
      </c>
      <c r="L2952" s="1" t="s">
        <v>2655</v>
      </c>
      <c r="M2952" s="1" t="str">
        <f>VLOOKUP(L2952,'Copy of PMD Workday Constants -'!B2951:W3637,22,false)</f>
        <v>#N/A</v>
      </c>
      <c r="N2952" s="1" t="s">
        <v>32</v>
      </c>
      <c r="O2952" s="1" t="s">
        <v>33</v>
      </c>
      <c r="P2952" s="1" t="s">
        <v>210</v>
      </c>
      <c r="Q2952" s="1" t="s">
        <v>210</v>
      </c>
      <c r="R2952" s="1" t="s">
        <v>211</v>
      </c>
      <c r="S2952" s="1" t="s">
        <v>1313</v>
      </c>
      <c r="T2952" s="1">
        <v>1.0062606E8</v>
      </c>
      <c r="W2952" s="1" t="s">
        <v>436</v>
      </c>
      <c r="X2952" s="1" t="s">
        <v>2655</v>
      </c>
    </row>
    <row r="2953">
      <c r="A2953" s="1" t="s">
        <v>8845</v>
      </c>
      <c r="B2953" s="1" t="s">
        <v>6529</v>
      </c>
      <c r="C2953" s="1" t="s">
        <v>8846</v>
      </c>
      <c r="D2953" s="1" t="s">
        <v>51</v>
      </c>
      <c r="E2953" s="1" t="s">
        <v>29</v>
      </c>
      <c r="F2953" s="5">
        <v>298000.0</v>
      </c>
      <c r="G2953" s="1" t="s">
        <v>7016</v>
      </c>
      <c r="H2953" s="4">
        <v>44840.0</v>
      </c>
      <c r="I2953" s="1" t="s">
        <v>104</v>
      </c>
      <c r="K2953" s="1">
        <v>0.0</v>
      </c>
      <c r="L2953" s="1" t="s">
        <v>1075</v>
      </c>
      <c r="M2953" s="1" t="str">
        <f>VLOOKUP(L2953,'Copy of PMD Workday Constants -'!B2952:W3638,22,false)</f>
        <v>#N/A</v>
      </c>
      <c r="N2953" s="1" t="s">
        <v>32</v>
      </c>
      <c r="O2953" s="1" t="s">
        <v>33</v>
      </c>
      <c r="P2953" s="1" t="s">
        <v>34</v>
      </c>
      <c r="Q2953" s="1" t="s">
        <v>34</v>
      </c>
      <c r="R2953" s="1" t="s">
        <v>35</v>
      </c>
      <c r="T2953" s="1">
        <v>1.00601386E8</v>
      </c>
      <c r="W2953" s="1" t="s">
        <v>91</v>
      </c>
      <c r="X2953" s="1" t="s">
        <v>158</v>
      </c>
    </row>
    <row r="2954">
      <c r="A2954" s="1" t="s">
        <v>8847</v>
      </c>
      <c r="B2954" s="1" t="s">
        <v>8848</v>
      </c>
      <c r="C2954" s="1" t="s">
        <v>8849</v>
      </c>
      <c r="D2954" s="1" t="s">
        <v>79</v>
      </c>
      <c r="E2954" s="1" t="s">
        <v>29</v>
      </c>
      <c r="F2954" s="5">
        <v>295947.03</v>
      </c>
      <c r="G2954" s="1" t="s">
        <v>7016</v>
      </c>
      <c r="H2954" s="1" t="s">
        <v>2077</v>
      </c>
      <c r="I2954" s="4">
        <v>44780.0</v>
      </c>
      <c r="K2954" s="1">
        <v>0.0</v>
      </c>
      <c r="L2954" s="1" t="s">
        <v>8850</v>
      </c>
      <c r="M2954" s="1" t="str">
        <f>VLOOKUP(L2954,'Copy of PMD Workday Constants -'!B2953:W3639,22,false)</f>
        <v>#N/A</v>
      </c>
      <c r="N2954" s="1" t="s">
        <v>32</v>
      </c>
      <c r="O2954" s="1" t="s">
        <v>33</v>
      </c>
      <c r="P2954" s="1" t="s">
        <v>5253</v>
      </c>
      <c r="Q2954" s="1" t="s">
        <v>5253</v>
      </c>
      <c r="R2954" s="1" t="s">
        <v>223</v>
      </c>
      <c r="T2954" s="1">
        <v>1.01216124E8</v>
      </c>
      <c r="W2954" s="1" t="s">
        <v>147</v>
      </c>
      <c r="X2954" s="1" t="s">
        <v>8851</v>
      </c>
    </row>
    <row r="2955">
      <c r="A2955" s="1" t="s">
        <v>8852</v>
      </c>
      <c r="B2955" s="1" t="s">
        <v>324</v>
      </c>
      <c r="C2955" s="1" t="s">
        <v>8853</v>
      </c>
      <c r="D2955" s="1" t="s">
        <v>103</v>
      </c>
      <c r="E2955" s="1" t="s">
        <v>29</v>
      </c>
      <c r="F2955" s="5">
        <v>295000.0</v>
      </c>
      <c r="G2955" s="1" t="s">
        <v>7016</v>
      </c>
      <c r="H2955" s="1" t="s">
        <v>2062</v>
      </c>
      <c r="I2955" s="1" t="s">
        <v>699</v>
      </c>
      <c r="K2955" s="1">
        <v>0.0</v>
      </c>
      <c r="L2955" s="1" t="s">
        <v>4794</v>
      </c>
      <c r="M2955" s="1" t="str">
        <f>VLOOKUP(L2955,'Copy of PMD Workday Constants -'!B2954:W3640,22,false)</f>
        <v>#N/A</v>
      </c>
      <c r="N2955" s="1" t="s">
        <v>32</v>
      </c>
      <c r="O2955" s="1" t="s">
        <v>33</v>
      </c>
      <c r="P2955" s="1" t="s">
        <v>173</v>
      </c>
      <c r="Q2955" s="1" t="s">
        <v>173</v>
      </c>
      <c r="R2955" s="1" t="s">
        <v>174</v>
      </c>
      <c r="S2955" s="1" t="s">
        <v>1313</v>
      </c>
      <c r="T2955" s="1">
        <v>1.00875111E8</v>
      </c>
      <c r="W2955" s="1" t="s">
        <v>56</v>
      </c>
      <c r="X2955" s="1" t="s">
        <v>8854</v>
      </c>
    </row>
    <row r="2956">
      <c r="A2956" s="1" t="s">
        <v>8855</v>
      </c>
      <c r="B2956" s="1" t="s">
        <v>993</v>
      </c>
      <c r="C2956" s="1" t="s">
        <v>8856</v>
      </c>
      <c r="D2956" s="1" t="s">
        <v>51</v>
      </c>
      <c r="E2956" s="1" t="s">
        <v>29</v>
      </c>
      <c r="F2956" s="5">
        <v>295000.0</v>
      </c>
      <c r="G2956" s="1" t="s">
        <v>7016</v>
      </c>
      <c r="H2956" s="1" t="s">
        <v>537</v>
      </c>
      <c r="I2956" s="1" t="s">
        <v>302</v>
      </c>
      <c r="K2956" s="1">
        <v>0.0</v>
      </c>
      <c r="L2956" s="1" t="s">
        <v>2970</v>
      </c>
      <c r="M2956" s="1" t="str">
        <f>VLOOKUP(L2956,'Copy of PMD Workday Constants -'!B2955:W3641,22,false)</f>
        <v>#N/A</v>
      </c>
      <c r="N2956" s="1" t="s">
        <v>32</v>
      </c>
      <c r="O2956" s="1" t="s">
        <v>33</v>
      </c>
      <c r="P2956" s="1" t="s">
        <v>173</v>
      </c>
      <c r="Q2956" s="1" t="s">
        <v>173</v>
      </c>
      <c r="R2956" s="1" t="s">
        <v>174</v>
      </c>
      <c r="S2956" s="1" t="s">
        <v>126</v>
      </c>
      <c r="T2956" s="1">
        <v>1.00616377E8</v>
      </c>
      <c r="U2956" s="1" t="s">
        <v>8857</v>
      </c>
      <c r="V2956" s="1" t="s">
        <v>46</v>
      </c>
      <c r="W2956" s="1" t="s">
        <v>74</v>
      </c>
      <c r="X2956" s="1" t="s">
        <v>2970</v>
      </c>
    </row>
    <row r="2957">
      <c r="A2957" s="1" t="s">
        <v>8858</v>
      </c>
      <c r="B2957" s="1" t="s">
        <v>3615</v>
      </c>
      <c r="C2957" s="1" t="s">
        <v>8859</v>
      </c>
      <c r="D2957" s="1" t="s">
        <v>51</v>
      </c>
      <c r="E2957" s="1" t="s">
        <v>29</v>
      </c>
      <c r="F2957" s="5">
        <v>295000.0</v>
      </c>
      <c r="G2957" s="1" t="s">
        <v>7016</v>
      </c>
      <c r="H2957" s="1" t="s">
        <v>322</v>
      </c>
      <c r="I2957" s="1" t="s">
        <v>810</v>
      </c>
      <c r="K2957" s="1">
        <v>0.0</v>
      </c>
      <c r="L2957" s="1" t="s">
        <v>2699</v>
      </c>
      <c r="M2957" s="1" t="str">
        <f>VLOOKUP(L2957,'Copy of PMD Workday Constants -'!B2956:W3642,22,false)</f>
        <v>#N/A</v>
      </c>
      <c r="N2957" s="1" t="s">
        <v>32</v>
      </c>
      <c r="O2957" s="1" t="s">
        <v>33</v>
      </c>
      <c r="P2957" s="1" t="s">
        <v>34</v>
      </c>
      <c r="Q2957" s="1" t="s">
        <v>34</v>
      </c>
      <c r="R2957" s="1" t="s">
        <v>35</v>
      </c>
      <c r="S2957" s="1" t="s">
        <v>126</v>
      </c>
      <c r="T2957" s="1">
        <v>1.00610367E8</v>
      </c>
      <c r="W2957" s="1" t="s">
        <v>74</v>
      </c>
      <c r="X2957" s="1" t="s">
        <v>4671</v>
      </c>
    </row>
    <row r="2958">
      <c r="A2958" s="1" t="s">
        <v>8860</v>
      </c>
      <c r="B2958" s="1" t="s">
        <v>3343</v>
      </c>
      <c r="C2958" s="1" t="s">
        <v>8861</v>
      </c>
      <c r="D2958" s="1" t="s">
        <v>51</v>
      </c>
      <c r="E2958" s="1" t="s">
        <v>29</v>
      </c>
      <c r="F2958" s="5">
        <v>295000.0</v>
      </c>
      <c r="G2958" s="1" t="s">
        <v>7016</v>
      </c>
      <c r="H2958" s="4">
        <v>44810.0</v>
      </c>
      <c r="I2958" s="1" t="s">
        <v>96</v>
      </c>
      <c r="K2958" s="1">
        <v>0.0</v>
      </c>
      <c r="L2958" s="1" t="s">
        <v>3345</v>
      </c>
      <c r="M2958" s="1" t="str">
        <f>VLOOKUP(L2958,'Copy of PMD Workday Constants -'!B2957:W3643,22,false)</f>
        <v>#N/A</v>
      </c>
      <c r="N2958" s="1" t="s">
        <v>32</v>
      </c>
      <c r="O2958" s="1" t="s">
        <v>33</v>
      </c>
      <c r="P2958" s="1" t="s">
        <v>64</v>
      </c>
      <c r="Q2958" s="1" t="s">
        <v>64</v>
      </c>
      <c r="R2958" s="1" t="s">
        <v>65</v>
      </c>
      <c r="S2958" s="1" t="s">
        <v>791</v>
      </c>
      <c r="T2958" s="1">
        <v>1.0105484E8</v>
      </c>
      <c r="W2958" s="1" t="s">
        <v>140</v>
      </c>
      <c r="X2958" s="1" t="s">
        <v>3345</v>
      </c>
    </row>
    <row r="2959">
      <c r="A2959" s="1" t="s">
        <v>8862</v>
      </c>
      <c r="B2959" s="1" t="s">
        <v>5784</v>
      </c>
      <c r="C2959" s="1" t="s">
        <v>8863</v>
      </c>
      <c r="D2959" s="1" t="s">
        <v>28</v>
      </c>
      <c r="E2959" s="1" t="s">
        <v>29</v>
      </c>
      <c r="F2959" s="5">
        <v>295000.0</v>
      </c>
      <c r="G2959" s="1" t="s">
        <v>7016</v>
      </c>
      <c r="H2959" s="1" t="s">
        <v>243</v>
      </c>
      <c r="I2959" s="4">
        <v>44601.0</v>
      </c>
      <c r="K2959" s="1">
        <v>0.0</v>
      </c>
      <c r="L2959" s="1" t="s">
        <v>3345</v>
      </c>
      <c r="M2959" s="1" t="str">
        <f>VLOOKUP(L2959,'Copy of PMD Workday Constants -'!B2958:W3644,22,false)</f>
        <v>#N/A</v>
      </c>
      <c r="N2959" s="1" t="s">
        <v>32</v>
      </c>
      <c r="O2959" s="1" t="s">
        <v>33</v>
      </c>
      <c r="P2959" s="1" t="s">
        <v>64</v>
      </c>
      <c r="Q2959" s="1" t="s">
        <v>64</v>
      </c>
      <c r="R2959" s="1" t="s">
        <v>65</v>
      </c>
      <c r="S2959" s="1" t="s">
        <v>791</v>
      </c>
      <c r="T2959" s="1">
        <v>1.0105484E8</v>
      </c>
      <c r="W2959" s="1" t="s">
        <v>456</v>
      </c>
      <c r="X2959" s="1" t="s">
        <v>1016</v>
      </c>
    </row>
    <row r="2960">
      <c r="A2960" s="1" t="s">
        <v>8864</v>
      </c>
      <c r="B2960" s="1" t="s">
        <v>489</v>
      </c>
      <c r="C2960" s="1" t="s">
        <v>8865</v>
      </c>
      <c r="D2960" s="1" t="s">
        <v>103</v>
      </c>
      <c r="E2960" s="1" t="s">
        <v>29</v>
      </c>
      <c r="F2960" s="5">
        <v>295000.0</v>
      </c>
      <c r="G2960" s="1" t="s">
        <v>7016</v>
      </c>
      <c r="H2960" s="4">
        <v>44868.0</v>
      </c>
      <c r="I2960" s="1" t="s">
        <v>80</v>
      </c>
      <c r="K2960" s="1">
        <v>0.0</v>
      </c>
      <c r="L2960" s="1" t="s">
        <v>2356</v>
      </c>
      <c r="M2960" s="1" t="str">
        <f>VLOOKUP(L2960,'Copy of PMD Workday Constants -'!B2959:W3645,22,false)</f>
        <v>#N/A</v>
      </c>
      <c r="N2960" s="1" t="s">
        <v>32</v>
      </c>
      <c r="O2960" s="1" t="s">
        <v>33</v>
      </c>
      <c r="P2960" s="1" t="s">
        <v>173</v>
      </c>
      <c r="Q2960" s="1" t="s">
        <v>173</v>
      </c>
      <c r="R2960" s="1" t="s">
        <v>174</v>
      </c>
      <c r="S2960" s="1" t="s">
        <v>540</v>
      </c>
      <c r="T2960" s="1">
        <v>1.00620162E8</v>
      </c>
      <c r="W2960" s="1" t="s">
        <v>493</v>
      </c>
      <c r="X2960" s="1" t="s">
        <v>848</v>
      </c>
    </row>
    <row r="2961">
      <c r="A2961" s="1" t="s">
        <v>8866</v>
      </c>
      <c r="B2961" s="1" t="s">
        <v>756</v>
      </c>
      <c r="C2961" s="1" t="s">
        <v>8867</v>
      </c>
      <c r="D2961" s="1" t="s">
        <v>103</v>
      </c>
      <c r="E2961" s="1" t="s">
        <v>29</v>
      </c>
      <c r="F2961" s="5">
        <v>295000.0</v>
      </c>
      <c r="G2961" s="1" t="s">
        <v>7016</v>
      </c>
      <c r="H2961" s="1" t="s">
        <v>2837</v>
      </c>
      <c r="I2961" s="1" t="s">
        <v>80</v>
      </c>
      <c r="K2961" s="1">
        <v>0.0</v>
      </c>
      <c r="L2961" s="1" t="s">
        <v>8868</v>
      </c>
      <c r="M2961" s="1" t="str">
        <f>VLOOKUP(L2961,'Copy of PMD Workday Constants -'!B2960:W3646,22,false)</f>
        <v>#N/A</v>
      </c>
      <c r="N2961" s="1" t="s">
        <v>32</v>
      </c>
      <c r="O2961" s="1" t="s">
        <v>33</v>
      </c>
      <c r="P2961" s="1" t="s">
        <v>222</v>
      </c>
      <c r="Q2961" s="1" t="s">
        <v>222</v>
      </c>
      <c r="R2961" s="1" t="s">
        <v>223</v>
      </c>
      <c r="S2961" s="1" t="s">
        <v>482</v>
      </c>
      <c r="T2961" s="1">
        <v>1.00612509E8</v>
      </c>
      <c r="W2961" s="1" t="s">
        <v>74</v>
      </c>
      <c r="X2961" s="1" t="s">
        <v>8869</v>
      </c>
    </row>
    <row r="2962">
      <c r="A2962" s="1" t="s">
        <v>8870</v>
      </c>
      <c r="B2962" s="1" t="s">
        <v>8871</v>
      </c>
      <c r="C2962" s="1" t="s">
        <v>8872</v>
      </c>
      <c r="D2962" s="1" t="s">
        <v>103</v>
      </c>
      <c r="E2962" s="1" t="s">
        <v>29</v>
      </c>
      <c r="F2962" s="5">
        <v>294943.82</v>
      </c>
      <c r="G2962" s="1" t="s">
        <v>7016</v>
      </c>
      <c r="H2962" s="1" t="s">
        <v>727</v>
      </c>
      <c r="I2962" s="1" t="s">
        <v>1349</v>
      </c>
      <c r="K2962" s="1">
        <v>0.0</v>
      </c>
      <c r="L2962" s="1" t="s">
        <v>7847</v>
      </c>
      <c r="M2962" s="1" t="str">
        <f>VLOOKUP(L2962,'Copy of PMD Workday Constants -'!B2961:W3647,22,false)</f>
        <v>#N/A</v>
      </c>
      <c r="N2962" s="1" t="s">
        <v>32</v>
      </c>
      <c r="O2962" s="1" t="s">
        <v>33</v>
      </c>
      <c r="P2962" s="1" t="s">
        <v>5253</v>
      </c>
      <c r="Q2962" s="1" t="s">
        <v>5253</v>
      </c>
      <c r="R2962" s="1" t="s">
        <v>113</v>
      </c>
      <c r="S2962" s="1" t="s">
        <v>1336</v>
      </c>
      <c r="T2962" s="1">
        <v>1.0065052E8</v>
      </c>
      <c r="W2962" s="1" t="s">
        <v>287</v>
      </c>
      <c r="X2962" s="1" t="s">
        <v>7847</v>
      </c>
    </row>
    <row r="2963">
      <c r="A2963" s="1" t="s">
        <v>8873</v>
      </c>
      <c r="B2963" s="1" t="s">
        <v>1667</v>
      </c>
      <c r="C2963" s="1" t="s">
        <v>8874</v>
      </c>
      <c r="D2963" s="1" t="s">
        <v>103</v>
      </c>
      <c r="E2963" s="1" t="s">
        <v>29</v>
      </c>
      <c r="F2963" s="5">
        <v>290000.0</v>
      </c>
      <c r="G2963" s="1" t="s">
        <v>7016</v>
      </c>
      <c r="H2963" s="1" t="s">
        <v>5241</v>
      </c>
      <c r="I2963" s="1" t="s">
        <v>104</v>
      </c>
      <c r="K2963" s="1">
        <v>0.0</v>
      </c>
      <c r="L2963" s="1" t="s">
        <v>428</v>
      </c>
      <c r="M2963" s="1" t="str">
        <f>VLOOKUP(L2963,'Copy of PMD Workday Constants -'!B2962:W3648,22,false)</f>
        <v>#N/A</v>
      </c>
      <c r="N2963" s="1" t="s">
        <v>32</v>
      </c>
      <c r="O2963" s="1" t="s">
        <v>33</v>
      </c>
      <c r="P2963" s="1" t="s">
        <v>173</v>
      </c>
      <c r="Q2963" s="1" t="s">
        <v>173</v>
      </c>
      <c r="R2963" s="1" t="s">
        <v>174</v>
      </c>
      <c r="T2963" s="1">
        <v>1.00654085E8</v>
      </c>
      <c r="W2963" s="1" t="s">
        <v>85</v>
      </c>
      <c r="X2963" s="1" t="s">
        <v>5970</v>
      </c>
    </row>
    <row r="2964">
      <c r="A2964" s="1" t="s">
        <v>8875</v>
      </c>
      <c r="B2964" s="1" t="s">
        <v>1667</v>
      </c>
      <c r="C2964" s="1" t="s">
        <v>8876</v>
      </c>
      <c r="D2964" s="1" t="s">
        <v>51</v>
      </c>
      <c r="E2964" s="1" t="s">
        <v>29</v>
      </c>
      <c r="F2964" s="5">
        <v>290000.0</v>
      </c>
      <c r="G2964" s="1" t="s">
        <v>7016</v>
      </c>
      <c r="H2964" s="1" t="s">
        <v>3443</v>
      </c>
      <c r="I2964" s="1" t="s">
        <v>152</v>
      </c>
      <c r="K2964" s="1">
        <v>0.0</v>
      </c>
      <c r="L2964" s="1" t="s">
        <v>2275</v>
      </c>
      <c r="M2964" s="1" t="str">
        <f>VLOOKUP(L2964,'Copy of PMD Workday Constants -'!B2963:W3649,22,false)</f>
        <v>#N/A</v>
      </c>
      <c r="N2964" s="1" t="s">
        <v>32</v>
      </c>
      <c r="O2964" s="1" t="s">
        <v>33</v>
      </c>
      <c r="P2964" s="1" t="s">
        <v>173</v>
      </c>
      <c r="Q2964" s="1" t="s">
        <v>173</v>
      </c>
      <c r="R2964" s="1" t="s">
        <v>174</v>
      </c>
      <c r="T2964" s="1">
        <v>1.00650783E8</v>
      </c>
      <c r="W2964" s="1" t="s">
        <v>85</v>
      </c>
      <c r="X2964" s="1" t="s">
        <v>5970</v>
      </c>
    </row>
    <row r="2965">
      <c r="A2965" s="1" t="s">
        <v>8877</v>
      </c>
      <c r="B2965" s="1" t="s">
        <v>5315</v>
      </c>
      <c r="C2965" s="1" t="s">
        <v>8878</v>
      </c>
      <c r="D2965" s="1" t="s">
        <v>103</v>
      </c>
      <c r="E2965" s="1" t="s">
        <v>29</v>
      </c>
      <c r="F2965" s="5">
        <v>290000.0</v>
      </c>
      <c r="G2965" s="1" t="s">
        <v>7016</v>
      </c>
      <c r="H2965" s="1" t="s">
        <v>698</v>
      </c>
      <c r="I2965" s="1" t="s">
        <v>80</v>
      </c>
      <c r="K2965" s="1">
        <v>0.0</v>
      </c>
      <c r="L2965" s="1" t="s">
        <v>5317</v>
      </c>
      <c r="M2965" s="1" t="str">
        <f>VLOOKUP(L2965,'Copy of PMD Workday Constants -'!B2964:W3650,22,false)</f>
        <v>#N/A</v>
      </c>
      <c r="N2965" s="1" t="s">
        <v>32</v>
      </c>
      <c r="O2965" s="1" t="s">
        <v>33</v>
      </c>
      <c r="P2965" s="1" t="s">
        <v>112</v>
      </c>
      <c r="Q2965" s="1" t="s">
        <v>112</v>
      </c>
      <c r="R2965" s="1" t="s">
        <v>113</v>
      </c>
      <c r="T2965" s="1">
        <v>1.00569225E8</v>
      </c>
      <c r="W2965" s="1" t="s">
        <v>533</v>
      </c>
      <c r="X2965" s="1" t="s">
        <v>5318</v>
      </c>
    </row>
    <row r="2966">
      <c r="A2966" s="1" t="s">
        <v>8879</v>
      </c>
      <c r="B2966" s="1" t="s">
        <v>787</v>
      </c>
      <c r="C2966" s="1" t="s">
        <v>8880</v>
      </c>
      <c r="D2966" s="1" t="s">
        <v>28</v>
      </c>
      <c r="E2966" s="1" t="s">
        <v>29</v>
      </c>
      <c r="F2966" s="5">
        <v>288600.0</v>
      </c>
      <c r="G2966" s="1" t="s">
        <v>7016</v>
      </c>
      <c r="H2966" s="4">
        <v>44777.0</v>
      </c>
      <c r="I2966" s="4">
        <v>44840.0</v>
      </c>
      <c r="K2966" s="1">
        <v>0.0</v>
      </c>
      <c r="L2966" s="1" t="s">
        <v>1308</v>
      </c>
      <c r="M2966" s="1" t="str">
        <f>VLOOKUP(L2966,'Copy of PMD Workday Constants -'!B2965:W3651,22,false)</f>
        <v>#N/A</v>
      </c>
      <c r="N2966" s="1" t="s">
        <v>32</v>
      </c>
      <c r="O2966" s="1" t="s">
        <v>33</v>
      </c>
      <c r="P2966" s="1" t="s">
        <v>173</v>
      </c>
      <c r="Q2966" s="1" t="s">
        <v>173</v>
      </c>
      <c r="R2966" s="1" t="s">
        <v>174</v>
      </c>
      <c r="S2966" s="1" t="s">
        <v>791</v>
      </c>
      <c r="T2966" s="1">
        <v>1.00653074E8</v>
      </c>
      <c r="W2966" s="1" t="s">
        <v>456</v>
      </c>
      <c r="X2966" s="1" t="s">
        <v>7831</v>
      </c>
    </row>
    <row r="2967">
      <c r="A2967" s="1" t="s">
        <v>8881</v>
      </c>
      <c r="B2967" s="1" t="s">
        <v>1062</v>
      </c>
      <c r="C2967" s="1" t="s">
        <v>8882</v>
      </c>
      <c r="D2967" s="1" t="s">
        <v>51</v>
      </c>
      <c r="E2967" s="1" t="s">
        <v>29</v>
      </c>
      <c r="F2967" s="5">
        <v>288000.0</v>
      </c>
      <c r="G2967" s="1" t="s">
        <v>7016</v>
      </c>
      <c r="H2967" s="1" t="s">
        <v>3028</v>
      </c>
      <c r="I2967" s="1" t="s">
        <v>2593</v>
      </c>
      <c r="K2967" s="1">
        <v>0.0</v>
      </c>
      <c r="L2967" s="1" t="s">
        <v>2356</v>
      </c>
      <c r="M2967" s="1" t="str">
        <f>VLOOKUP(L2967,'Copy of PMD Workday Constants -'!B2966:W3652,22,false)</f>
        <v>#N/A</v>
      </c>
      <c r="N2967" s="1" t="s">
        <v>32</v>
      </c>
      <c r="O2967" s="1" t="s">
        <v>33</v>
      </c>
      <c r="P2967" s="1" t="s">
        <v>173</v>
      </c>
      <c r="Q2967" s="1" t="s">
        <v>173</v>
      </c>
      <c r="R2967" s="1" t="s">
        <v>174</v>
      </c>
      <c r="S2967" s="1" t="s">
        <v>540</v>
      </c>
      <c r="T2967" s="1">
        <v>1.00620162E8</v>
      </c>
      <c r="W2967" s="1" t="s">
        <v>493</v>
      </c>
      <c r="X2967" s="1" t="s">
        <v>8883</v>
      </c>
    </row>
    <row r="2968">
      <c r="A2968" s="1" t="s">
        <v>8884</v>
      </c>
      <c r="B2968" s="1" t="s">
        <v>8885</v>
      </c>
      <c r="C2968" s="1" t="s">
        <v>8886</v>
      </c>
      <c r="D2968" s="1" t="s">
        <v>28</v>
      </c>
      <c r="E2968" s="1" t="s">
        <v>29</v>
      </c>
      <c r="F2968" s="5">
        <v>288000.0</v>
      </c>
      <c r="G2968" s="1" t="s">
        <v>7016</v>
      </c>
      <c r="H2968" s="1" t="s">
        <v>7496</v>
      </c>
      <c r="I2968" s="1" t="s">
        <v>80</v>
      </c>
      <c r="K2968" s="1">
        <v>0.0</v>
      </c>
      <c r="L2968" s="1" t="s">
        <v>7276</v>
      </c>
      <c r="M2968" s="1" t="str">
        <f>VLOOKUP(L2968,'Copy of PMD Workday Constants -'!B2967:W3653,22,false)</f>
        <v>#N/A</v>
      </c>
      <c r="N2968" s="1" t="s">
        <v>32</v>
      </c>
      <c r="O2968" s="1" t="s">
        <v>33</v>
      </c>
      <c r="P2968" s="1" t="s">
        <v>64</v>
      </c>
      <c r="Q2968" s="1" t="s">
        <v>64</v>
      </c>
      <c r="R2968" s="1" t="s">
        <v>65</v>
      </c>
      <c r="S2968" s="1" t="s">
        <v>1336</v>
      </c>
      <c r="T2968" s="1">
        <v>1.00587219E8</v>
      </c>
      <c r="W2968" s="1" t="s">
        <v>140</v>
      </c>
      <c r="X2968" s="1" t="s">
        <v>8887</v>
      </c>
    </row>
    <row r="2969">
      <c r="A2969" s="1" t="s">
        <v>8888</v>
      </c>
      <c r="B2969" s="1" t="s">
        <v>2333</v>
      </c>
      <c r="C2969" s="1" t="s">
        <v>8889</v>
      </c>
      <c r="D2969" s="1" t="s">
        <v>51</v>
      </c>
      <c r="E2969" s="1" t="s">
        <v>29</v>
      </c>
      <c r="F2969" s="5">
        <v>287500.0</v>
      </c>
      <c r="G2969" s="1" t="s">
        <v>7016</v>
      </c>
      <c r="H2969" s="1" t="s">
        <v>8890</v>
      </c>
      <c r="I2969" s="1" t="s">
        <v>414</v>
      </c>
      <c r="K2969" s="1">
        <v>0.0</v>
      </c>
      <c r="L2969" s="1" t="s">
        <v>2163</v>
      </c>
      <c r="M2969" s="1" t="str">
        <f>VLOOKUP(L2969,'Copy of PMD Workday Constants -'!B2968:W3654,22,false)</f>
        <v>#N/A</v>
      </c>
      <c r="N2969" s="1" t="s">
        <v>32</v>
      </c>
      <c r="O2969" s="1" t="s">
        <v>33</v>
      </c>
      <c r="P2969" s="1" t="s">
        <v>210</v>
      </c>
      <c r="Q2969" s="1" t="s">
        <v>210</v>
      </c>
      <c r="R2969" s="1" t="s">
        <v>211</v>
      </c>
      <c r="S2969" s="1" t="s">
        <v>297</v>
      </c>
      <c r="T2969" s="1">
        <v>1.00608366E8</v>
      </c>
      <c r="W2969" s="1" t="s">
        <v>258</v>
      </c>
      <c r="X2969" s="1" t="s">
        <v>2163</v>
      </c>
    </row>
    <row r="2970">
      <c r="A2970" s="1" t="s">
        <v>8891</v>
      </c>
      <c r="B2970" s="1" t="s">
        <v>143</v>
      </c>
      <c r="C2970" s="1" t="s">
        <v>8892</v>
      </c>
      <c r="D2970" s="1" t="s">
        <v>79</v>
      </c>
      <c r="E2970" s="1" t="s">
        <v>29</v>
      </c>
      <c r="F2970" s="5">
        <v>287000.0</v>
      </c>
      <c r="G2970" s="1" t="s">
        <v>7016</v>
      </c>
      <c r="H2970" s="1" t="s">
        <v>1708</v>
      </c>
      <c r="I2970" s="1" t="s">
        <v>248</v>
      </c>
      <c r="K2970" s="1">
        <v>0.0</v>
      </c>
      <c r="L2970" s="1" t="s">
        <v>3948</v>
      </c>
      <c r="M2970" s="1" t="str">
        <f>VLOOKUP(L2970,'Copy of PMD Workday Constants -'!B2969:W3655,22,false)</f>
        <v>#N/A</v>
      </c>
      <c r="N2970" s="1" t="s">
        <v>32</v>
      </c>
      <c r="O2970" s="1" t="s">
        <v>33</v>
      </c>
      <c r="P2970" s="1" t="s">
        <v>112</v>
      </c>
      <c r="Q2970" s="1" t="s">
        <v>112</v>
      </c>
      <c r="R2970" s="1" t="s">
        <v>113</v>
      </c>
      <c r="S2970" s="1" t="s">
        <v>114</v>
      </c>
      <c r="T2970" s="1">
        <v>1.00627224E8</v>
      </c>
      <c r="W2970" s="1" t="s">
        <v>147</v>
      </c>
      <c r="X2970" s="1" t="s">
        <v>7419</v>
      </c>
    </row>
    <row r="2971">
      <c r="A2971" s="1" t="s">
        <v>8893</v>
      </c>
      <c r="B2971" s="1" t="s">
        <v>756</v>
      </c>
      <c r="C2971" s="1" t="s">
        <v>8894</v>
      </c>
      <c r="D2971" s="1" t="s">
        <v>79</v>
      </c>
      <c r="E2971" s="1" t="s">
        <v>29</v>
      </c>
      <c r="F2971" s="5">
        <v>286200.0</v>
      </c>
      <c r="G2971" s="1" t="s">
        <v>7016</v>
      </c>
      <c r="H2971" s="1" t="s">
        <v>2360</v>
      </c>
      <c r="I2971" s="1" t="s">
        <v>152</v>
      </c>
      <c r="K2971" s="1">
        <v>0.0</v>
      </c>
      <c r="L2971" s="1" t="s">
        <v>6744</v>
      </c>
      <c r="M2971" s="1" t="str">
        <f>VLOOKUP(L2971,'Copy of PMD Workday Constants -'!B2970:W3656,22,false)</f>
        <v>#N/A</v>
      </c>
      <c r="N2971" s="1" t="s">
        <v>32</v>
      </c>
      <c r="O2971" s="1" t="s">
        <v>33</v>
      </c>
      <c r="P2971" s="1" t="s">
        <v>173</v>
      </c>
      <c r="Q2971" s="1" t="s">
        <v>173</v>
      </c>
      <c r="R2971" s="1" t="s">
        <v>174</v>
      </c>
      <c r="T2971" s="1">
        <v>1.00599152E8</v>
      </c>
      <c r="W2971" s="1" t="s">
        <v>74</v>
      </c>
      <c r="X2971" s="1" t="s">
        <v>6773</v>
      </c>
    </row>
    <row r="2972">
      <c r="A2972" s="1" t="s">
        <v>8895</v>
      </c>
      <c r="B2972" s="1" t="s">
        <v>776</v>
      </c>
      <c r="C2972" s="1" t="s">
        <v>8896</v>
      </c>
      <c r="D2972" s="1" t="s">
        <v>103</v>
      </c>
      <c r="E2972" s="1" t="s">
        <v>29</v>
      </c>
      <c r="F2972" s="5">
        <v>285000.0</v>
      </c>
      <c r="G2972" s="1" t="s">
        <v>7016</v>
      </c>
      <c r="H2972" s="1" t="s">
        <v>778</v>
      </c>
      <c r="I2972" s="1" t="s">
        <v>301</v>
      </c>
      <c r="K2972" s="1">
        <v>0.0</v>
      </c>
      <c r="L2972" s="1" t="s">
        <v>8868</v>
      </c>
      <c r="M2972" s="1" t="str">
        <f>VLOOKUP(L2972,'Copy of PMD Workday Constants -'!B2971:W3657,22,false)</f>
        <v>#N/A</v>
      </c>
      <c r="N2972" s="1" t="s">
        <v>32</v>
      </c>
      <c r="O2972" s="1" t="s">
        <v>33</v>
      </c>
      <c r="P2972" s="1" t="s">
        <v>222</v>
      </c>
      <c r="Q2972" s="1" t="s">
        <v>222</v>
      </c>
      <c r="R2972" s="1" t="s">
        <v>223</v>
      </c>
      <c r="S2972" s="1" t="s">
        <v>601</v>
      </c>
      <c r="T2972" s="1">
        <v>1.00612509E8</v>
      </c>
      <c r="W2972" s="1" t="s">
        <v>74</v>
      </c>
      <c r="X2972" s="1" t="s">
        <v>8897</v>
      </c>
    </row>
    <row r="2973">
      <c r="A2973" s="1" t="s">
        <v>8898</v>
      </c>
      <c r="B2973" s="1" t="s">
        <v>8899</v>
      </c>
      <c r="C2973" s="1" t="s">
        <v>8900</v>
      </c>
      <c r="D2973" s="1" t="s">
        <v>103</v>
      </c>
      <c r="E2973" s="1" t="s">
        <v>29</v>
      </c>
      <c r="F2973" s="5">
        <v>285000.0</v>
      </c>
      <c r="G2973" s="1" t="s">
        <v>7016</v>
      </c>
      <c r="H2973" s="4">
        <v>44776.0</v>
      </c>
      <c r="I2973" s="1" t="s">
        <v>80</v>
      </c>
      <c r="K2973" s="1">
        <v>0.0</v>
      </c>
      <c r="L2973" s="1" t="s">
        <v>1770</v>
      </c>
      <c r="M2973" s="1" t="str">
        <f>VLOOKUP(L2973,'Copy of PMD Workday Constants -'!B2972:W3658,22,false)</f>
        <v>#N/A</v>
      </c>
      <c r="N2973" s="1" t="s">
        <v>32</v>
      </c>
      <c r="O2973" s="1" t="s">
        <v>33</v>
      </c>
      <c r="P2973" s="1" t="s">
        <v>210</v>
      </c>
      <c r="Q2973" s="1" t="s">
        <v>210</v>
      </c>
      <c r="R2973" s="1" t="s">
        <v>211</v>
      </c>
      <c r="S2973" s="1" t="s">
        <v>1313</v>
      </c>
      <c r="T2973" s="1">
        <v>1.00593918E8</v>
      </c>
      <c r="W2973" s="1" t="s">
        <v>56</v>
      </c>
      <c r="X2973" s="1" t="s">
        <v>5098</v>
      </c>
    </row>
    <row r="2974">
      <c r="A2974" s="1" t="s">
        <v>8901</v>
      </c>
      <c r="B2974" s="1" t="s">
        <v>4911</v>
      </c>
      <c r="C2974" s="1" t="s">
        <v>8902</v>
      </c>
      <c r="D2974" s="1" t="s">
        <v>103</v>
      </c>
      <c r="E2974" s="1" t="s">
        <v>29</v>
      </c>
      <c r="F2974" s="5">
        <v>285000.0</v>
      </c>
      <c r="G2974" s="1" t="s">
        <v>7016</v>
      </c>
      <c r="H2974" s="4">
        <v>44901.0</v>
      </c>
      <c r="I2974" s="1" t="s">
        <v>96</v>
      </c>
      <c r="K2974" s="1">
        <v>0.0</v>
      </c>
      <c r="L2974" s="1" t="s">
        <v>3345</v>
      </c>
      <c r="M2974" s="1" t="str">
        <f>VLOOKUP(L2974,'Copy of PMD Workday Constants -'!B2973:W3659,22,false)</f>
        <v>#N/A</v>
      </c>
      <c r="N2974" s="1" t="s">
        <v>32</v>
      </c>
      <c r="O2974" s="1" t="s">
        <v>33</v>
      </c>
      <c r="P2974" s="1" t="s">
        <v>64</v>
      </c>
      <c r="Q2974" s="1" t="s">
        <v>64</v>
      </c>
      <c r="R2974" s="1" t="s">
        <v>65</v>
      </c>
      <c r="S2974" s="1" t="s">
        <v>791</v>
      </c>
      <c r="T2974" s="1">
        <v>1.0105484E8</v>
      </c>
      <c r="W2974" s="1" t="s">
        <v>456</v>
      </c>
      <c r="X2974" s="1" t="s">
        <v>3345</v>
      </c>
    </row>
    <row r="2975">
      <c r="A2975" s="1" t="s">
        <v>8903</v>
      </c>
      <c r="B2975" s="1" t="s">
        <v>3557</v>
      </c>
      <c r="C2975" s="1" t="s">
        <v>8904</v>
      </c>
      <c r="D2975" s="1" t="s">
        <v>79</v>
      </c>
      <c r="E2975" s="1" t="s">
        <v>29</v>
      </c>
      <c r="F2975" s="5">
        <v>285000.0</v>
      </c>
      <c r="G2975" s="1" t="s">
        <v>7016</v>
      </c>
      <c r="H2975" s="4">
        <v>44717.0</v>
      </c>
      <c r="I2975" s="1" t="s">
        <v>248</v>
      </c>
      <c r="K2975" s="1">
        <v>0.0</v>
      </c>
      <c r="L2975" s="1" t="s">
        <v>4323</v>
      </c>
      <c r="M2975" s="1" t="str">
        <f>VLOOKUP(L2975,'Copy of PMD Workday Constants -'!B2974:W3660,22,false)</f>
        <v>#N/A</v>
      </c>
      <c r="N2975" s="1" t="s">
        <v>32</v>
      </c>
      <c r="O2975" s="1" t="s">
        <v>33</v>
      </c>
      <c r="P2975" s="1" t="s">
        <v>112</v>
      </c>
      <c r="Q2975" s="1" t="s">
        <v>112</v>
      </c>
      <c r="R2975" s="1" t="s">
        <v>113</v>
      </c>
      <c r="S2975" s="1" t="s">
        <v>114</v>
      </c>
      <c r="T2975" s="1">
        <v>1.0062141E8</v>
      </c>
      <c r="W2975" s="1" t="s">
        <v>140</v>
      </c>
      <c r="X2975" s="1" t="s">
        <v>1345</v>
      </c>
    </row>
    <row r="2976">
      <c r="A2976" s="1" t="s">
        <v>8905</v>
      </c>
      <c r="B2976" s="1" t="s">
        <v>8906</v>
      </c>
      <c r="C2976" s="1" t="s">
        <v>8907</v>
      </c>
      <c r="D2976" s="1" t="s">
        <v>28</v>
      </c>
      <c r="E2976" s="1" t="s">
        <v>29</v>
      </c>
      <c r="F2976" s="5">
        <v>280000.0</v>
      </c>
      <c r="G2976" s="1" t="s">
        <v>7016</v>
      </c>
      <c r="H2976" s="4">
        <v>44718.0</v>
      </c>
      <c r="I2976" s="1" t="s">
        <v>941</v>
      </c>
      <c r="K2976" s="1">
        <v>0.0</v>
      </c>
      <c r="L2976" s="1" t="s">
        <v>3480</v>
      </c>
      <c r="M2976" s="1" t="str">
        <f>VLOOKUP(L2976,'Copy of PMD Workday Constants -'!B2975:W3661,22,false)</f>
        <v>#N/A</v>
      </c>
      <c r="N2976" s="1" t="s">
        <v>32</v>
      </c>
      <c r="O2976" s="1" t="s">
        <v>33</v>
      </c>
      <c r="P2976" s="1" t="s">
        <v>112</v>
      </c>
      <c r="Q2976" s="1" t="s">
        <v>112</v>
      </c>
      <c r="R2976" s="1" t="s">
        <v>113</v>
      </c>
      <c r="S2976" s="1" t="s">
        <v>307</v>
      </c>
      <c r="T2976" s="1">
        <v>1.00628223E8</v>
      </c>
      <c r="U2976" s="1" t="s">
        <v>8908</v>
      </c>
      <c r="V2976" s="1" t="s">
        <v>781</v>
      </c>
      <c r="W2976" s="1" t="s">
        <v>391</v>
      </c>
      <c r="X2976" s="1" t="s">
        <v>8909</v>
      </c>
    </row>
    <row r="2977">
      <c r="A2977" s="1" t="s">
        <v>8910</v>
      </c>
      <c r="B2977" s="1" t="s">
        <v>776</v>
      </c>
      <c r="C2977" s="1" t="s">
        <v>8911</v>
      </c>
      <c r="D2977" s="1" t="s">
        <v>79</v>
      </c>
      <c r="E2977" s="1" t="s">
        <v>29</v>
      </c>
      <c r="F2977" s="5">
        <v>280000.0</v>
      </c>
      <c r="G2977" s="1" t="s">
        <v>7016</v>
      </c>
      <c r="H2977" s="1" t="s">
        <v>1064</v>
      </c>
      <c r="I2977" s="1" t="s">
        <v>80</v>
      </c>
      <c r="K2977" s="1">
        <v>0.0</v>
      </c>
      <c r="L2977" s="1" t="s">
        <v>779</v>
      </c>
      <c r="M2977" s="1" t="str">
        <f>VLOOKUP(L2977,'Copy of PMD Workday Constants -'!B2976:W3662,22,false)</f>
        <v>#N/A</v>
      </c>
      <c r="N2977" s="1" t="s">
        <v>32</v>
      </c>
      <c r="O2977" s="1" t="s">
        <v>33</v>
      </c>
      <c r="P2977" s="1" t="s">
        <v>222</v>
      </c>
      <c r="Q2977" s="1" t="s">
        <v>222</v>
      </c>
      <c r="R2977" s="1" t="s">
        <v>223</v>
      </c>
      <c r="S2977" s="1" t="s">
        <v>601</v>
      </c>
      <c r="T2977" s="1">
        <v>1.0061139E8</v>
      </c>
      <c r="U2977" s="1" t="s">
        <v>8912</v>
      </c>
      <c r="V2977" s="1" t="s">
        <v>781</v>
      </c>
      <c r="W2977" s="1" t="s">
        <v>74</v>
      </c>
      <c r="X2977" s="1" t="s">
        <v>4184</v>
      </c>
    </row>
    <row r="2978">
      <c r="A2978" s="1" t="s">
        <v>8913</v>
      </c>
      <c r="B2978" s="1" t="s">
        <v>776</v>
      </c>
      <c r="C2978" s="1" t="s">
        <v>8914</v>
      </c>
      <c r="D2978" s="1" t="s">
        <v>79</v>
      </c>
      <c r="E2978" s="1" t="s">
        <v>29</v>
      </c>
      <c r="F2978" s="5">
        <v>277600.0</v>
      </c>
      <c r="G2978" s="1" t="s">
        <v>7016</v>
      </c>
      <c r="H2978" s="1" t="s">
        <v>2077</v>
      </c>
      <c r="I2978" s="1" t="s">
        <v>80</v>
      </c>
      <c r="K2978" s="1">
        <v>0.0</v>
      </c>
      <c r="L2978" s="1" t="s">
        <v>779</v>
      </c>
      <c r="M2978" s="1" t="str">
        <f>VLOOKUP(L2978,'Copy of PMD Workday Constants -'!B2977:W3663,22,false)</f>
        <v>#N/A</v>
      </c>
      <c r="N2978" s="1" t="s">
        <v>32</v>
      </c>
      <c r="O2978" s="1" t="s">
        <v>33</v>
      </c>
      <c r="P2978" s="1" t="s">
        <v>222</v>
      </c>
      <c r="Q2978" s="1" t="s">
        <v>222</v>
      </c>
      <c r="R2978" s="1" t="s">
        <v>223</v>
      </c>
      <c r="S2978" s="1" t="s">
        <v>601</v>
      </c>
      <c r="T2978" s="1">
        <v>1.0061139E8</v>
      </c>
      <c r="U2978" s="1" t="s">
        <v>8915</v>
      </c>
      <c r="V2978" s="1" t="s">
        <v>781</v>
      </c>
      <c r="W2978" s="1" t="s">
        <v>74</v>
      </c>
      <c r="X2978" s="1" t="s">
        <v>4184</v>
      </c>
    </row>
    <row r="2979">
      <c r="A2979" s="1" t="s">
        <v>8916</v>
      </c>
      <c r="B2979" s="1" t="s">
        <v>756</v>
      </c>
      <c r="C2979" s="1" t="s">
        <v>8917</v>
      </c>
      <c r="D2979" s="1" t="s">
        <v>51</v>
      </c>
      <c r="E2979" s="1" t="s">
        <v>29</v>
      </c>
      <c r="F2979" s="5">
        <v>275000.0</v>
      </c>
      <c r="G2979" s="1" t="s">
        <v>7016</v>
      </c>
      <c r="H2979" s="4">
        <v>44775.0</v>
      </c>
      <c r="I2979" s="1" t="s">
        <v>104</v>
      </c>
      <c r="K2979" s="1">
        <v>0.0</v>
      </c>
      <c r="L2979" s="1" t="s">
        <v>963</v>
      </c>
      <c r="M2979" s="1" t="str">
        <f>VLOOKUP(L2979,'Copy of PMD Workday Constants -'!B2978:W3664,22,false)</f>
        <v>#N/A</v>
      </c>
      <c r="N2979" s="1" t="s">
        <v>32</v>
      </c>
      <c r="O2979" s="1" t="s">
        <v>33</v>
      </c>
      <c r="P2979" s="1" t="s">
        <v>173</v>
      </c>
      <c r="Q2979" s="1" t="s">
        <v>173</v>
      </c>
      <c r="R2979" s="1" t="s">
        <v>174</v>
      </c>
      <c r="S2979" s="1" t="s">
        <v>612</v>
      </c>
      <c r="T2979" s="1">
        <v>1.00708984E8</v>
      </c>
      <c r="W2979" s="1" t="s">
        <v>74</v>
      </c>
      <c r="X2979" s="1" t="s">
        <v>4369</v>
      </c>
    </row>
    <row r="2980">
      <c r="A2980" s="1" t="s">
        <v>8918</v>
      </c>
      <c r="B2980" s="1" t="s">
        <v>3893</v>
      </c>
      <c r="C2980" s="1" t="s">
        <v>8919</v>
      </c>
      <c r="D2980" s="1" t="s">
        <v>28</v>
      </c>
      <c r="E2980" s="1" t="s">
        <v>29</v>
      </c>
      <c r="F2980" s="5">
        <v>275000.0</v>
      </c>
      <c r="G2980" s="1" t="s">
        <v>7016</v>
      </c>
      <c r="H2980" s="1" t="s">
        <v>4838</v>
      </c>
      <c r="I2980" s="1" t="s">
        <v>191</v>
      </c>
      <c r="K2980" s="1">
        <v>0.0</v>
      </c>
      <c r="L2980" s="1" t="s">
        <v>270</v>
      </c>
      <c r="M2980" s="1" t="str">
        <f>VLOOKUP(L2980,'Copy of PMD Workday Constants -'!B2979:W3665,22,false)</f>
        <v>#N/A</v>
      </c>
      <c r="N2980" s="1" t="s">
        <v>32</v>
      </c>
      <c r="O2980" s="1" t="s">
        <v>33</v>
      </c>
      <c r="P2980" s="1" t="s">
        <v>34</v>
      </c>
      <c r="Q2980" s="1" t="s">
        <v>34</v>
      </c>
      <c r="R2980" s="1" t="s">
        <v>35</v>
      </c>
      <c r="S2980" s="1" t="s">
        <v>383</v>
      </c>
      <c r="T2980" s="1">
        <v>1.00597826E8</v>
      </c>
      <c r="W2980" s="1" t="s">
        <v>140</v>
      </c>
      <c r="X2980" s="1" t="s">
        <v>6060</v>
      </c>
    </row>
    <row r="2981">
      <c r="A2981" s="1" t="s">
        <v>8920</v>
      </c>
      <c r="B2981" s="1" t="s">
        <v>765</v>
      </c>
      <c r="C2981" s="1" t="s">
        <v>8921</v>
      </c>
      <c r="D2981" s="1" t="s">
        <v>51</v>
      </c>
      <c r="E2981" s="1" t="s">
        <v>29</v>
      </c>
      <c r="F2981" s="5">
        <v>275000.0</v>
      </c>
      <c r="G2981" s="1" t="s">
        <v>7016</v>
      </c>
      <c r="H2981" s="1" t="s">
        <v>7412</v>
      </c>
      <c r="I2981" s="4">
        <v>44568.0</v>
      </c>
      <c r="K2981" s="1">
        <v>0.0</v>
      </c>
      <c r="L2981" s="1" t="s">
        <v>1525</v>
      </c>
      <c r="M2981" s="1" t="str">
        <f>VLOOKUP(L2981,'Copy of PMD Workday Constants -'!B2980:W3666,22,false)</f>
        <v>#N/A</v>
      </c>
      <c r="N2981" s="1" t="s">
        <v>32</v>
      </c>
      <c r="O2981" s="1" t="s">
        <v>33</v>
      </c>
      <c r="P2981" s="1" t="s">
        <v>34</v>
      </c>
      <c r="Q2981" s="1" t="s">
        <v>34</v>
      </c>
      <c r="R2981" s="1" t="s">
        <v>35</v>
      </c>
      <c r="S2981" s="1" t="s">
        <v>1166</v>
      </c>
      <c r="T2981" s="1">
        <v>1.00637597E8</v>
      </c>
      <c r="W2981" s="1" t="s">
        <v>456</v>
      </c>
      <c r="X2981" s="1" t="s">
        <v>8922</v>
      </c>
    </row>
    <row r="2982">
      <c r="A2982" s="1" t="s">
        <v>8923</v>
      </c>
      <c r="B2982" s="1" t="s">
        <v>348</v>
      </c>
      <c r="C2982" s="1" t="s">
        <v>8924</v>
      </c>
      <c r="D2982" s="1" t="s">
        <v>103</v>
      </c>
      <c r="E2982" s="1" t="s">
        <v>29</v>
      </c>
      <c r="F2982" s="5">
        <v>275000.0</v>
      </c>
      <c r="G2982" s="1" t="s">
        <v>7016</v>
      </c>
      <c r="H2982" s="1" t="s">
        <v>778</v>
      </c>
      <c r="I2982" s="1" t="s">
        <v>152</v>
      </c>
      <c r="K2982" s="1">
        <v>0.0</v>
      </c>
      <c r="L2982" s="1" t="s">
        <v>2788</v>
      </c>
      <c r="M2982" s="1" t="str">
        <f>VLOOKUP(L2982,'Copy of PMD Workday Constants -'!B2981:W3667,22,false)</f>
        <v>#N/A</v>
      </c>
      <c r="N2982" s="1" t="s">
        <v>32</v>
      </c>
      <c r="O2982" s="1" t="s">
        <v>33</v>
      </c>
      <c r="P2982" s="1" t="s">
        <v>54</v>
      </c>
      <c r="Q2982" s="1" t="s">
        <v>54</v>
      </c>
      <c r="R2982" s="1" t="s">
        <v>55</v>
      </c>
      <c r="S2982" s="1" t="s">
        <v>1457</v>
      </c>
      <c r="T2982" s="1">
        <v>1.0059132E8</v>
      </c>
      <c r="W2982" s="1" t="s">
        <v>85</v>
      </c>
      <c r="X2982" s="1" t="s">
        <v>8925</v>
      </c>
    </row>
    <row r="2983">
      <c r="A2983" s="1" t="s">
        <v>8926</v>
      </c>
      <c r="B2983" s="1" t="s">
        <v>3793</v>
      </c>
      <c r="C2983" s="1" t="s">
        <v>8927</v>
      </c>
      <c r="D2983" s="1" t="s">
        <v>28</v>
      </c>
      <c r="E2983" s="1" t="s">
        <v>29</v>
      </c>
      <c r="F2983" s="5">
        <v>275000.0</v>
      </c>
      <c r="G2983" s="1" t="s">
        <v>7016</v>
      </c>
      <c r="H2983" s="1" t="s">
        <v>509</v>
      </c>
      <c r="I2983" s="1" t="s">
        <v>80</v>
      </c>
      <c r="K2983" s="1">
        <v>0.0</v>
      </c>
      <c r="L2983" s="1" t="s">
        <v>8928</v>
      </c>
      <c r="M2983" s="1" t="str">
        <f>VLOOKUP(L2983,'Copy of PMD Workday Constants -'!B2982:W3668,22,false)</f>
        <v>#N/A</v>
      </c>
      <c r="N2983" s="1" t="s">
        <v>32</v>
      </c>
      <c r="O2983" s="1" t="s">
        <v>33</v>
      </c>
      <c r="P2983" s="1" t="s">
        <v>222</v>
      </c>
      <c r="Q2983" s="1" t="s">
        <v>222</v>
      </c>
      <c r="R2983" s="1" t="s">
        <v>223</v>
      </c>
      <c r="S2983" s="1" t="s">
        <v>482</v>
      </c>
      <c r="T2983" s="1">
        <v>1.01000708E8</v>
      </c>
      <c r="W2983" s="1" t="s">
        <v>947</v>
      </c>
      <c r="X2983" s="1" t="s">
        <v>8928</v>
      </c>
    </row>
    <row r="2984">
      <c r="A2984" s="1" t="s">
        <v>8929</v>
      </c>
      <c r="B2984" s="1" t="s">
        <v>8930</v>
      </c>
      <c r="C2984" s="1" t="s">
        <v>8931</v>
      </c>
      <c r="D2984" s="1" t="s">
        <v>103</v>
      </c>
      <c r="E2984" s="1" t="s">
        <v>29</v>
      </c>
      <c r="F2984" s="5">
        <v>275000.0</v>
      </c>
      <c r="G2984" s="1" t="s">
        <v>7016</v>
      </c>
      <c r="H2984" s="4">
        <v>44840.0</v>
      </c>
      <c r="I2984" s="1" t="s">
        <v>732</v>
      </c>
      <c r="K2984" s="1">
        <v>0.0</v>
      </c>
      <c r="L2984" s="1" t="s">
        <v>244</v>
      </c>
      <c r="M2984" s="1" t="str">
        <f>VLOOKUP(L2984,'Copy of PMD Workday Constants -'!B2983:W3669,22,false)</f>
        <v>#N/A</v>
      </c>
      <c r="N2984" s="1" t="s">
        <v>32</v>
      </c>
      <c r="O2984" s="1" t="s">
        <v>33</v>
      </c>
      <c r="P2984" s="1" t="s">
        <v>34</v>
      </c>
      <c r="Q2984" s="1" t="s">
        <v>34</v>
      </c>
      <c r="R2984" s="1" t="s">
        <v>35</v>
      </c>
      <c r="S2984" s="1" t="s">
        <v>1336</v>
      </c>
      <c r="T2984" s="1">
        <v>1.00617853E8</v>
      </c>
      <c r="W2984" s="1" t="s">
        <v>115</v>
      </c>
      <c r="X2984" s="1" t="s">
        <v>8932</v>
      </c>
    </row>
    <row r="2985">
      <c r="A2985" s="1" t="s">
        <v>8933</v>
      </c>
      <c r="B2985" s="1" t="s">
        <v>458</v>
      </c>
      <c r="C2985" s="1" t="s">
        <v>8934</v>
      </c>
      <c r="D2985" s="1" t="s">
        <v>103</v>
      </c>
      <c r="E2985" s="1" t="s">
        <v>29</v>
      </c>
      <c r="F2985" s="5">
        <v>275000.0</v>
      </c>
      <c r="G2985" s="1" t="s">
        <v>7016</v>
      </c>
      <c r="H2985" s="4">
        <v>44870.0</v>
      </c>
      <c r="I2985" s="1" t="s">
        <v>132</v>
      </c>
      <c r="K2985" s="1">
        <v>0.0</v>
      </c>
      <c r="L2985" s="1" t="s">
        <v>4794</v>
      </c>
      <c r="M2985" s="1" t="str">
        <f>VLOOKUP(L2985,'Copy of PMD Workday Constants -'!B2984:W3670,22,false)</f>
        <v>#N/A</v>
      </c>
      <c r="N2985" s="1" t="s">
        <v>32</v>
      </c>
      <c r="O2985" s="1" t="s">
        <v>33</v>
      </c>
      <c r="P2985" s="1" t="s">
        <v>173</v>
      </c>
      <c r="Q2985" s="1" t="s">
        <v>173</v>
      </c>
      <c r="R2985" s="1" t="s">
        <v>174</v>
      </c>
      <c r="S2985" s="1" t="s">
        <v>612</v>
      </c>
      <c r="T2985" s="1">
        <v>1.00875111E8</v>
      </c>
      <c r="W2985" s="1" t="s">
        <v>56</v>
      </c>
      <c r="X2985" s="1" t="s">
        <v>8935</v>
      </c>
    </row>
    <row r="2986">
      <c r="A2986" s="1" t="s">
        <v>8936</v>
      </c>
      <c r="B2986" s="1" t="s">
        <v>8937</v>
      </c>
      <c r="C2986" s="1" t="s">
        <v>8938</v>
      </c>
      <c r="D2986" s="1" t="s">
        <v>103</v>
      </c>
      <c r="E2986" s="1" t="s">
        <v>29</v>
      </c>
      <c r="F2986" s="5">
        <v>275000.0</v>
      </c>
      <c r="G2986" s="1" t="s">
        <v>7016</v>
      </c>
      <c r="H2986" s="4">
        <v>44747.0</v>
      </c>
      <c r="I2986" s="1" t="s">
        <v>80</v>
      </c>
      <c r="K2986" s="1">
        <v>0.0</v>
      </c>
      <c r="L2986" s="1" t="s">
        <v>3674</v>
      </c>
      <c r="M2986" s="1" t="str">
        <f>VLOOKUP(L2986,'Copy of PMD Workday Constants -'!B2985:W3671,22,false)</f>
        <v>#N/A</v>
      </c>
      <c r="N2986" s="1" t="s">
        <v>32</v>
      </c>
      <c r="O2986" s="1" t="s">
        <v>33</v>
      </c>
      <c r="P2986" s="1" t="s">
        <v>173</v>
      </c>
      <c r="Q2986" s="1" t="s">
        <v>173</v>
      </c>
      <c r="R2986" s="1" t="s">
        <v>174</v>
      </c>
      <c r="S2986" s="1" t="s">
        <v>153</v>
      </c>
      <c r="T2986" s="1">
        <v>1.0058537E8</v>
      </c>
      <c r="W2986" s="1" t="s">
        <v>456</v>
      </c>
      <c r="X2986" s="1" t="s">
        <v>8939</v>
      </c>
    </row>
    <row r="2987">
      <c r="A2987" s="1" t="s">
        <v>8940</v>
      </c>
      <c r="B2987" s="1" t="s">
        <v>765</v>
      </c>
      <c r="C2987" s="1" t="s">
        <v>8941</v>
      </c>
      <c r="D2987" s="1" t="s">
        <v>79</v>
      </c>
      <c r="E2987" s="1" t="s">
        <v>29</v>
      </c>
      <c r="F2987" s="5">
        <v>275000.0</v>
      </c>
      <c r="G2987" s="1" t="s">
        <v>7016</v>
      </c>
      <c r="H2987" s="4">
        <v>44748.0</v>
      </c>
      <c r="I2987" s="4">
        <v>44568.0</v>
      </c>
      <c r="K2987" s="1">
        <v>0.0</v>
      </c>
      <c r="L2987" s="1" t="s">
        <v>2612</v>
      </c>
      <c r="M2987" s="1" t="str">
        <f>VLOOKUP(L2987,'Copy of PMD Workday Constants -'!B2986:W3672,22,false)</f>
        <v>#N/A</v>
      </c>
      <c r="N2987" s="1" t="s">
        <v>32</v>
      </c>
      <c r="O2987" s="1" t="s">
        <v>33</v>
      </c>
      <c r="P2987" s="1" t="s">
        <v>173</v>
      </c>
      <c r="Q2987" s="1" t="s">
        <v>173</v>
      </c>
      <c r="R2987" s="1" t="s">
        <v>174</v>
      </c>
      <c r="S2987" s="1" t="s">
        <v>153</v>
      </c>
      <c r="T2987" s="1">
        <v>1.00609544E8</v>
      </c>
      <c r="W2987" s="1" t="s">
        <v>456</v>
      </c>
      <c r="X2987" s="1" t="s">
        <v>8942</v>
      </c>
    </row>
    <row r="2988">
      <c r="A2988" s="1" t="s">
        <v>8943</v>
      </c>
      <c r="B2988" s="1" t="s">
        <v>8944</v>
      </c>
      <c r="C2988" s="1" t="s">
        <v>8945</v>
      </c>
      <c r="D2988" s="1" t="s">
        <v>103</v>
      </c>
      <c r="E2988" s="1" t="s">
        <v>29</v>
      </c>
      <c r="F2988" s="5">
        <v>275000.0</v>
      </c>
      <c r="G2988" s="1" t="s">
        <v>7016</v>
      </c>
      <c r="H2988" s="4">
        <v>44297.0</v>
      </c>
      <c r="I2988" s="1" t="s">
        <v>80</v>
      </c>
      <c r="K2988" s="1">
        <v>0.0</v>
      </c>
      <c r="L2988" s="1" t="s">
        <v>6593</v>
      </c>
      <c r="M2988" s="1" t="str">
        <f>VLOOKUP(L2988,'Copy of PMD Workday Constants -'!B2987:W3673,22,false)</f>
        <v>#N/A</v>
      </c>
      <c r="N2988" s="1" t="s">
        <v>32</v>
      </c>
      <c r="O2988" s="1" t="s">
        <v>33</v>
      </c>
      <c r="P2988" s="1" t="s">
        <v>34</v>
      </c>
      <c r="Q2988" s="1" t="s">
        <v>34</v>
      </c>
      <c r="R2988" s="1" t="s">
        <v>35</v>
      </c>
      <c r="S2988" s="1" t="s">
        <v>1166</v>
      </c>
      <c r="T2988" s="1">
        <v>1.00599962E8</v>
      </c>
      <c r="W2988" s="1" t="s">
        <v>74</v>
      </c>
      <c r="X2988" s="1" t="s">
        <v>6593</v>
      </c>
    </row>
    <row r="2989">
      <c r="A2989" s="1" t="s">
        <v>8946</v>
      </c>
      <c r="B2989" s="1" t="s">
        <v>2071</v>
      </c>
      <c r="C2989" s="1" t="s">
        <v>8947</v>
      </c>
      <c r="D2989" s="1" t="s">
        <v>28</v>
      </c>
      <c r="E2989" s="1" t="s">
        <v>29</v>
      </c>
      <c r="F2989" s="5">
        <v>275000.0</v>
      </c>
      <c r="G2989" s="1" t="s">
        <v>7016</v>
      </c>
      <c r="H2989" s="1" t="s">
        <v>42</v>
      </c>
      <c r="I2989" s="4">
        <v>44573.0</v>
      </c>
      <c r="K2989" s="1">
        <v>0.0</v>
      </c>
      <c r="L2989" s="1" t="s">
        <v>5172</v>
      </c>
      <c r="M2989" s="1" t="str">
        <f>VLOOKUP(L2989,'Copy of PMD Workday Constants -'!B2988:W3674,22,false)</f>
        <v>#N/A</v>
      </c>
      <c r="N2989" s="1" t="s">
        <v>32</v>
      </c>
      <c r="O2989" s="1" t="s">
        <v>33</v>
      </c>
      <c r="P2989" s="1" t="s">
        <v>210</v>
      </c>
      <c r="Q2989" s="1" t="s">
        <v>210</v>
      </c>
      <c r="R2989" s="1" t="s">
        <v>211</v>
      </c>
      <c r="S2989" s="1" t="s">
        <v>1336</v>
      </c>
      <c r="T2989" s="1">
        <v>1.00620643E8</v>
      </c>
      <c r="W2989" s="1" t="s">
        <v>56</v>
      </c>
      <c r="X2989" s="1" t="s">
        <v>1337</v>
      </c>
    </row>
    <row r="2990">
      <c r="A2990" s="1" t="s">
        <v>8948</v>
      </c>
      <c r="B2990" s="1" t="s">
        <v>2641</v>
      </c>
      <c r="C2990" s="1" t="s">
        <v>8949</v>
      </c>
      <c r="D2990" s="1" t="s">
        <v>79</v>
      </c>
      <c r="E2990" s="1" t="s">
        <v>29</v>
      </c>
      <c r="F2990" s="5">
        <v>275000.0</v>
      </c>
      <c r="G2990" s="1" t="s">
        <v>7016</v>
      </c>
      <c r="H2990" s="1" t="s">
        <v>1842</v>
      </c>
      <c r="I2990" s="1" t="s">
        <v>104</v>
      </c>
      <c r="J2990" s="6">
        <v>44779.82013888889</v>
      </c>
      <c r="K2990" s="1">
        <v>0.0</v>
      </c>
      <c r="L2990" s="1" t="s">
        <v>539</v>
      </c>
      <c r="M2990" s="1" t="str">
        <f>VLOOKUP(L2990,'Copy of PMD Workday Constants -'!B2989:W3675,22,false)</f>
        <v>#N/A</v>
      </c>
      <c r="N2990" s="1" t="s">
        <v>32</v>
      </c>
      <c r="O2990" s="1" t="s">
        <v>33</v>
      </c>
      <c r="P2990" s="1" t="s">
        <v>173</v>
      </c>
      <c r="Q2990" s="1" t="s">
        <v>173</v>
      </c>
      <c r="R2990" s="1" t="s">
        <v>174</v>
      </c>
      <c r="S2990" s="1" t="s">
        <v>540</v>
      </c>
      <c r="T2990" s="1">
        <v>1.00586314E8</v>
      </c>
      <c r="W2990" s="1" t="s">
        <v>456</v>
      </c>
      <c r="X2990" s="1" t="s">
        <v>7684</v>
      </c>
    </row>
    <row r="2991">
      <c r="A2991" s="1" t="s">
        <v>8950</v>
      </c>
      <c r="B2991" s="1" t="s">
        <v>4717</v>
      </c>
      <c r="C2991" s="1" t="s">
        <v>8951</v>
      </c>
      <c r="D2991" s="1" t="s">
        <v>51</v>
      </c>
      <c r="E2991" s="1" t="s">
        <v>29</v>
      </c>
      <c r="F2991" s="5">
        <v>275000.0</v>
      </c>
      <c r="G2991" s="1" t="s">
        <v>7016</v>
      </c>
      <c r="H2991" s="1" t="s">
        <v>2463</v>
      </c>
      <c r="I2991" s="1" t="s">
        <v>699</v>
      </c>
      <c r="K2991" s="1">
        <v>0.0</v>
      </c>
      <c r="L2991" s="1" t="s">
        <v>7664</v>
      </c>
      <c r="M2991" s="1" t="str">
        <f>VLOOKUP(L2991,'Copy of PMD Workday Constants -'!B2990:W3676,22,false)</f>
        <v>#N/A</v>
      </c>
      <c r="N2991" s="1" t="s">
        <v>32</v>
      </c>
      <c r="O2991" s="1" t="s">
        <v>33</v>
      </c>
      <c r="P2991" s="1" t="s">
        <v>222</v>
      </c>
      <c r="Q2991" s="1" t="s">
        <v>222</v>
      </c>
      <c r="R2991" s="1" t="s">
        <v>223</v>
      </c>
      <c r="S2991" s="1" t="s">
        <v>601</v>
      </c>
      <c r="T2991" s="1">
        <v>1.00882877E8</v>
      </c>
      <c r="W2991" s="1" t="s">
        <v>4719</v>
      </c>
      <c r="X2991" s="1" t="s">
        <v>7664</v>
      </c>
    </row>
    <row r="2992">
      <c r="A2992" s="1" t="s">
        <v>8952</v>
      </c>
      <c r="B2992" s="1" t="s">
        <v>8953</v>
      </c>
      <c r="C2992" s="1" t="s">
        <v>8954</v>
      </c>
      <c r="D2992" s="1" t="s">
        <v>103</v>
      </c>
      <c r="E2992" s="1" t="s">
        <v>29</v>
      </c>
      <c r="F2992" s="5">
        <v>274000.0</v>
      </c>
      <c r="G2992" s="1" t="s">
        <v>7016</v>
      </c>
      <c r="H2992" s="1" t="s">
        <v>452</v>
      </c>
      <c r="I2992" s="1" t="s">
        <v>80</v>
      </c>
      <c r="K2992" s="1">
        <v>0.0</v>
      </c>
      <c r="L2992" s="1" t="s">
        <v>4723</v>
      </c>
      <c r="M2992" s="1" t="str">
        <f>VLOOKUP(L2992,'Copy of PMD Workday Constants -'!B2991:W3677,22,false)</f>
        <v>#N/A</v>
      </c>
      <c r="N2992" s="1" t="s">
        <v>32</v>
      </c>
      <c r="O2992" s="1" t="s">
        <v>33</v>
      </c>
      <c r="P2992" s="1" t="s">
        <v>210</v>
      </c>
      <c r="Q2992" s="1" t="s">
        <v>210</v>
      </c>
      <c r="R2992" s="1" t="s">
        <v>211</v>
      </c>
      <c r="S2992" s="1" t="s">
        <v>1313</v>
      </c>
      <c r="T2992" s="1">
        <v>1.00585834E8</v>
      </c>
      <c r="W2992" s="1" t="s">
        <v>140</v>
      </c>
      <c r="X2992" s="1" t="s">
        <v>8955</v>
      </c>
    </row>
    <row r="2993">
      <c r="A2993" s="1" t="s">
        <v>8956</v>
      </c>
      <c r="B2993" s="1" t="s">
        <v>2641</v>
      </c>
      <c r="C2993" s="1" t="s">
        <v>8957</v>
      </c>
      <c r="D2993" s="1" t="s">
        <v>103</v>
      </c>
      <c r="E2993" s="1" t="s">
        <v>29</v>
      </c>
      <c r="F2993" s="5">
        <v>272000.0</v>
      </c>
      <c r="G2993" s="1" t="s">
        <v>7016</v>
      </c>
      <c r="H2993" s="1" t="s">
        <v>1330</v>
      </c>
      <c r="I2993" s="1" t="s">
        <v>732</v>
      </c>
      <c r="K2993" s="1">
        <v>0.0</v>
      </c>
      <c r="L2993" s="1" t="s">
        <v>1747</v>
      </c>
      <c r="M2993" s="1" t="str">
        <f>VLOOKUP(L2993,'Copy of PMD Workday Constants -'!B2992:W3678,22,false)</f>
        <v>#N/A</v>
      </c>
      <c r="N2993" s="1" t="s">
        <v>32</v>
      </c>
      <c r="O2993" s="1" t="s">
        <v>33</v>
      </c>
      <c r="P2993" s="1" t="s">
        <v>173</v>
      </c>
      <c r="Q2993" s="1" t="s">
        <v>173</v>
      </c>
      <c r="R2993" s="1" t="s">
        <v>174</v>
      </c>
      <c r="S2993" s="1" t="s">
        <v>612</v>
      </c>
      <c r="T2993" s="1">
        <v>1.00639495E8</v>
      </c>
      <c r="W2993" s="1" t="s">
        <v>456</v>
      </c>
      <c r="X2993" s="1" t="s">
        <v>8958</v>
      </c>
    </row>
    <row r="2994">
      <c r="A2994" s="1" t="s">
        <v>8959</v>
      </c>
      <c r="B2994" s="1" t="s">
        <v>8960</v>
      </c>
      <c r="C2994" s="1" t="s">
        <v>8961</v>
      </c>
      <c r="D2994" s="1" t="s">
        <v>103</v>
      </c>
      <c r="E2994" s="1" t="s">
        <v>29</v>
      </c>
      <c r="F2994" s="5">
        <v>270000.0</v>
      </c>
      <c r="G2994" s="1" t="s">
        <v>7016</v>
      </c>
      <c r="H2994" s="4">
        <v>44598.0</v>
      </c>
      <c r="I2994" s="1" t="s">
        <v>248</v>
      </c>
      <c r="K2994" s="1">
        <v>0.0</v>
      </c>
      <c r="L2994" s="1" t="s">
        <v>3917</v>
      </c>
      <c r="M2994" s="1" t="str">
        <f>VLOOKUP(L2994,'Copy of PMD Workday Constants -'!B2993:W3679,22,false)</f>
        <v>#N/A</v>
      </c>
      <c r="N2994" s="1" t="s">
        <v>32</v>
      </c>
      <c r="O2994" s="1" t="s">
        <v>33</v>
      </c>
      <c r="P2994" s="1" t="s">
        <v>82</v>
      </c>
      <c r="Q2994" s="1" t="s">
        <v>82</v>
      </c>
      <c r="R2994" s="1" t="s">
        <v>83</v>
      </c>
      <c r="S2994" s="1" t="s">
        <v>180</v>
      </c>
      <c r="T2994" s="1">
        <v>1.00611547E8</v>
      </c>
      <c r="W2994" s="1" t="s">
        <v>74</v>
      </c>
      <c r="X2994" s="1" t="s">
        <v>1293</v>
      </c>
    </row>
    <row r="2995">
      <c r="A2995" s="1" t="s">
        <v>8962</v>
      </c>
      <c r="B2995" s="1" t="s">
        <v>8963</v>
      </c>
      <c r="C2995" s="1" t="s">
        <v>8964</v>
      </c>
      <c r="D2995" s="1" t="s">
        <v>51</v>
      </c>
      <c r="E2995" s="1" t="s">
        <v>29</v>
      </c>
      <c r="F2995" s="5">
        <v>270000.0</v>
      </c>
      <c r="G2995" s="1" t="s">
        <v>7016</v>
      </c>
      <c r="H2995" s="1" t="s">
        <v>920</v>
      </c>
      <c r="I2995" s="1" t="s">
        <v>865</v>
      </c>
      <c r="K2995" s="1">
        <v>0.0</v>
      </c>
      <c r="L2995" s="1" t="s">
        <v>5558</v>
      </c>
      <c r="M2995" s="1" t="str">
        <f>VLOOKUP(L2995,'Copy of PMD Workday Constants -'!B2994:W3680,22,false)</f>
        <v>#N/A</v>
      </c>
      <c r="N2995" s="1" t="s">
        <v>32</v>
      </c>
      <c r="O2995" s="1" t="s">
        <v>33</v>
      </c>
      <c r="P2995" s="1" t="s">
        <v>222</v>
      </c>
      <c r="Q2995" s="1" t="s">
        <v>222</v>
      </c>
      <c r="R2995" s="1" t="s">
        <v>223</v>
      </c>
      <c r="S2995" s="1" t="s">
        <v>482</v>
      </c>
      <c r="T2995" s="1">
        <v>1.00652479E8</v>
      </c>
      <c r="W2995" s="1" t="s">
        <v>115</v>
      </c>
      <c r="X2995" s="1" t="s">
        <v>8965</v>
      </c>
    </row>
    <row r="2996">
      <c r="A2996" s="1" t="s">
        <v>8966</v>
      </c>
      <c r="B2996" s="1" t="s">
        <v>765</v>
      </c>
      <c r="C2996" s="1" t="s">
        <v>8967</v>
      </c>
      <c r="D2996" s="1" t="s">
        <v>79</v>
      </c>
      <c r="E2996" s="1" t="s">
        <v>29</v>
      </c>
      <c r="F2996" s="5">
        <v>270000.0</v>
      </c>
      <c r="G2996" s="1" t="s">
        <v>7016</v>
      </c>
      <c r="H2996" s="1" t="s">
        <v>1765</v>
      </c>
      <c r="I2996" s="1" t="s">
        <v>301</v>
      </c>
      <c r="K2996" s="1">
        <v>0.0</v>
      </c>
      <c r="L2996" s="1" t="s">
        <v>2612</v>
      </c>
      <c r="M2996" s="1" t="str">
        <f>VLOOKUP(L2996,'Copy of PMD Workday Constants -'!B2995:W3681,22,false)</f>
        <v>#N/A</v>
      </c>
      <c r="N2996" s="1" t="s">
        <v>32</v>
      </c>
      <c r="O2996" s="1" t="s">
        <v>33</v>
      </c>
      <c r="P2996" s="1" t="s">
        <v>173</v>
      </c>
      <c r="Q2996" s="1" t="s">
        <v>173</v>
      </c>
      <c r="R2996" s="1" t="s">
        <v>174</v>
      </c>
      <c r="T2996" s="1">
        <v>1.00609544E8</v>
      </c>
      <c r="W2996" s="1" t="s">
        <v>456</v>
      </c>
      <c r="X2996" s="1" t="s">
        <v>8968</v>
      </c>
    </row>
    <row r="2997">
      <c r="A2997" s="1" t="s">
        <v>8969</v>
      </c>
      <c r="B2997" s="1" t="s">
        <v>1775</v>
      </c>
      <c r="C2997" s="1" t="s">
        <v>8970</v>
      </c>
      <c r="D2997" s="1" t="s">
        <v>103</v>
      </c>
      <c r="E2997" s="1" t="s">
        <v>29</v>
      </c>
      <c r="F2997" s="5">
        <v>270000.0</v>
      </c>
      <c r="G2997" s="1" t="s">
        <v>7016</v>
      </c>
      <c r="H2997" s="4">
        <v>44595.0</v>
      </c>
      <c r="I2997" s="4">
        <v>44569.0</v>
      </c>
      <c r="K2997" s="1">
        <v>0.0</v>
      </c>
      <c r="L2997" s="1" t="s">
        <v>4534</v>
      </c>
      <c r="M2997" s="1" t="str">
        <f>VLOOKUP(L2997,'Copy of PMD Workday Constants -'!B2996:W3682,22,false)</f>
        <v>#N/A</v>
      </c>
      <c r="N2997" s="1" t="s">
        <v>32</v>
      </c>
      <c r="O2997" s="1" t="s">
        <v>33</v>
      </c>
      <c r="P2997" s="1" t="s">
        <v>173</v>
      </c>
      <c r="Q2997" s="1" t="s">
        <v>173</v>
      </c>
      <c r="R2997" s="1" t="s">
        <v>174</v>
      </c>
      <c r="T2997" s="1">
        <v>1.00620934E8</v>
      </c>
      <c r="W2997" s="1" t="s">
        <v>456</v>
      </c>
      <c r="X2997" s="1" t="s">
        <v>6292</v>
      </c>
    </row>
    <row r="2998">
      <c r="A2998" s="1" t="s">
        <v>8971</v>
      </c>
      <c r="B2998" s="1" t="s">
        <v>580</v>
      </c>
      <c r="C2998" s="1" t="s">
        <v>8972</v>
      </c>
      <c r="D2998" s="1" t="s">
        <v>79</v>
      </c>
      <c r="E2998" s="1" t="s">
        <v>29</v>
      </c>
      <c r="F2998" s="5">
        <v>270000.0</v>
      </c>
      <c r="G2998" s="1" t="s">
        <v>7016</v>
      </c>
      <c r="H2998" s="4">
        <v>44622.0</v>
      </c>
      <c r="I2998" s="4">
        <v>44568.0</v>
      </c>
      <c r="K2998" s="1">
        <v>0.0</v>
      </c>
      <c r="L2998" s="1" t="s">
        <v>5734</v>
      </c>
      <c r="M2998" s="1" t="str">
        <f>VLOOKUP(L2998,'Copy of PMD Workday Constants -'!B2997:W3683,22,false)</f>
        <v>#N/A</v>
      </c>
      <c r="N2998" s="1" t="s">
        <v>32</v>
      </c>
      <c r="O2998" s="1" t="s">
        <v>33</v>
      </c>
      <c r="P2998" s="1" t="s">
        <v>173</v>
      </c>
      <c r="Q2998" s="1" t="s">
        <v>173</v>
      </c>
      <c r="R2998" s="1" t="s">
        <v>174</v>
      </c>
      <c r="S2998" s="1" t="s">
        <v>153</v>
      </c>
      <c r="T2998" s="1">
        <v>1.00648324E8</v>
      </c>
      <c r="W2998" s="1" t="s">
        <v>456</v>
      </c>
      <c r="X2998" s="1" t="s">
        <v>5735</v>
      </c>
    </row>
    <row r="2999">
      <c r="A2999" s="1" t="s">
        <v>8973</v>
      </c>
      <c r="B2999" s="1" t="s">
        <v>489</v>
      </c>
      <c r="C2999" s="1" t="s">
        <v>8974</v>
      </c>
      <c r="D2999" s="1" t="s">
        <v>103</v>
      </c>
      <c r="E2999" s="1" t="s">
        <v>29</v>
      </c>
      <c r="F2999" s="5">
        <v>270000.0</v>
      </c>
      <c r="G2999" s="1" t="s">
        <v>7016</v>
      </c>
      <c r="H2999" s="4">
        <v>44657.0</v>
      </c>
      <c r="I2999" s="1" t="s">
        <v>406</v>
      </c>
      <c r="K2999" s="1">
        <v>0.0</v>
      </c>
      <c r="L2999" s="1" t="s">
        <v>5351</v>
      </c>
      <c r="M2999" s="1" t="str">
        <f>VLOOKUP(L2999,'Copy of PMD Workday Constants -'!B2998:W3684,22,false)</f>
        <v>#N/A</v>
      </c>
      <c r="N2999" s="1" t="s">
        <v>32</v>
      </c>
      <c r="O2999" s="1" t="s">
        <v>33</v>
      </c>
      <c r="P2999" s="1" t="s">
        <v>222</v>
      </c>
      <c r="Q2999" s="1" t="s">
        <v>222</v>
      </c>
      <c r="R2999" s="1" t="s">
        <v>223</v>
      </c>
      <c r="S2999" s="1" t="s">
        <v>482</v>
      </c>
      <c r="T2999" s="1">
        <v>1.00640945E8</v>
      </c>
      <c r="W2999" s="1" t="s">
        <v>493</v>
      </c>
      <c r="X2999" s="1" t="s">
        <v>8975</v>
      </c>
    </row>
    <row r="3000">
      <c r="A3000" s="1" t="s">
        <v>8976</v>
      </c>
      <c r="B3000" s="1" t="s">
        <v>1316</v>
      </c>
      <c r="C3000" s="1" t="s">
        <v>8977</v>
      </c>
      <c r="D3000" s="1" t="s">
        <v>51</v>
      </c>
      <c r="E3000" s="1" t="s">
        <v>29</v>
      </c>
      <c r="F3000" s="5">
        <v>268000.0</v>
      </c>
      <c r="G3000" s="1" t="s">
        <v>7016</v>
      </c>
      <c r="H3000" s="1" t="s">
        <v>5241</v>
      </c>
      <c r="I3000" s="1" t="s">
        <v>302</v>
      </c>
      <c r="K3000" s="1">
        <v>0.0</v>
      </c>
      <c r="L3000" s="1" t="s">
        <v>1510</v>
      </c>
      <c r="M3000" s="1" t="str">
        <f>VLOOKUP(L3000,'Copy of PMD Workday Constants -'!B2999:W3685,22,false)</f>
        <v>#N/A</v>
      </c>
      <c r="N3000" s="1" t="s">
        <v>32</v>
      </c>
      <c r="O3000" s="1" t="s">
        <v>33</v>
      </c>
      <c r="P3000" s="1" t="s">
        <v>222</v>
      </c>
      <c r="Q3000" s="1" t="s">
        <v>222</v>
      </c>
      <c r="R3000" s="1" t="s">
        <v>223</v>
      </c>
      <c r="S3000" s="1" t="s">
        <v>601</v>
      </c>
      <c r="T3000" s="1">
        <v>1.00711752E8</v>
      </c>
      <c r="W3000" s="1" t="s">
        <v>436</v>
      </c>
      <c r="X3000" s="1" t="s">
        <v>1511</v>
      </c>
    </row>
    <row r="3001">
      <c r="A3001" s="1" t="s">
        <v>8978</v>
      </c>
      <c r="B3001" s="1" t="s">
        <v>8979</v>
      </c>
      <c r="C3001" s="1" t="s">
        <v>8980</v>
      </c>
      <c r="D3001" s="1" t="s">
        <v>51</v>
      </c>
      <c r="E3001" s="1" t="s">
        <v>29</v>
      </c>
      <c r="F3001" s="5">
        <v>266049.0</v>
      </c>
      <c r="G3001" s="1" t="s">
        <v>7016</v>
      </c>
      <c r="H3001" s="4">
        <v>44775.0</v>
      </c>
      <c r="I3001" s="1" t="s">
        <v>870</v>
      </c>
      <c r="K3001" s="1">
        <v>0.0</v>
      </c>
      <c r="L3001" s="1" t="s">
        <v>2699</v>
      </c>
      <c r="M3001" s="1" t="str">
        <f>VLOOKUP(L3001,'Copy of PMD Workday Constants -'!B3000:W3686,22,false)</f>
        <v>#N/A</v>
      </c>
      <c r="N3001" s="1" t="s">
        <v>32</v>
      </c>
      <c r="O3001" s="1" t="s">
        <v>33</v>
      </c>
      <c r="P3001" s="1" t="s">
        <v>34</v>
      </c>
      <c r="Q3001" s="1" t="s">
        <v>34</v>
      </c>
      <c r="R3001" s="1" t="s">
        <v>35</v>
      </c>
      <c r="S3001" s="1" t="s">
        <v>126</v>
      </c>
      <c r="T3001" s="1">
        <v>1.00610367E8</v>
      </c>
      <c r="W3001" s="1" t="s">
        <v>74</v>
      </c>
      <c r="X3001" s="1" t="s">
        <v>8981</v>
      </c>
    </row>
    <row r="3002">
      <c r="A3002" s="1" t="s">
        <v>8982</v>
      </c>
      <c r="B3002" s="1" t="s">
        <v>993</v>
      </c>
      <c r="C3002" s="1" t="s">
        <v>8983</v>
      </c>
      <c r="D3002" s="1" t="s">
        <v>51</v>
      </c>
      <c r="E3002" s="1" t="s">
        <v>29</v>
      </c>
      <c r="F3002" s="5">
        <v>265000.0</v>
      </c>
      <c r="G3002" s="1" t="s">
        <v>7016</v>
      </c>
      <c r="H3002" s="1" t="s">
        <v>2510</v>
      </c>
      <c r="I3002" s="1" t="s">
        <v>80</v>
      </c>
      <c r="K3002" s="1">
        <v>0.0</v>
      </c>
      <c r="L3002" s="1" t="s">
        <v>2381</v>
      </c>
      <c r="M3002" s="1" t="str">
        <f>VLOOKUP(L3002,'Copy of PMD Workday Constants -'!B3001:W3687,22,false)</f>
        <v>#N/A</v>
      </c>
      <c r="N3002" s="1" t="s">
        <v>32</v>
      </c>
      <c r="O3002" s="1" t="s">
        <v>33</v>
      </c>
      <c r="P3002" s="1" t="s">
        <v>112</v>
      </c>
      <c r="Q3002" s="1" t="s">
        <v>112</v>
      </c>
      <c r="R3002" s="1" t="s">
        <v>113</v>
      </c>
      <c r="S3002" s="1" t="s">
        <v>134</v>
      </c>
      <c r="T3002" s="1">
        <v>1.00625755E8</v>
      </c>
      <c r="W3002" s="1" t="s">
        <v>74</v>
      </c>
      <c r="X3002" s="1" t="s">
        <v>8984</v>
      </c>
    </row>
    <row r="3003">
      <c r="A3003" s="1" t="s">
        <v>8985</v>
      </c>
      <c r="B3003" s="1" t="s">
        <v>4544</v>
      </c>
      <c r="C3003" s="1" t="s">
        <v>8986</v>
      </c>
      <c r="D3003" s="1" t="s">
        <v>51</v>
      </c>
      <c r="E3003" s="1" t="s">
        <v>29</v>
      </c>
      <c r="F3003" s="5">
        <v>265000.0</v>
      </c>
      <c r="G3003" s="1" t="s">
        <v>7016</v>
      </c>
      <c r="H3003" s="1" t="s">
        <v>2069</v>
      </c>
      <c r="I3003" s="1" t="s">
        <v>191</v>
      </c>
      <c r="K3003" s="1">
        <v>0.0</v>
      </c>
      <c r="L3003" s="1" t="s">
        <v>4534</v>
      </c>
      <c r="M3003" s="1" t="str">
        <f>VLOOKUP(L3003,'Copy of PMD Workday Constants -'!B3002:W3688,22,false)</f>
        <v>#N/A</v>
      </c>
      <c r="N3003" s="1" t="s">
        <v>32</v>
      </c>
      <c r="O3003" s="1" t="s">
        <v>33</v>
      </c>
      <c r="P3003" s="1" t="s">
        <v>173</v>
      </c>
      <c r="Q3003" s="1" t="s">
        <v>173</v>
      </c>
      <c r="R3003" s="1" t="s">
        <v>174</v>
      </c>
      <c r="T3003" s="1">
        <v>1.00620934E8</v>
      </c>
      <c r="W3003" s="1" t="s">
        <v>74</v>
      </c>
      <c r="X3003" s="1" t="s">
        <v>8447</v>
      </c>
    </row>
    <row r="3004">
      <c r="A3004" s="1" t="s">
        <v>8987</v>
      </c>
      <c r="B3004" s="1" t="s">
        <v>6446</v>
      </c>
      <c r="C3004" s="1" t="s">
        <v>8988</v>
      </c>
      <c r="D3004" s="1" t="s">
        <v>79</v>
      </c>
      <c r="E3004" s="1" t="s">
        <v>29</v>
      </c>
      <c r="F3004" s="5">
        <v>265000.0</v>
      </c>
      <c r="G3004" s="1" t="s">
        <v>7016</v>
      </c>
      <c r="H3004" s="4">
        <v>44779.0</v>
      </c>
      <c r="I3004" s="1" t="s">
        <v>248</v>
      </c>
      <c r="K3004" s="1">
        <v>0.0</v>
      </c>
      <c r="L3004" s="1" t="s">
        <v>1249</v>
      </c>
      <c r="M3004" s="1" t="str">
        <f>VLOOKUP(L3004,'Copy of PMD Workday Constants -'!B3003:W3689,22,false)</f>
        <v>#N/A</v>
      </c>
      <c r="N3004" s="1" t="s">
        <v>32</v>
      </c>
      <c r="O3004" s="1" t="s">
        <v>33</v>
      </c>
      <c r="P3004" s="1" t="s">
        <v>222</v>
      </c>
      <c r="Q3004" s="1" t="s">
        <v>222</v>
      </c>
      <c r="R3004" s="1" t="s">
        <v>223</v>
      </c>
      <c r="S3004" s="1" t="s">
        <v>646</v>
      </c>
      <c r="T3004" s="1">
        <v>1.00609871E8</v>
      </c>
      <c r="U3004" s="1" t="s">
        <v>8403</v>
      </c>
      <c r="V3004" s="1" t="s">
        <v>781</v>
      </c>
      <c r="W3004" s="1" t="s">
        <v>258</v>
      </c>
      <c r="X3004" s="1" t="s">
        <v>1250</v>
      </c>
    </row>
    <row r="3005">
      <c r="A3005" s="1" t="s">
        <v>8989</v>
      </c>
      <c r="B3005" s="1" t="s">
        <v>143</v>
      </c>
      <c r="C3005" s="1" t="s">
        <v>8990</v>
      </c>
      <c r="D3005" s="1" t="s">
        <v>103</v>
      </c>
      <c r="E3005" s="1" t="s">
        <v>29</v>
      </c>
      <c r="F3005" s="5">
        <v>265000.0</v>
      </c>
      <c r="G3005" s="1" t="s">
        <v>7016</v>
      </c>
      <c r="H3005" s="1" t="s">
        <v>2069</v>
      </c>
      <c r="I3005" s="4">
        <v>44780.0</v>
      </c>
      <c r="K3005" s="1">
        <v>0.0</v>
      </c>
      <c r="L3005" s="1" t="s">
        <v>3948</v>
      </c>
      <c r="M3005" s="1" t="str">
        <f>VLOOKUP(L3005,'Copy of PMD Workday Constants -'!B3004:W3690,22,false)</f>
        <v>#N/A</v>
      </c>
      <c r="N3005" s="1" t="s">
        <v>32</v>
      </c>
      <c r="O3005" s="1" t="s">
        <v>33</v>
      </c>
      <c r="P3005" s="1" t="s">
        <v>112</v>
      </c>
      <c r="Q3005" s="1" t="s">
        <v>112</v>
      </c>
      <c r="R3005" s="1" t="s">
        <v>113</v>
      </c>
      <c r="S3005" s="1" t="s">
        <v>114</v>
      </c>
      <c r="T3005" s="1">
        <v>1.00627224E8</v>
      </c>
      <c r="W3005" s="1" t="s">
        <v>147</v>
      </c>
      <c r="X3005" s="1" t="s">
        <v>7419</v>
      </c>
    </row>
    <row r="3006">
      <c r="A3006" s="1" t="s">
        <v>8991</v>
      </c>
      <c r="B3006" s="1" t="s">
        <v>8992</v>
      </c>
      <c r="C3006" s="1" t="s">
        <v>8993</v>
      </c>
      <c r="D3006" s="1" t="s">
        <v>103</v>
      </c>
      <c r="E3006" s="1" t="s">
        <v>29</v>
      </c>
      <c r="F3006" s="5">
        <v>260000.0</v>
      </c>
      <c r="G3006" s="1" t="s">
        <v>7016</v>
      </c>
      <c r="H3006" s="4">
        <v>44867.0</v>
      </c>
      <c r="I3006" s="1" t="s">
        <v>941</v>
      </c>
      <c r="K3006" s="1">
        <v>0.0</v>
      </c>
      <c r="L3006" s="1" t="s">
        <v>2284</v>
      </c>
      <c r="M3006" s="1" t="str">
        <f>VLOOKUP(L3006,'Copy of PMD Workday Constants -'!B3005:W3691,22,false)</f>
        <v>#N/A</v>
      </c>
      <c r="N3006" s="1" t="s">
        <v>32</v>
      </c>
      <c r="O3006" s="1" t="s">
        <v>33</v>
      </c>
      <c r="P3006" s="1" t="s">
        <v>173</v>
      </c>
      <c r="Q3006" s="1" t="s">
        <v>173</v>
      </c>
      <c r="R3006" s="1" t="s">
        <v>174</v>
      </c>
      <c r="S3006" s="1" t="s">
        <v>612</v>
      </c>
      <c r="T3006" s="1">
        <v>1.00650678E8</v>
      </c>
      <c r="W3006" s="1" t="s">
        <v>250</v>
      </c>
      <c r="X3006" s="1" t="s">
        <v>8994</v>
      </c>
    </row>
    <row r="3007">
      <c r="A3007" s="1" t="s">
        <v>8995</v>
      </c>
      <c r="B3007" s="1" t="s">
        <v>1624</v>
      </c>
      <c r="C3007" s="1" t="s">
        <v>8996</v>
      </c>
      <c r="D3007" s="1" t="s">
        <v>103</v>
      </c>
      <c r="E3007" s="1" t="s">
        <v>29</v>
      </c>
      <c r="F3007" s="5">
        <v>260000.0</v>
      </c>
      <c r="G3007" s="1" t="s">
        <v>7016</v>
      </c>
      <c r="H3007" s="4">
        <v>44626.0</v>
      </c>
      <c r="I3007" s="1" t="s">
        <v>661</v>
      </c>
      <c r="K3007" s="1">
        <v>0.0</v>
      </c>
      <c r="L3007" s="1" t="s">
        <v>1308</v>
      </c>
      <c r="M3007" s="1" t="str">
        <f>VLOOKUP(L3007,'Copy of PMD Workday Constants -'!B3006:W3692,22,false)</f>
        <v>#N/A</v>
      </c>
      <c r="N3007" s="1" t="s">
        <v>32</v>
      </c>
      <c r="O3007" s="1" t="s">
        <v>33</v>
      </c>
      <c r="P3007" s="1" t="s">
        <v>173</v>
      </c>
      <c r="Q3007" s="1" t="s">
        <v>173</v>
      </c>
      <c r="R3007" s="1" t="s">
        <v>174</v>
      </c>
      <c r="T3007" s="1">
        <v>1.00653074E8</v>
      </c>
      <c r="W3007" s="1" t="s">
        <v>456</v>
      </c>
      <c r="X3007" s="1" t="s">
        <v>7048</v>
      </c>
    </row>
    <row r="3008">
      <c r="A3008" s="1" t="s">
        <v>8997</v>
      </c>
      <c r="B3008" s="1" t="s">
        <v>40</v>
      </c>
      <c r="C3008" s="1" t="s">
        <v>8998</v>
      </c>
      <c r="D3008" s="1" t="s">
        <v>28</v>
      </c>
      <c r="E3008" s="1" t="s">
        <v>29</v>
      </c>
      <c r="F3008" s="5">
        <v>260000.0</v>
      </c>
      <c r="G3008" s="1" t="s">
        <v>7016</v>
      </c>
      <c r="H3008" s="1" t="s">
        <v>8999</v>
      </c>
      <c r="I3008" s="1" t="s">
        <v>43</v>
      </c>
      <c r="K3008" s="1">
        <v>0.0</v>
      </c>
      <c r="L3008" s="1" t="s">
        <v>8193</v>
      </c>
      <c r="M3008" s="1" t="str">
        <f>VLOOKUP(L3008,'Copy of PMD Workday Constants -'!B3007:W3693,22,false)</f>
        <v>#N/A</v>
      </c>
      <c r="N3008" s="1" t="s">
        <v>32</v>
      </c>
      <c r="O3008" s="1" t="s">
        <v>33</v>
      </c>
      <c r="P3008" s="1" t="s">
        <v>222</v>
      </c>
      <c r="Q3008" s="1" t="s">
        <v>222</v>
      </c>
      <c r="R3008" s="1" t="s">
        <v>223</v>
      </c>
      <c r="S3008" s="1" t="s">
        <v>482</v>
      </c>
      <c r="T3008" s="1">
        <v>1.00589357E8</v>
      </c>
      <c r="W3008" s="1" t="s">
        <v>47</v>
      </c>
      <c r="X3008" s="1" t="s">
        <v>8193</v>
      </c>
    </row>
    <row r="3009">
      <c r="A3009" s="1" t="s">
        <v>9000</v>
      </c>
      <c r="B3009" s="1" t="s">
        <v>1449</v>
      </c>
      <c r="C3009" s="1" t="s">
        <v>9001</v>
      </c>
      <c r="D3009" s="1" t="s">
        <v>28</v>
      </c>
      <c r="E3009" s="1" t="s">
        <v>29</v>
      </c>
      <c r="F3009" s="5">
        <v>260000.0</v>
      </c>
      <c r="G3009" s="1" t="s">
        <v>7016</v>
      </c>
      <c r="H3009" s="4">
        <v>44686.0</v>
      </c>
      <c r="I3009" s="1" t="s">
        <v>732</v>
      </c>
      <c r="K3009" s="1">
        <v>0.0</v>
      </c>
      <c r="L3009" s="1" t="s">
        <v>5214</v>
      </c>
      <c r="M3009" s="1" t="str">
        <f>VLOOKUP(L3009,'Copy of PMD Workday Constants -'!B3008:W3694,22,false)</f>
        <v>#N/A</v>
      </c>
      <c r="N3009" s="1" t="s">
        <v>32</v>
      </c>
      <c r="O3009" s="1" t="s">
        <v>33</v>
      </c>
      <c r="P3009" s="1" t="s">
        <v>222</v>
      </c>
      <c r="Q3009" s="1" t="s">
        <v>222</v>
      </c>
      <c r="R3009" s="1" t="s">
        <v>223</v>
      </c>
      <c r="T3009" s="1">
        <v>1.00611354E8</v>
      </c>
      <c r="W3009" s="1" t="s">
        <v>493</v>
      </c>
      <c r="X3009" s="1" t="s">
        <v>5214</v>
      </c>
    </row>
    <row r="3010">
      <c r="A3010" s="1" t="s">
        <v>9002</v>
      </c>
      <c r="B3010" s="1" t="s">
        <v>377</v>
      </c>
      <c r="C3010" s="1" t="s">
        <v>9003</v>
      </c>
      <c r="D3010" s="1" t="s">
        <v>103</v>
      </c>
      <c r="E3010" s="1" t="s">
        <v>29</v>
      </c>
      <c r="F3010" s="5">
        <v>255000.0</v>
      </c>
      <c r="G3010" s="1" t="s">
        <v>7016</v>
      </c>
      <c r="H3010" s="4">
        <v>44653.0</v>
      </c>
      <c r="I3010" s="1" t="s">
        <v>152</v>
      </c>
      <c r="K3010" s="1">
        <v>0.0</v>
      </c>
      <c r="L3010" s="1" t="s">
        <v>4112</v>
      </c>
      <c r="M3010" s="1" t="str">
        <f>VLOOKUP(L3010,'Copy of PMD Workday Constants -'!B3009:W3695,22,false)</f>
        <v>#N/A</v>
      </c>
      <c r="N3010" s="1" t="s">
        <v>32</v>
      </c>
      <c r="O3010" s="1" t="s">
        <v>33</v>
      </c>
      <c r="P3010" s="1" t="s">
        <v>34</v>
      </c>
      <c r="Q3010" s="1" t="s">
        <v>34</v>
      </c>
      <c r="R3010" s="1" t="s">
        <v>35</v>
      </c>
      <c r="S3010" s="1" t="s">
        <v>126</v>
      </c>
      <c r="T3010" s="1">
        <v>1.00584558E8</v>
      </c>
      <c r="W3010" s="1" t="s">
        <v>47</v>
      </c>
      <c r="X3010" s="1" t="s">
        <v>9004</v>
      </c>
    </row>
    <row r="3011">
      <c r="A3011" s="1" t="s">
        <v>9005</v>
      </c>
      <c r="B3011" s="1" t="s">
        <v>3154</v>
      </c>
      <c r="C3011" s="1" t="s">
        <v>9006</v>
      </c>
      <c r="D3011" s="1" t="s">
        <v>51</v>
      </c>
      <c r="E3011" s="1" t="s">
        <v>29</v>
      </c>
      <c r="F3011" s="5">
        <v>255000.0</v>
      </c>
      <c r="G3011" s="1" t="s">
        <v>7016</v>
      </c>
      <c r="H3011" s="1" t="s">
        <v>1254</v>
      </c>
      <c r="I3011" s="1" t="s">
        <v>523</v>
      </c>
      <c r="K3011" s="1">
        <v>0.0</v>
      </c>
      <c r="L3011" s="1" t="s">
        <v>4051</v>
      </c>
      <c r="M3011" s="1" t="str">
        <f>VLOOKUP(L3011,'Copy of PMD Workday Constants -'!B3010:W3696,22,false)</f>
        <v>#N/A</v>
      </c>
      <c r="N3011" s="1" t="s">
        <v>32</v>
      </c>
      <c r="O3011" s="1" t="s">
        <v>33</v>
      </c>
      <c r="P3011" s="1" t="s">
        <v>112</v>
      </c>
      <c r="Q3011" s="1" t="s">
        <v>112</v>
      </c>
      <c r="R3011" s="1" t="s">
        <v>113</v>
      </c>
      <c r="S3011" s="1" t="s">
        <v>114</v>
      </c>
      <c r="T3011" s="1">
        <v>1.00694651E8</v>
      </c>
      <c r="W3011" s="1" t="s">
        <v>147</v>
      </c>
      <c r="X3011" s="1" t="s">
        <v>7418</v>
      </c>
    </row>
    <row r="3012">
      <c r="A3012" s="1" t="s">
        <v>9007</v>
      </c>
      <c r="B3012" s="1" t="s">
        <v>9008</v>
      </c>
      <c r="C3012" s="1" t="s">
        <v>9009</v>
      </c>
      <c r="D3012" s="1" t="s">
        <v>103</v>
      </c>
      <c r="E3012" s="1" t="s">
        <v>29</v>
      </c>
      <c r="F3012" s="5">
        <v>252213.0</v>
      </c>
      <c r="G3012" s="1" t="s">
        <v>7016</v>
      </c>
      <c r="H3012" s="4">
        <v>44475.0</v>
      </c>
      <c r="I3012" s="1" t="s">
        <v>80</v>
      </c>
      <c r="J3012" s="6">
        <v>44475.05902777778</v>
      </c>
      <c r="K3012" s="1">
        <v>0.0</v>
      </c>
      <c r="L3012" s="1" t="s">
        <v>4159</v>
      </c>
      <c r="M3012" s="1" t="str">
        <f>VLOOKUP(L3012,'Copy of PMD Workday Constants -'!B3011:W3697,22,false)</f>
        <v>#N/A</v>
      </c>
      <c r="N3012" s="1" t="s">
        <v>32</v>
      </c>
      <c r="O3012" s="1" t="s">
        <v>33</v>
      </c>
      <c r="P3012" s="1" t="s">
        <v>222</v>
      </c>
      <c r="Q3012" s="1" t="s">
        <v>222</v>
      </c>
      <c r="R3012" s="1" t="s">
        <v>223</v>
      </c>
      <c r="S3012" s="1" t="s">
        <v>482</v>
      </c>
      <c r="T3012" s="1">
        <v>1.00888587E8</v>
      </c>
      <c r="U3012" s="1" t="s">
        <v>9010</v>
      </c>
      <c r="V3012" s="1" t="s">
        <v>346</v>
      </c>
      <c r="W3012" s="1" t="s">
        <v>140</v>
      </c>
      <c r="X3012" s="1" t="s">
        <v>817</v>
      </c>
    </row>
    <row r="3013">
      <c r="A3013" s="1" t="s">
        <v>9011</v>
      </c>
      <c r="B3013" s="1" t="s">
        <v>8871</v>
      </c>
      <c r="C3013" s="1" t="s">
        <v>3866</v>
      </c>
      <c r="D3013" s="1" t="s">
        <v>103</v>
      </c>
      <c r="E3013" s="1" t="s">
        <v>29</v>
      </c>
      <c r="F3013" s="5">
        <v>250802.57</v>
      </c>
      <c r="G3013" s="1" t="s">
        <v>7016</v>
      </c>
      <c r="H3013" s="4">
        <v>44382.0</v>
      </c>
      <c r="I3013" s="1" t="s">
        <v>1842</v>
      </c>
      <c r="K3013" s="1">
        <v>0.0</v>
      </c>
      <c r="L3013" s="1" t="s">
        <v>7847</v>
      </c>
      <c r="M3013" s="1" t="str">
        <f>VLOOKUP(L3013,'Copy of PMD Workday Constants -'!B3012:W3698,22,false)</f>
        <v>#N/A</v>
      </c>
      <c r="N3013" s="1" t="s">
        <v>32</v>
      </c>
      <c r="O3013" s="1" t="s">
        <v>33</v>
      </c>
      <c r="P3013" s="1" t="s">
        <v>5253</v>
      </c>
      <c r="Q3013" s="1" t="s">
        <v>5253</v>
      </c>
      <c r="R3013" s="1" t="s">
        <v>113</v>
      </c>
      <c r="S3013" s="1" t="s">
        <v>114</v>
      </c>
      <c r="T3013" s="1">
        <v>1.0065052E8</v>
      </c>
      <c r="W3013" s="1" t="s">
        <v>287</v>
      </c>
      <c r="X3013" s="1" t="s">
        <v>7847</v>
      </c>
    </row>
    <row r="3014">
      <c r="A3014" s="1" t="s">
        <v>9012</v>
      </c>
      <c r="B3014" s="1" t="s">
        <v>9013</v>
      </c>
      <c r="C3014" s="1" t="s">
        <v>9014</v>
      </c>
      <c r="D3014" s="1" t="s">
        <v>28</v>
      </c>
      <c r="E3014" s="1" t="s">
        <v>29</v>
      </c>
      <c r="F3014" s="5">
        <v>250000.0</v>
      </c>
      <c r="G3014" s="1" t="s">
        <v>7016</v>
      </c>
      <c r="H3014" s="4">
        <v>44350.0</v>
      </c>
      <c r="I3014" s="1" t="s">
        <v>9015</v>
      </c>
      <c r="K3014" s="1">
        <v>0.0</v>
      </c>
      <c r="L3014" s="1" t="s">
        <v>963</v>
      </c>
      <c r="M3014" s="1" t="str">
        <f>VLOOKUP(L3014,'Copy of PMD Workday Constants -'!B3013:W3699,22,false)</f>
        <v>#N/A</v>
      </c>
      <c r="N3014" s="1" t="s">
        <v>32</v>
      </c>
      <c r="O3014" s="1" t="s">
        <v>33</v>
      </c>
      <c r="P3014" s="1" t="s">
        <v>173</v>
      </c>
      <c r="Q3014" s="1" t="s">
        <v>173</v>
      </c>
      <c r="R3014" s="1" t="s">
        <v>174</v>
      </c>
      <c r="S3014" s="1" t="s">
        <v>612</v>
      </c>
      <c r="T3014" s="1">
        <v>1.00708984E8</v>
      </c>
      <c r="W3014" s="1" t="s">
        <v>115</v>
      </c>
      <c r="X3014" s="1" t="s">
        <v>9016</v>
      </c>
    </row>
    <row r="3015">
      <c r="A3015" s="1" t="s">
        <v>9017</v>
      </c>
      <c r="B3015" s="1" t="s">
        <v>776</v>
      </c>
      <c r="C3015" s="1" t="s">
        <v>9018</v>
      </c>
      <c r="D3015" s="1" t="s">
        <v>51</v>
      </c>
      <c r="E3015" s="1" t="s">
        <v>29</v>
      </c>
      <c r="F3015" s="5">
        <v>250000.0</v>
      </c>
      <c r="G3015" s="1" t="s">
        <v>7016</v>
      </c>
      <c r="H3015" s="1" t="s">
        <v>4849</v>
      </c>
      <c r="I3015" s="1" t="s">
        <v>302</v>
      </c>
      <c r="K3015" s="1">
        <v>0.0</v>
      </c>
      <c r="L3015" s="1" t="s">
        <v>3313</v>
      </c>
      <c r="M3015" s="1" t="str">
        <f>VLOOKUP(L3015,'Copy of PMD Workday Constants -'!B3014:W3700,22,false)</f>
        <v>#N/A</v>
      </c>
      <c r="N3015" s="1" t="s">
        <v>32</v>
      </c>
      <c r="O3015" s="1" t="s">
        <v>33</v>
      </c>
      <c r="P3015" s="1" t="s">
        <v>64</v>
      </c>
      <c r="Q3015" s="1" t="s">
        <v>64</v>
      </c>
      <c r="R3015" s="1" t="s">
        <v>65</v>
      </c>
      <c r="T3015" s="1">
        <v>1.00613342E8</v>
      </c>
      <c r="W3015" s="1" t="s">
        <v>74</v>
      </c>
      <c r="X3015" s="1" t="s">
        <v>759</v>
      </c>
    </row>
    <row r="3016">
      <c r="A3016" s="1" t="s">
        <v>9019</v>
      </c>
      <c r="B3016" s="1" t="s">
        <v>3889</v>
      </c>
      <c r="C3016" s="1" t="s">
        <v>9020</v>
      </c>
      <c r="D3016" s="1" t="s">
        <v>28</v>
      </c>
      <c r="E3016" s="1" t="s">
        <v>29</v>
      </c>
      <c r="F3016" s="5">
        <v>250000.0</v>
      </c>
      <c r="G3016" s="1" t="s">
        <v>7016</v>
      </c>
      <c r="H3016" s="4">
        <v>44840.0</v>
      </c>
      <c r="I3016" s="1" t="s">
        <v>104</v>
      </c>
      <c r="K3016" s="1">
        <v>0.0</v>
      </c>
      <c r="L3016" s="1" t="s">
        <v>3891</v>
      </c>
      <c r="M3016" s="1" t="str">
        <f>VLOOKUP(L3016,'Copy of PMD Workday Constants -'!B3015:W3701,22,false)</f>
        <v>#N/A</v>
      </c>
      <c r="N3016" s="1" t="s">
        <v>32</v>
      </c>
      <c r="O3016" s="1" t="s">
        <v>33</v>
      </c>
      <c r="P3016" s="1" t="s">
        <v>112</v>
      </c>
      <c r="Q3016" s="1" t="s">
        <v>112</v>
      </c>
      <c r="R3016" s="1" t="s">
        <v>113</v>
      </c>
      <c r="S3016" s="1" t="s">
        <v>114</v>
      </c>
      <c r="T3016" s="1">
        <v>1.00589299E8</v>
      </c>
      <c r="W3016" s="1" t="s">
        <v>140</v>
      </c>
      <c r="X3016" s="1" t="s">
        <v>8620</v>
      </c>
    </row>
    <row r="3017">
      <c r="A3017" s="1" t="s">
        <v>9021</v>
      </c>
      <c r="B3017" s="1" t="s">
        <v>6165</v>
      </c>
      <c r="C3017" s="1" t="s">
        <v>9022</v>
      </c>
      <c r="D3017" s="1" t="s">
        <v>28</v>
      </c>
      <c r="E3017" s="1" t="s">
        <v>29</v>
      </c>
      <c r="F3017" s="5">
        <v>250000.0</v>
      </c>
      <c r="G3017" s="1" t="s">
        <v>7016</v>
      </c>
      <c r="H3017" s="1" t="s">
        <v>2210</v>
      </c>
      <c r="I3017" s="1" t="s">
        <v>152</v>
      </c>
      <c r="K3017" s="1">
        <v>0.0</v>
      </c>
      <c r="L3017" s="1" t="s">
        <v>3917</v>
      </c>
      <c r="M3017" s="1" t="str">
        <f>VLOOKUP(L3017,'Copy of PMD Workday Constants -'!B3016:W3702,22,false)</f>
        <v>#N/A</v>
      </c>
      <c r="N3017" s="1" t="s">
        <v>32</v>
      </c>
      <c r="O3017" s="1" t="s">
        <v>33</v>
      </c>
      <c r="P3017" s="1" t="s">
        <v>82</v>
      </c>
      <c r="Q3017" s="1" t="s">
        <v>82</v>
      </c>
      <c r="R3017" s="1" t="s">
        <v>83</v>
      </c>
      <c r="S3017" s="1" t="s">
        <v>180</v>
      </c>
      <c r="T3017" s="1">
        <v>1.00611547E8</v>
      </c>
      <c r="W3017" s="1" t="s">
        <v>85</v>
      </c>
      <c r="X3017" s="1" t="s">
        <v>3917</v>
      </c>
    </row>
    <row r="3018">
      <c r="A3018" s="1" t="s">
        <v>9023</v>
      </c>
      <c r="B3018" s="1" t="s">
        <v>751</v>
      </c>
      <c r="C3018" s="1" t="s">
        <v>9024</v>
      </c>
      <c r="D3018" s="1" t="s">
        <v>51</v>
      </c>
      <c r="E3018" s="1" t="s">
        <v>29</v>
      </c>
      <c r="F3018" s="5">
        <v>250000.0</v>
      </c>
      <c r="G3018" s="1" t="s">
        <v>7016</v>
      </c>
      <c r="H3018" s="1" t="s">
        <v>1330</v>
      </c>
      <c r="I3018" s="1" t="s">
        <v>302</v>
      </c>
      <c r="K3018" s="1">
        <v>0.0</v>
      </c>
      <c r="L3018" s="1" t="s">
        <v>198</v>
      </c>
      <c r="M3018" s="1" t="str">
        <f>VLOOKUP(L3018,'Copy of PMD Workday Constants -'!B3017:W3703,22,false)</f>
        <v>#N/A</v>
      </c>
      <c r="N3018" s="1" t="s">
        <v>32</v>
      </c>
      <c r="O3018" s="1" t="s">
        <v>33</v>
      </c>
      <c r="P3018" s="1" t="s">
        <v>82</v>
      </c>
      <c r="Q3018" s="1" t="s">
        <v>82</v>
      </c>
      <c r="R3018" s="1" t="s">
        <v>83</v>
      </c>
      <c r="S3018" s="1" t="s">
        <v>180</v>
      </c>
      <c r="T3018" s="1">
        <v>1.00590896E8</v>
      </c>
      <c r="W3018" s="1" t="s">
        <v>85</v>
      </c>
      <c r="X3018" s="1" t="s">
        <v>3087</v>
      </c>
    </row>
    <row r="3019">
      <c r="A3019" s="1" t="s">
        <v>9025</v>
      </c>
      <c r="B3019" s="1" t="s">
        <v>9013</v>
      </c>
      <c r="C3019" s="1" t="s">
        <v>9026</v>
      </c>
      <c r="D3019" s="1" t="s">
        <v>28</v>
      </c>
      <c r="E3019" s="1" t="s">
        <v>29</v>
      </c>
      <c r="F3019" s="5">
        <v>250000.0</v>
      </c>
      <c r="G3019" s="1" t="s">
        <v>7016</v>
      </c>
      <c r="H3019" s="4">
        <v>44746.0</v>
      </c>
      <c r="I3019" s="4">
        <v>44780.0</v>
      </c>
      <c r="K3019" s="1">
        <v>0.0</v>
      </c>
      <c r="L3019" s="1" t="s">
        <v>2955</v>
      </c>
      <c r="M3019" s="1" t="str">
        <f>VLOOKUP(L3019,'Copy of PMD Workday Constants -'!B3018:W3704,22,false)</f>
        <v>#N/A</v>
      </c>
      <c r="N3019" s="1" t="s">
        <v>32</v>
      </c>
      <c r="O3019" s="1" t="s">
        <v>33</v>
      </c>
      <c r="P3019" s="1" t="s">
        <v>34</v>
      </c>
      <c r="Q3019" s="1" t="s">
        <v>34</v>
      </c>
      <c r="R3019" s="1" t="s">
        <v>35</v>
      </c>
      <c r="T3019" s="1">
        <v>1.00589892E8</v>
      </c>
      <c r="W3019" s="1" t="s">
        <v>115</v>
      </c>
      <c r="X3019" s="1" t="s">
        <v>2955</v>
      </c>
    </row>
    <row r="3020">
      <c r="A3020" s="1" t="s">
        <v>9027</v>
      </c>
      <c r="B3020" s="1" t="s">
        <v>993</v>
      </c>
      <c r="C3020" s="1" t="s">
        <v>9028</v>
      </c>
      <c r="D3020" s="1" t="s">
        <v>28</v>
      </c>
      <c r="E3020" s="1" t="s">
        <v>29</v>
      </c>
      <c r="F3020" s="5">
        <v>250000.0</v>
      </c>
      <c r="G3020" s="1" t="s">
        <v>7016</v>
      </c>
      <c r="H3020" s="4">
        <v>44840.0</v>
      </c>
      <c r="I3020" s="1" t="s">
        <v>80</v>
      </c>
      <c r="K3020" s="1">
        <v>0.0</v>
      </c>
      <c r="L3020" s="1" t="s">
        <v>4634</v>
      </c>
      <c r="M3020" s="1" t="str">
        <f>VLOOKUP(L3020,'Copy of PMD Workday Constants -'!B3019:W3705,22,false)</f>
        <v>#N/A</v>
      </c>
      <c r="N3020" s="1" t="s">
        <v>32</v>
      </c>
      <c r="O3020" s="1" t="s">
        <v>33</v>
      </c>
      <c r="P3020" s="1" t="s">
        <v>112</v>
      </c>
      <c r="Q3020" s="1" t="s">
        <v>112</v>
      </c>
      <c r="R3020" s="1" t="s">
        <v>113</v>
      </c>
      <c r="S3020" s="1" t="s">
        <v>134</v>
      </c>
      <c r="T3020" s="1">
        <v>1.00585718E8</v>
      </c>
      <c r="W3020" s="1" t="s">
        <v>74</v>
      </c>
      <c r="X3020" s="1" t="s">
        <v>4804</v>
      </c>
    </row>
    <row r="3021">
      <c r="A3021" s="1" t="s">
        <v>9029</v>
      </c>
      <c r="B3021" s="1" t="s">
        <v>2901</v>
      </c>
      <c r="C3021" s="1" t="s">
        <v>9030</v>
      </c>
      <c r="D3021" s="1" t="s">
        <v>51</v>
      </c>
      <c r="E3021" s="1" t="s">
        <v>29</v>
      </c>
      <c r="F3021" s="5">
        <v>250000.0</v>
      </c>
      <c r="G3021" s="1" t="s">
        <v>7016</v>
      </c>
      <c r="H3021" s="1" t="s">
        <v>2360</v>
      </c>
      <c r="I3021" s="1" t="s">
        <v>104</v>
      </c>
      <c r="K3021" s="1">
        <v>0.0</v>
      </c>
      <c r="L3021" s="1" t="s">
        <v>3813</v>
      </c>
      <c r="M3021" s="1" t="str">
        <f>VLOOKUP(L3021,'Copy of PMD Workday Constants -'!B3020:W3706,22,false)</f>
        <v>#N/A</v>
      </c>
      <c r="N3021" s="1" t="s">
        <v>32</v>
      </c>
      <c r="O3021" s="1" t="s">
        <v>33</v>
      </c>
      <c r="P3021" s="1" t="s">
        <v>112</v>
      </c>
      <c r="Q3021" s="1" t="s">
        <v>112</v>
      </c>
      <c r="R3021" s="1" t="s">
        <v>113</v>
      </c>
      <c r="T3021" s="1">
        <v>1.00650841E8</v>
      </c>
      <c r="W3021" s="1" t="s">
        <v>456</v>
      </c>
      <c r="X3021" s="1" t="s">
        <v>3813</v>
      </c>
    </row>
    <row r="3022">
      <c r="A3022" s="1" t="s">
        <v>9031</v>
      </c>
      <c r="B3022" s="1" t="s">
        <v>373</v>
      </c>
      <c r="C3022" s="1" t="s">
        <v>9032</v>
      </c>
      <c r="D3022" s="1" t="s">
        <v>28</v>
      </c>
      <c r="E3022" s="1" t="s">
        <v>29</v>
      </c>
      <c r="F3022" s="5">
        <v>250000.0</v>
      </c>
      <c r="G3022" s="1" t="s">
        <v>7016</v>
      </c>
      <c r="H3022" s="4">
        <v>44598.0</v>
      </c>
      <c r="I3022" s="1" t="s">
        <v>264</v>
      </c>
      <c r="K3022" s="1">
        <v>0.0</v>
      </c>
      <c r="L3022" s="1" t="s">
        <v>9033</v>
      </c>
      <c r="M3022" s="1" t="str">
        <f>VLOOKUP(L3022,'Copy of PMD Workday Constants -'!B3021:W3707,22,false)</f>
        <v>#N/A</v>
      </c>
      <c r="N3022" s="1" t="s">
        <v>32</v>
      </c>
      <c r="O3022" s="1" t="s">
        <v>33</v>
      </c>
      <c r="P3022" s="1" t="s">
        <v>5253</v>
      </c>
      <c r="Q3022" s="1" t="s">
        <v>5253</v>
      </c>
      <c r="R3022" s="1" t="s">
        <v>211</v>
      </c>
      <c r="S3022" s="1" t="s">
        <v>540</v>
      </c>
      <c r="T3022" s="1">
        <v>1.01146755E8</v>
      </c>
      <c r="W3022" s="1" t="s">
        <v>258</v>
      </c>
      <c r="X3022" s="1" t="s">
        <v>9034</v>
      </c>
    </row>
    <row r="3023">
      <c r="A3023" s="1" t="s">
        <v>9035</v>
      </c>
      <c r="B3023" s="1" t="s">
        <v>9036</v>
      </c>
      <c r="C3023" s="1" t="s">
        <v>9037</v>
      </c>
      <c r="D3023" s="1" t="s">
        <v>51</v>
      </c>
      <c r="E3023" s="1" t="s">
        <v>29</v>
      </c>
      <c r="F3023" s="5">
        <v>250000.0</v>
      </c>
      <c r="G3023" s="1" t="s">
        <v>7016</v>
      </c>
      <c r="H3023" s="4">
        <v>44448.0</v>
      </c>
      <c r="I3023" s="1" t="s">
        <v>80</v>
      </c>
      <c r="K3023" s="1">
        <v>0.0</v>
      </c>
      <c r="L3023" s="1" t="s">
        <v>2655</v>
      </c>
      <c r="M3023" s="1" t="str">
        <f>VLOOKUP(L3023,'Copy of PMD Workday Constants -'!B3022:W3708,22,false)</f>
        <v>#N/A</v>
      </c>
      <c r="N3023" s="1" t="s">
        <v>32</v>
      </c>
      <c r="O3023" s="1" t="s">
        <v>33</v>
      </c>
      <c r="P3023" s="1" t="s">
        <v>210</v>
      </c>
      <c r="Q3023" s="1" t="s">
        <v>210</v>
      </c>
      <c r="R3023" s="1" t="s">
        <v>211</v>
      </c>
      <c r="S3023" s="1" t="s">
        <v>1313</v>
      </c>
      <c r="T3023" s="1">
        <v>1.0062606E8</v>
      </c>
      <c r="W3023" s="1" t="s">
        <v>436</v>
      </c>
      <c r="X3023" s="1" t="s">
        <v>7332</v>
      </c>
    </row>
    <row r="3024">
      <c r="A3024" s="1" t="s">
        <v>9038</v>
      </c>
      <c r="B3024" s="1" t="s">
        <v>40</v>
      </c>
      <c r="C3024" s="1" t="s">
        <v>9039</v>
      </c>
      <c r="D3024" s="1" t="s">
        <v>28</v>
      </c>
      <c r="E3024" s="1" t="s">
        <v>29</v>
      </c>
      <c r="F3024" s="5">
        <v>250000.0</v>
      </c>
      <c r="G3024" s="1" t="s">
        <v>7016</v>
      </c>
      <c r="H3024" s="4">
        <v>44840.0</v>
      </c>
      <c r="I3024" s="1" t="s">
        <v>302</v>
      </c>
      <c r="K3024" s="1">
        <v>0.0</v>
      </c>
      <c r="L3024" s="1" t="s">
        <v>6847</v>
      </c>
      <c r="M3024" s="1" t="str">
        <f>VLOOKUP(L3024,'Copy of PMD Workday Constants -'!B3023:W3709,22,false)</f>
        <v>#N/A</v>
      </c>
      <c r="N3024" s="1" t="s">
        <v>32</v>
      </c>
      <c r="O3024" s="1" t="s">
        <v>33</v>
      </c>
      <c r="P3024" s="1" t="s">
        <v>54</v>
      </c>
      <c r="Q3024" s="1" t="s">
        <v>54</v>
      </c>
      <c r="R3024" s="1" t="s">
        <v>55</v>
      </c>
      <c r="T3024" s="1">
        <v>1.01186492E8</v>
      </c>
      <c r="W3024" s="1" t="s">
        <v>47</v>
      </c>
      <c r="X3024" s="1" t="s">
        <v>6849</v>
      </c>
    </row>
    <row r="3025">
      <c r="A3025" s="1" t="s">
        <v>9040</v>
      </c>
      <c r="B3025" s="1" t="s">
        <v>5840</v>
      </c>
      <c r="C3025" s="1" t="s">
        <v>9041</v>
      </c>
      <c r="D3025" s="1" t="s">
        <v>28</v>
      </c>
      <c r="E3025" s="1" t="s">
        <v>29</v>
      </c>
      <c r="F3025" s="5">
        <v>250000.0</v>
      </c>
      <c r="G3025" s="1" t="s">
        <v>7016</v>
      </c>
      <c r="H3025" s="1" t="s">
        <v>1323</v>
      </c>
      <c r="I3025" s="1" t="s">
        <v>810</v>
      </c>
      <c r="K3025" s="1">
        <v>0.0</v>
      </c>
      <c r="L3025" s="1" t="s">
        <v>1902</v>
      </c>
      <c r="M3025" s="1" t="str">
        <f>VLOOKUP(L3025,'Copy of PMD Workday Constants -'!B3024:W3710,22,false)</f>
        <v>#N/A</v>
      </c>
      <c r="N3025" s="1" t="s">
        <v>32</v>
      </c>
      <c r="O3025" s="1" t="s">
        <v>33</v>
      </c>
      <c r="P3025" s="1" t="s">
        <v>173</v>
      </c>
      <c r="Q3025" s="1" t="s">
        <v>173</v>
      </c>
      <c r="R3025" s="1" t="s">
        <v>174</v>
      </c>
      <c r="S3025" s="1" t="s">
        <v>540</v>
      </c>
      <c r="T3025" s="1">
        <v>1.00956516E8</v>
      </c>
      <c r="W3025" s="1" t="s">
        <v>258</v>
      </c>
      <c r="X3025" s="1" t="s">
        <v>1902</v>
      </c>
    </row>
    <row r="3026">
      <c r="A3026" s="1" t="s">
        <v>9042</v>
      </c>
      <c r="B3026" s="1" t="s">
        <v>808</v>
      </c>
      <c r="C3026" s="1" t="s">
        <v>9043</v>
      </c>
      <c r="D3026" s="1" t="s">
        <v>103</v>
      </c>
      <c r="E3026" s="1" t="s">
        <v>29</v>
      </c>
      <c r="F3026" s="5">
        <v>250000.0</v>
      </c>
      <c r="G3026" s="1" t="s">
        <v>7016</v>
      </c>
      <c r="H3026" s="4">
        <v>44840.0</v>
      </c>
      <c r="I3026" s="1" t="s">
        <v>104</v>
      </c>
      <c r="K3026" s="1">
        <v>0.0</v>
      </c>
      <c r="L3026" s="1" t="s">
        <v>505</v>
      </c>
      <c r="M3026" s="1" t="str">
        <f>VLOOKUP(L3026,'Copy of PMD Workday Constants -'!B3025:W3711,22,false)</f>
        <v>#N/A</v>
      </c>
      <c r="N3026" s="1" t="s">
        <v>32</v>
      </c>
      <c r="O3026" s="1" t="s">
        <v>33</v>
      </c>
      <c r="P3026" s="1" t="s">
        <v>112</v>
      </c>
      <c r="Q3026" s="1" t="s">
        <v>112</v>
      </c>
      <c r="R3026" s="1" t="s">
        <v>113</v>
      </c>
      <c r="S3026" s="1" t="s">
        <v>307</v>
      </c>
      <c r="T3026" s="1">
        <v>1.0062347E8</v>
      </c>
      <c r="W3026" s="1" t="s">
        <v>308</v>
      </c>
      <c r="X3026" s="1" t="s">
        <v>5029</v>
      </c>
    </row>
    <row r="3027">
      <c r="A3027" s="1" t="s">
        <v>9044</v>
      </c>
      <c r="B3027" s="1" t="s">
        <v>5840</v>
      </c>
      <c r="C3027" s="1" t="s">
        <v>9045</v>
      </c>
      <c r="D3027" s="1" t="s">
        <v>28</v>
      </c>
      <c r="E3027" s="1" t="s">
        <v>29</v>
      </c>
      <c r="F3027" s="5">
        <v>250000.0</v>
      </c>
      <c r="G3027" s="1" t="s">
        <v>7016</v>
      </c>
      <c r="H3027" s="1" t="s">
        <v>1323</v>
      </c>
      <c r="I3027" s="1" t="s">
        <v>810</v>
      </c>
      <c r="K3027" s="1">
        <v>0.0</v>
      </c>
      <c r="L3027" s="1" t="s">
        <v>1902</v>
      </c>
      <c r="M3027" s="1" t="str">
        <f>VLOOKUP(L3027,'Copy of PMD Workday Constants -'!B3026:W3712,22,false)</f>
        <v>#N/A</v>
      </c>
      <c r="N3027" s="1" t="s">
        <v>32</v>
      </c>
      <c r="O3027" s="1" t="s">
        <v>33</v>
      </c>
      <c r="P3027" s="1" t="s">
        <v>173</v>
      </c>
      <c r="Q3027" s="1" t="s">
        <v>173</v>
      </c>
      <c r="R3027" s="1" t="s">
        <v>174</v>
      </c>
      <c r="T3027" s="1">
        <v>1.00956516E8</v>
      </c>
      <c r="W3027" s="1" t="s">
        <v>258</v>
      </c>
      <c r="X3027" s="1" t="s">
        <v>1902</v>
      </c>
    </row>
    <row r="3028">
      <c r="A3028" s="1" t="s">
        <v>9046</v>
      </c>
      <c r="B3028" s="1" t="s">
        <v>9047</v>
      </c>
      <c r="C3028" s="1" t="s">
        <v>7569</v>
      </c>
      <c r="D3028" s="1" t="s">
        <v>28</v>
      </c>
      <c r="E3028" s="1" t="s">
        <v>29</v>
      </c>
      <c r="F3028" s="5">
        <v>250000.0</v>
      </c>
      <c r="G3028" s="1" t="s">
        <v>7016</v>
      </c>
      <c r="H3028" s="1" t="s">
        <v>375</v>
      </c>
      <c r="I3028" s="1" t="s">
        <v>80</v>
      </c>
      <c r="K3028" s="1">
        <v>0.0</v>
      </c>
      <c r="L3028" s="1" t="s">
        <v>3559</v>
      </c>
      <c r="M3028" s="1" t="str">
        <f>VLOOKUP(L3028,'Copy of PMD Workday Constants -'!B3027:W3713,22,false)</f>
        <v>#N/A</v>
      </c>
      <c r="N3028" s="1" t="s">
        <v>32</v>
      </c>
      <c r="O3028" s="1" t="s">
        <v>33</v>
      </c>
      <c r="P3028" s="1" t="s">
        <v>34</v>
      </c>
      <c r="Q3028" s="1" t="s">
        <v>34</v>
      </c>
      <c r="R3028" s="1" t="s">
        <v>35</v>
      </c>
      <c r="T3028" s="1">
        <v>1.00586786E8</v>
      </c>
      <c r="W3028" s="1" t="s">
        <v>1303</v>
      </c>
      <c r="X3028" s="1" t="s">
        <v>9048</v>
      </c>
    </row>
    <row r="3029">
      <c r="A3029" s="1" t="s">
        <v>9049</v>
      </c>
      <c r="B3029" s="1" t="s">
        <v>9050</v>
      </c>
      <c r="C3029" s="1" t="s">
        <v>9051</v>
      </c>
      <c r="D3029" s="1" t="s">
        <v>28</v>
      </c>
      <c r="E3029" s="1" t="s">
        <v>29</v>
      </c>
      <c r="F3029" s="5">
        <v>250000.0</v>
      </c>
      <c r="G3029" s="1" t="s">
        <v>7016</v>
      </c>
      <c r="H3029" s="4">
        <v>44231.0</v>
      </c>
      <c r="I3029" s="1" t="s">
        <v>302</v>
      </c>
      <c r="K3029" s="1">
        <v>0.0</v>
      </c>
      <c r="L3029" s="1" t="s">
        <v>3917</v>
      </c>
      <c r="M3029" s="1" t="str">
        <f>VLOOKUP(L3029,'Copy of PMD Workday Constants -'!B3028:W3714,22,false)</f>
        <v>#N/A</v>
      </c>
      <c r="N3029" s="1" t="s">
        <v>32</v>
      </c>
      <c r="O3029" s="1" t="s">
        <v>33</v>
      </c>
      <c r="P3029" s="1" t="s">
        <v>82</v>
      </c>
      <c r="Q3029" s="1" t="s">
        <v>82</v>
      </c>
      <c r="R3029" s="1" t="s">
        <v>83</v>
      </c>
      <c r="S3029" s="1" t="s">
        <v>180</v>
      </c>
      <c r="T3029" s="1">
        <v>1.00611547E8</v>
      </c>
      <c r="W3029" s="1" t="s">
        <v>2098</v>
      </c>
      <c r="X3029" s="1" t="s">
        <v>3917</v>
      </c>
    </row>
    <row r="3030">
      <c r="A3030" s="1" t="s">
        <v>9052</v>
      </c>
      <c r="B3030" s="1" t="s">
        <v>9053</v>
      </c>
      <c r="C3030" s="1" t="s">
        <v>9054</v>
      </c>
      <c r="D3030" s="1" t="s">
        <v>28</v>
      </c>
      <c r="E3030" s="1" t="s">
        <v>29</v>
      </c>
      <c r="F3030" s="5">
        <v>250000.0</v>
      </c>
      <c r="G3030" s="1" t="s">
        <v>7016</v>
      </c>
      <c r="H3030" s="1" t="s">
        <v>563</v>
      </c>
      <c r="I3030" s="1" t="s">
        <v>152</v>
      </c>
      <c r="K3030" s="1">
        <v>0.0</v>
      </c>
      <c r="L3030" s="1" t="s">
        <v>2885</v>
      </c>
      <c r="M3030" s="1" t="str">
        <f>VLOOKUP(L3030,'Copy of PMD Workday Constants -'!B3029:W3715,22,false)</f>
        <v>#N/A</v>
      </c>
      <c r="N3030" s="1" t="s">
        <v>32</v>
      </c>
      <c r="O3030" s="1" t="s">
        <v>33</v>
      </c>
      <c r="P3030" s="1" t="s">
        <v>210</v>
      </c>
      <c r="Q3030" s="1" t="s">
        <v>210</v>
      </c>
      <c r="R3030" s="1" t="s">
        <v>211</v>
      </c>
      <c r="S3030" s="1" t="s">
        <v>416</v>
      </c>
      <c r="T3030" s="1">
        <v>1.00647463E8</v>
      </c>
      <c r="W3030" s="1" t="s">
        <v>56</v>
      </c>
      <c r="X3030" s="1" t="s">
        <v>2885</v>
      </c>
    </row>
    <row r="3031">
      <c r="A3031" s="1" t="s">
        <v>9055</v>
      </c>
      <c r="B3031" s="1" t="s">
        <v>3557</v>
      </c>
      <c r="C3031" s="1" t="s">
        <v>9056</v>
      </c>
      <c r="D3031" s="1" t="s">
        <v>51</v>
      </c>
      <c r="E3031" s="1" t="s">
        <v>29</v>
      </c>
      <c r="F3031" s="5">
        <v>250000.0</v>
      </c>
      <c r="G3031" s="1" t="s">
        <v>7016</v>
      </c>
      <c r="H3031" s="1" t="s">
        <v>2365</v>
      </c>
      <c r="I3031" s="1" t="s">
        <v>80</v>
      </c>
      <c r="K3031" s="1">
        <v>0.0</v>
      </c>
      <c r="L3031" s="1" t="s">
        <v>4323</v>
      </c>
      <c r="M3031" s="1" t="str">
        <f>VLOOKUP(L3031,'Copy of PMD Workday Constants -'!B3030:W3716,22,false)</f>
        <v>#N/A</v>
      </c>
      <c r="N3031" s="1" t="s">
        <v>32</v>
      </c>
      <c r="O3031" s="1" t="s">
        <v>33</v>
      </c>
      <c r="P3031" s="1" t="s">
        <v>112</v>
      </c>
      <c r="Q3031" s="1" t="s">
        <v>112</v>
      </c>
      <c r="R3031" s="1" t="s">
        <v>113</v>
      </c>
      <c r="S3031" s="1" t="s">
        <v>114</v>
      </c>
      <c r="T3031" s="1">
        <v>1.0062141E8</v>
      </c>
      <c r="W3031" s="1" t="s">
        <v>140</v>
      </c>
      <c r="X3031" s="1" t="s">
        <v>9057</v>
      </c>
    </row>
    <row r="3032">
      <c r="A3032" s="1" t="s">
        <v>9058</v>
      </c>
      <c r="B3032" s="1" t="s">
        <v>9059</v>
      </c>
      <c r="C3032" s="1" t="s">
        <v>9060</v>
      </c>
      <c r="D3032" s="1" t="s">
        <v>51</v>
      </c>
      <c r="E3032" s="1" t="s">
        <v>29</v>
      </c>
      <c r="F3032" s="5">
        <v>250000.0</v>
      </c>
      <c r="G3032" s="1" t="s">
        <v>7016</v>
      </c>
      <c r="H3032" s="1" t="s">
        <v>375</v>
      </c>
      <c r="I3032" s="1" t="s">
        <v>80</v>
      </c>
      <c r="K3032" s="1">
        <v>0.0</v>
      </c>
      <c r="L3032" s="1" t="s">
        <v>5415</v>
      </c>
      <c r="M3032" s="1" t="str">
        <f>VLOOKUP(L3032,'Copy of PMD Workday Constants -'!B3031:W3717,22,false)</f>
        <v>#N/A</v>
      </c>
      <c r="N3032" s="1" t="s">
        <v>32</v>
      </c>
      <c r="O3032" s="1" t="s">
        <v>33</v>
      </c>
      <c r="P3032" s="1" t="s">
        <v>222</v>
      </c>
      <c r="Q3032" s="1" t="s">
        <v>222</v>
      </c>
      <c r="R3032" s="1" t="s">
        <v>223</v>
      </c>
      <c r="S3032" s="1" t="s">
        <v>601</v>
      </c>
      <c r="T3032" s="1">
        <v>1.00933537E8</v>
      </c>
      <c r="W3032" s="1" t="s">
        <v>85</v>
      </c>
      <c r="X3032" s="1" t="s">
        <v>5295</v>
      </c>
    </row>
    <row r="3033">
      <c r="A3033" s="1" t="s">
        <v>9061</v>
      </c>
      <c r="B3033" s="1" t="s">
        <v>9062</v>
      </c>
      <c r="C3033" s="1" t="s">
        <v>9063</v>
      </c>
      <c r="D3033" s="1" t="s">
        <v>28</v>
      </c>
      <c r="E3033" s="1" t="s">
        <v>29</v>
      </c>
      <c r="F3033" s="5">
        <v>250000.0</v>
      </c>
      <c r="G3033" s="1" t="s">
        <v>7016</v>
      </c>
      <c r="H3033" s="1" t="s">
        <v>1323</v>
      </c>
      <c r="I3033" s="1" t="s">
        <v>816</v>
      </c>
      <c r="K3033" s="1">
        <v>0.0</v>
      </c>
      <c r="L3033" s="1" t="s">
        <v>4332</v>
      </c>
      <c r="M3033" s="1" t="str">
        <f>VLOOKUP(L3033,'Copy of PMD Workday Constants -'!B3032:W3718,22,false)</f>
        <v>#N/A</v>
      </c>
      <c r="N3033" s="1" t="s">
        <v>32</v>
      </c>
      <c r="O3033" s="1" t="s">
        <v>33</v>
      </c>
      <c r="P3033" s="1" t="s">
        <v>34</v>
      </c>
      <c r="Q3033" s="1" t="s">
        <v>34</v>
      </c>
      <c r="R3033" s="1" t="s">
        <v>35</v>
      </c>
      <c r="S3033" s="1" t="s">
        <v>383</v>
      </c>
      <c r="T3033" s="1">
        <v>1.00659865E8</v>
      </c>
      <c r="W3033" s="1" t="s">
        <v>140</v>
      </c>
      <c r="X3033" s="1" t="s">
        <v>9064</v>
      </c>
    </row>
    <row r="3034">
      <c r="A3034" s="1" t="s">
        <v>9065</v>
      </c>
      <c r="B3034" s="1" t="s">
        <v>9066</v>
      </c>
      <c r="C3034" s="1" t="s">
        <v>9067</v>
      </c>
      <c r="D3034" s="1" t="s">
        <v>28</v>
      </c>
      <c r="E3034" s="1" t="s">
        <v>29</v>
      </c>
      <c r="F3034" s="5">
        <v>250000.0</v>
      </c>
      <c r="G3034" s="1" t="s">
        <v>7016</v>
      </c>
      <c r="H3034" s="1" t="s">
        <v>1433</v>
      </c>
      <c r="I3034" s="1" t="s">
        <v>80</v>
      </c>
      <c r="K3034" s="1">
        <v>0.0</v>
      </c>
      <c r="L3034" s="1" t="s">
        <v>4679</v>
      </c>
      <c r="M3034" s="1" t="str">
        <f>VLOOKUP(L3034,'Copy of PMD Workday Constants -'!B3033:W3719,22,false)</f>
        <v>#N/A</v>
      </c>
      <c r="N3034" s="1" t="s">
        <v>32</v>
      </c>
      <c r="O3034" s="1" t="s">
        <v>33</v>
      </c>
      <c r="P3034" s="1" t="s">
        <v>222</v>
      </c>
      <c r="Q3034" s="1" t="s">
        <v>222</v>
      </c>
      <c r="R3034" s="1" t="s">
        <v>223</v>
      </c>
      <c r="S3034" s="1" t="s">
        <v>482</v>
      </c>
      <c r="T3034" s="1">
        <v>1.00620023E8</v>
      </c>
      <c r="W3034" s="1" t="s">
        <v>1801</v>
      </c>
      <c r="X3034" s="1" t="s">
        <v>8869</v>
      </c>
    </row>
    <row r="3035">
      <c r="A3035" s="1" t="s">
        <v>9068</v>
      </c>
      <c r="B3035" s="1" t="s">
        <v>580</v>
      </c>
      <c r="C3035" s="1" t="s">
        <v>9069</v>
      </c>
      <c r="D3035" s="1" t="s">
        <v>28</v>
      </c>
      <c r="E3035" s="1" t="s">
        <v>29</v>
      </c>
      <c r="F3035" s="5">
        <v>250000.0</v>
      </c>
      <c r="G3035" s="1" t="s">
        <v>7016</v>
      </c>
      <c r="H3035" s="4">
        <v>44357.0</v>
      </c>
      <c r="I3035" s="4">
        <v>44567.0</v>
      </c>
      <c r="K3035" s="1">
        <v>0.0</v>
      </c>
      <c r="L3035" s="1" t="s">
        <v>7276</v>
      </c>
      <c r="M3035" s="1" t="str">
        <f>VLOOKUP(L3035,'Copy of PMD Workday Constants -'!B3034:W3720,22,false)</f>
        <v>#N/A</v>
      </c>
      <c r="N3035" s="1" t="s">
        <v>32</v>
      </c>
      <c r="O3035" s="1" t="s">
        <v>33</v>
      </c>
      <c r="P3035" s="1" t="s">
        <v>64</v>
      </c>
      <c r="Q3035" s="1" t="s">
        <v>64</v>
      </c>
      <c r="R3035" s="1" t="s">
        <v>65</v>
      </c>
      <c r="S3035" s="1" t="s">
        <v>1336</v>
      </c>
      <c r="T3035" s="1">
        <v>1.00587219E8</v>
      </c>
      <c r="W3035" s="1" t="s">
        <v>456</v>
      </c>
      <c r="X3035" s="1" t="s">
        <v>9070</v>
      </c>
    </row>
    <row r="3036">
      <c r="A3036" s="1" t="s">
        <v>9071</v>
      </c>
      <c r="B3036" s="1" t="s">
        <v>9072</v>
      </c>
      <c r="C3036" s="1" t="s">
        <v>9073</v>
      </c>
      <c r="D3036" s="1" t="s">
        <v>28</v>
      </c>
      <c r="E3036" s="1" t="s">
        <v>29</v>
      </c>
      <c r="F3036" s="5">
        <v>250000.0</v>
      </c>
      <c r="G3036" s="1" t="s">
        <v>7016</v>
      </c>
      <c r="H3036" s="1" t="s">
        <v>9074</v>
      </c>
      <c r="I3036" s="1" t="s">
        <v>80</v>
      </c>
      <c r="K3036" s="1">
        <v>0.0</v>
      </c>
      <c r="L3036" s="1" t="s">
        <v>678</v>
      </c>
      <c r="M3036" s="1" t="str">
        <f>VLOOKUP(L3036,'Copy of PMD Workday Constants -'!B3035:W3721,22,false)</f>
        <v>#N/A</v>
      </c>
      <c r="N3036" s="1" t="s">
        <v>32</v>
      </c>
      <c r="O3036" s="1" t="s">
        <v>33</v>
      </c>
      <c r="P3036" s="1" t="s">
        <v>210</v>
      </c>
      <c r="Q3036" s="1" t="s">
        <v>210</v>
      </c>
      <c r="R3036" s="1" t="s">
        <v>211</v>
      </c>
      <c r="S3036" s="1" t="s">
        <v>416</v>
      </c>
      <c r="T3036" s="1">
        <v>1.00609073E8</v>
      </c>
      <c r="W3036" s="1" t="s">
        <v>56</v>
      </c>
      <c r="X3036" s="1" t="s">
        <v>9075</v>
      </c>
    </row>
    <row r="3037">
      <c r="A3037" s="1" t="s">
        <v>9076</v>
      </c>
      <c r="B3037" s="1" t="s">
        <v>631</v>
      </c>
      <c r="C3037" s="1" t="s">
        <v>9077</v>
      </c>
      <c r="D3037" s="1" t="s">
        <v>51</v>
      </c>
      <c r="E3037" s="1" t="s">
        <v>29</v>
      </c>
      <c r="F3037" s="5">
        <v>250000.0</v>
      </c>
      <c r="G3037" s="1" t="s">
        <v>7016</v>
      </c>
      <c r="H3037" s="1" t="s">
        <v>322</v>
      </c>
      <c r="I3037" s="1" t="s">
        <v>80</v>
      </c>
      <c r="K3037" s="1">
        <v>0.0</v>
      </c>
      <c r="L3037" s="1" t="s">
        <v>1510</v>
      </c>
      <c r="M3037" s="1" t="str">
        <f>VLOOKUP(L3037,'Copy of PMD Workday Constants -'!B3036:W3722,22,false)</f>
        <v>#N/A</v>
      </c>
      <c r="N3037" s="1" t="s">
        <v>32</v>
      </c>
      <c r="O3037" s="1" t="s">
        <v>33</v>
      </c>
      <c r="P3037" s="1" t="s">
        <v>222</v>
      </c>
      <c r="Q3037" s="1" t="s">
        <v>222</v>
      </c>
      <c r="R3037" s="1" t="s">
        <v>223</v>
      </c>
      <c r="S3037" s="1" t="s">
        <v>601</v>
      </c>
      <c r="T3037" s="1">
        <v>1.00711752E8</v>
      </c>
      <c r="W3037" s="1" t="s">
        <v>37</v>
      </c>
      <c r="X3037" s="1" t="s">
        <v>9078</v>
      </c>
    </row>
    <row r="3038">
      <c r="A3038" s="1" t="s">
        <v>9079</v>
      </c>
      <c r="B3038" s="1" t="s">
        <v>324</v>
      </c>
      <c r="C3038" s="1" t="s">
        <v>9080</v>
      </c>
      <c r="D3038" s="1" t="s">
        <v>28</v>
      </c>
      <c r="E3038" s="1" t="s">
        <v>29</v>
      </c>
      <c r="F3038" s="5">
        <v>250000.0</v>
      </c>
      <c r="G3038" s="1" t="s">
        <v>7016</v>
      </c>
      <c r="H3038" s="1" t="s">
        <v>1436</v>
      </c>
      <c r="I3038" s="1" t="s">
        <v>326</v>
      </c>
      <c r="K3038" s="1">
        <v>0.0</v>
      </c>
      <c r="L3038" s="1" t="s">
        <v>327</v>
      </c>
      <c r="M3038" s="1" t="str">
        <f>VLOOKUP(L3038,'Copy of PMD Workday Constants -'!B3037:W3723,22,false)</f>
        <v>#N/A</v>
      </c>
      <c r="N3038" s="1" t="s">
        <v>32</v>
      </c>
      <c r="O3038" s="1" t="s">
        <v>33</v>
      </c>
      <c r="P3038" s="1" t="s">
        <v>112</v>
      </c>
      <c r="Q3038" s="1" t="s">
        <v>112</v>
      </c>
      <c r="R3038" s="1" t="s">
        <v>113</v>
      </c>
      <c r="T3038" s="1">
        <v>1.00646485E8</v>
      </c>
      <c r="W3038" s="1" t="s">
        <v>56</v>
      </c>
      <c r="X3038" s="1" t="s">
        <v>9081</v>
      </c>
    </row>
    <row r="3039">
      <c r="A3039" s="1" t="s">
        <v>9082</v>
      </c>
      <c r="B3039" s="1" t="s">
        <v>1648</v>
      </c>
      <c r="C3039" s="1" t="s">
        <v>9083</v>
      </c>
      <c r="D3039" s="1" t="s">
        <v>103</v>
      </c>
      <c r="E3039" s="1" t="s">
        <v>29</v>
      </c>
      <c r="F3039" s="5">
        <v>250000.0</v>
      </c>
      <c r="G3039" s="1" t="s">
        <v>7016</v>
      </c>
      <c r="H3039" s="4">
        <v>44626.0</v>
      </c>
      <c r="I3039" s="4">
        <v>44780.0</v>
      </c>
      <c r="K3039" s="1">
        <v>0.0</v>
      </c>
      <c r="L3039" s="1" t="s">
        <v>1238</v>
      </c>
      <c r="M3039" s="1" t="str">
        <f>VLOOKUP(L3039,'Copy of PMD Workday Constants -'!B3038:W3724,22,false)</f>
        <v>#N/A</v>
      </c>
      <c r="N3039" s="1" t="s">
        <v>32</v>
      </c>
      <c r="O3039" s="1" t="s">
        <v>33</v>
      </c>
      <c r="P3039" s="1" t="s">
        <v>210</v>
      </c>
      <c r="Q3039" s="1" t="s">
        <v>210</v>
      </c>
      <c r="R3039" s="1" t="s">
        <v>211</v>
      </c>
      <c r="S3039" s="1" t="s">
        <v>416</v>
      </c>
      <c r="T3039" s="1">
        <v>1.00586959E8</v>
      </c>
      <c r="W3039" s="1" t="s">
        <v>56</v>
      </c>
      <c r="X3039" s="1" t="s">
        <v>968</v>
      </c>
    </row>
    <row r="3040">
      <c r="A3040" s="1" t="s">
        <v>9084</v>
      </c>
      <c r="B3040" s="1" t="s">
        <v>3206</v>
      </c>
      <c r="C3040" s="1" t="s">
        <v>9085</v>
      </c>
      <c r="D3040" s="1" t="s">
        <v>28</v>
      </c>
      <c r="E3040" s="1" t="s">
        <v>29</v>
      </c>
      <c r="F3040" s="5">
        <v>250000.0</v>
      </c>
      <c r="G3040" s="1" t="s">
        <v>7016</v>
      </c>
      <c r="H3040" s="4">
        <v>44319.0</v>
      </c>
      <c r="I3040" s="1" t="s">
        <v>400</v>
      </c>
      <c r="K3040" s="1">
        <v>0.0</v>
      </c>
      <c r="L3040" s="1" t="s">
        <v>963</v>
      </c>
      <c r="M3040" s="1" t="str">
        <f>VLOOKUP(L3040,'Copy of PMD Workday Constants -'!B3039:W3725,22,false)</f>
        <v>#N/A</v>
      </c>
      <c r="N3040" s="1" t="s">
        <v>32</v>
      </c>
      <c r="O3040" s="1" t="s">
        <v>33</v>
      </c>
      <c r="P3040" s="1" t="s">
        <v>173</v>
      </c>
      <c r="Q3040" s="1" t="s">
        <v>173</v>
      </c>
      <c r="R3040" s="1" t="s">
        <v>174</v>
      </c>
      <c r="S3040" s="1" t="s">
        <v>612</v>
      </c>
      <c r="T3040" s="1">
        <v>1.00708984E8</v>
      </c>
      <c r="W3040" s="1" t="s">
        <v>147</v>
      </c>
      <c r="X3040" s="1" t="s">
        <v>9016</v>
      </c>
    </row>
    <row r="3041">
      <c r="A3041" s="1" t="s">
        <v>9086</v>
      </c>
      <c r="B3041" s="1" t="s">
        <v>2333</v>
      </c>
      <c r="C3041" s="1" t="s">
        <v>9087</v>
      </c>
      <c r="D3041" s="1" t="s">
        <v>79</v>
      </c>
      <c r="E3041" s="1" t="s">
        <v>29</v>
      </c>
      <c r="F3041" s="5">
        <v>250000.0</v>
      </c>
      <c r="G3041" s="1" t="s">
        <v>7016</v>
      </c>
      <c r="H3041" s="1" t="s">
        <v>870</v>
      </c>
      <c r="I3041" s="1" t="s">
        <v>526</v>
      </c>
      <c r="K3041" s="1">
        <v>0.0</v>
      </c>
      <c r="L3041" s="1" t="s">
        <v>2339</v>
      </c>
      <c r="M3041" s="1" t="str">
        <f>VLOOKUP(L3041,'Copy of PMD Workday Constants -'!B3040:W3726,22,false)</f>
        <v>#N/A</v>
      </c>
      <c r="N3041" s="1" t="s">
        <v>32</v>
      </c>
      <c r="O3041" s="1" t="s">
        <v>33</v>
      </c>
      <c r="P3041" s="1" t="s">
        <v>210</v>
      </c>
      <c r="Q3041" s="1" t="s">
        <v>210</v>
      </c>
      <c r="R3041" s="1" t="s">
        <v>211</v>
      </c>
      <c r="T3041" s="1">
        <v>1.00647488E8</v>
      </c>
      <c r="W3041" s="1" t="s">
        <v>258</v>
      </c>
      <c r="X3041" s="1" t="s">
        <v>8591</v>
      </c>
    </row>
    <row r="3042">
      <c r="A3042" s="1" t="s">
        <v>9088</v>
      </c>
      <c r="B3042" s="1" t="s">
        <v>4825</v>
      </c>
      <c r="C3042" s="1" t="s">
        <v>9089</v>
      </c>
      <c r="D3042" s="1" t="s">
        <v>28</v>
      </c>
      <c r="E3042" s="1" t="s">
        <v>29</v>
      </c>
      <c r="F3042" s="5">
        <v>250000.0</v>
      </c>
      <c r="G3042" s="1" t="s">
        <v>7016</v>
      </c>
      <c r="H3042" s="1" t="s">
        <v>870</v>
      </c>
      <c r="I3042" s="4">
        <v>44601.0</v>
      </c>
      <c r="K3042" s="1">
        <v>0.0</v>
      </c>
      <c r="L3042" s="1" t="s">
        <v>3848</v>
      </c>
      <c r="M3042" s="1" t="str">
        <f>VLOOKUP(L3042,'Copy of PMD Workday Constants -'!B3041:W3727,22,false)</f>
        <v>#N/A</v>
      </c>
      <c r="N3042" s="1" t="s">
        <v>32</v>
      </c>
      <c r="O3042" s="1" t="s">
        <v>33</v>
      </c>
      <c r="P3042" s="1" t="s">
        <v>173</v>
      </c>
      <c r="Q3042" s="1" t="s">
        <v>173</v>
      </c>
      <c r="R3042" s="1" t="s">
        <v>174</v>
      </c>
      <c r="T3042" s="1">
        <v>1.00654914E8</v>
      </c>
      <c r="W3042" s="1" t="s">
        <v>56</v>
      </c>
      <c r="X3042" s="1" t="s">
        <v>9090</v>
      </c>
    </row>
    <row r="3043">
      <c r="A3043" s="1" t="s">
        <v>9091</v>
      </c>
      <c r="B3043" s="1" t="s">
        <v>5840</v>
      </c>
      <c r="C3043" s="1" t="s">
        <v>9092</v>
      </c>
      <c r="D3043" s="1" t="s">
        <v>28</v>
      </c>
      <c r="E3043" s="1" t="s">
        <v>29</v>
      </c>
      <c r="F3043" s="5">
        <v>250000.0</v>
      </c>
      <c r="G3043" s="1" t="s">
        <v>7016</v>
      </c>
      <c r="H3043" s="1" t="s">
        <v>1323</v>
      </c>
      <c r="I3043" s="1" t="s">
        <v>80</v>
      </c>
      <c r="K3043" s="1">
        <v>0.0</v>
      </c>
      <c r="L3043" s="1" t="s">
        <v>1902</v>
      </c>
      <c r="M3043" s="1" t="str">
        <f>VLOOKUP(L3043,'Copy of PMD Workday Constants -'!B3042:W3728,22,false)</f>
        <v>#N/A</v>
      </c>
      <c r="N3043" s="1" t="s">
        <v>32</v>
      </c>
      <c r="O3043" s="1" t="s">
        <v>33</v>
      </c>
      <c r="P3043" s="1" t="s">
        <v>173</v>
      </c>
      <c r="Q3043" s="1" t="s">
        <v>173</v>
      </c>
      <c r="R3043" s="1" t="s">
        <v>174</v>
      </c>
      <c r="S3043" s="1" t="s">
        <v>540</v>
      </c>
      <c r="T3043" s="1">
        <v>1.00956516E8</v>
      </c>
      <c r="W3043" s="1" t="s">
        <v>258</v>
      </c>
      <c r="X3043" s="1" t="s">
        <v>1902</v>
      </c>
    </row>
    <row r="3044">
      <c r="A3044" s="1" t="s">
        <v>9093</v>
      </c>
      <c r="B3044" s="1" t="s">
        <v>3355</v>
      </c>
      <c r="C3044" s="1" t="s">
        <v>9094</v>
      </c>
      <c r="D3044" s="1" t="s">
        <v>103</v>
      </c>
      <c r="E3044" s="1" t="s">
        <v>29</v>
      </c>
      <c r="F3044" s="5">
        <v>250000.0</v>
      </c>
      <c r="G3044" s="1" t="s">
        <v>7016</v>
      </c>
      <c r="H3044" s="4">
        <v>44622.0</v>
      </c>
      <c r="I3044" s="1" t="s">
        <v>8093</v>
      </c>
      <c r="K3044" s="1">
        <v>0.0</v>
      </c>
      <c r="L3044" s="1" t="s">
        <v>72</v>
      </c>
      <c r="M3044" s="1" t="str">
        <f>VLOOKUP(L3044,'Copy of PMD Workday Constants -'!B3043:W3729,22,false)</f>
        <v>#N/A</v>
      </c>
      <c r="N3044" s="1" t="s">
        <v>32</v>
      </c>
      <c r="O3044" s="1" t="s">
        <v>33</v>
      </c>
      <c r="P3044" s="1" t="s">
        <v>34</v>
      </c>
      <c r="Q3044" s="1" t="s">
        <v>34</v>
      </c>
      <c r="R3044" s="1" t="s">
        <v>35</v>
      </c>
      <c r="S3044" s="1" t="s">
        <v>126</v>
      </c>
      <c r="T3044" s="1">
        <v>1.0060843E8</v>
      </c>
      <c r="W3044" s="1" t="s">
        <v>74</v>
      </c>
      <c r="X3044" s="1" t="s">
        <v>72</v>
      </c>
    </row>
    <row r="3045">
      <c r="A3045" s="1" t="s">
        <v>9095</v>
      </c>
      <c r="B3045" s="1" t="s">
        <v>411</v>
      </c>
      <c r="C3045" s="1" t="s">
        <v>9096</v>
      </c>
      <c r="D3045" s="1" t="s">
        <v>28</v>
      </c>
      <c r="E3045" s="1" t="s">
        <v>29</v>
      </c>
      <c r="F3045" s="5">
        <v>250000.0</v>
      </c>
      <c r="G3045" s="1" t="s">
        <v>7016</v>
      </c>
      <c r="H3045" s="1" t="s">
        <v>420</v>
      </c>
      <c r="I3045" s="1" t="s">
        <v>80</v>
      </c>
      <c r="K3045" s="1">
        <v>0.0</v>
      </c>
      <c r="L3045" s="1" t="s">
        <v>1739</v>
      </c>
      <c r="M3045" s="1" t="str">
        <f>VLOOKUP(L3045,'Copy of PMD Workday Constants -'!B3044:W3730,22,false)</f>
        <v>#N/A</v>
      </c>
      <c r="N3045" s="1" t="s">
        <v>32</v>
      </c>
      <c r="O3045" s="1" t="s">
        <v>33</v>
      </c>
      <c r="P3045" s="1" t="s">
        <v>210</v>
      </c>
      <c r="Q3045" s="1" t="s">
        <v>210</v>
      </c>
      <c r="R3045" s="1" t="s">
        <v>211</v>
      </c>
      <c r="S3045" s="1" t="s">
        <v>416</v>
      </c>
      <c r="T3045" s="1">
        <v>1.00964362E8</v>
      </c>
      <c r="W3045" s="1" t="s">
        <v>56</v>
      </c>
      <c r="X3045" s="1" t="s">
        <v>2569</v>
      </c>
    </row>
    <row r="3046">
      <c r="A3046" s="1" t="s">
        <v>9097</v>
      </c>
      <c r="B3046" s="1" t="s">
        <v>8068</v>
      </c>
      <c r="C3046" s="1" t="s">
        <v>9098</v>
      </c>
      <c r="D3046" s="1" t="s">
        <v>28</v>
      </c>
      <c r="E3046" s="1" t="s">
        <v>29</v>
      </c>
      <c r="F3046" s="5">
        <v>250000.0</v>
      </c>
      <c r="G3046" s="1" t="s">
        <v>7016</v>
      </c>
      <c r="H3046" s="1" t="s">
        <v>5910</v>
      </c>
      <c r="I3046" s="1" t="s">
        <v>80</v>
      </c>
      <c r="K3046" s="1">
        <v>0.0</v>
      </c>
      <c r="L3046" s="1" t="s">
        <v>1739</v>
      </c>
      <c r="M3046" s="1" t="str">
        <f>VLOOKUP(L3046,'Copy of PMD Workday Constants -'!B3045:W3731,22,false)</f>
        <v>#N/A</v>
      </c>
      <c r="N3046" s="1" t="s">
        <v>32</v>
      </c>
      <c r="O3046" s="1" t="s">
        <v>33</v>
      </c>
      <c r="P3046" s="1" t="s">
        <v>210</v>
      </c>
      <c r="Q3046" s="1" t="s">
        <v>210</v>
      </c>
      <c r="R3046" s="1" t="s">
        <v>211</v>
      </c>
      <c r="S3046" s="1" t="s">
        <v>416</v>
      </c>
      <c r="T3046" s="1">
        <v>1.00964362E8</v>
      </c>
      <c r="W3046" s="1" t="s">
        <v>56</v>
      </c>
      <c r="X3046" s="1" t="s">
        <v>2569</v>
      </c>
    </row>
    <row r="3047">
      <c r="A3047" s="1" t="s">
        <v>9099</v>
      </c>
      <c r="B3047" s="1" t="s">
        <v>9100</v>
      </c>
      <c r="C3047" s="1" t="s">
        <v>9101</v>
      </c>
      <c r="D3047" s="1" t="s">
        <v>103</v>
      </c>
      <c r="E3047" s="1" t="s">
        <v>29</v>
      </c>
      <c r="F3047" s="5">
        <v>250000.0</v>
      </c>
      <c r="G3047" s="1" t="s">
        <v>7016</v>
      </c>
      <c r="H3047" s="1" t="s">
        <v>2515</v>
      </c>
      <c r="I3047" s="4">
        <v>44597.0</v>
      </c>
      <c r="K3047" s="1">
        <v>0.0</v>
      </c>
      <c r="L3047" s="1" t="s">
        <v>4277</v>
      </c>
      <c r="M3047" s="1" t="str">
        <f>VLOOKUP(L3047,'Copy of PMD Workday Constants -'!B3046:W3732,22,false)</f>
        <v>#N/A</v>
      </c>
      <c r="N3047" s="1" t="s">
        <v>32</v>
      </c>
      <c r="O3047" s="1" t="s">
        <v>33</v>
      </c>
      <c r="P3047" s="1" t="s">
        <v>173</v>
      </c>
      <c r="Q3047" s="1" t="s">
        <v>173</v>
      </c>
      <c r="R3047" s="1" t="s">
        <v>174</v>
      </c>
      <c r="S3047" s="1" t="s">
        <v>297</v>
      </c>
      <c r="T3047" s="1">
        <v>1.00650304E8</v>
      </c>
      <c r="W3047" s="1" t="s">
        <v>258</v>
      </c>
      <c r="X3047" s="1" t="s">
        <v>9102</v>
      </c>
    </row>
    <row r="3048">
      <c r="A3048" s="1" t="s">
        <v>9103</v>
      </c>
      <c r="B3048" s="1" t="s">
        <v>1109</v>
      </c>
      <c r="C3048" s="1" t="s">
        <v>9104</v>
      </c>
      <c r="D3048" s="1" t="s">
        <v>28</v>
      </c>
      <c r="E3048" s="1" t="s">
        <v>29</v>
      </c>
      <c r="F3048" s="5">
        <v>250000.0</v>
      </c>
      <c r="G3048" s="1" t="s">
        <v>7016</v>
      </c>
      <c r="H3048" s="1" t="s">
        <v>2142</v>
      </c>
      <c r="I3048" s="1" t="s">
        <v>43</v>
      </c>
      <c r="K3048" s="1">
        <v>0.0</v>
      </c>
      <c r="L3048" s="1" t="s">
        <v>2556</v>
      </c>
      <c r="M3048" s="1" t="str">
        <f>VLOOKUP(L3048,'Copy of PMD Workday Constants -'!B3047:W3733,22,false)</f>
        <v>#N/A</v>
      </c>
      <c r="N3048" s="1" t="s">
        <v>32</v>
      </c>
      <c r="O3048" s="1" t="s">
        <v>33</v>
      </c>
      <c r="P3048" s="1" t="s">
        <v>82</v>
      </c>
      <c r="Q3048" s="1" t="s">
        <v>82</v>
      </c>
      <c r="R3048" s="1" t="s">
        <v>83</v>
      </c>
      <c r="S3048" s="1" t="s">
        <v>84</v>
      </c>
      <c r="T3048" s="1">
        <v>1.01082364E8</v>
      </c>
      <c r="W3048" s="1" t="s">
        <v>85</v>
      </c>
      <c r="X3048" s="1" t="s">
        <v>9105</v>
      </c>
    </row>
    <row r="3049">
      <c r="A3049" s="1" t="s">
        <v>9106</v>
      </c>
      <c r="B3049" s="1" t="s">
        <v>9107</v>
      </c>
      <c r="C3049" s="1" t="s">
        <v>9108</v>
      </c>
      <c r="D3049" s="1" t="s">
        <v>103</v>
      </c>
      <c r="E3049" s="1" t="s">
        <v>29</v>
      </c>
      <c r="F3049" s="5">
        <v>250000.0</v>
      </c>
      <c r="G3049" s="1" t="s">
        <v>7016</v>
      </c>
      <c r="H3049" s="1" t="s">
        <v>2515</v>
      </c>
      <c r="I3049" s="1" t="s">
        <v>80</v>
      </c>
      <c r="K3049" s="1">
        <v>0.0</v>
      </c>
      <c r="L3049" s="1" t="s">
        <v>5184</v>
      </c>
      <c r="M3049" s="1" t="str">
        <f>VLOOKUP(L3049,'Copy of PMD Workday Constants -'!B3048:W3734,22,false)</f>
        <v>#N/A</v>
      </c>
      <c r="N3049" s="1" t="s">
        <v>32</v>
      </c>
      <c r="O3049" s="1" t="s">
        <v>33</v>
      </c>
      <c r="P3049" s="1" t="s">
        <v>64</v>
      </c>
      <c r="Q3049" s="1" t="s">
        <v>64</v>
      </c>
      <c r="R3049" s="1" t="s">
        <v>65</v>
      </c>
      <c r="S3049" s="1" t="s">
        <v>791</v>
      </c>
      <c r="T3049" s="1">
        <v>1.00568413E8</v>
      </c>
      <c r="X3049" s="1" t="s">
        <v>7801</v>
      </c>
    </row>
    <row r="3050">
      <c r="A3050" s="1" t="s">
        <v>9109</v>
      </c>
      <c r="B3050" s="1" t="s">
        <v>5374</v>
      </c>
      <c r="C3050" s="1" t="s">
        <v>9110</v>
      </c>
      <c r="D3050" s="1" t="s">
        <v>51</v>
      </c>
      <c r="E3050" s="1" t="s">
        <v>29</v>
      </c>
      <c r="F3050" s="5">
        <v>250000.0</v>
      </c>
      <c r="G3050" s="1" t="s">
        <v>7016</v>
      </c>
      <c r="H3050" s="1" t="s">
        <v>9111</v>
      </c>
      <c r="I3050" s="1" t="s">
        <v>104</v>
      </c>
      <c r="K3050" s="1">
        <v>0.0</v>
      </c>
      <c r="L3050" s="1" t="s">
        <v>1206</v>
      </c>
      <c r="M3050" s="1" t="str">
        <f>VLOOKUP(L3050,'Copy of PMD Workday Constants -'!B3049:W3735,22,false)</f>
        <v>#N/A</v>
      </c>
      <c r="N3050" s="1" t="s">
        <v>32</v>
      </c>
      <c r="O3050" s="1" t="s">
        <v>33</v>
      </c>
      <c r="P3050" s="1" t="s">
        <v>82</v>
      </c>
      <c r="Q3050" s="1" t="s">
        <v>82</v>
      </c>
      <c r="R3050" s="1" t="s">
        <v>83</v>
      </c>
      <c r="S3050" s="1" t="s">
        <v>180</v>
      </c>
      <c r="T3050" s="1">
        <v>1.00943277E8</v>
      </c>
      <c r="W3050" s="1" t="s">
        <v>85</v>
      </c>
      <c r="X3050" s="1" t="s">
        <v>9112</v>
      </c>
    </row>
    <row r="3051">
      <c r="A3051" s="1" t="s">
        <v>9113</v>
      </c>
      <c r="B3051" s="1" t="s">
        <v>954</v>
      </c>
      <c r="C3051" s="1" t="s">
        <v>9114</v>
      </c>
      <c r="D3051" s="1" t="s">
        <v>28</v>
      </c>
      <c r="E3051" s="1" t="s">
        <v>29</v>
      </c>
      <c r="F3051" s="5">
        <v>250000.0</v>
      </c>
      <c r="G3051" s="1" t="s">
        <v>7016</v>
      </c>
      <c r="H3051" s="1" t="s">
        <v>3234</v>
      </c>
      <c r="I3051" s="1" t="s">
        <v>104</v>
      </c>
      <c r="K3051" s="1">
        <v>0.0</v>
      </c>
      <c r="L3051" s="1" t="s">
        <v>956</v>
      </c>
      <c r="M3051" s="1" t="str">
        <f>VLOOKUP(L3051,'Copy of PMD Workday Constants -'!B3050:W3736,22,false)</f>
        <v>#N/A</v>
      </c>
      <c r="N3051" s="1" t="s">
        <v>32</v>
      </c>
      <c r="O3051" s="1" t="s">
        <v>33</v>
      </c>
      <c r="P3051" s="1" t="s">
        <v>173</v>
      </c>
      <c r="Q3051" s="1" t="s">
        <v>173</v>
      </c>
      <c r="R3051" s="1" t="s">
        <v>174</v>
      </c>
      <c r="S3051" s="1" t="s">
        <v>612</v>
      </c>
      <c r="T3051" s="1">
        <v>1.00623421E8</v>
      </c>
      <c r="W3051" s="1" t="s">
        <v>147</v>
      </c>
      <c r="X3051" s="1" t="s">
        <v>4463</v>
      </c>
    </row>
    <row r="3052">
      <c r="A3052" s="1" t="s">
        <v>9115</v>
      </c>
      <c r="B3052" s="1" t="s">
        <v>4757</v>
      </c>
      <c r="C3052" s="1" t="s">
        <v>9116</v>
      </c>
      <c r="D3052" s="1" t="s">
        <v>103</v>
      </c>
      <c r="E3052" s="1" t="s">
        <v>29</v>
      </c>
      <c r="F3052" s="5">
        <v>250000.0</v>
      </c>
      <c r="G3052" s="1" t="s">
        <v>7016</v>
      </c>
      <c r="H3052" s="4">
        <v>44625.0</v>
      </c>
      <c r="I3052" s="1" t="s">
        <v>104</v>
      </c>
      <c r="K3052" s="1">
        <v>0.0</v>
      </c>
      <c r="L3052" s="1" t="s">
        <v>1120</v>
      </c>
      <c r="M3052" s="1" t="str">
        <f>VLOOKUP(L3052,'Copy of PMD Workday Constants -'!B3051:W3737,22,false)</f>
        <v>#N/A</v>
      </c>
      <c r="N3052" s="1" t="s">
        <v>32</v>
      </c>
      <c r="O3052" s="1" t="s">
        <v>33</v>
      </c>
      <c r="P3052" s="1" t="s">
        <v>82</v>
      </c>
      <c r="Q3052" s="1" t="s">
        <v>82</v>
      </c>
      <c r="R3052" s="1" t="s">
        <v>83</v>
      </c>
      <c r="S3052" s="1" t="s">
        <v>180</v>
      </c>
      <c r="T3052" s="1">
        <v>1.00603613E8</v>
      </c>
      <c r="W3052" s="1" t="s">
        <v>115</v>
      </c>
      <c r="X3052" s="1" t="s">
        <v>4549</v>
      </c>
    </row>
    <row r="3053">
      <c r="A3053" s="1" t="s">
        <v>9117</v>
      </c>
      <c r="B3053" s="1" t="s">
        <v>9118</v>
      </c>
      <c r="C3053" s="1" t="s">
        <v>9119</v>
      </c>
      <c r="D3053" s="1" t="s">
        <v>103</v>
      </c>
      <c r="E3053" s="1" t="s">
        <v>29</v>
      </c>
      <c r="F3053" s="5">
        <v>250000.0</v>
      </c>
      <c r="G3053" s="1" t="s">
        <v>7016</v>
      </c>
      <c r="H3053" s="4">
        <v>44564.0</v>
      </c>
      <c r="I3053" s="1" t="s">
        <v>80</v>
      </c>
      <c r="K3053" s="1">
        <v>0.0</v>
      </c>
      <c r="L3053" s="1" t="s">
        <v>5252</v>
      </c>
      <c r="M3053" s="1" t="str">
        <f>VLOOKUP(L3053,'Copy of PMD Workday Constants -'!B3052:W3738,22,false)</f>
        <v>#N/A</v>
      </c>
      <c r="N3053" s="1" t="s">
        <v>32</v>
      </c>
      <c r="O3053" s="1" t="s">
        <v>33</v>
      </c>
      <c r="P3053" s="1" t="s">
        <v>5253</v>
      </c>
      <c r="Q3053" s="1" t="s">
        <v>5253</v>
      </c>
      <c r="R3053" s="1" t="s">
        <v>65</v>
      </c>
      <c r="S3053" s="1" t="s">
        <v>66</v>
      </c>
      <c r="T3053" s="1">
        <v>1.00625588E8</v>
      </c>
      <c r="W3053" s="1" t="s">
        <v>147</v>
      </c>
      <c r="X3053" s="1" t="s">
        <v>5569</v>
      </c>
    </row>
    <row r="3054">
      <c r="A3054" s="1" t="s">
        <v>9120</v>
      </c>
      <c r="B3054" s="1" t="s">
        <v>2898</v>
      </c>
      <c r="C3054" s="1" t="s">
        <v>9121</v>
      </c>
      <c r="D3054" s="1" t="s">
        <v>51</v>
      </c>
      <c r="E3054" s="1" t="s">
        <v>29</v>
      </c>
      <c r="F3054" s="5">
        <v>250000.0</v>
      </c>
      <c r="G3054" s="1" t="s">
        <v>7016</v>
      </c>
      <c r="H3054" s="4">
        <v>44716.0</v>
      </c>
      <c r="I3054" s="4">
        <v>44747.0</v>
      </c>
      <c r="K3054" s="1">
        <v>0.0</v>
      </c>
      <c r="L3054" s="1" t="s">
        <v>3290</v>
      </c>
      <c r="M3054" s="1" t="str">
        <f>VLOOKUP(L3054,'Copy of PMD Workday Constants -'!B3053:W3739,22,false)</f>
        <v>#N/A</v>
      </c>
      <c r="N3054" s="1" t="s">
        <v>32</v>
      </c>
      <c r="O3054" s="1" t="s">
        <v>33</v>
      </c>
      <c r="P3054" s="1" t="s">
        <v>112</v>
      </c>
      <c r="Q3054" s="1" t="s">
        <v>112</v>
      </c>
      <c r="R3054" s="1" t="s">
        <v>113</v>
      </c>
      <c r="S3054" s="1" t="s">
        <v>455</v>
      </c>
      <c r="T3054" s="1">
        <v>1.00625578E8</v>
      </c>
      <c r="W3054" s="1" t="s">
        <v>456</v>
      </c>
      <c r="X3054" s="1" t="s">
        <v>9122</v>
      </c>
    </row>
    <row r="3055">
      <c r="A3055" s="1" t="s">
        <v>9123</v>
      </c>
      <c r="B3055" s="1" t="s">
        <v>2641</v>
      </c>
      <c r="C3055" s="1" t="s">
        <v>9124</v>
      </c>
      <c r="D3055" s="1" t="s">
        <v>103</v>
      </c>
      <c r="E3055" s="1" t="s">
        <v>29</v>
      </c>
      <c r="F3055" s="5">
        <v>250000.0</v>
      </c>
      <c r="G3055" s="1" t="s">
        <v>7016</v>
      </c>
      <c r="H3055" s="1" t="s">
        <v>170</v>
      </c>
      <c r="I3055" s="1" t="s">
        <v>80</v>
      </c>
      <c r="K3055" s="1">
        <v>0.0</v>
      </c>
      <c r="L3055" s="1" t="s">
        <v>4937</v>
      </c>
      <c r="M3055" s="1" t="str">
        <f>VLOOKUP(L3055,'Copy of PMD Workday Constants -'!B3054:W3740,22,false)</f>
        <v>#N/A</v>
      </c>
      <c r="N3055" s="1" t="s">
        <v>32</v>
      </c>
      <c r="O3055" s="1" t="s">
        <v>33</v>
      </c>
      <c r="P3055" s="1" t="s">
        <v>34</v>
      </c>
      <c r="Q3055" s="1" t="s">
        <v>34</v>
      </c>
      <c r="R3055" s="1" t="s">
        <v>35</v>
      </c>
      <c r="S3055" s="1" t="s">
        <v>9125</v>
      </c>
      <c r="T3055" s="1">
        <v>1.00644939E8</v>
      </c>
      <c r="W3055" s="1" t="s">
        <v>456</v>
      </c>
      <c r="X3055" s="1" t="s">
        <v>2644</v>
      </c>
    </row>
    <row r="3056">
      <c r="A3056" s="1" t="s">
        <v>9126</v>
      </c>
      <c r="B3056" s="1" t="s">
        <v>9127</v>
      </c>
      <c r="C3056" s="1" t="s">
        <v>9128</v>
      </c>
      <c r="D3056" s="1" t="s">
        <v>103</v>
      </c>
      <c r="E3056" s="1" t="s">
        <v>29</v>
      </c>
      <c r="F3056" s="5">
        <v>250000.0</v>
      </c>
      <c r="G3056" s="1" t="s">
        <v>7016</v>
      </c>
      <c r="H3056" s="1" t="s">
        <v>9129</v>
      </c>
      <c r="I3056" s="1" t="s">
        <v>510</v>
      </c>
      <c r="K3056" s="1">
        <v>0.0</v>
      </c>
      <c r="L3056" s="1" t="s">
        <v>2788</v>
      </c>
      <c r="M3056" s="1" t="str">
        <f>VLOOKUP(L3056,'Copy of PMD Workday Constants -'!B3055:W3741,22,false)</f>
        <v>#N/A</v>
      </c>
      <c r="N3056" s="1" t="s">
        <v>32</v>
      </c>
      <c r="O3056" s="1" t="s">
        <v>33</v>
      </c>
      <c r="P3056" s="1" t="s">
        <v>54</v>
      </c>
      <c r="Q3056" s="1" t="s">
        <v>54</v>
      </c>
      <c r="R3056" s="1" t="s">
        <v>55</v>
      </c>
      <c r="S3056" s="1" t="s">
        <v>180</v>
      </c>
      <c r="T3056" s="1">
        <v>1.0059132E8</v>
      </c>
      <c r="W3056" s="1" t="s">
        <v>85</v>
      </c>
      <c r="X3056" s="1" t="s">
        <v>5126</v>
      </c>
    </row>
    <row r="3057">
      <c r="A3057" s="1" t="s">
        <v>9130</v>
      </c>
      <c r="B3057" s="1" t="s">
        <v>3585</v>
      </c>
      <c r="C3057" s="1" t="s">
        <v>9131</v>
      </c>
      <c r="D3057" s="1" t="s">
        <v>28</v>
      </c>
      <c r="E3057" s="1" t="s">
        <v>29</v>
      </c>
      <c r="F3057" s="5">
        <v>250000.0</v>
      </c>
      <c r="G3057" s="1" t="s">
        <v>7016</v>
      </c>
      <c r="H3057" s="1" t="s">
        <v>644</v>
      </c>
      <c r="I3057" s="1" t="s">
        <v>132</v>
      </c>
      <c r="K3057" s="1">
        <v>0.0</v>
      </c>
      <c r="L3057" s="1" t="s">
        <v>5807</v>
      </c>
      <c r="M3057" s="1" t="str">
        <f>VLOOKUP(L3057,'Copy of PMD Workday Constants -'!B3056:W3742,22,false)</f>
        <v>#N/A</v>
      </c>
      <c r="N3057" s="1" t="s">
        <v>32</v>
      </c>
      <c r="O3057" s="1" t="s">
        <v>33</v>
      </c>
      <c r="P3057" s="1" t="s">
        <v>173</v>
      </c>
      <c r="Q3057" s="1" t="s">
        <v>173</v>
      </c>
      <c r="R3057" s="1" t="s">
        <v>174</v>
      </c>
      <c r="S3057" s="1" t="s">
        <v>185</v>
      </c>
      <c r="T3057" s="1">
        <v>1.00589278E8</v>
      </c>
      <c r="X3057" s="1" t="s">
        <v>7871</v>
      </c>
    </row>
    <row r="3058">
      <c r="A3058" s="1" t="s">
        <v>9132</v>
      </c>
      <c r="B3058" s="1" t="s">
        <v>129</v>
      </c>
      <c r="C3058" s="1" t="s">
        <v>9133</v>
      </c>
      <c r="D3058" s="1" t="s">
        <v>51</v>
      </c>
      <c r="E3058" s="1" t="s">
        <v>29</v>
      </c>
      <c r="F3058" s="5">
        <v>250000.0</v>
      </c>
      <c r="G3058" s="1" t="s">
        <v>7016</v>
      </c>
      <c r="H3058" s="1" t="s">
        <v>2787</v>
      </c>
      <c r="I3058" s="1" t="s">
        <v>80</v>
      </c>
      <c r="K3058" s="1">
        <v>0.0</v>
      </c>
      <c r="L3058" s="1" t="s">
        <v>1380</v>
      </c>
      <c r="M3058" s="1" t="str">
        <f>VLOOKUP(L3058,'Copy of PMD Workday Constants -'!B3057:W3743,22,false)</f>
        <v>#N/A</v>
      </c>
      <c r="N3058" s="1" t="s">
        <v>32</v>
      </c>
      <c r="O3058" s="1" t="s">
        <v>33</v>
      </c>
      <c r="P3058" s="1" t="s">
        <v>34</v>
      </c>
      <c r="Q3058" s="1" t="s">
        <v>34</v>
      </c>
      <c r="R3058" s="1" t="s">
        <v>35</v>
      </c>
      <c r="S3058" s="1" t="s">
        <v>126</v>
      </c>
      <c r="T3058" s="1">
        <v>1.00587434E8</v>
      </c>
      <c r="W3058" s="1" t="s">
        <v>74</v>
      </c>
      <c r="X3058" s="1" t="s">
        <v>3038</v>
      </c>
    </row>
    <row r="3059">
      <c r="A3059" s="1" t="s">
        <v>9134</v>
      </c>
      <c r="B3059" s="1" t="s">
        <v>368</v>
      </c>
      <c r="C3059" s="1" t="s">
        <v>9135</v>
      </c>
      <c r="D3059" s="1" t="s">
        <v>28</v>
      </c>
      <c r="E3059" s="1" t="s">
        <v>29</v>
      </c>
      <c r="F3059" s="5">
        <v>250000.0</v>
      </c>
      <c r="G3059" s="1" t="s">
        <v>7016</v>
      </c>
      <c r="H3059" s="4">
        <v>44685.0</v>
      </c>
      <c r="I3059" s="1" t="s">
        <v>414</v>
      </c>
      <c r="K3059" s="1">
        <v>0.0</v>
      </c>
      <c r="L3059" s="1" t="s">
        <v>1757</v>
      </c>
      <c r="M3059" s="1" t="str">
        <f>VLOOKUP(L3059,'Copy of PMD Workday Constants -'!B3058:W3744,22,false)</f>
        <v>#N/A</v>
      </c>
      <c r="N3059" s="1" t="s">
        <v>32</v>
      </c>
      <c r="O3059" s="1" t="s">
        <v>33</v>
      </c>
      <c r="P3059" s="1" t="s">
        <v>112</v>
      </c>
      <c r="Q3059" s="1" t="s">
        <v>112</v>
      </c>
      <c r="R3059" s="1" t="s">
        <v>113</v>
      </c>
      <c r="S3059" s="1" t="s">
        <v>256</v>
      </c>
      <c r="T3059" s="1">
        <v>1.00597983E8</v>
      </c>
      <c r="W3059" s="1" t="s">
        <v>258</v>
      </c>
      <c r="X3059" s="1" t="s">
        <v>9136</v>
      </c>
    </row>
    <row r="3060">
      <c r="A3060" s="1" t="s">
        <v>9137</v>
      </c>
      <c r="B3060" s="1" t="s">
        <v>9138</v>
      </c>
      <c r="C3060" s="1" t="s">
        <v>9139</v>
      </c>
      <c r="D3060" s="1" t="s">
        <v>28</v>
      </c>
      <c r="E3060" s="1" t="s">
        <v>29</v>
      </c>
      <c r="F3060" s="5">
        <v>250000.0</v>
      </c>
      <c r="G3060" s="1" t="s">
        <v>7016</v>
      </c>
      <c r="H3060" s="4">
        <v>44807.0</v>
      </c>
      <c r="I3060" s="1" t="s">
        <v>810</v>
      </c>
      <c r="K3060" s="1">
        <v>0.0</v>
      </c>
      <c r="L3060" s="1" t="s">
        <v>1770</v>
      </c>
      <c r="M3060" s="1" t="str">
        <f>VLOOKUP(L3060,'Copy of PMD Workday Constants -'!B3059:W3745,22,false)</f>
        <v>#N/A</v>
      </c>
      <c r="N3060" s="1" t="s">
        <v>32</v>
      </c>
      <c r="O3060" s="1" t="s">
        <v>33</v>
      </c>
      <c r="P3060" s="1" t="s">
        <v>210</v>
      </c>
      <c r="Q3060" s="1" t="s">
        <v>210</v>
      </c>
      <c r="R3060" s="1" t="s">
        <v>211</v>
      </c>
      <c r="S3060" s="1" t="s">
        <v>1313</v>
      </c>
      <c r="T3060" s="1">
        <v>1.00593918E8</v>
      </c>
      <c r="W3060" s="1" t="s">
        <v>577</v>
      </c>
      <c r="X3060" s="1" t="s">
        <v>1771</v>
      </c>
    </row>
    <row r="3061">
      <c r="A3061" s="1" t="s">
        <v>9140</v>
      </c>
      <c r="B3061" s="1" t="s">
        <v>507</v>
      </c>
      <c r="C3061" s="1" t="s">
        <v>9141</v>
      </c>
      <c r="D3061" s="1" t="s">
        <v>51</v>
      </c>
      <c r="E3061" s="1" t="s">
        <v>29</v>
      </c>
      <c r="F3061" s="5">
        <v>250000.0</v>
      </c>
      <c r="G3061" s="1" t="s">
        <v>7016</v>
      </c>
      <c r="H3061" s="1" t="s">
        <v>545</v>
      </c>
      <c r="I3061" s="4">
        <v>44813.0</v>
      </c>
      <c r="K3061" s="1">
        <v>0.0</v>
      </c>
      <c r="L3061" s="1" t="s">
        <v>9142</v>
      </c>
      <c r="M3061" s="1" t="str">
        <f>VLOOKUP(L3061,'Copy of PMD Workday Constants -'!B3060:W3746,22,false)</f>
        <v>#N/A</v>
      </c>
      <c r="N3061" s="1" t="s">
        <v>32</v>
      </c>
      <c r="O3061" s="1" t="s">
        <v>33</v>
      </c>
      <c r="P3061" s="1" t="s">
        <v>64</v>
      </c>
      <c r="Q3061" s="1" t="s">
        <v>64</v>
      </c>
      <c r="R3061" s="1" t="s">
        <v>65</v>
      </c>
      <c r="S3061" s="1" t="s">
        <v>791</v>
      </c>
      <c r="T3061" s="1">
        <v>1.01161639E8</v>
      </c>
      <c r="W3061" s="1" t="s">
        <v>456</v>
      </c>
      <c r="X3061" s="1" t="s">
        <v>582</v>
      </c>
    </row>
    <row r="3062">
      <c r="A3062" s="1" t="s">
        <v>9143</v>
      </c>
      <c r="B3062" s="1" t="s">
        <v>9144</v>
      </c>
      <c r="C3062" s="1" t="s">
        <v>9145</v>
      </c>
      <c r="D3062" s="1" t="s">
        <v>28</v>
      </c>
      <c r="E3062" s="1" t="s">
        <v>29</v>
      </c>
      <c r="F3062" s="5">
        <v>250000.0</v>
      </c>
      <c r="G3062" s="1" t="s">
        <v>7016</v>
      </c>
      <c r="H3062" s="4">
        <v>44810.0</v>
      </c>
      <c r="I3062" s="1" t="s">
        <v>152</v>
      </c>
      <c r="K3062" s="1">
        <v>0.0</v>
      </c>
      <c r="L3062" s="1" t="s">
        <v>9146</v>
      </c>
      <c r="M3062" s="1" t="str">
        <f>VLOOKUP(L3062,'Copy of PMD Workday Constants -'!B3061:W3747,22,false)</f>
        <v>#N/A</v>
      </c>
      <c r="N3062" s="1" t="s">
        <v>32</v>
      </c>
      <c r="O3062" s="1" t="s">
        <v>33</v>
      </c>
      <c r="P3062" s="1" t="s">
        <v>173</v>
      </c>
      <c r="Q3062" s="1" t="s">
        <v>173</v>
      </c>
      <c r="R3062" s="1" t="s">
        <v>174</v>
      </c>
      <c r="T3062" s="1">
        <v>1.00653538E8</v>
      </c>
      <c r="W3062" s="1" t="s">
        <v>147</v>
      </c>
      <c r="X3062" s="1" t="s">
        <v>6144</v>
      </c>
    </row>
    <row r="3063">
      <c r="A3063" s="1" t="s">
        <v>9147</v>
      </c>
      <c r="B3063" s="1" t="s">
        <v>9144</v>
      </c>
      <c r="C3063" s="1" t="s">
        <v>9148</v>
      </c>
      <c r="D3063" s="1" t="s">
        <v>28</v>
      </c>
      <c r="E3063" s="1" t="s">
        <v>29</v>
      </c>
      <c r="F3063" s="5">
        <v>250000.0</v>
      </c>
      <c r="G3063" s="1" t="s">
        <v>7016</v>
      </c>
      <c r="H3063" s="4">
        <v>44810.0</v>
      </c>
      <c r="I3063" s="1" t="s">
        <v>152</v>
      </c>
      <c r="K3063" s="1">
        <v>0.0</v>
      </c>
      <c r="L3063" s="1" t="s">
        <v>9146</v>
      </c>
      <c r="M3063" s="1" t="str">
        <f>VLOOKUP(L3063,'Copy of PMD Workday Constants -'!B3062:W3748,22,false)</f>
        <v>#N/A</v>
      </c>
      <c r="N3063" s="1" t="s">
        <v>32</v>
      </c>
      <c r="O3063" s="1" t="s">
        <v>33</v>
      </c>
      <c r="P3063" s="1" t="s">
        <v>173</v>
      </c>
      <c r="Q3063" s="1" t="s">
        <v>173</v>
      </c>
      <c r="R3063" s="1" t="s">
        <v>174</v>
      </c>
      <c r="S3063" s="1" t="s">
        <v>612</v>
      </c>
      <c r="T3063" s="1">
        <v>1.00653538E8</v>
      </c>
      <c r="W3063" s="1" t="s">
        <v>147</v>
      </c>
      <c r="X3063" s="1" t="s">
        <v>6144</v>
      </c>
    </row>
    <row r="3064">
      <c r="A3064" s="1" t="s">
        <v>9149</v>
      </c>
      <c r="B3064" s="1" t="s">
        <v>489</v>
      </c>
      <c r="C3064" s="1" t="s">
        <v>9150</v>
      </c>
      <c r="D3064" s="1" t="s">
        <v>28</v>
      </c>
      <c r="E3064" s="1" t="s">
        <v>29</v>
      </c>
      <c r="F3064" s="5">
        <v>250000.0</v>
      </c>
      <c r="G3064" s="1" t="s">
        <v>7016</v>
      </c>
      <c r="H3064" s="4">
        <v>44475.0</v>
      </c>
      <c r="I3064" s="1" t="s">
        <v>152</v>
      </c>
      <c r="K3064" s="1">
        <v>0.0</v>
      </c>
      <c r="L3064" s="1" t="s">
        <v>5807</v>
      </c>
      <c r="M3064" s="1" t="str">
        <f>VLOOKUP(L3064,'Copy of PMD Workday Constants -'!B3063:W3749,22,false)</f>
        <v>#N/A</v>
      </c>
      <c r="N3064" s="1" t="s">
        <v>32</v>
      </c>
      <c r="O3064" s="1" t="s">
        <v>33</v>
      </c>
      <c r="P3064" s="1" t="s">
        <v>173</v>
      </c>
      <c r="Q3064" s="1" t="s">
        <v>173</v>
      </c>
      <c r="R3064" s="1" t="s">
        <v>174</v>
      </c>
      <c r="S3064" s="1" t="s">
        <v>540</v>
      </c>
      <c r="T3064" s="1">
        <v>1.00589278E8</v>
      </c>
      <c r="W3064" s="1" t="s">
        <v>493</v>
      </c>
      <c r="X3064" s="1" t="s">
        <v>7011</v>
      </c>
    </row>
    <row r="3065">
      <c r="A3065" s="1" t="s">
        <v>9151</v>
      </c>
      <c r="B3065" s="1" t="s">
        <v>1062</v>
      </c>
      <c r="C3065" s="1" t="s">
        <v>9152</v>
      </c>
      <c r="D3065" s="1" t="s">
        <v>103</v>
      </c>
      <c r="E3065" s="1" t="s">
        <v>29</v>
      </c>
      <c r="F3065" s="5">
        <v>250000.0</v>
      </c>
      <c r="G3065" s="1" t="s">
        <v>7016</v>
      </c>
      <c r="H3065" s="4">
        <v>43840.0</v>
      </c>
      <c r="I3065" s="4">
        <v>44569.0</v>
      </c>
      <c r="K3065" s="1">
        <v>0.0</v>
      </c>
      <c r="L3065" s="1" t="s">
        <v>4873</v>
      </c>
      <c r="M3065" s="1" t="str">
        <f>VLOOKUP(L3065,'Copy of PMD Workday Constants -'!B3064:W3750,22,false)</f>
        <v>#N/A</v>
      </c>
      <c r="N3065" s="1" t="s">
        <v>32</v>
      </c>
      <c r="O3065" s="1" t="s">
        <v>33</v>
      </c>
      <c r="P3065" s="1" t="s">
        <v>34</v>
      </c>
      <c r="Q3065" s="1" t="s">
        <v>34</v>
      </c>
      <c r="R3065" s="1" t="s">
        <v>35</v>
      </c>
      <c r="S3065" s="1" t="s">
        <v>36</v>
      </c>
      <c r="T3065" s="1">
        <v>1.00587881E8</v>
      </c>
      <c r="W3065" s="1" t="s">
        <v>493</v>
      </c>
      <c r="X3065" s="1" t="s">
        <v>4873</v>
      </c>
    </row>
    <row r="3066">
      <c r="A3066" s="1" t="s">
        <v>9153</v>
      </c>
      <c r="B3066" s="1" t="s">
        <v>5470</v>
      </c>
      <c r="C3066" s="1" t="s">
        <v>9154</v>
      </c>
      <c r="D3066" s="1" t="s">
        <v>51</v>
      </c>
      <c r="E3066" s="1" t="s">
        <v>29</v>
      </c>
      <c r="F3066" s="5">
        <v>250000.0</v>
      </c>
      <c r="G3066" s="1" t="s">
        <v>7016</v>
      </c>
      <c r="H3066" s="1" t="s">
        <v>5610</v>
      </c>
      <c r="I3066" s="1" t="s">
        <v>1528</v>
      </c>
      <c r="K3066" s="1">
        <v>0.0</v>
      </c>
      <c r="L3066" s="1" t="s">
        <v>1151</v>
      </c>
      <c r="M3066" s="1" t="str">
        <f>VLOOKUP(L3066,'Copy of PMD Workday Constants -'!B3065:W3751,22,false)</f>
        <v>#N/A</v>
      </c>
      <c r="N3066" s="1" t="s">
        <v>32</v>
      </c>
      <c r="O3066" s="1" t="s">
        <v>33</v>
      </c>
      <c r="P3066" s="1" t="s">
        <v>173</v>
      </c>
      <c r="Q3066" s="1" t="s">
        <v>173</v>
      </c>
      <c r="R3066" s="1" t="s">
        <v>174</v>
      </c>
      <c r="S3066" s="1" t="s">
        <v>612</v>
      </c>
      <c r="T3066" s="1">
        <v>1.00654991E8</v>
      </c>
      <c r="W3066" s="1" t="s">
        <v>74</v>
      </c>
      <c r="X3066" s="1" t="s">
        <v>1151</v>
      </c>
    </row>
    <row r="3067">
      <c r="A3067" s="1" t="s">
        <v>9155</v>
      </c>
      <c r="B3067" s="1" t="s">
        <v>3094</v>
      </c>
      <c r="C3067" s="1" t="s">
        <v>9156</v>
      </c>
      <c r="D3067" s="1" t="s">
        <v>28</v>
      </c>
      <c r="E3067" s="1" t="s">
        <v>29</v>
      </c>
      <c r="F3067" s="5">
        <v>250000.0</v>
      </c>
      <c r="G3067" s="1" t="s">
        <v>7016</v>
      </c>
      <c r="H3067" s="1" t="s">
        <v>587</v>
      </c>
      <c r="I3067" s="1" t="s">
        <v>302</v>
      </c>
      <c r="K3067" s="1">
        <v>0.0</v>
      </c>
      <c r="L3067" s="1" t="s">
        <v>4629</v>
      </c>
      <c r="M3067" s="1" t="str">
        <f>VLOOKUP(L3067,'Copy of PMD Workday Constants -'!B3066:W3752,22,false)</f>
        <v>#N/A</v>
      </c>
      <c r="N3067" s="1" t="s">
        <v>32</v>
      </c>
      <c r="O3067" s="1" t="s">
        <v>33</v>
      </c>
      <c r="P3067" s="1" t="s">
        <v>210</v>
      </c>
      <c r="Q3067" s="1" t="s">
        <v>210</v>
      </c>
      <c r="R3067" s="1" t="s">
        <v>211</v>
      </c>
      <c r="S3067" s="1" t="s">
        <v>416</v>
      </c>
      <c r="T3067" s="1">
        <v>1.01017204E8</v>
      </c>
      <c r="W3067" s="1" t="s">
        <v>56</v>
      </c>
      <c r="X3067" s="1" t="s">
        <v>4629</v>
      </c>
    </row>
    <row r="3068">
      <c r="A3068" s="1" t="s">
        <v>9157</v>
      </c>
      <c r="B3068" s="1" t="s">
        <v>954</v>
      </c>
      <c r="C3068" s="1" t="s">
        <v>9158</v>
      </c>
      <c r="D3068" s="1" t="s">
        <v>28</v>
      </c>
      <c r="E3068" s="1" t="s">
        <v>29</v>
      </c>
      <c r="F3068" s="5">
        <v>250000.0</v>
      </c>
      <c r="G3068" s="1" t="s">
        <v>7016</v>
      </c>
      <c r="H3068" s="1" t="s">
        <v>5802</v>
      </c>
      <c r="I3068" s="1" t="s">
        <v>104</v>
      </c>
      <c r="K3068" s="1">
        <v>0.0</v>
      </c>
      <c r="L3068" s="1" t="s">
        <v>956</v>
      </c>
      <c r="M3068" s="1" t="str">
        <f>VLOOKUP(L3068,'Copy of PMD Workday Constants -'!B3067:W3753,22,false)</f>
        <v>#N/A</v>
      </c>
      <c r="N3068" s="1" t="s">
        <v>32</v>
      </c>
      <c r="O3068" s="1" t="s">
        <v>33</v>
      </c>
      <c r="P3068" s="1" t="s">
        <v>173</v>
      </c>
      <c r="Q3068" s="1" t="s">
        <v>173</v>
      </c>
      <c r="R3068" s="1" t="s">
        <v>174</v>
      </c>
      <c r="S3068" s="1" t="s">
        <v>612</v>
      </c>
      <c r="T3068" s="1">
        <v>1.00623421E8</v>
      </c>
      <c r="W3068" s="1" t="s">
        <v>147</v>
      </c>
      <c r="X3068" s="1" t="s">
        <v>956</v>
      </c>
    </row>
    <row r="3069">
      <c r="A3069" s="1" t="s">
        <v>9159</v>
      </c>
      <c r="B3069" s="1" t="s">
        <v>324</v>
      </c>
      <c r="C3069" s="1" t="s">
        <v>9160</v>
      </c>
      <c r="D3069" s="1" t="s">
        <v>28</v>
      </c>
      <c r="E3069" s="1" t="s">
        <v>29</v>
      </c>
      <c r="F3069" s="5">
        <v>250000.0</v>
      </c>
      <c r="G3069" s="1" t="s">
        <v>7016</v>
      </c>
      <c r="H3069" s="1" t="s">
        <v>9161</v>
      </c>
      <c r="I3069" s="1" t="s">
        <v>509</v>
      </c>
      <c r="K3069" s="1">
        <v>0.0</v>
      </c>
      <c r="L3069" s="1" t="s">
        <v>5335</v>
      </c>
      <c r="M3069" s="1" t="str">
        <f>VLOOKUP(L3069,'Copy of PMD Workday Constants -'!B3068:W3754,22,false)</f>
        <v>#N/A</v>
      </c>
      <c r="N3069" s="1" t="s">
        <v>32</v>
      </c>
      <c r="O3069" s="1" t="s">
        <v>33</v>
      </c>
      <c r="P3069" s="1" t="s">
        <v>64</v>
      </c>
      <c r="Q3069" s="1" t="s">
        <v>64</v>
      </c>
      <c r="R3069" s="1" t="s">
        <v>65</v>
      </c>
      <c r="S3069" s="1" t="s">
        <v>1313</v>
      </c>
      <c r="T3069" s="1">
        <v>1.00649463E8</v>
      </c>
      <c r="W3069" s="1" t="s">
        <v>56</v>
      </c>
      <c r="X3069" s="1" t="s">
        <v>9162</v>
      </c>
    </row>
    <row r="3070">
      <c r="A3070" s="1" t="s">
        <v>9163</v>
      </c>
      <c r="B3070" s="1" t="s">
        <v>9164</v>
      </c>
      <c r="C3070" s="1" t="s">
        <v>9165</v>
      </c>
      <c r="D3070" s="1" t="s">
        <v>103</v>
      </c>
      <c r="E3070" s="1" t="s">
        <v>29</v>
      </c>
      <c r="F3070" s="5">
        <v>250000.0</v>
      </c>
      <c r="G3070" s="1" t="s">
        <v>7016</v>
      </c>
      <c r="H3070" s="1" t="s">
        <v>686</v>
      </c>
      <c r="I3070" s="4">
        <v>44658.0</v>
      </c>
      <c r="K3070" s="1">
        <v>0.0</v>
      </c>
      <c r="L3070" s="1" t="s">
        <v>1242</v>
      </c>
      <c r="M3070" s="1" t="str">
        <f>VLOOKUP(L3070,'Copy of PMD Workday Constants -'!B3069:W3755,22,false)</f>
        <v>#N/A</v>
      </c>
      <c r="N3070" s="1" t="s">
        <v>32</v>
      </c>
      <c r="O3070" s="1" t="s">
        <v>33</v>
      </c>
      <c r="P3070" s="1" t="s">
        <v>34</v>
      </c>
      <c r="Q3070" s="1" t="s">
        <v>34</v>
      </c>
      <c r="R3070" s="1" t="s">
        <v>35</v>
      </c>
      <c r="S3070" s="1" t="s">
        <v>383</v>
      </c>
      <c r="T3070" s="1">
        <v>1.00626898E8</v>
      </c>
      <c r="W3070" s="1" t="s">
        <v>140</v>
      </c>
      <c r="X3070" s="1" t="s">
        <v>1242</v>
      </c>
    </row>
    <row r="3071">
      <c r="A3071" s="1" t="s">
        <v>9166</v>
      </c>
      <c r="B3071" s="1" t="s">
        <v>954</v>
      </c>
      <c r="C3071" s="1" t="s">
        <v>9167</v>
      </c>
      <c r="D3071" s="1" t="s">
        <v>28</v>
      </c>
      <c r="E3071" s="1" t="s">
        <v>29</v>
      </c>
      <c r="F3071" s="5">
        <v>250000.0</v>
      </c>
      <c r="G3071" s="1" t="s">
        <v>7016</v>
      </c>
      <c r="H3071" s="1" t="s">
        <v>5802</v>
      </c>
      <c r="I3071" s="1" t="s">
        <v>104</v>
      </c>
      <c r="K3071" s="1">
        <v>0.0</v>
      </c>
      <c r="L3071" s="1" t="s">
        <v>956</v>
      </c>
      <c r="M3071" s="1" t="str">
        <f>VLOOKUP(L3071,'Copy of PMD Workday Constants -'!B3070:W3756,22,false)</f>
        <v>#N/A</v>
      </c>
      <c r="N3071" s="1" t="s">
        <v>32</v>
      </c>
      <c r="O3071" s="1" t="s">
        <v>33</v>
      </c>
      <c r="P3071" s="1" t="s">
        <v>173</v>
      </c>
      <c r="Q3071" s="1" t="s">
        <v>173</v>
      </c>
      <c r="R3071" s="1" t="s">
        <v>174</v>
      </c>
      <c r="S3071" s="1" t="s">
        <v>612</v>
      </c>
      <c r="T3071" s="1">
        <v>1.00623421E8</v>
      </c>
      <c r="W3071" s="1" t="s">
        <v>147</v>
      </c>
      <c r="X3071" s="1" t="s">
        <v>956</v>
      </c>
    </row>
    <row r="3072">
      <c r="A3072" s="1" t="s">
        <v>9168</v>
      </c>
      <c r="B3072" s="1" t="s">
        <v>7511</v>
      </c>
      <c r="C3072" s="1" t="s">
        <v>9169</v>
      </c>
      <c r="D3072" s="1" t="s">
        <v>28</v>
      </c>
      <c r="E3072" s="1" t="s">
        <v>29</v>
      </c>
      <c r="F3072" s="5">
        <v>250000.0</v>
      </c>
      <c r="G3072" s="1" t="s">
        <v>7016</v>
      </c>
      <c r="H3072" s="1" t="s">
        <v>3028</v>
      </c>
      <c r="I3072" s="4">
        <v>44569.0</v>
      </c>
      <c r="K3072" s="1">
        <v>0.0</v>
      </c>
      <c r="L3072" s="1" t="s">
        <v>2097</v>
      </c>
      <c r="M3072" s="1" t="str">
        <f>VLOOKUP(L3072,'Copy of PMD Workday Constants -'!B3071:W3757,22,false)</f>
        <v>#N/A</v>
      </c>
      <c r="N3072" s="1" t="s">
        <v>32</v>
      </c>
      <c r="O3072" s="1" t="s">
        <v>33</v>
      </c>
      <c r="P3072" s="1" t="s">
        <v>82</v>
      </c>
      <c r="Q3072" s="1" t="s">
        <v>82</v>
      </c>
      <c r="R3072" s="1" t="s">
        <v>83</v>
      </c>
      <c r="S3072" s="1" t="s">
        <v>180</v>
      </c>
      <c r="T3072" s="1">
        <v>1.00619607E8</v>
      </c>
      <c r="W3072" s="1" t="s">
        <v>2098</v>
      </c>
      <c r="X3072" s="1" t="s">
        <v>2097</v>
      </c>
    </row>
    <row r="3073">
      <c r="A3073" s="1" t="s">
        <v>9170</v>
      </c>
      <c r="B3073" s="1" t="s">
        <v>9171</v>
      </c>
      <c r="C3073" s="1" t="s">
        <v>9172</v>
      </c>
      <c r="D3073" s="1" t="s">
        <v>28</v>
      </c>
      <c r="E3073" s="1" t="s">
        <v>29</v>
      </c>
      <c r="F3073" s="5">
        <v>250000.0</v>
      </c>
      <c r="G3073" s="1" t="s">
        <v>7016</v>
      </c>
      <c r="H3073" s="4">
        <v>44350.0</v>
      </c>
      <c r="I3073" s="1" t="s">
        <v>9015</v>
      </c>
      <c r="K3073" s="1">
        <v>0.0</v>
      </c>
      <c r="L3073" s="1" t="s">
        <v>963</v>
      </c>
      <c r="M3073" s="1" t="str">
        <f>VLOOKUP(L3073,'Copy of PMD Workday Constants -'!B3072:W3758,22,false)</f>
        <v>#N/A</v>
      </c>
      <c r="N3073" s="1" t="s">
        <v>32</v>
      </c>
      <c r="O3073" s="1" t="s">
        <v>33</v>
      </c>
      <c r="P3073" s="1" t="s">
        <v>173</v>
      </c>
      <c r="Q3073" s="1" t="s">
        <v>173</v>
      </c>
      <c r="R3073" s="1" t="s">
        <v>174</v>
      </c>
      <c r="S3073" s="1" t="s">
        <v>612</v>
      </c>
      <c r="T3073" s="1">
        <v>1.00708984E8</v>
      </c>
      <c r="W3073" s="1" t="s">
        <v>56</v>
      </c>
      <c r="X3073" s="1" t="s">
        <v>9016</v>
      </c>
    </row>
    <row r="3074">
      <c r="A3074" s="1" t="s">
        <v>9173</v>
      </c>
      <c r="B3074" s="1" t="s">
        <v>3557</v>
      </c>
      <c r="C3074" s="1" t="s">
        <v>9174</v>
      </c>
      <c r="D3074" s="1" t="s">
        <v>28</v>
      </c>
      <c r="E3074" s="1" t="s">
        <v>29</v>
      </c>
      <c r="F3074" s="5">
        <v>250000.0</v>
      </c>
      <c r="G3074" s="1" t="s">
        <v>7016</v>
      </c>
      <c r="H3074" s="4">
        <v>44840.0</v>
      </c>
      <c r="I3074" s="1" t="s">
        <v>302</v>
      </c>
      <c r="K3074" s="1">
        <v>0.0</v>
      </c>
      <c r="L3074" s="1" t="s">
        <v>3559</v>
      </c>
      <c r="M3074" s="1" t="str">
        <f>VLOOKUP(L3074,'Copy of PMD Workday Constants -'!B3073:W3759,22,false)</f>
        <v>#N/A</v>
      </c>
      <c r="N3074" s="1" t="s">
        <v>32</v>
      </c>
      <c r="O3074" s="1" t="s">
        <v>33</v>
      </c>
      <c r="P3074" s="1" t="s">
        <v>34</v>
      </c>
      <c r="Q3074" s="1" t="s">
        <v>34</v>
      </c>
      <c r="R3074" s="1" t="s">
        <v>35</v>
      </c>
      <c r="S3074" s="1" t="s">
        <v>9175</v>
      </c>
      <c r="T3074" s="1">
        <v>1.00586786E8</v>
      </c>
      <c r="W3074" s="1" t="s">
        <v>140</v>
      </c>
      <c r="X3074" s="1" t="s">
        <v>9176</v>
      </c>
    </row>
    <row r="3075">
      <c r="A3075" s="1" t="s">
        <v>9177</v>
      </c>
      <c r="B3075" s="1" t="s">
        <v>503</v>
      </c>
      <c r="C3075" s="1" t="s">
        <v>9178</v>
      </c>
      <c r="D3075" s="1" t="s">
        <v>51</v>
      </c>
      <c r="E3075" s="1" t="s">
        <v>29</v>
      </c>
      <c r="F3075" s="5">
        <v>250000.0</v>
      </c>
      <c r="G3075" s="1" t="s">
        <v>7016</v>
      </c>
      <c r="H3075" s="4">
        <v>44167.0</v>
      </c>
      <c r="I3075" s="1" t="s">
        <v>302</v>
      </c>
      <c r="K3075" s="1">
        <v>0.0</v>
      </c>
      <c r="L3075" s="1" t="s">
        <v>5650</v>
      </c>
      <c r="M3075" s="1" t="str">
        <f>VLOOKUP(L3075,'Copy of PMD Workday Constants -'!B3074:W3760,22,false)</f>
        <v>#N/A</v>
      </c>
      <c r="N3075" s="1" t="s">
        <v>32</v>
      </c>
      <c r="O3075" s="1" t="s">
        <v>33</v>
      </c>
      <c r="P3075" s="1" t="s">
        <v>34</v>
      </c>
      <c r="Q3075" s="1" t="s">
        <v>34</v>
      </c>
      <c r="R3075" s="1" t="s">
        <v>35</v>
      </c>
      <c r="S3075" s="1" t="s">
        <v>126</v>
      </c>
      <c r="T3075" s="1">
        <v>1.00597272E8</v>
      </c>
      <c r="W3075" s="1" t="s">
        <v>391</v>
      </c>
      <c r="X3075" s="1" t="s">
        <v>852</v>
      </c>
    </row>
    <row r="3076">
      <c r="A3076" s="1" t="s">
        <v>9179</v>
      </c>
      <c r="B3076" s="1" t="s">
        <v>1387</v>
      </c>
      <c r="C3076" s="1" t="s">
        <v>9180</v>
      </c>
      <c r="D3076" s="1" t="s">
        <v>103</v>
      </c>
      <c r="E3076" s="1" t="s">
        <v>29</v>
      </c>
      <c r="F3076" s="5">
        <v>250000.0</v>
      </c>
      <c r="G3076" s="1" t="s">
        <v>7016</v>
      </c>
      <c r="H3076" s="1" t="s">
        <v>865</v>
      </c>
      <c r="I3076" s="1" t="s">
        <v>313</v>
      </c>
      <c r="K3076" s="1">
        <v>0.0</v>
      </c>
      <c r="L3076" s="1" t="s">
        <v>1389</v>
      </c>
      <c r="M3076" s="1" t="str">
        <f>VLOOKUP(L3076,'Copy of PMD Workday Constants -'!B3075:W3761,22,false)</f>
        <v>#N/A</v>
      </c>
      <c r="N3076" s="1" t="s">
        <v>32</v>
      </c>
      <c r="O3076" s="1" t="s">
        <v>33</v>
      </c>
      <c r="P3076" s="1" t="s">
        <v>64</v>
      </c>
      <c r="Q3076" s="1" t="s">
        <v>64</v>
      </c>
      <c r="R3076" s="1" t="s">
        <v>65</v>
      </c>
      <c r="S3076" s="1" t="s">
        <v>36</v>
      </c>
      <c r="T3076" s="1">
        <v>1.00610014E8</v>
      </c>
      <c r="W3076" s="1" t="s">
        <v>91</v>
      </c>
      <c r="X3076" s="1" t="s">
        <v>127</v>
      </c>
    </row>
    <row r="3077">
      <c r="A3077" s="1" t="s">
        <v>9181</v>
      </c>
      <c r="B3077" s="1" t="s">
        <v>3478</v>
      </c>
      <c r="C3077" s="1" t="s">
        <v>9182</v>
      </c>
      <c r="D3077" s="1" t="s">
        <v>28</v>
      </c>
      <c r="E3077" s="1" t="s">
        <v>29</v>
      </c>
      <c r="F3077" s="5">
        <v>250000.0</v>
      </c>
      <c r="G3077" s="1" t="s">
        <v>7016</v>
      </c>
      <c r="H3077" s="4">
        <v>44840.0</v>
      </c>
      <c r="I3077" s="1" t="s">
        <v>302</v>
      </c>
      <c r="K3077" s="1">
        <v>0.0</v>
      </c>
      <c r="L3077" s="1" t="s">
        <v>1396</v>
      </c>
      <c r="M3077" s="1" t="str">
        <f>VLOOKUP(L3077,'Copy of PMD Workday Constants -'!B3076:W3762,22,false)</f>
        <v>#N/A</v>
      </c>
      <c r="N3077" s="1" t="s">
        <v>32</v>
      </c>
      <c r="O3077" s="1" t="s">
        <v>33</v>
      </c>
      <c r="P3077" s="1" t="s">
        <v>222</v>
      </c>
      <c r="Q3077" s="1" t="s">
        <v>222</v>
      </c>
      <c r="R3077" s="1" t="s">
        <v>223</v>
      </c>
      <c r="S3077" s="1" t="s">
        <v>601</v>
      </c>
      <c r="T3077" s="1">
        <v>1.00609118E8</v>
      </c>
      <c r="W3077" s="1" t="s">
        <v>947</v>
      </c>
      <c r="X3077" s="1" t="s">
        <v>6060</v>
      </c>
    </row>
    <row r="3078">
      <c r="A3078" s="1" t="s">
        <v>9183</v>
      </c>
      <c r="B3078" s="1" t="s">
        <v>756</v>
      </c>
      <c r="C3078" s="1" t="s">
        <v>9184</v>
      </c>
      <c r="D3078" s="1" t="s">
        <v>51</v>
      </c>
      <c r="E3078" s="1" t="s">
        <v>29</v>
      </c>
      <c r="F3078" s="5">
        <v>250000.0</v>
      </c>
      <c r="G3078" s="1" t="s">
        <v>7016</v>
      </c>
      <c r="H3078" s="1" t="s">
        <v>375</v>
      </c>
      <c r="I3078" s="1" t="s">
        <v>80</v>
      </c>
      <c r="K3078" s="1">
        <v>0.0</v>
      </c>
      <c r="L3078" s="1" t="s">
        <v>2540</v>
      </c>
      <c r="M3078" s="1" t="str">
        <f>VLOOKUP(L3078,'Copy of PMD Workday Constants -'!B3077:W3763,22,false)</f>
        <v>#N/A</v>
      </c>
      <c r="N3078" s="1" t="s">
        <v>32</v>
      </c>
      <c r="O3078" s="1" t="s">
        <v>33</v>
      </c>
      <c r="P3078" s="1" t="s">
        <v>222</v>
      </c>
      <c r="Q3078" s="1" t="s">
        <v>222</v>
      </c>
      <c r="R3078" s="1" t="s">
        <v>223</v>
      </c>
      <c r="S3078" s="1" t="s">
        <v>601</v>
      </c>
      <c r="T3078" s="1">
        <v>1.00599268E8</v>
      </c>
      <c r="W3078" s="1" t="s">
        <v>74</v>
      </c>
      <c r="X3078" s="1" t="s">
        <v>9185</v>
      </c>
    </row>
    <row r="3079">
      <c r="A3079" s="1" t="s">
        <v>9186</v>
      </c>
      <c r="B3079" s="1" t="s">
        <v>2277</v>
      </c>
      <c r="C3079" s="1" t="s">
        <v>9187</v>
      </c>
      <c r="D3079" s="1" t="s">
        <v>28</v>
      </c>
      <c r="E3079" s="1" t="s">
        <v>29</v>
      </c>
      <c r="F3079" s="5">
        <v>250000.0</v>
      </c>
      <c r="G3079" s="1" t="s">
        <v>7016</v>
      </c>
      <c r="H3079" s="4">
        <v>44810.0</v>
      </c>
      <c r="I3079" s="1" t="s">
        <v>302</v>
      </c>
      <c r="K3079" s="1">
        <v>0.0</v>
      </c>
      <c r="L3079" s="1" t="s">
        <v>9188</v>
      </c>
      <c r="M3079" s="1" t="str">
        <f>VLOOKUP(L3079,'Copy of PMD Workday Constants -'!B3078:W3764,22,false)</f>
        <v>#N/A</v>
      </c>
      <c r="N3079" s="1" t="s">
        <v>32</v>
      </c>
      <c r="O3079" s="1" t="s">
        <v>33</v>
      </c>
      <c r="P3079" s="1" t="s">
        <v>210</v>
      </c>
      <c r="Q3079" s="1" t="s">
        <v>210</v>
      </c>
      <c r="R3079" s="1" t="s">
        <v>211</v>
      </c>
      <c r="T3079" s="1">
        <v>1.01235519E8</v>
      </c>
      <c r="W3079" s="1" t="s">
        <v>258</v>
      </c>
      <c r="X3079" s="1" t="s">
        <v>9188</v>
      </c>
    </row>
    <row r="3080">
      <c r="A3080" s="1" t="s">
        <v>9189</v>
      </c>
      <c r="B3080" s="1" t="s">
        <v>3478</v>
      </c>
      <c r="C3080" s="1" t="s">
        <v>9190</v>
      </c>
      <c r="D3080" s="1" t="s">
        <v>28</v>
      </c>
      <c r="E3080" s="1" t="s">
        <v>29</v>
      </c>
      <c r="F3080" s="5">
        <v>250000.0</v>
      </c>
      <c r="G3080" s="1" t="s">
        <v>7016</v>
      </c>
      <c r="H3080" s="4">
        <v>44840.0</v>
      </c>
      <c r="I3080" s="1" t="s">
        <v>302</v>
      </c>
      <c r="K3080" s="1">
        <v>0.0</v>
      </c>
      <c r="L3080" s="1" t="s">
        <v>1396</v>
      </c>
      <c r="M3080" s="1" t="str">
        <f>VLOOKUP(L3080,'Copy of PMD Workday Constants -'!B3079:W3765,22,false)</f>
        <v>#N/A</v>
      </c>
      <c r="N3080" s="1" t="s">
        <v>32</v>
      </c>
      <c r="O3080" s="1" t="s">
        <v>33</v>
      </c>
      <c r="P3080" s="1" t="s">
        <v>222</v>
      </c>
      <c r="Q3080" s="1" t="s">
        <v>222</v>
      </c>
      <c r="R3080" s="1" t="s">
        <v>223</v>
      </c>
      <c r="S3080" s="1" t="s">
        <v>601</v>
      </c>
      <c r="T3080" s="1">
        <v>1.00609118E8</v>
      </c>
      <c r="W3080" s="1" t="s">
        <v>947</v>
      </c>
      <c r="X3080" s="1" t="s">
        <v>6060</v>
      </c>
    </row>
    <row r="3081">
      <c r="A3081" s="1" t="s">
        <v>9191</v>
      </c>
      <c r="B3081" s="1" t="s">
        <v>3478</v>
      </c>
      <c r="C3081" s="1" t="s">
        <v>9192</v>
      </c>
      <c r="D3081" s="1" t="s">
        <v>28</v>
      </c>
      <c r="E3081" s="1" t="s">
        <v>29</v>
      </c>
      <c r="F3081" s="5">
        <v>250000.0</v>
      </c>
      <c r="G3081" s="1" t="s">
        <v>7016</v>
      </c>
      <c r="H3081" s="4">
        <v>44840.0</v>
      </c>
      <c r="I3081" s="1" t="s">
        <v>152</v>
      </c>
      <c r="K3081" s="1">
        <v>0.0</v>
      </c>
      <c r="L3081" s="1" t="s">
        <v>1396</v>
      </c>
      <c r="M3081" s="1" t="str">
        <f>VLOOKUP(L3081,'Copy of PMD Workday Constants -'!B3080:W3766,22,false)</f>
        <v>#N/A</v>
      </c>
      <c r="N3081" s="1" t="s">
        <v>32</v>
      </c>
      <c r="O3081" s="1" t="s">
        <v>33</v>
      </c>
      <c r="P3081" s="1" t="s">
        <v>222</v>
      </c>
      <c r="Q3081" s="1" t="s">
        <v>222</v>
      </c>
      <c r="R3081" s="1" t="s">
        <v>223</v>
      </c>
      <c r="S3081" s="1" t="s">
        <v>646</v>
      </c>
      <c r="T3081" s="1">
        <v>1.00609118E8</v>
      </c>
      <c r="W3081" s="1" t="s">
        <v>947</v>
      </c>
      <c r="X3081" s="1" t="s">
        <v>6060</v>
      </c>
    </row>
    <row r="3082">
      <c r="A3082" s="1" t="s">
        <v>9193</v>
      </c>
      <c r="B3082" s="1" t="s">
        <v>3478</v>
      </c>
      <c r="C3082" s="1" t="s">
        <v>9194</v>
      </c>
      <c r="D3082" s="1" t="s">
        <v>28</v>
      </c>
      <c r="E3082" s="1" t="s">
        <v>29</v>
      </c>
      <c r="F3082" s="5">
        <v>250000.0</v>
      </c>
      <c r="G3082" s="1" t="s">
        <v>7016</v>
      </c>
      <c r="H3082" s="4">
        <v>44840.0</v>
      </c>
      <c r="I3082" s="1" t="s">
        <v>104</v>
      </c>
      <c r="K3082" s="1">
        <v>0.0</v>
      </c>
      <c r="L3082" s="1" t="s">
        <v>1396</v>
      </c>
      <c r="M3082" s="1" t="str">
        <f>VLOOKUP(L3082,'Copy of PMD Workday Constants -'!B3081:W3767,22,false)</f>
        <v>#N/A</v>
      </c>
      <c r="N3082" s="1" t="s">
        <v>32</v>
      </c>
      <c r="O3082" s="1" t="s">
        <v>33</v>
      </c>
      <c r="P3082" s="1" t="s">
        <v>222</v>
      </c>
      <c r="Q3082" s="1" t="s">
        <v>222</v>
      </c>
      <c r="R3082" s="1" t="s">
        <v>223</v>
      </c>
      <c r="S3082" s="1" t="s">
        <v>646</v>
      </c>
      <c r="T3082" s="1">
        <v>1.00609118E8</v>
      </c>
      <c r="W3082" s="1" t="s">
        <v>947</v>
      </c>
      <c r="X3082" s="1" t="s">
        <v>6060</v>
      </c>
    </row>
    <row r="3083">
      <c r="A3083" s="1" t="s">
        <v>9195</v>
      </c>
      <c r="B3083" s="1" t="s">
        <v>5244</v>
      </c>
      <c r="C3083" s="1" t="s">
        <v>9196</v>
      </c>
      <c r="D3083" s="1" t="s">
        <v>51</v>
      </c>
      <c r="E3083" s="1" t="s">
        <v>29</v>
      </c>
      <c r="F3083" s="5">
        <v>250000.0</v>
      </c>
      <c r="G3083" s="1" t="s">
        <v>7016</v>
      </c>
      <c r="H3083" s="1" t="s">
        <v>778</v>
      </c>
      <c r="I3083" s="4">
        <v>44626.0</v>
      </c>
      <c r="K3083" s="1">
        <v>0.0</v>
      </c>
      <c r="L3083" s="1" t="s">
        <v>9197</v>
      </c>
      <c r="M3083" s="1" t="str">
        <f>VLOOKUP(L3083,'Copy of PMD Workday Constants -'!B3082:W3768,22,false)</f>
        <v>#N/A</v>
      </c>
      <c r="N3083" s="1" t="s">
        <v>32</v>
      </c>
      <c r="O3083" s="1" t="s">
        <v>33</v>
      </c>
      <c r="P3083" s="1" t="s">
        <v>112</v>
      </c>
      <c r="Q3083" s="1" t="s">
        <v>112</v>
      </c>
      <c r="R3083" s="1" t="s">
        <v>113</v>
      </c>
      <c r="T3083" s="1">
        <v>1.00637451E8</v>
      </c>
      <c r="W3083" s="1" t="s">
        <v>74</v>
      </c>
      <c r="X3083" s="1" t="s">
        <v>9197</v>
      </c>
    </row>
    <row r="3084">
      <c r="A3084" s="1" t="s">
        <v>9198</v>
      </c>
      <c r="B3084" s="1" t="s">
        <v>5151</v>
      </c>
      <c r="C3084" s="1" t="s">
        <v>9199</v>
      </c>
      <c r="D3084" s="1" t="s">
        <v>28</v>
      </c>
      <c r="E3084" s="1" t="s">
        <v>29</v>
      </c>
      <c r="F3084" s="5">
        <v>250000.0</v>
      </c>
      <c r="G3084" s="1" t="s">
        <v>7016</v>
      </c>
      <c r="H3084" s="1" t="s">
        <v>1842</v>
      </c>
      <c r="I3084" s="1" t="s">
        <v>125</v>
      </c>
      <c r="K3084" s="1">
        <v>0.0</v>
      </c>
      <c r="L3084" s="1" t="s">
        <v>588</v>
      </c>
      <c r="M3084" s="1" t="str">
        <f>VLOOKUP(L3084,'Copy of PMD Workday Constants -'!B3083:W3769,22,false)</f>
        <v>#N/A</v>
      </c>
      <c r="N3084" s="1" t="s">
        <v>32</v>
      </c>
      <c r="O3084" s="1" t="s">
        <v>33</v>
      </c>
      <c r="P3084" s="1" t="s">
        <v>34</v>
      </c>
      <c r="Q3084" s="1" t="s">
        <v>34</v>
      </c>
      <c r="R3084" s="1" t="s">
        <v>35</v>
      </c>
      <c r="S3084" s="1" t="s">
        <v>1336</v>
      </c>
      <c r="T3084" s="1">
        <v>1.00609607E8</v>
      </c>
      <c r="W3084" s="1" t="s">
        <v>947</v>
      </c>
      <c r="X3084" s="1" t="s">
        <v>5153</v>
      </c>
    </row>
    <row r="3085">
      <c r="A3085" s="1" t="s">
        <v>9200</v>
      </c>
      <c r="B3085" s="1" t="s">
        <v>9201</v>
      </c>
      <c r="C3085" s="1" t="s">
        <v>9202</v>
      </c>
      <c r="D3085" s="1" t="s">
        <v>28</v>
      </c>
      <c r="E3085" s="1" t="s">
        <v>29</v>
      </c>
      <c r="F3085" s="5">
        <v>250000.0</v>
      </c>
      <c r="G3085" s="1" t="s">
        <v>7016</v>
      </c>
      <c r="H3085" s="1" t="s">
        <v>587</v>
      </c>
      <c r="I3085" s="1" t="s">
        <v>80</v>
      </c>
      <c r="K3085" s="1">
        <v>0.0</v>
      </c>
      <c r="L3085" s="1" t="s">
        <v>44</v>
      </c>
      <c r="M3085" s="1" t="str">
        <f>VLOOKUP(L3085,'Copy of PMD Workday Constants -'!B3084:W3770,22,false)</f>
        <v>#N/A</v>
      </c>
      <c r="N3085" s="1" t="s">
        <v>32</v>
      </c>
      <c r="O3085" s="1" t="s">
        <v>33</v>
      </c>
      <c r="P3085" s="1" t="s">
        <v>34</v>
      </c>
      <c r="Q3085" s="1" t="s">
        <v>34</v>
      </c>
      <c r="R3085" s="1" t="s">
        <v>35</v>
      </c>
      <c r="S3085" s="1" t="s">
        <v>126</v>
      </c>
      <c r="T3085" s="1">
        <v>1.00587944E8</v>
      </c>
      <c r="W3085" s="1" t="s">
        <v>47</v>
      </c>
      <c r="X3085" s="1" t="s">
        <v>1088</v>
      </c>
    </row>
    <row r="3086">
      <c r="A3086" s="1" t="s">
        <v>9203</v>
      </c>
      <c r="B3086" s="1" t="s">
        <v>70</v>
      </c>
      <c r="C3086" s="1" t="s">
        <v>9204</v>
      </c>
      <c r="D3086" s="1" t="s">
        <v>51</v>
      </c>
      <c r="E3086" s="1" t="s">
        <v>29</v>
      </c>
      <c r="F3086" s="5">
        <v>250000.0</v>
      </c>
      <c r="G3086" s="1" t="s">
        <v>7016</v>
      </c>
      <c r="H3086" s="4">
        <v>44746.0</v>
      </c>
      <c r="I3086" s="1" t="s">
        <v>732</v>
      </c>
      <c r="K3086" s="1">
        <v>0.0</v>
      </c>
      <c r="L3086" s="1" t="s">
        <v>4634</v>
      </c>
      <c r="M3086" s="1" t="str">
        <f>VLOOKUP(L3086,'Copy of PMD Workday Constants -'!B3085:W3771,22,false)</f>
        <v>#N/A</v>
      </c>
      <c r="N3086" s="1" t="s">
        <v>32</v>
      </c>
      <c r="O3086" s="1" t="s">
        <v>33</v>
      </c>
      <c r="P3086" s="1" t="s">
        <v>112</v>
      </c>
      <c r="Q3086" s="1" t="s">
        <v>112</v>
      </c>
      <c r="R3086" s="1" t="s">
        <v>113</v>
      </c>
      <c r="S3086" s="1" t="s">
        <v>134</v>
      </c>
      <c r="T3086" s="1">
        <v>1.00585718E8</v>
      </c>
      <c r="W3086" s="1" t="s">
        <v>74</v>
      </c>
      <c r="X3086" s="1" t="s">
        <v>4634</v>
      </c>
    </row>
    <row r="3087">
      <c r="A3087" s="1" t="s">
        <v>9205</v>
      </c>
      <c r="B3087" s="1" t="s">
        <v>2267</v>
      </c>
      <c r="C3087" s="1" t="s">
        <v>9206</v>
      </c>
      <c r="D3087" s="1" t="s">
        <v>51</v>
      </c>
      <c r="E3087" s="1" t="s">
        <v>29</v>
      </c>
      <c r="F3087" s="5">
        <v>250000.0</v>
      </c>
      <c r="G3087" s="1" t="s">
        <v>7016</v>
      </c>
      <c r="H3087" s="1" t="s">
        <v>2049</v>
      </c>
      <c r="I3087" s="1" t="s">
        <v>104</v>
      </c>
      <c r="K3087" s="1">
        <v>0.0</v>
      </c>
      <c r="L3087" s="1" t="s">
        <v>2788</v>
      </c>
      <c r="M3087" s="1" t="str">
        <f>VLOOKUP(L3087,'Copy of PMD Workday Constants -'!B3086:W3772,22,false)</f>
        <v>#N/A</v>
      </c>
      <c r="N3087" s="1" t="s">
        <v>32</v>
      </c>
      <c r="O3087" s="1" t="s">
        <v>33</v>
      </c>
      <c r="P3087" s="1" t="s">
        <v>54</v>
      </c>
      <c r="Q3087" s="1" t="s">
        <v>54</v>
      </c>
      <c r="R3087" s="1" t="s">
        <v>55</v>
      </c>
      <c r="S3087" s="1" t="s">
        <v>180</v>
      </c>
      <c r="T3087" s="1">
        <v>1.0059132E8</v>
      </c>
      <c r="W3087" s="1" t="s">
        <v>85</v>
      </c>
      <c r="X3087" s="1" t="s">
        <v>9207</v>
      </c>
    </row>
    <row r="3088">
      <c r="A3088" s="1" t="s">
        <v>9208</v>
      </c>
      <c r="B3088" s="1" t="s">
        <v>7145</v>
      </c>
      <c r="C3088" s="1" t="s">
        <v>9209</v>
      </c>
      <c r="D3088" s="1" t="s">
        <v>51</v>
      </c>
      <c r="E3088" s="1" t="s">
        <v>29</v>
      </c>
      <c r="F3088" s="5">
        <v>250000.0</v>
      </c>
      <c r="G3088" s="1" t="s">
        <v>7016</v>
      </c>
      <c r="H3088" s="1" t="s">
        <v>2210</v>
      </c>
      <c r="I3088" s="1" t="s">
        <v>302</v>
      </c>
      <c r="K3088" s="1">
        <v>0.0</v>
      </c>
      <c r="L3088" s="1" t="s">
        <v>198</v>
      </c>
      <c r="M3088" s="1" t="str">
        <f>VLOOKUP(L3088,'Copy of PMD Workday Constants -'!B3087:W3773,22,false)</f>
        <v>#N/A</v>
      </c>
      <c r="N3088" s="1" t="s">
        <v>32</v>
      </c>
      <c r="O3088" s="1" t="s">
        <v>33</v>
      </c>
      <c r="P3088" s="1" t="s">
        <v>82</v>
      </c>
      <c r="Q3088" s="1" t="s">
        <v>82</v>
      </c>
      <c r="R3088" s="1" t="s">
        <v>83</v>
      </c>
      <c r="S3088" s="1" t="s">
        <v>180</v>
      </c>
      <c r="T3088" s="1">
        <v>1.00590896E8</v>
      </c>
      <c r="W3088" s="1" t="s">
        <v>85</v>
      </c>
      <c r="X3088" s="1" t="s">
        <v>9210</v>
      </c>
    </row>
    <row r="3089">
      <c r="A3089" s="1" t="s">
        <v>9211</v>
      </c>
      <c r="B3089" s="1" t="s">
        <v>7535</v>
      </c>
      <c r="C3089" s="1" t="s">
        <v>9212</v>
      </c>
      <c r="D3089" s="1" t="s">
        <v>28</v>
      </c>
      <c r="E3089" s="1" t="s">
        <v>29</v>
      </c>
      <c r="F3089" s="5">
        <v>250000.0</v>
      </c>
      <c r="G3089" s="1" t="s">
        <v>7016</v>
      </c>
      <c r="H3089" s="4">
        <v>44319.0</v>
      </c>
      <c r="I3089" s="1" t="s">
        <v>3592</v>
      </c>
      <c r="K3089" s="1">
        <v>0.0</v>
      </c>
      <c r="L3089" s="1" t="s">
        <v>963</v>
      </c>
      <c r="M3089" s="1" t="str">
        <f>VLOOKUP(L3089,'Copy of PMD Workday Constants -'!B3088:W3774,22,false)</f>
        <v>#N/A</v>
      </c>
      <c r="N3089" s="1" t="s">
        <v>32</v>
      </c>
      <c r="O3089" s="1" t="s">
        <v>33</v>
      </c>
      <c r="P3089" s="1" t="s">
        <v>173</v>
      </c>
      <c r="Q3089" s="1" t="s">
        <v>173</v>
      </c>
      <c r="R3089" s="1" t="s">
        <v>174</v>
      </c>
      <c r="S3089" s="1" t="s">
        <v>612</v>
      </c>
      <c r="T3089" s="1">
        <v>1.00708984E8</v>
      </c>
      <c r="W3089" s="1" t="s">
        <v>115</v>
      </c>
      <c r="X3089" s="1" t="s">
        <v>9016</v>
      </c>
    </row>
    <row r="3090">
      <c r="A3090" s="1" t="s">
        <v>9213</v>
      </c>
      <c r="B3090" s="1" t="s">
        <v>507</v>
      </c>
      <c r="C3090" s="1" t="s">
        <v>9214</v>
      </c>
      <c r="D3090" s="1" t="s">
        <v>28</v>
      </c>
      <c r="E3090" s="1" t="s">
        <v>29</v>
      </c>
      <c r="F3090" s="5">
        <v>250000.0</v>
      </c>
      <c r="G3090" s="1" t="s">
        <v>7016</v>
      </c>
      <c r="H3090" s="4">
        <v>44319.0</v>
      </c>
      <c r="I3090" s="1" t="s">
        <v>191</v>
      </c>
      <c r="K3090" s="1">
        <v>0.0</v>
      </c>
      <c r="L3090" s="1" t="s">
        <v>963</v>
      </c>
      <c r="M3090" s="1" t="str">
        <f>VLOOKUP(L3090,'Copy of PMD Workday Constants -'!B3089:W3775,22,false)</f>
        <v>#N/A</v>
      </c>
      <c r="N3090" s="1" t="s">
        <v>32</v>
      </c>
      <c r="O3090" s="1" t="s">
        <v>33</v>
      </c>
      <c r="P3090" s="1" t="s">
        <v>173</v>
      </c>
      <c r="Q3090" s="1" t="s">
        <v>173</v>
      </c>
      <c r="R3090" s="1" t="s">
        <v>174</v>
      </c>
      <c r="S3090" s="1" t="s">
        <v>612</v>
      </c>
      <c r="T3090" s="1">
        <v>1.00708984E8</v>
      </c>
      <c r="W3090" s="1" t="s">
        <v>456</v>
      </c>
      <c r="X3090" s="1" t="s">
        <v>9016</v>
      </c>
    </row>
    <row r="3091">
      <c r="A3091" s="1" t="s">
        <v>9215</v>
      </c>
      <c r="B3091" s="1" t="s">
        <v>5634</v>
      </c>
      <c r="C3091" s="1" t="s">
        <v>9216</v>
      </c>
      <c r="D3091" s="1" t="s">
        <v>28</v>
      </c>
      <c r="E3091" s="1" t="s">
        <v>29</v>
      </c>
      <c r="F3091" s="5">
        <v>250000.0</v>
      </c>
      <c r="G3091" s="1" t="s">
        <v>7016</v>
      </c>
      <c r="H3091" s="1" t="s">
        <v>42</v>
      </c>
      <c r="I3091" s="1" t="s">
        <v>132</v>
      </c>
      <c r="K3091" s="1">
        <v>0.0</v>
      </c>
      <c r="L3091" s="1" t="s">
        <v>2655</v>
      </c>
      <c r="M3091" s="1" t="str">
        <f>VLOOKUP(L3091,'Copy of PMD Workday Constants -'!B3090:W3776,22,false)</f>
        <v>#N/A</v>
      </c>
      <c r="N3091" s="1" t="s">
        <v>32</v>
      </c>
      <c r="O3091" s="1" t="s">
        <v>33</v>
      </c>
      <c r="P3091" s="1" t="s">
        <v>210</v>
      </c>
      <c r="Q3091" s="1" t="s">
        <v>210</v>
      </c>
      <c r="R3091" s="1" t="s">
        <v>211</v>
      </c>
      <c r="S3091" s="1" t="s">
        <v>1313</v>
      </c>
      <c r="T3091" s="1">
        <v>1.0062606E8</v>
      </c>
      <c r="W3091" s="1" t="s">
        <v>436</v>
      </c>
      <c r="X3091" s="1" t="s">
        <v>5511</v>
      </c>
    </row>
    <row r="3092">
      <c r="A3092" s="1" t="s">
        <v>9217</v>
      </c>
      <c r="B3092" s="1" t="s">
        <v>489</v>
      </c>
      <c r="C3092" s="1" t="s">
        <v>9218</v>
      </c>
      <c r="D3092" s="1" t="s">
        <v>51</v>
      </c>
      <c r="E3092" s="1" t="s">
        <v>29</v>
      </c>
      <c r="F3092" s="5">
        <v>250000.0</v>
      </c>
      <c r="G3092" s="1" t="s">
        <v>7016</v>
      </c>
      <c r="H3092" s="4">
        <v>44238.0</v>
      </c>
      <c r="I3092" s="1" t="s">
        <v>104</v>
      </c>
      <c r="K3092" s="1">
        <v>0.0</v>
      </c>
      <c r="L3092" s="1" t="s">
        <v>5718</v>
      </c>
      <c r="M3092" s="1" t="str">
        <f>VLOOKUP(L3092,'Copy of PMD Workday Constants -'!B3091:W3777,22,false)</f>
        <v>#N/A</v>
      </c>
      <c r="N3092" s="1" t="s">
        <v>32</v>
      </c>
      <c r="O3092" s="1" t="s">
        <v>33</v>
      </c>
      <c r="P3092" s="1" t="s">
        <v>173</v>
      </c>
      <c r="Q3092" s="1" t="s">
        <v>173</v>
      </c>
      <c r="R3092" s="1" t="s">
        <v>174</v>
      </c>
      <c r="S3092" s="1" t="s">
        <v>540</v>
      </c>
      <c r="T3092" s="1">
        <v>1.00641346E8</v>
      </c>
      <c r="W3092" s="1" t="s">
        <v>493</v>
      </c>
      <c r="X3092" s="1" t="s">
        <v>9219</v>
      </c>
    </row>
    <row r="3093">
      <c r="A3093" s="1" t="s">
        <v>9220</v>
      </c>
      <c r="B3093" s="1" t="s">
        <v>9221</v>
      </c>
      <c r="C3093" s="1" t="s">
        <v>9222</v>
      </c>
      <c r="D3093" s="1" t="s">
        <v>28</v>
      </c>
      <c r="E3093" s="1" t="s">
        <v>29</v>
      </c>
      <c r="F3093" s="5">
        <v>250000.0</v>
      </c>
      <c r="G3093" s="1" t="s">
        <v>7016</v>
      </c>
      <c r="H3093" s="1" t="s">
        <v>301</v>
      </c>
      <c r="I3093" s="4">
        <v>44626.0</v>
      </c>
      <c r="K3093" s="1">
        <v>0.0</v>
      </c>
      <c r="L3093" s="1" t="s">
        <v>3784</v>
      </c>
      <c r="M3093" s="1" t="str">
        <f>VLOOKUP(L3093,'Copy of PMD Workday Constants -'!B3092:W3778,22,false)</f>
        <v>#N/A</v>
      </c>
      <c r="N3093" s="1" t="s">
        <v>32</v>
      </c>
      <c r="O3093" s="1" t="s">
        <v>33</v>
      </c>
      <c r="P3093" s="1" t="s">
        <v>210</v>
      </c>
      <c r="Q3093" s="1" t="s">
        <v>210</v>
      </c>
      <c r="R3093" s="1" t="s">
        <v>211</v>
      </c>
      <c r="S3093" s="1" t="s">
        <v>416</v>
      </c>
      <c r="T3093" s="1">
        <v>1.00637651E8</v>
      </c>
      <c r="W3093" s="1" t="s">
        <v>74</v>
      </c>
      <c r="X3093" s="1" t="s">
        <v>3784</v>
      </c>
    </row>
    <row r="3094">
      <c r="A3094" s="1" t="s">
        <v>9223</v>
      </c>
      <c r="B3094" s="1" t="s">
        <v>9224</v>
      </c>
      <c r="C3094" s="1" t="s">
        <v>9225</v>
      </c>
      <c r="D3094" s="1" t="s">
        <v>28</v>
      </c>
      <c r="E3094" s="1" t="s">
        <v>29</v>
      </c>
      <c r="F3094" s="5">
        <v>250000.0</v>
      </c>
      <c r="G3094" s="1" t="s">
        <v>7016</v>
      </c>
      <c r="H3094" s="4">
        <v>44594.0</v>
      </c>
      <c r="I3094" s="1" t="s">
        <v>80</v>
      </c>
      <c r="K3094" s="1">
        <v>0.0</v>
      </c>
      <c r="L3094" s="1" t="s">
        <v>6578</v>
      </c>
      <c r="M3094" s="1" t="str">
        <f>VLOOKUP(L3094,'Copy of PMD Workday Constants -'!B3093:W3779,22,false)</f>
        <v>#N/A</v>
      </c>
      <c r="N3094" s="1" t="s">
        <v>32</v>
      </c>
      <c r="O3094" s="1" t="s">
        <v>33</v>
      </c>
      <c r="P3094" s="1" t="s">
        <v>222</v>
      </c>
      <c r="Q3094" s="1" t="s">
        <v>222</v>
      </c>
      <c r="R3094" s="1" t="s">
        <v>223</v>
      </c>
      <c r="S3094" s="1" t="s">
        <v>482</v>
      </c>
      <c r="T3094" s="1">
        <v>1.00597339E8</v>
      </c>
      <c r="W3094" s="1" t="s">
        <v>533</v>
      </c>
      <c r="X3094" s="1" t="s">
        <v>9226</v>
      </c>
    </row>
    <row r="3095">
      <c r="A3095" s="1" t="s">
        <v>9227</v>
      </c>
      <c r="B3095" s="1" t="s">
        <v>353</v>
      </c>
      <c r="C3095" s="1" t="s">
        <v>9228</v>
      </c>
      <c r="D3095" s="1" t="s">
        <v>28</v>
      </c>
      <c r="E3095" s="1" t="s">
        <v>29</v>
      </c>
      <c r="F3095" s="5">
        <v>250000.0</v>
      </c>
      <c r="G3095" s="1" t="s">
        <v>7016</v>
      </c>
      <c r="H3095" s="1" t="s">
        <v>3998</v>
      </c>
      <c r="I3095" s="1" t="s">
        <v>264</v>
      </c>
      <c r="K3095" s="1">
        <v>0.0</v>
      </c>
      <c r="L3095" s="1" t="s">
        <v>5313</v>
      </c>
      <c r="M3095" s="1" t="str">
        <f>VLOOKUP(L3095,'Copy of PMD Workday Constants -'!B3094:W3780,22,false)</f>
        <v>#N/A</v>
      </c>
      <c r="N3095" s="1" t="s">
        <v>32</v>
      </c>
      <c r="O3095" s="1" t="s">
        <v>33</v>
      </c>
      <c r="P3095" s="1" t="s">
        <v>64</v>
      </c>
      <c r="Q3095" s="1" t="s">
        <v>64</v>
      </c>
      <c r="R3095" s="1" t="s">
        <v>65</v>
      </c>
      <c r="S3095" s="1" t="s">
        <v>1496</v>
      </c>
      <c r="T3095" s="1">
        <v>1.00910509E8</v>
      </c>
      <c r="W3095" s="1" t="s">
        <v>258</v>
      </c>
      <c r="X3095" s="1" t="s">
        <v>2202</v>
      </c>
    </row>
    <row r="3096">
      <c r="A3096" s="1" t="s">
        <v>9229</v>
      </c>
      <c r="B3096" s="1" t="s">
        <v>3585</v>
      </c>
      <c r="C3096" s="1" t="s">
        <v>9230</v>
      </c>
      <c r="D3096" s="1" t="s">
        <v>28</v>
      </c>
      <c r="E3096" s="1" t="s">
        <v>29</v>
      </c>
      <c r="F3096" s="5">
        <v>250000.0</v>
      </c>
      <c r="G3096" s="1" t="s">
        <v>7016</v>
      </c>
      <c r="H3096" s="4">
        <v>44387.0</v>
      </c>
      <c r="I3096" s="1" t="s">
        <v>9231</v>
      </c>
      <c r="K3096" s="1">
        <v>0.0</v>
      </c>
      <c r="L3096" s="1" t="s">
        <v>4699</v>
      </c>
      <c r="M3096" s="1" t="str">
        <f>VLOOKUP(L3096,'Copy of PMD Workday Constants -'!B3095:W3781,22,false)</f>
        <v>#N/A</v>
      </c>
      <c r="N3096" s="1" t="s">
        <v>32</v>
      </c>
      <c r="O3096" s="1" t="s">
        <v>33</v>
      </c>
      <c r="P3096" s="1" t="s">
        <v>222</v>
      </c>
      <c r="Q3096" s="1" t="s">
        <v>222</v>
      </c>
      <c r="R3096" s="1" t="s">
        <v>223</v>
      </c>
      <c r="S3096" s="1" t="s">
        <v>646</v>
      </c>
      <c r="T3096" s="1">
        <v>1.00986592E8</v>
      </c>
      <c r="X3096" s="1" t="s">
        <v>4874</v>
      </c>
    </row>
    <row r="3097">
      <c r="A3097" s="1" t="s">
        <v>9232</v>
      </c>
      <c r="B3097" s="1" t="s">
        <v>1247</v>
      </c>
      <c r="C3097" s="1" t="s">
        <v>9233</v>
      </c>
      <c r="D3097" s="1" t="s">
        <v>28</v>
      </c>
      <c r="E3097" s="1" t="s">
        <v>29</v>
      </c>
      <c r="F3097" s="5">
        <v>250000.0</v>
      </c>
      <c r="G3097" s="1" t="s">
        <v>7016</v>
      </c>
      <c r="H3097" s="1" t="s">
        <v>427</v>
      </c>
      <c r="I3097" s="4">
        <v>44629.0</v>
      </c>
      <c r="K3097" s="1">
        <v>0.0</v>
      </c>
      <c r="L3097" s="1" t="s">
        <v>9234</v>
      </c>
      <c r="M3097" s="1" t="str">
        <f>VLOOKUP(L3097,'Copy of PMD Workday Constants -'!B3096:W3782,22,false)</f>
        <v>#N/A</v>
      </c>
      <c r="N3097" s="1" t="s">
        <v>32</v>
      </c>
      <c r="O3097" s="1" t="s">
        <v>33</v>
      </c>
      <c r="P3097" s="1" t="s">
        <v>173</v>
      </c>
      <c r="Q3097" s="1" t="s">
        <v>173</v>
      </c>
      <c r="R3097" s="1" t="s">
        <v>174</v>
      </c>
      <c r="S3097" s="1" t="s">
        <v>612</v>
      </c>
      <c r="T3097" s="1">
        <v>1.00611781E8</v>
      </c>
      <c r="W3097" s="1" t="s">
        <v>140</v>
      </c>
      <c r="X3097" s="1" t="s">
        <v>9234</v>
      </c>
    </row>
    <row r="3098">
      <c r="A3098" s="1" t="s">
        <v>9235</v>
      </c>
      <c r="B3098" s="1" t="s">
        <v>804</v>
      </c>
      <c r="C3098" s="1" t="s">
        <v>9236</v>
      </c>
      <c r="D3098" s="1" t="s">
        <v>28</v>
      </c>
      <c r="E3098" s="1" t="s">
        <v>29</v>
      </c>
      <c r="F3098" s="5">
        <v>250000.0</v>
      </c>
      <c r="G3098" s="1" t="s">
        <v>7016</v>
      </c>
      <c r="H3098" s="4">
        <v>44387.0</v>
      </c>
      <c r="I3098" s="1" t="s">
        <v>132</v>
      </c>
      <c r="K3098" s="1">
        <v>0.0</v>
      </c>
      <c r="L3098" s="1" t="s">
        <v>806</v>
      </c>
      <c r="M3098" s="1" t="str">
        <f>VLOOKUP(L3098,'Copy of PMD Workday Constants -'!B3097:W3783,22,false)</f>
        <v>#N/A</v>
      </c>
      <c r="N3098" s="1" t="s">
        <v>32</v>
      </c>
      <c r="O3098" s="1" t="s">
        <v>33</v>
      </c>
      <c r="P3098" s="1" t="s">
        <v>173</v>
      </c>
      <c r="Q3098" s="1" t="s">
        <v>173</v>
      </c>
      <c r="R3098" s="1" t="s">
        <v>174</v>
      </c>
      <c r="S3098" s="1" t="s">
        <v>612</v>
      </c>
      <c r="T3098" s="1">
        <v>1.00581784E8</v>
      </c>
      <c r="W3098" s="1" t="s">
        <v>147</v>
      </c>
      <c r="X3098" s="1" t="s">
        <v>7540</v>
      </c>
    </row>
    <row r="3099">
      <c r="A3099" s="1" t="s">
        <v>9237</v>
      </c>
      <c r="B3099" s="1" t="s">
        <v>489</v>
      </c>
      <c r="C3099" s="1" t="s">
        <v>9238</v>
      </c>
      <c r="D3099" s="1" t="s">
        <v>51</v>
      </c>
      <c r="E3099" s="1" t="s">
        <v>29</v>
      </c>
      <c r="F3099" s="5">
        <v>250000.0</v>
      </c>
      <c r="G3099" s="1" t="s">
        <v>7016</v>
      </c>
      <c r="H3099" s="1" t="s">
        <v>5241</v>
      </c>
      <c r="I3099" s="1" t="s">
        <v>1349</v>
      </c>
      <c r="K3099" s="1">
        <v>0.0</v>
      </c>
      <c r="L3099" s="1" t="s">
        <v>5718</v>
      </c>
      <c r="M3099" s="1" t="str">
        <f>VLOOKUP(L3099,'Copy of PMD Workday Constants -'!B3098:W3784,22,false)</f>
        <v>#N/A</v>
      </c>
      <c r="N3099" s="1" t="s">
        <v>32</v>
      </c>
      <c r="O3099" s="1" t="s">
        <v>33</v>
      </c>
      <c r="P3099" s="1" t="s">
        <v>173</v>
      </c>
      <c r="Q3099" s="1" t="s">
        <v>173</v>
      </c>
      <c r="R3099" s="1" t="s">
        <v>174</v>
      </c>
      <c r="S3099" s="1" t="s">
        <v>612</v>
      </c>
      <c r="T3099" s="1">
        <v>1.00641346E8</v>
      </c>
      <c r="W3099" s="1" t="s">
        <v>493</v>
      </c>
      <c r="X3099" s="1" t="s">
        <v>9239</v>
      </c>
    </row>
    <row r="3100">
      <c r="A3100" s="1" t="s">
        <v>9240</v>
      </c>
      <c r="B3100" s="1" t="s">
        <v>804</v>
      </c>
      <c r="C3100" s="1" t="s">
        <v>9241</v>
      </c>
      <c r="D3100" s="1" t="s">
        <v>28</v>
      </c>
      <c r="E3100" s="1" t="s">
        <v>29</v>
      </c>
      <c r="F3100" s="5">
        <v>250000.0</v>
      </c>
      <c r="G3100" s="1" t="s">
        <v>7016</v>
      </c>
      <c r="H3100" s="4">
        <v>44387.0</v>
      </c>
      <c r="I3100" s="1" t="s">
        <v>132</v>
      </c>
      <c r="K3100" s="1">
        <v>0.0</v>
      </c>
      <c r="L3100" s="1" t="s">
        <v>9242</v>
      </c>
      <c r="M3100" s="1" t="str">
        <f>VLOOKUP(L3100,'Copy of PMD Workday Constants -'!B3099:W3785,22,false)</f>
        <v>#N/A</v>
      </c>
      <c r="N3100" s="1" t="s">
        <v>32</v>
      </c>
      <c r="O3100" s="1" t="s">
        <v>33</v>
      </c>
      <c r="P3100" s="1" t="s">
        <v>173</v>
      </c>
      <c r="Q3100" s="1" t="s">
        <v>173</v>
      </c>
      <c r="R3100" s="1" t="s">
        <v>174</v>
      </c>
      <c r="S3100" s="1" t="s">
        <v>612</v>
      </c>
      <c r="T3100" s="1">
        <v>1.00866857E8</v>
      </c>
      <c r="W3100" s="1" t="s">
        <v>147</v>
      </c>
      <c r="X3100" s="1" t="s">
        <v>7540</v>
      </c>
    </row>
    <row r="3101">
      <c r="A3101" s="1" t="s">
        <v>9243</v>
      </c>
      <c r="B3101" s="1" t="s">
        <v>973</v>
      </c>
      <c r="C3101" s="1" t="s">
        <v>9244</v>
      </c>
      <c r="D3101" s="1" t="s">
        <v>51</v>
      </c>
      <c r="E3101" s="1" t="s">
        <v>29</v>
      </c>
      <c r="F3101" s="5">
        <v>250000.0</v>
      </c>
      <c r="G3101" s="1" t="s">
        <v>7016</v>
      </c>
      <c r="H3101" s="4">
        <v>44685.0</v>
      </c>
      <c r="I3101" s="1" t="s">
        <v>96</v>
      </c>
      <c r="K3101" s="1">
        <v>0.0</v>
      </c>
      <c r="L3101" s="1" t="s">
        <v>1505</v>
      </c>
      <c r="M3101" s="1" t="str">
        <f>VLOOKUP(L3101,'Copy of PMD Workday Constants -'!B3100:W3786,22,false)</f>
        <v>#N/A</v>
      </c>
      <c r="N3101" s="1" t="s">
        <v>32</v>
      </c>
      <c r="O3101" s="1" t="s">
        <v>33</v>
      </c>
      <c r="P3101" s="1" t="s">
        <v>112</v>
      </c>
      <c r="Q3101" s="1" t="s">
        <v>112</v>
      </c>
      <c r="R3101" s="1" t="s">
        <v>113</v>
      </c>
      <c r="S3101" s="1" t="s">
        <v>455</v>
      </c>
      <c r="T3101" s="1">
        <v>1.00651554E8</v>
      </c>
      <c r="W3101" s="1" t="s">
        <v>456</v>
      </c>
      <c r="X3101" s="1" t="s">
        <v>9122</v>
      </c>
    </row>
    <row r="3102">
      <c r="A3102" s="1" t="s">
        <v>9245</v>
      </c>
      <c r="B3102" s="1" t="s">
        <v>9246</v>
      </c>
      <c r="C3102" s="1" t="s">
        <v>9247</v>
      </c>
      <c r="D3102" s="1" t="s">
        <v>51</v>
      </c>
      <c r="E3102" s="1" t="s">
        <v>29</v>
      </c>
      <c r="F3102" s="5">
        <v>250000.0</v>
      </c>
      <c r="G3102" s="1" t="s">
        <v>7016</v>
      </c>
      <c r="H3102" s="1" t="s">
        <v>243</v>
      </c>
      <c r="I3102" s="1" t="s">
        <v>1746</v>
      </c>
      <c r="K3102" s="1">
        <v>0.0</v>
      </c>
      <c r="L3102" s="1" t="s">
        <v>3784</v>
      </c>
      <c r="M3102" s="1" t="str">
        <f>VLOOKUP(L3102,'Copy of PMD Workday Constants -'!B3101:W3787,22,false)</f>
        <v>#N/A</v>
      </c>
      <c r="N3102" s="1" t="s">
        <v>32</v>
      </c>
      <c r="O3102" s="1" t="s">
        <v>33</v>
      </c>
      <c r="P3102" s="1" t="s">
        <v>210</v>
      </c>
      <c r="Q3102" s="1" t="s">
        <v>210</v>
      </c>
      <c r="R3102" s="1" t="s">
        <v>211</v>
      </c>
      <c r="S3102" s="1" t="s">
        <v>416</v>
      </c>
      <c r="T3102" s="1">
        <v>1.00637651E8</v>
      </c>
      <c r="W3102" s="1" t="s">
        <v>56</v>
      </c>
      <c r="X3102" s="1" t="s">
        <v>3784</v>
      </c>
    </row>
    <row r="3103">
      <c r="A3103" s="1" t="s">
        <v>9248</v>
      </c>
      <c r="B3103" s="1" t="s">
        <v>1721</v>
      </c>
      <c r="C3103" s="1" t="s">
        <v>9249</v>
      </c>
      <c r="D3103" s="1" t="s">
        <v>28</v>
      </c>
      <c r="E3103" s="1" t="s">
        <v>29</v>
      </c>
      <c r="F3103" s="5">
        <v>250000.0</v>
      </c>
      <c r="G3103" s="1" t="s">
        <v>7016</v>
      </c>
      <c r="H3103" s="4">
        <v>44776.0</v>
      </c>
      <c r="I3103" s="1" t="s">
        <v>302</v>
      </c>
      <c r="K3103" s="1">
        <v>0.0</v>
      </c>
      <c r="L3103" s="1" t="s">
        <v>5650</v>
      </c>
      <c r="M3103" s="1" t="str">
        <f>VLOOKUP(L3103,'Copy of PMD Workday Constants -'!B3102:W3788,22,false)</f>
        <v>#N/A</v>
      </c>
      <c r="N3103" s="1" t="s">
        <v>32</v>
      </c>
      <c r="O3103" s="1" t="s">
        <v>33</v>
      </c>
      <c r="P3103" s="1" t="s">
        <v>34</v>
      </c>
      <c r="Q3103" s="1" t="s">
        <v>34</v>
      </c>
      <c r="R3103" s="1" t="s">
        <v>35</v>
      </c>
      <c r="S3103" s="1" t="s">
        <v>126</v>
      </c>
      <c r="T3103" s="1">
        <v>1.00597272E8</v>
      </c>
      <c r="W3103" s="1" t="s">
        <v>391</v>
      </c>
      <c r="X3103" s="1" t="s">
        <v>6482</v>
      </c>
    </row>
    <row r="3104">
      <c r="A3104" s="1" t="s">
        <v>9250</v>
      </c>
      <c r="B3104" s="1" t="s">
        <v>2172</v>
      </c>
      <c r="C3104" s="1" t="s">
        <v>9251</v>
      </c>
      <c r="D3104" s="1" t="s">
        <v>28</v>
      </c>
      <c r="E3104" s="1" t="s">
        <v>29</v>
      </c>
      <c r="F3104" s="5">
        <v>250000.0</v>
      </c>
      <c r="G3104" s="1" t="s">
        <v>7016</v>
      </c>
      <c r="H3104" s="4">
        <v>44806.0</v>
      </c>
      <c r="I3104" s="1" t="s">
        <v>80</v>
      </c>
      <c r="K3104" s="1">
        <v>0.0</v>
      </c>
      <c r="L3104" s="1" t="s">
        <v>1170</v>
      </c>
      <c r="M3104" s="1" t="str">
        <f>VLOOKUP(L3104,'Copy of PMD Workday Constants -'!B3103:W3789,22,false)</f>
        <v>#N/A</v>
      </c>
      <c r="N3104" s="1" t="s">
        <v>32</v>
      </c>
      <c r="O3104" s="1" t="s">
        <v>33</v>
      </c>
      <c r="P3104" s="1" t="s">
        <v>112</v>
      </c>
      <c r="Q3104" s="1" t="s">
        <v>112</v>
      </c>
      <c r="R3104" s="1" t="s">
        <v>113</v>
      </c>
      <c r="S3104" s="1" t="s">
        <v>1336</v>
      </c>
      <c r="T3104" s="1">
        <v>1.00595231E8</v>
      </c>
      <c r="W3104" s="1" t="s">
        <v>74</v>
      </c>
      <c r="X3104" s="1" t="s">
        <v>1170</v>
      </c>
    </row>
    <row r="3105">
      <c r="A3105" s="1" t="s">
        <v>9252</v>
      </c>
      <c r="B3105" s="1" t="s">
        <v>9253</v>
      </c>
      <c r="C3105" s="1" t="s">
        <v>9254</v>
      </c>
      <c r="D3105" s="1" t="s">
        <v>28</v>
      </c>
      <c r="E3105" s="1" t="s">
        <v>29</v>
      </c>
      <c r="F3105" s="5">
        <v>250000.0</v>
      </c>
      <c r="G3105" s="1" t="s">
        <v>7016</v>
      </c>
      <c r="H3105" s="4">
        <v>44686.0</v>
      </c>
      <c r="I3105" s="4">
        <v>44689.0</v>
      </c>
      <c r="K3105" s="1">
        <v>0.0</v>
      </c>
      <c r="L3105" s="1" t="s">
        <v>8447</v>
      </c>
      <c r="M3105" s="1" t="str">
        <f>VLOOKUP(L3105,'Copy of PMD Workday Constants -'!B3104:W3790,22,false)</f>
        <v>#N/A</v>
      </c>
      <c r="N3105" s="1" t="s">
        <v>32</v>
      </c>
      <c r="O3105" s="1" t="s">
        <v>33</v>
      </c>
      <c r="P3105" s="1" t="s">
        <v>173</v>
      </c>
      <c r="Q3105" s="1" t="s">
        <v>173</v>
      </c>
      <c r="R3105" s="1" t="s">
        <v>174</v>
      </c>
      <c r="T3105" s="1">
        <v>1.01148201E8</v>
      </c>
      <c r="W3105" s="1" t="s">
        <v>147</v>
      </c>
      <c r="X3105" s="1" t="s">
        <v>8447</v>
      </c>
    </row>
    <row r="3106">
      <c r="A3106" s="1" t="s">
        <v>9255</v>
      </c>
      <c r="B3106" s="1" t="s">
        <v>9256</v>
      </c>
      <c r="C3106" s="1" t="s">
        <v>9257</v>
      </c>
      <c r="D3106" s="1" t="s">
        <v>51</v>
      </c>
      <c r="E3106" s="1" t="s">
        <v>29</v>
      </c>
      <c r="F3106" s="5">
        <v>250000.0</v>
      </c>
      <c r="G3106" s="1" t="s">
        <v>7016</v>
      </c>
      <c r="H3106" s="4">
        <v>44567.0</v>
      </c>
      <c r="I3106" s="1" t="s">
        <v>264</v>
      </c>
      <c r="K3106" s="1">
        <v>0.0</v>
      </c>
      <c r="L3106" s="1" t="s">
        <v>228</v>
      </c>
      <c r="M3106" s="1" t="str">
        <f>VLOOKUP(L3106,'Copy of PMD Workday Constants -'!B3105:W3791,22,false)</f>
        <v>#N/A</v>
      </c>
      <c r="N3106" s="1" t="s">
        <v>32</v>
      </c>
      <c r="O3106" s="1" t="s">
        <v>33</v>
      </c>
      <c r="P3106" s="1" t="s">
        <v>64</v>
      </c>
      <c r="Q3106" s="1" t="s">
        <v>64</v>
      </c>
      <c r="R3106" s="1" t="s">
        <v>65</v>
      </c>
      <c r="S3106" s="1" t="s">
        <v>229</v>
      </c>
      <c r="T3106" s="1">
        <v>1.00650619E8</v>
      </c>
      <c r="W3106" s="1" t="s">
        <v>85</v>
      </c>
      <c r="X3106" s="1" t="s">
        <v>228</v>
      </c>
    </row>
    <row r="3107">
      <c r="A3107" s="1" t="s">
        <v>9258</v>
      </c>
      <c r="B3107" s="1" t="s">
        <v>8121</v>
      </c>
      <c r="C3107" s="1" t="s">
        <v>9259</v>
      </c>
      <c r="D3107" s="1" t="s">
        <v>51</v>
      </c>
      <c r="E3107" s="1" t="s">
        <v>29</v>
      </c>
      <c r="F3107" s="5">
        <v>250000.0</v>
      </c>
      <c r="G3107" s="1" t="s">
        <v>7016</v>
      </c>
      <c r="H3107" s="4">
        <v>44567.0</v>
      </c>
      <c r="I3107" s="4">
        <v>44601.0</v>
      </c>
      <c r="K3107" s="1">
        <v>0.0</v>
      </c>
      <c r="L3107" s="1" t="s">
        <v>228</v>
      </c>
      <c r="M3107" s="1" t="str">
        <f>VLOOKUP(L3107,'Copy of PMD Workday Constants -'!B3106:W3792,22,false)</f>
        <v>#N/A</v>
      </c>
      <c r="N3107" s="1" t="s">
        <v>32</v>
      </c>
      <c r="O3107" s="1" t="s">
        <v>33</v>
      </c>
      <c r="P3107" s="1" t="s">
        <v>64</v>
      </c>
      <c r="Q3107" s="1" t="s">
        <v>64</v>
      </c>
      <c r="R3107" s="1" t="s">
        <v>65</v>
      </c>
      <c r="S3107" s="1" t="s">
        <v>229</v>
      </c>
      <c r="T3107" s="1">
        <v>1.00650619E8</v>
      </c>
      <c r="W3107" s="1" t="s">
        <v>85</v>
      </c>
      <c r="X3107" s="1" t="s">
        <v>228</v>
      </c>
    </row>
    <row r="3108">
      <c r="A3108" s="1" t="s">
        <v>9260</v>
      </c>
      <c r="B3108" s="1" t="s">
        <v>5566</v>
      </c>
      <c r="C3108" s="1" t="s">
        <v>9261</v>
      </c>
      <c r="D3108" s="1" t="s">
        <v>28</v>
      </c>
      <c r="E3108" s="1" t="s">
        <v>29</v>
      </c>
      <c r="F3108" s="5">
        <v>250000.0</v>
      </c>
      <c r="G3108" s="1" t="s">
        <v>7016</v>
      </c>
      <c r="H3108" s="4">
        <v>44652.0</v>
      </c>
      <c r="I3108" s="1" t="s">
        <v>80</v>
      </c>
      <c r="K3108" s="1">
        <v>0.0</v>
      </c>
      <c r="L3108" s="1" t="s">
        <v>2703</v>
      </c>
      <c r="M3108" s="1" t="str">
        <f>VLOOKUP(L3108,'Copy of PMD Workday Constants -'!B3107:W3793,22,false)</f>
        <v>#N/A</v>
      </c>
      <c r="N3108" s="1" t="s">
        <v>32</v>
      </c>
      <c r="O3108" s="1" t="s">
        <v>33</v>
      </c>
      <c r="P3108" s="1" t="s">
        <v>34</v>
      </c>
      <c r="Q3108" s="1" t="s">
        <v>34</v>
      </c>
      <c r="R3108" s="1" t="s">
        <v>35</v>
      </c>
      <c r="S3108" s="1" t="s">
        <v>383</v>
      </c>
      <c r="T3108" s="1">
        <v>1.00866856E8</v>
      </c>
      <c r="W3108" s="1" t="s">
        <v>147</v>
      </c>
      <c r="X3108" s="1" t="s">
        <v>2703</v>
      </c>
    </row>
    <row r="3109">
      <c r="A3109" s="1" t="s">
        <v>9262</v>
      </c>
      <c r="B3109" s="1" t="s">
        <v>615</v>
      </c>
      <c r="C3109" s="1" t="s">
        <v>9263</v>
      </c>
      <c r="D3109" s="1" t="s">
        <v>51</v>
      </c>
      <c r="E3109" s="1" t="s">
        <v>29</v>
      </c>
      <c r="F3109" s="5">
        <v>250000.0</v>
      </c>
      <c r="G3109" s="1" t="s">
        <v>7016</v>
      </c>
      <c r="H3109" s="1" t="s">
        <v>3781</v>
      </c>
      <c r="I3109" s="1" t="s">
        <v>104</v>
      </c>
      <c r="K3109" s="1">
        <v>0.0</v>
      </c>
      <c r="L3109" s="1" t="s">
        <v>1823</v>
      </c>
      <c r="M3109" s="1" t="str">
        <f>VLOOKUP(L3109,'Copy of PMD Workday Constants -'!B3108:W3794,22,false)</f>
        <v>#N/A</v>
      </c>
      <c r="N3109" s="1" t="s">
        <v>32</v>
      </c>
      <c r="O3109" s="1" t="s">
        <v>33</v>
      </c>
      <c r="P3109" s="1" t="s">
        <v>222</v>
      </c>
      <c r="Q3109" s="1" t="s">
        <v>222</v>
      </c>
      <c r="R3109" s="1" t="s">
        <v>223</v>
      </c>
      <c r="S3109" s="1" t="s">
        <v>601</v>
      </c>
      <c r="T3109" s="1">
        <v>1.0064195E8</v>
      </c>
      <c r="W3109" s="1" t="s">
        <v>74</v>
      </c>
      <c r="X3109" s="1" t="s">
        <v>1823</v>
      </c>
    </row>
    <row r="3110">
      <c r="A3110" s="1" t="s">
        <v>9264</v>
      </c>
      <c r="B3110" s="1" t="s">
        <v>3557</v>
      </c>
      <c r="C3110" s="1" t="s">
        <v>9265</v>
      </c>
      <c r="D3110" s="1" t="s">
        <v>28</v>
      </c>
      <c r="E3110" s="1" t="s">
        <v>29</v>
      </c>
      <c r="F3110" s="5">
        <v>250000.0</v>
      </c>
      <c r="G3110" s="1" t="s">
        <v>7016</v>
      </c>
      <c r="H3110" s="4">
        <v>44775.0</v>
      </c>
      <c r="I3110" s="1" t="s">
        <v>191</v>
      </c>
      <c r="K3110" s="1">
        <v>0.0</v>
      </c>
      <c r="L3110" s="1" t="s">
        <v>1549</v>
      </c>
      <c r="M3110" s="1" t="str">
        <f>VLOOKUP(L3110,'Copy of PMD Workday Constants -'!B3109:W3795,22,false)</f>
        <v>#N/A</v>
      </c>
      <c r="N3110" s="1" t="s">
        <v>32</v>
      </c>
      <c r="O3110" s="1" t="s">
        <v>33</v>
      </c>
      <c r="P3110" s="1" t="s">
        <v>173</v>
      </c>
      <c r="Q3110" s="1" t="s">
        <v>173</v>
      </c>
      <c r="R3110" s="1" t="s">
        <v>174</v>
      </c>
      <c r="S3110" s="1" t="s">
        <v>612</v>
      </c>
      <c r="T3110" s="1">
        <v>1.00646908E8</v>
      </c>
      <c r="W3110" s="1" t="s">
        <v>140</v>
      </c>
      <c r="X3110" s="1" t="s">
        <v>9057</v>
      </c>
    </row>
    <row r="3111">
      <c r="A3111" s="1" t="s">
        <v>9266</v>
      </c>
      <c r="B3111" s="1" t="s">
        <v>2199</v>
      </c>
      <c r="C3111" s="1" t="s">
        <v>9267</v>
      </c>
      <c r="D3111" s="1" t="s">
        <v>28</v>
      </c>
      <c r="E3111" s="1" t="s">
        <v>29</v>
      </c>
      <c r="F3111" s="5">
        <v>250000.0</v>
      </c>
      <c r="G3111" s="1" t="s">
        <v>7016</v>
      </c>
      <c r="H3111" s="1" t="s">
        <v>1810</v>
      </c>
      <c r="I3111" s="1" t="s">
        <v>998</v>
      </c>
      <c r="K3111" s="1">
        <v>0.0</v>
      </c>
      <c r="L3111" s="1" t="s">
        <v>255</v>
      </c>
      <c r="M3111" s="1" t="str">
        <f>VLOOKUP(L3111,'Copy of PMD Workday Constants -'!B3110:W3796,22,false)</f>
        <v>#N/A</v>
      </c>
      <c r="N3111" s="1" t="s">
        <v>32</v>
      </c>
      <c r="O3111" s="1" t="s">
        <v>33</v>
      </c>
      <c r="P3111" s="1" t="s">
        <v>112</v>
      </c>
      <c r="Q3111" s="1" t="s">
        <v>112</v>
      </c>
      <c r="R3111" s="1" t="s">
        <v>113</v>
      </c>
      <c r="S3111" s="1" t="s">
        <v>256</v>
      </c>
      <c r="T3111" s="1">
        <v>1.00659114E8</v>
      </c>
      <c r="W3111" s="1" t="s">
        <v>258</v>
      </c>
      <c r="X3111" s="1" t="s">
        <v>359</v>
      </c>
    </row>
    <row r="3112">
      <c r="A3112" s="1" t="s">
        <v>9268</v>
      </c>
      <c r="B3112" s="1" t="s">
        <v>9269</v>
      </c>
      <c r="C3112" s="1" t="s">
        <v>9270</v>
      </c>
      <c r="D3112" s="1" t="s">
        <v>28</v>
      </c>
      <c r="E3112" s="1" t="s">
        <v>29</v>
      </c>
      <c r="F3112" s="5">
        <v>250000.0</v>
      </c>
      <c r="G3112" s="1" t="s">
        <v>7016</v>
      </c>
      <c r="H3112" s="1" t="s">
        <v>587</v>
      </c>
      <c r="I3112" s="4">
        <v>44569.0</v>
      </c>
      <c r="K3112" s="1">
        <v>0.0</v>
      </c>
      <c r="L3112" s="1" t="s">
        <v>894</v>
      </c>
      <c r="M3112" s="1" t="str">
        <f>VLOOKUP(L3112,'Copy of PMD Workday Constants -'!B3111:W3797,22,false)</f>
        <v>#N/A</v>
      </c>
      <c r="N3112" s="1" t="s">
        <v>32</v>
      </c>
      <c r="O3112" s="1" t="s">
        <v>33</v>
      </c>
      <c r="P3112" s="1" t="s">
        <v>82</v>
      </c>
      <c r="Q3112" s="1" t="s">
        <v>82</v>
      </c>
      <c r="R3112" s="1" t="s">
        <v>83</v>
      </c>
      <c r="S3112" s="1" t="s">
        <v>180</v>
      </c>
      <c r="T3112" s="1">
        <v>1.01033479E8</v>
      </c>
      <c r="W3112" s="1" t="s">
        <v>85</v>
      </c>
      <c r="X3112" s="1" t="s">
        <v>893</v>
      </c>
    </row>
    <row r="3113">
      <c r="A3113" s="1" t="s">
        <v>9271</v>
      </c>
      <c r="B3113" s="1" t="s">
        <v>787</v>
      </c>
      <c r="C3113" s="1" t="s">
        <v>9272</v>
      </c>
      <c r="D3113" s="1" t="s">
        <v>103</v>
      </c>
      <c r="E3113" s="1" t="s">
        <v>29</v>
      </c>
      <c r="F3113" s="5">
        <v>250000.0</v>
      </c>
      <c r="G3113" s="1" t="s">
        <v>7016</v>
      </c>
      <c r="H3113" s="4">
        <v>44716.0</v>
      </c>
      <c r="I3113" s="1" t="s">
        <v>816</v>
      </c>
      <c r="K3113" s="1">
        <v>0.0</v>
      </c>
      <c r="L3113" s="1" t="s">
        <v>790</v>
      </c>
      <c r="M3113" s="1" t="str">
        <f>VLOOKUP(L3113,'Copy of PMD Workday Constants -'!B3112:W3798,22,false)</f>
        <v>#N/A</v>
      </c>
      <c r="N3113" s="1" t="s">
        <v>32</v>
      </c>
      <c r="O3113" s="1" t="s">
        <v>33</v>
      </c>
      <c r="P3113" s="1" t="s">
        <v>64</v>
      </c>
      <c r="Q3113" s="1" t="s">
        <v>64</v>
      </c>
      <c r="R3113" s="1" t="s">
        <v>65</v>
      </c>
      <c r="S3113" s="1" t="s">
        <v>455</v>
      </c>
      <c r="T3113" s="1">
        <v>1.00661738E8</v>
      </c>
      <c r="W3113" s="1" t="s">
        <v>456</v>
      </c>
      <c r="X3113" s="1" t="s">
        <v>7432</v>
      </c>
    </row>
    <row r="3114">
      <c r="A3114" s="1" t="s">
        <v>9273</v>
      </c>
      <c r="B3114" s="1" t="s">
        <v>554</v>
      </c>
      <c r="C3114" s="1" t="s">
        <v>558</v>
      </c>
      <c r="D3114" s="1" t="s">
        <v>51</v>
      </c>
      <c r="E3114" s="1" t="s">
        <v>29</v>
      </c>
      <c r="F3114" s="5">
        <v>250000.0</v>
      </c>
      <c r="G3114" s="1" t="s">
        <v>7016</v>
      </c>
      <c r="H3114" s="1" t="s">
        <v>5241</v>
      </c>
      <c r="I3114" s="4">
        <v>44570.0</v>
      </c>
      <c r="K3114" s="1">
        <v>0.0</v>
      </c>
      <c r="L3114" s="1" t="s">
        <v>557</v>
      </c>
      <c r="M3114" s="1" t="str">
        <f>VLOOKUP(L3114,'Copy of PMD Workday Constants -'!B3113:W3799,22,false)</f>
        <v>#N/A</v>
      </c>
      <c r="N3114" s="1" t="s">
        <v>32</v>
      </c>
      <c r="O3114" s="1" t="s">
        <v>33</v>
      </c>
      <c r="P3114" s="1" t="s">
        <v>173</v>
      </c>
      <c r="Q3114" s="1" t="s">
        <v>173</v>
      </c>
      <c r="R3114" s="1" t="s">
        <v>174</v>
      </c>
      <c r="S3114" s="1" t="s">
        <v>153</v>
      </c>
      <c r="T3114" s="1">
        <v>1.00700761E8</v>
      </c>
      <c r="V3114" s="1" t="s">
        <v>67</v>
      </c>
      <c r="W3114" s="1" t="s">
        <v>147</v>
      </c>
      <c r="X3114" s="1" t="s">
        <v>559</v>
      </c>
    </row>
    <row r="3115">
      <c r="A3115" s="1" t="s">
        <v>9274</v>
      </c>
      <c r="B3115" s="1" t="s">
        <v>9275</v>
      </c>
      <c r="C3115" s="1" t="s">
        <v>9276</v>
      </c>
      <c r="D3115" s="1" t="s">
        <v>51</v>
      </c>
      <c r="E3115" s="1" t="s">
        <v>29</v>
      </c>
      <c r="F3115" s="5">
        <v>250000.0</v>
      </c>
      <c r="G3115" s="1" t="s">
        <v>7016</v>
      </c>
      <c r="H3115" s="1" t="s">
        <v>5268</v>
      </c>
      <c r="I3115" s="1" t="s">
        <v>43</v>
      </c>
      <c r="K3115" s="1">
        <v>0.0</v>
      </c>
      <c r="L3115" s="1" t="s">
        <v>9277</v>
      </c>
      <c r="M3115" s="1" t="str">
        <f>VLOOKUP(L3115,'Copy of PMD Workday Constants -'!B3114:W3800,22,false)</f>
        <v>#N/A</v>
      </c>
      <c r="N3115" s="1" t="s">
        <v>32</v>
      </c>
      <c r="O3115" s="1" t="s">
        <v>33</v>
      </c>
      <c r="P3115" s="1" t="s">
        <v>210</v>
      </c>
      <c r="Q3115" s="1" t="s">
        <v>210</v>
      </c>
      <c r="R3115" s="1" t="s">
        <v>211</v>
      </c>
      <c r="S3115" s="1" t="s">
        <v>416</v>
      </c>
      <c r="T3115" s="1">
        <v>1.00590659E8</v>
      </c>
      <c r="W3115" s="1" t="s">
        <v>56</v>
      </c>
      <c r="X3115" s="1" t="s">
        <v>1558</v>
      </c>
    </row>
    <row r="3116">
      <c r="A3116" s="1" t="s">
        <v>9278</v>
      </c>
      <c r="B3116" s="1" t="s">
        <v>5577</v>
      </c>
      <c r="C3116" s="1" t="s">
        <v>9279</v>
      </c>
      <c r="D3116" s="1" t="s">
        <v>28</v>
      </c>
      <c r="E3116" s="1" t="s">
        <v>29</v>
      </c>
      <c r="F3116" s="5">
        <v>250000.0</v>
      </c>
      <c r="G3116" s="1" t="s">
        <v>7016</v>
      </c>
      <c r="H3116" s="4">
        <v>44806.0</v>
      </c>
      <c r="I3116" s="1" t="s">
        <v>732</v>
      </c>
      <c r="K3116" s="1">
        <v>0.0</v>
      </c>
      <c r="L3116" s="1" t="s">
        <v>1023</v>
      </c>
      <c r="M3116" s="1" t="str">
        <f>VLOOKUP(L3116,'Copy of PMD Workday Constants -'!B3115:W3801,22,false)</f>
        <v>#N/A</v>
      </c>
      <c r="N3116" s="1" t="s">
        <v>32</v>
      </c>
      <c r="O3116" s="1" t="s">
        <v>33</v>
      </c>
      <c r="P3116" s="1" t="s">
        <v>82</v>
      </c>
      <c r="Q3116" s="1" t="s">
        <v>82</v>
      </c>
      <c r="R3116" s="1" t="s">
        <v>83</v>
      </c>
      <c r="S3116" s="1" t="s">
        <v>84</v>
      </c>
      <c r="T3116" s="1">
        <v>1.00619899E8</v>
      </c>
      <c r="W3116" s="1" t="s">
        <v>85</v>
      </c>
      <c r="X3116" s="1" t="s">
        <v>4815</v>
      </c>
    </row>
    <row r="3117">
      <c r="A3117" s="1" t="s">
        <v>9280</v>
      </c>
      <c r="B3117" s="1" t="s">
        <v>7960</v>
      </c>
      <c r="C3117" s="1" t="s">
        <v>9281</v>
      </c>
      <c r="D3117" s="1" t="s">
        <v>51</v>
      </c>
      <c r="E3117" s="1" t="s">
        <v>29</v>
      </c>
      <c r="F3117" s="5">
        <v>250000.0</v>
      </c>
      <c r="G3117" s="1" t="s">
        <v>7016</v>
      </c>
      <c r="H3117" s="4">
        <v>44567.0</v>
      </c>
      <c r="I3117" s="1" t="s">
        <v>302</v>
      </c>
      <c r="K3117" s="1">
        <v>0.0</v>
      </c>
      <c r="L3117" s="1" t="s">
        <v>228</v>
      </c>
      <c r="M3117" s="1" t="str">
        <f>VLOOKUP(L3117,'Copy of PMD Workday Constants -'!B3116:W3802,22,false)</f>
        <v>#N/A</v>
      </c>
      <c r="N3117" s="1" t="s">
        <v>32</v>
      </c>
      <c r="O3117" s="1" t="s">
        <v>33</v>
      </c>
      <c r="P3117" s="1" t="s">
        <v>64</v>
      </c>
      <c r="Q3117" s="1" t="s">
        <v>64</v>
      </c>
      <c r="R3117" s="1" t="s">
        <v>65</v>
      </c>
      <c r="S3117" s="1" t="s">
        <v>229</v>
      </c>
      <c r="T3117" s="1">
        <v>1.00650619E8</v>
      </c>
      <c r="U3117" s="1" t="s">
        <v>8599</v>
      </c>
      <c r="V3117" s="1" t="s">
        <v>46</v>
      </c>
      <c r="W3117" s="1" t="s">
        <v>85</v>
      </c>
      <c r="X3117" s="1" t="s">
        <v>228</v>
      </c>
    </row>
    <row r="3118">
      <c r="A3118" s="1" t="s">
        <v>9282</v>
      </c>
      <c r="B3118" s="1" t="s">
        <v>993</v>
      </c>
      <c r="C3118" s="1" t="s">
        <v>9283</v>
      </c>
      <c r="D3118" s="1" t="s">
        <v>28</v>
      </c>
      <c r="E3118" s="1" t="s">
        <v>29</v>
      </c>
      <c r="F3118" s="5">
        <v>250000.0</v>
      </c>
      <c r="G3118" s="1" t="s">
        <v>7016</v>
      </c>
      <c r="H3118" s="1" t="s">
        <v>2318</v>
      </c>
      <c r="I3118" s="4">
        <v>44570.0</v>
      </c>
      <c r="K3118" s="1">
        <v>0.0</v>
      </c>
      <c r="L3118" s="1" t="s">
        <v>9284</v>
      </c>
      <c r="M3118" s="1" t="str">
        <f>VLOOKUP(L3118,'Copy of PMD Workday Constants -'!B3117:W3803,22,false)</f>
        <v>#N/A</v>
      </c>
      <c r="N3118" s="1" t="s">
        <v>32</v>
      </c>
      <c r="O3118" s="1" t="s">
        <v>33</v>
      </c>
      <c r="P3118" s="1" t="s">
        <v>112</v>
      </c>
      <c r="Q3118" s="1" t="s">
        <v>112</v>
      </c>
      <c r="R3118" s="1" t="s">
        <v>113</v>
      </c>
      <c r="S3118" s="1" t="s">
        <v>134</v>
      </c>
      <c r="T3118" s="1">
        <v>1.00694304E8</v>
      </c>
      <c r="W3118" s="1" t="s">
        <v>74</v>
      </c>
      <c r="X3118" s="1" t="s">
        <v>2795</v>
      </c>
    </row>
    <row r="3119">
      <c r="A3119" s="1" t="s">
        <v>9285</v>
      </c>
      <c r="B3119" s="1" t="s">
        <v>1609</v>
      </c>
      <c r="C3119" s="1" t="s">
        <v>9286</v>
      </c>
      <c r="D3119" s="1" t="s">
        <v>28</v>
      </c>
      <c r="E3119" s="1" t="s">
        <v>29</v>
      </c>
      <c r="F3119" s="5">
        <v>250000.0</v>
      </c>
      <c r="G3119" s="1" t="s">
        <v>7016</v>
      </c>
      <c r="H3119" s="1" t="s">
        <v>1411</v>
      </c>
      <c r="I3119" s="1" t="s">
        <v>217</v>
      </c>
      <c r="K3119" s="1">
        <v>0.0</v>
      </c>
      <c r="L3119" s="1" t="s">
        <v>9287</v>
      </c>
      <c r="M3119" s="1" t="str">
        <f>VLOOKUP(L3119,'Copy of PMD Workday Constants -'!B3118:W3804,22,false)</f>
        <v>#N/A</v>
      </c>
      <c r="N3119" s="1" t="s">
        <v>32</v>
      </c>
      <c r="O3119" s="1" t="s">
        <v>33</v>
      </c>
      <c r="P3119" s="1" t="s">
        <v>222</v>
      </c>
      <c r="Q3119" s="1" t="s">
        <v>222</v>
      </c>
      <c r="R3119" s="1" t="s">
        <v>223</v>
      </c>
      <c r="S3119" s="1" t="s">
        <v>601</v>
      </c>
      <c r="T3119" s="1">
        <v>1.00603415E8</v>
      </c>
      <c r="W3119" s="1" t="s">
        <v>391</v>
      </c>
      <c r="X3119" s="1" t="s">
        <v>2297</v>
      </c>
    </row>
    <row r="3120">
      <c r="A3120" s="1" t="s">
        <v>9288</v>
      </c>
      <c r="B3120" s="1" t="s">
        <v>3154</v>
      </c>
      <c r="C3120" s="1" t="s">
        <v>9289</v>
      </c>
      <c r="D3120" s="1" t="s">
        <v>28</v>
      </c>
      <c r="E3120" s="1" t="s">
        <v>29</v>
      </c>
      <c r="F3120" s="5">
        <v>250000.0</v>
      </c>
      <c r="G3120" s="1" t="s">
        <v>7016</v>
      </c>
      <c r="H3120" s="4">
        <v>44594.0</v>
      </c>
      <c r="I3120" s="1" t="s">
        <v>810</v>
      </c>
      <c r="K3120" s="1">
        <v>0.0</v>
      </c>
      <c r="L3120" s="1" t="s">
        <v>2703</v>
      </c>
      <c r="M3120" s="1" t="str">
        <f>VLOOKUP(L3120,'Copy of PMD Workday Constants -'!B3119:W3805,22,false)</f>
        <v>#N/A</v>
      </c>
      <c r="N3120" s="1" t="s">
        <v>32</v>
      </c>
      <c r="O3120" s="1" t="s">
        <v>33</v>
      </c>
      <c r="P3120" s="1" t="s">
        <v>34</v>
      </c>
      <c r="Q3120" s="1" t="s">
        <v>34</v>
      </c>
      <c r="R3120" s="1" t="s">
        <v>35</v>
      </c>
      <c r="S3120" s="1" t="s">
        <v>612</v>
      </c>
      <c r="T3120" s="1">
        <v>1.00866856E8</v>
      </c>
      <c r="W3120" s="1" t="s">
        <v>147</v>
      </c>
      <c r="X3120" s="1" t="s">
        <v>2703</v>
      </c>
    </row>
    <row r="3121">
      <c r="A3121" s="1" t="s">
        <v>9290</v>
      </c>
      <c r="B3121" s="1" t="s">
        <v>40</v>
      </c>
      <c r="C3121" s="1" t="s">
        <v>9291</v>
      </c>
      <c r="D3121" s="1" t="s">
        <v>28</v>
      </c>
      <c r="E3121" s="1" t="s">
        <v>29</v>
      </c>
      <c r="F3121" s="5">
        <v>250000.0</v>
      </c>
      <c r="G3121" s="1" t="s">
        <v>7016</v>
      </c>
      <c r="H3121" s="1" t="s">
        <v>1715</v>
      </c>
      <c r="I3121" s="1" t="s">
        <v>661</v>
      </c>
      <c r="K3121" s="1">
        <v>0.0</v>
      </c>
      <c r="L3121" s="1" t="s">
        <v>6081</v>
      </c>
      <c r="M3121" s="1" t="str">
        <f>VLOOKUP(L3121,'Copy of PMD Workday Constants -'!B3120:W3806,22,false)</f>
        <v>#N/A</v>
      </c>
      <c r="N3121" s="1" t="s">
        <v>32</v>
      </c>
      <c r="O3121" s="1" t="s">
        <v>33</v>
      </c>
      <c r="P3121" s="1" t="s">
        <v>222</v>
      </c>
      <c r="Q3121" s="1" t="s">
        <v>222</v>
      </c>
      <c r="R3121" s="1" t="s">
        <v>223</v>
      </c>
      <c r="S3121" s="1" t="s">
        <v>646</v>
      </c>
      <c r="T3121" s="1">
        <v>1.00632043E8</v>
      </c>
      <c r="W3121" s="1" t="s">
        <v>47</v>
      </c>
      <c r="X3121" s="1" t="s">
        <v>6081</v>
      </c>
    </row>
    <row r="3122">
      <c r="A3122" s="1" t="s">
        <v>9292</v>
      </c>
      <c r="B3122" s="1" t="s">
        <v>348</v>
      </c>
      <c r="C3122" s="1" t="s">
        <v>9293</v>
      </c>
      <c r="D3122" s="1" t="s">
        <v>79</v>
      </c>
      <c r="E3122" s="1" t="s">
        <v>29</v>
      </c>
      <c r="F3122" s="5">
        <v>250000.0</v>
      </c>
      <c r="G3122" s="1" t="s">
        <v>7016</v>
      </c>
      <c r="H3122" s="1" t="s">
        <v>4892</v>
      </c>
      <c r="I3122" s="4">
        <v>44568.0</v>
      </c>
      <c r="K3122" s="1">
        <v>0.0</v>
      </c>
      <c r="L3122" s="1" t="s">
        <v>350</v>
      </c>
      <c r="M3122" s="1" t="str">
        <f>VLOOKUP(L3122,'Copy of PMD Workday Constants -'!B3121:W3807,22,false)</f>
        <v>#N/A</v>
      </c>
      <c r="N3122" s="1" t="s">
        <v>32</v>
      </c>
      <c r="O3122" s="1" t="s">
        <v>33</v>
      </c>
      <c r="P3122" s="1" t="s">
        <v>82</v>
      </c>
      <c r="Q3122" s="1" t="s">
        <v>82</v>
      </c>
      <c r="R3122" s="1" t="s">
        <v>83</v>
      </c>
      <c r="S3122" s="1" t="s">
        <v>180</v>
      </c>
      <c r="T3122" s="1">
        <v>1.00582847E8</v>
      </c>
      <c r="U3122" s="1" t="s">
        <v>9294</v>
      </c>
      <c r="V3122" s="1" t="s">
        <v>346</v>
      </c>
      <c r="W3122" s="1" t="s">
        <v>85</v>
      </c>
      <c r="X3122" s="1" t="s">
        <v>350</v>
      </c>
    </row>
    <row r="3123">
      <c r="A3123" s="1" t="s">
        <v>9295</v>
      </c>
      <c r="B3123" s="1" t="s">
        <v>2263</v>
      </c>
      <c r="C3123" s="1" t="s">
        <v>9296</v>
      </c>
      <c r="D3123" s="1" t="s">
        <v>51</v>
      </c>
      <c r="E3123" s="1" t="s">
        <v>29</v>
      </c>
      <c r="F3123" s="5">
        <v>250000.0</v>
      </c>
      <c r="G3123" s="1" t="s">
        <v>7016</v>
      </c>
      <c r="H3123" s="1" t="s">
        <v>7409</v>
      </c>
      <c r="I3123" s="1" t="s">
        <v>43</v>
      </c>
      <c r="K3123" s="1">
        <v>0.0</v>
      </c>
      <c r="L3123" s="1" t="s">
        <v>2655</v>
      </c>
      <c r="M3123" s="1" t="str">
        <f>VLOOKUP(L3123,'Copy of PMD Workday Constants -'!B3122:W3808,22,false)</f>
        <v>#N/A</v>
      </c>
      <c r="N3123" s="1" t="s">
        <v>32</v>
      </c>
      <c r="O3123" s="1" t="s">
        <v>33</v>
      </c>
      <c r="P3123" s="1" t="s">
        <v>210</v>
      </c>
      <c r="Q3123" s="1" t="s">
        <v>210</v>
      </c>
      <c r="R3123" s="1" t="s">
        <v>211</v>
      </c>
      <c r="S3123" s="1" t="s">
        <v>1313</v>
      </c>
      <c r="T3123" s="1">
        <v>1.0062606E8</v>
      </c>
      <c r="W3123" s="1" t="s">
        <v>577</v>
      </c>
      <c r="X3123" s="1" t="s">
        <v>7332</v>
      </c>
    </row>
    <row r="3124">
      <c r="A3124" s="1" t="s">
        <v>9297</v>
      </c>
      <c r="B3124" s="1" t="s">
        <v>9298</v>
      </c>
      <c r="C3124" s="1" t="s">
        <v>9299</v>
      </c>
      <c r="D3124" s="1" t="s">
        <v>103</v>
      </c>
      <c r="E3124" s="1" t="s">
        <v>29</v>
      </c>
      <c r="F3124" s="5">
        <v>250000.0</v>
      </c>
      <c r="G3124" s="1" t="s">
        <v>7016</v>
      </c>
      <c r="H3124" s="4">
        <v>44746.0</v>
      </c>
      <c r="I3124" s="4">
        <v>44626.0</v>
      </c>
      <c r="K3124" s="1">
        <v>0.0</v>
      </c>
      <c r="L3124" s="1" t="s">
        <v>2343</v>
      </c>
      <c r="M3124" s="1" t="str">
        <f>VLOOKUP(L3124,'Copy of PMD Workday Constants -'!B3123:W3809,22,false)</f>
        <v>#N/A</v>
      </c>
      <c r="N3124" s="1" t="s">
        <v>32</v>
      </c>
      <c r="O3124" s="1" t="s">
        <v>33</v>
      </c>
      <c r="P3124" s="1" t="s">
        <v>222</v>
      </c>
      <c r="Q3124" s="1" t="s">
        <v>222</v>
      </c>
      <c r="R3124" s="1" t="s">
        <v>223</v>
      </c>
      <c r="S3124" s="1" t="s">
        <v>646</v>
      </c>
      <c r="T3124" s="1">
        <v>1.00619128E8</v>
      </c>
      <c r="W3124" s="1" t="s">
        <v>74</v>
      </c>
      <c r="X3124" s="1" t="s">
        <v>6248</v>
      </c>
    </row>
    <row r="3125">
      <c r="A3125" s="1" t="s">
        <v>9300</v>
      </c>
      <c r="B3125" s="1" t="s">
        <v>6404</v>
      </c>
      <c r="C3125" s="1" t="s">
        <v>9301</v>
      </c>
      <c r="D3125" s="1" t="s">
        <v>28</v>
      </c>
      <c r="E3125" s="1" t="s">
        <v>29</v>
      </c>
      <c r="F3125" s="5">
        <v>250000.0</v>
      </c>
      <c r="G3125" s="1" t="s">
        <v>7016</v>
      </c>
      <c r="H3125" s="1" t="s">
        <v>1708</v>
      </c>
      <c r="I3125" s="1" t="s">
        <v>96</v>
      </c>
      <c r="K3125" s="1">
        <v>0.0</v>
      </c>
      <c r="L3125" s="1" t="s">
        <v>6744</v>
      </c>
      <c r="M3125" s="1" t="str">
        <f>VLOOKUP(L3125,'Copy of PMD Workday Constants -'!B3124:W3810,22,false)</f>
        <v>#N/A</v>
      </c>
      <c r="N3125" s="1" t="s">
        <v>32</v>
      </c>
      <c r="O3125" s="1" t="s">
        <v>33</v>
      </c>
      <c r="P3125" s="1" t="s">
        <v>173</v>
      </c>
      <c r="Q3125" s="1" t="s">
        <v>173</v>
      </c>
      <c r="R3125" s="1" t="s">
        <v>174</v>
      </c>
      <c r="T3125" s="1">
        <v>1.00599152E8</v>
      </c>
      <c r="W3125" s="1" t="s">
        <v>115</v>
      </c>
      <c r="X3125" s="1" t="s">
        <v>6773</v>
      </c>
    </row>
    <row r="3126">
      <c r="A3126" s="1" t="s">
        <v>9302</v>
      </c>
      <c r="B3126" s="1" t="s">
        <v>6404</v>
      </c>
      <c r="C3126" s="1" t="s">
        <v>9303</v>
      </c>
      <c r="D3126" s="1" t="s">
        <v>28</v>
      </c>
      <c r="E3126" s="1" t="s">
        <v>29</v>
      </c>
      <c r="F3126" s="5">
        <v>250000.0</v>
      </c>
      <c r="G3126" s="1" t="s">
        <v>7016</v>
      </c>
      <c r="H3126" s="1" t="s">
        <v>1708</v>
      </c>
      <c r="I3126" s="1" t="s">
        <v>1369</v>
      </c>
      <c r="K3126" s="1">
        <v>0.0</v>
      </c>
      <c r="L3126" s="1" t="s">
        <v>6744</v>
      </c>
      <c r="M3126" s="1" t="str">
        <f>VLOOKUP(L3126,'Copy of PMD Workday Constants -'!B3125:W3811,22,false)</f>
        <v>#N/A</v>
      </c>
      <c r="N3126" s="1" t="s">
        <v>32</v>
      </c>
      <c r="O3126" s="1" t="s">
        <v>33</v>
      </c>
      <c r="P3126" s="1" t="s">
        <v>173</v>
      </c>
      <c r="Q3126" s="1" t="s">
        <v>173</v>
      </c>
      <c r="R3126" s="1" t="s">
        <v>174</v>
      </c>
      <c r="T3126" s="1">
        <v>1.00599152E8</v>
      </c>
      <c r="W3126" s="1" t="s">
        <v>115</v>
      </c>
      <c r="X3126" s="1" t="s">
        <v>6773</v>
      </c>
    </row>
    <row r="3127">
      <c r="A3127" s="1" t="s">
        <v>9304</v>
      </c>
      <c r="B3127" s="1" t="s">
        <v>800</v>
      </c>
      <c r="C3127" s="1" t="s">
        <v>9305</v>
      </c>
      <c r="D3127" s="1" t="s">
        <v>51</v>
      </c>
      <c r="E3127" s="1" t="s">
        <v>29</v>
      </c>
      <c r="F3127" s="5">
        <v>250000.0</v>
      </c>
      <c r="G3127" s="1" t="s">
        <v>7016</v>
      </c>
      <c r="H3127" s="4">
        <v>44686.0</v>
      </c>
      <c r="I3127" s="1" t="s">
        <v>248</v>
      </c>
      <c r="K3127" s="1">
        <v>0.0</v>
      </c>
      <c r="L3127" s="1" t="s">
        <v>7037</v>
      </c>
      <c r="M3127" s="1" t="str">
        <f>VLOOKUP(L3127,'Copy of PMD Workday Constants -'!B3126:W3812,22,false)</f>
        <v>#N/A</v>
      </c>
      <c r="N3127" s="1" t="s">
        <v>32</v>
      </c>
      <c r="O3127" s="1" t="s">
        <v>33</v>
      </c>
      <c r="P3127" s="1" t="s">
        <v>210</v>
      </c>
      <c r="Q3127" s="1" t="s">
        <v>210</v>
      </c>
      <c r="R3127" s="1" t="s">
        <v>211</v>
      </c>
      <c r="T3127" s="1">
        <v>1.0059452E8</v>
      </c>
      <c r="W3127" s="1" t="s">
        <v>56</v>
      </c>
      <c r="X3127" s="1" t="s">
        <v>7037</v>
      </c>
    </row>
    <row r="3128">
      <c r="A3128" s="1" t="s">
        <v>9306</v>
      </c>
      <c r="B3128" s="1" t="s">
        <v>507</v>
      </c>
      <c r="C3128" s="1" t="s">
        <v>9307</v>
      </c>
      <c r="D3128" s="1" t="s">
        <v>28</v>
      </c>
      <c r="E3128" s="1" t="s">
        <v>29</v>
      </c>
      <c r="F3128" s="5">
        <v>250000.0</v>
      </c>
      <c r="G3128" s="1" t="s">
        <v>7016</v>
      </c>
      <c r="H3128" s="1" t="s">
        <v>2935</v>
      </c>
      <c r="I3128" s="1" t="s">
        <v>264</v>
      </c>
      <c r="K3128" s="1">
        <v>0.0</v>
      </c>
      <c r="L3128" s="1" t="s">
        <v>582</v>
      </c>
      <c r="M3128" s="1" t="str">
        <f>VLOOKUP(L3128,'Copy of PMD Workday Constants -'!B3127:W3813,22,false)</f>
        <v>#N/A</v>
      </c>
      <c r="N3128" s="1" t="s">
        <v>32</v>
      </c>
      <c r="O3128" s="1" t="s">
        <v>33</v>
      </c>
      <c r="P3128" s="1" t="s">
        <v>82</v>
      </c>
      <c r="Q3128" s="1" t="s">
        <v>82</v>
      </c>
      <c r="R3128" s="1" t="s">
        <v>83</v>
      </c>
      <c r="S3128" s="1" t="s">
        <v>612</v>
      </c>
      <c r="T3128" s="1">
        <v>1.00869732E8</v>
      </c>
      <c r="W3128" s="1" t="s">
        <v>456</v>
      </c>
      <c r="X3128" s="1" t="s">
        <v>4072</v>
      </c>
    </row>
    <row r="3129">
      <c r="A3129" s="1" t="s">
        <v>9308</v>
      </c>
      <c r="B3129" s="1" t="s">
        <v>6404</v>
      </c>
      <c r="C3129" s="1" t="s">
        <v>9309</v>
      </c>
      <c r="D3129" s="1" t="s">
        <v>28</v>
      </c>
      <c r="E3129" s="1" t="s">
        <v>29</v>
      </c>
      <c r="F3129" s="5">
        <v>250000.0</v>
      </c>
      <c r="G3129" s="1" t="s">
        <v>7016</v>
      </c>
      <c r="H3129" s="1" t="s">
        <v>1708</v>
      </c>
      <c r="I3129" s="1" t="s">
        <v>104</v>
      </c>
      <c r="K3129" s="1">
        <v>0.0</v>
      </c>
      <c r="L3129" s="1" t="s">
        <v>6744</v>
      </c>
      <c r="M3129" s="1" t="str">
        <f>VLOOKUP(L3129,'Copy of PMD Workday Constants -'!B3128:W3814,22,false)</f>
        <v>#N/A</v>
      </c>
      <c r="N3129" s="1" t="s">
        <v>32</v>
      </c>
      <c r="O3129" s="1" t="s">
        <v>33</v>
      </c>
      <c r="P3129" s="1" t="s">
        <v>173</v>
      </c>
      <c r="Q3129" s="1" t="s">
        <v>173</v>
      </c>
      <c r="R3129" s="1" t="s">
        <v>174</v>
      </c>
      <c r="T3129" s="1">
        <v>1.00599152E8</v>
      </c>
      <c r="W3129" s="1" t="s">
        <v>115</v>
      </c>
      <c r="X3129" s="1" t="s">
        <v>6773</v>
      </c>
    </row>
    <row r="3130">
      <c r="A3130" s="1" t="s">
        <v>9310</v>
      </c>
      <c r="B3130" s="1" t="s">
        <v>1364</v>
      </c>
      <c r="C3130" s="1" t="s">
        <v>9311</v>
      </c>
      <c r="D3130" s="1" t="s">
        <v>28</v>
      </c>
      <c r="E3130" s="1" t="s">
        <v>29</v>
      </c>
      <c r="F3130" s="5">
        <v>250000.0</v>
      </c>
      <c r="G3130" s="1" t="s">
        <v>7016</v>
      </c>
      <c r="H3130" s="4">
        <v>44594.0</v>
      </c>
      <c r="I3130" s="1" t="s">
        <v>80</v>
      </c>
      <c r="K3130" s="1">
        <v>0.0</v>
      </c>
      <c r="L3130" s="1" t="s">
        <v>866</v>
      </c>
      <c r="M3130" s="1" t="str">
        <f>VLOOKUP(L3130,'Copy of PMD Workday Constants -'!B3129:W3815,22,false)</f>
        <v>#N/A</v>
      </c>
      <c r="N3130" s="1" t="s">
        <v>32</v>
      </c>
      <c r="O3130" s="1" t="s">
        <v>33</v>
      </c>
      <c r="P3130" s="1" t="s">
        <v>82</v>
      </c>
      <c r="Q3130" s="1" t="s">
        <v>82</v>
      </c>
      <c r="R3130" s="1" t="s">
        <v>83</v>
      </c>
      <c r="S3130" s="1" t="s">
        <v>84</v>
      </c>
      <c r="T3130" s="1">
        <v>1.00941744E8</v>
      </c>
      <c r="W3130" s="1" t="s">
        <v>85</v>
      </c>
      <c r="X3130" s="1" t="s">
        <v>9312</v>
      </c>
    </row>
    <row r="3131">
      <c r="A3131" s="1" t="s">
        <v>9313</v>
      </c>
      <c r="B3131" s="1" t="s">
        <v>5577</v>
      </c>
      <c r="C3131" s="1" t="s">
        <v>9314</v>
      </c>
      <c r="D3131" s="1" t="s">
        <v>28</v>
      </c>
      <c r="E3131" s="1" t="s">
        <v>29</v>
      </c>
      <c r="F3131" s="5">
        <v>250000.0</v>
      </c>
      <c r="G3131" s="1" t="s">
        <v>7016</v>
      </c>
      <c r="H3131" s="4">
        <v>44594.0</v>
      </c>
      <c r="I3131" s="1" t="s">
        <v>80</v>
      </c>
      <c r="K3131" s="1">
        <v>0.0</v>
      </c>
      <c r="L3131" s="1" t="s">
        <v>866</v>
      </c>
      <c r="M3131" s="1" t="str">
        <f>VLOOKUP(L3131,'Copy of PMD Workday Constants -'!B3130:W3816,22,false)</f>
        <v>#N/A</v>
      </c>
      <c r="N3131" s="1" t="s">
        <v>32</v>
      </c>
      <c r="O3131" s="1" t="s">
        <v>33</v>
      </c>
      <c r="P3131" s="1" t="s">
        <v>82</v>
      </c>
      <c r="Q3131" s="1" t="s">
        <v>82</v>
      </c>
      <c r="R3131" s="1" t="s">
        <v>83</v>
      </c>
      <c r="S3131" s="1" t="s">
        <v>84</v>
      </c>
      <c r="T3131" s="1">
        <v>1.00941744E8</v>
      </c>
      <c r="W3131" s="1" t="s">
        <v>85</v>
      </c>
      <c r="X3131" s="1" t="s">
        <v>9312</v>
      </c>
    </row>
    <row r="3132">
      <c r="A3132" s="1" t="s">
        <v>9315</v>
      </c>
      <c r="B3132" s="1" t="s">
        <v>521</v>
      </c>
      <c r="C3132" s="1" t="s">
        <v>9316</v>
      </c>
      <c r="D3132" s="1" t="s">
        <v>28</v>
      </c>
      <c r="E3132" s="1" t="s">
        <v>29</v>
      </c>
      <c r="F3132" s="5">
        <v>250000.0</v>
      </c>
      <c r="G3132" s="1" t="s">
        <v>7016</v>
      </c>
      <c r="H3132" s="4">
        <v>44594.0</v>
      </c>
      <c r="I3132" s="1" t="s">
        <v>80</v>
      </c>
      <c r="K3132" s="1">
        <v>0.0</v>
      </c>
      <c r="L3132" s="1" t="s">
        <v>866</v>
      </c>
      <c r="M3132" s="1" t="str">
        <f>VLOOKUP(L3132,'Copy of PMD Workday Constants -'!B3131:W3817,22,false)</f>
        <v>#N/A</v>
      </c>
      <c r="N3132" s="1" t="s">
        <v>32</v>
      </c>
      <c r="O3132" s="1" t="s">
        <v>33</v>
      </c>
      <c r="P3132" s="1" t="s">
        <v>82</v>
      </c>
      <c r="Q3132" s="1" t="s">
        <v>82</v>
      </c>
      <c r="R3132" s="1" t="s">
        <v>83</v>
      </c>
      <c r="S3132" s="1" t="s">
        <v>84</v>
      </c>
      <c r="T3132" s="1">
        <v>1.00941744E8</v>
      </c>
      <c r="W3132" s="1" t="s">
        <v>85</v>
      </c>
      <c r="X3132" s="1" t="s">
        <v>9312</v>
      </c>
    </row>
    <row r="3133">
      <c r="A3133" s="1" t="s">
        <v>9317</v>
      </c>
      <c r="B3133" s="1" t="s">
        <v>3885</v>
      </c>
      <c r="C3133" s="1" t="s">
        <v>9318</v>
      </c>
      <c r="D3133" s="1" t="s">
        <v>28</v>
      </c>
      <c r="E3133" s="1" t="s">
        <v>29</v>
      </c>
      <c r="F3133" s="5">
        <v>250000.0</v>
      </c>
      <c r="G3133" s="1" t="s">
        <v>7016</v>
      </c>
      <c r="H3133" s="1" t="s">
        <v>480</v>
      </c>
      <c r="I3133" s="1" t="s">
        <v>152</v>
      </c>
      <c r="K3133" s="1">
        <v>0.0</v>
      </c>
      <c r="L3133" s="1" t="s">
        <v>532</v>
      </c>
      <c r="M3133" s="1" t="str">
        <f>VLOOKUP(L3133,'Copy of PMD Workday Constants -'!B3132:W3818,22,false)</f>
        <v>#N/A</v>
      </c>
      <c r="N3133" s="1" t="s">
        <v>32</v>
      </c>
      <c r="O3133" s="1" t="s">
        <v>33</v>
      </c>
      <c r="P3133" s="1" t="s">
        <v>112</v>
      </c>
      <c r="Q3133" s="1" t="s">
        <v>112</v>
      </c>
      <c r="R3133" s="1" t="s">
        <v>113</v>
      </c>
      <c r="S3133" s="1" t="s">
        <v>1336</v>
      </c>
      <c r="T3133" s="1">
        <v>1.00646702E8</v>
      </c>
      <c r="W3133" s="1" t="s">
        <v>533</v>
      </c>
      <c r="X3133" s="1" t="s">
        <v>7385</v>
      </c>
    </row>
    <row r="3134">
      <c r="A3134" s="1" t="s">
        <v>9319</v>
      </c>
      <c r="B3134" s="1" t="s">
        <v>913</v>
      </c>
      <c r="C3134" s="1" t="s">
        <v>9320</v>
      </c>
      <c r="D3134" s="1" t="s">
        <v>28</v>
      </c>
      <c r="E3134" s="1" t="s">
        <v>29</v>
      </c>
      <c r="F3134" s="5">
        <v>250000.0</v>
      </c>
      <c r="G3134" s="1" t="s">
        <v>7016</v>
      </c>
      <c r="H3134" s="4">
        <v>44594.0</v>
      </c>
      <c r="I3134" s="1" t="s">
        <v>1528</v>
      </c>
      <c r="K3134" s="1">
        <v>0.0</v>
      </c>
      <c r="L3134" s="1" t="s">
        <v>3623</v>
      </c>
      <c r="M3134" s="1" t="str">
        <f>VLOOKUP(L3134,'Copy of PMD Workday Constants -'!B3133:W3819,22,false)</f>
        <v>#N/A</v>
      </c>
      <c r="N3134" s="1" t="s">
        <v>32</v>
      </c>
      <c r="O3134" s="1" t="s">
        <v>33</v>
      </c>
      <c r="P3134" s="1" t="s">
        <v>82</v>
      </c>
      <c r="Q3134" s="1" t="s">
        <v>82</v>
      </c>
      <c r="R3134" s="1" t="s">
        <v>83</v>
      </c>
      <c r="S3134" s="1" t="s">
        <v>84</v>
      </c>
      <c r="T3134" s="1">
        <v>1.00929557E8</v>
      </c>
      <c r="W3134" s="1" t="s">
        <v>85</v>
      </c>
      <c r="X3134" s="1" t="s">
        <v>9312</v>
      </c>
    </row>
    <row r="3135">
      <c r="A3135" s="1" t="s">
        <v>9321</v>
      </c>
      <c r="B3135" s="1" t="s">
        <v>2670</v>
      </c>
      <c r="C3135" s="1" t="s">
        <v>9322</v>
      </c>
      <c r="D3135" s="1" t="s">
        <v>28</v>
      </c>
      <c r="E3135" s="1" t="s">
        <v>29</v>
      </c>
      <c r="F3135" s="5">
        <v>250000.0</v>
      </c>
      <c r="G3135" s="1" t="s">
        <v>7016</v>
      </c>
      <c r="H3135" s="4">
        <v>44566.0</v>
      </c>
      <c r="I3135" s="1" t="s">
        <v>302</v>
      </c>
      <c r="K3135" s="1">
        <v>0.0</v>
      </c>
      <c r="L3135" s="1" t="s">
        <v>8418</v>
      </c>
      <c r="M3135" s="1" t="str">
        <f>VLOOKUP(L3135,'Copy of PMD Workday Constants -'!B3134:W3820,22,false)</f>
        <v>#N/A</v>
      </c>
      <c r="N3135" s="1" t="s">
        <v>32</v>
      </c>
      <c r="O3135" s="1" t="s">
        <v>33</v>
      </c>
      <c r="P3135" s="1" t="s">
        <v>64</v>
      </c>
      <c r="Q3135" s="1" t="s">
        <v>64</v>
      </c>
      <c r="R3135" s="1" t="s">
        <v>65</v>
      </c>
      <c r="T3135" s="1">
        <v>1.01238292E8</v>
      </c>
      <c r="W3135" s="1" t="s">
        <v>493</v>
      </c>
      <c r="X3135" s="1" t="s">
        <v>8418</v>
      </c>
    </row>
    <row r="3136">
      <c r="A3136" s="1" t="s">
        <v>9323</v>
      </c>
      <c r="B3136" s="1" t="s">
        <v>913</v>
      </c>
      <c r="C3136" s="1" t="s">
        <v>9324</v>
      </c>
      <c r="D3136" s="1" t="s">
        <v>28</v>
      </c>
      <c r="E3136" s="1" t="s">
        <v>29</v>
      </c>
      <c r="F3136" s="5">
        <v>250000.0</v>
      </c>
      <c r="G3136" s="1" t="s">
        <v>7016</v>
      </c>
      <c r="H3136" s="4">
        <v>44594.0</v>
      </c>
      <c r="I3136" s="1" t="s">
        <v>80</v>
      </c>
      <c r="K3136" s="1">
        <v>0.0</v>
      </c>
      <c r="L3136" s="1" t="s">
        <v>866</v>
      </c>
      <c r="M3136" s="1" t="str">
        <f>VLOOKUP(L3136,'Copy of PMD Workday Constants -'!B3135:W3821,22,false)</f>
        <v>#N/A</v>
      </c>
      <c r="N3136" s="1" t="s">
        <v>32</v>
      </c>
      <c r="O3136" s="1" t="s">
        <v>33</v>
      </c>
      <c r="P3136" s="1" t="s">
        <v>82</v>
      </c>
      <c r="Q3136" s="1" t="s">
        <v>82</v>
      </c>
      <c r="R3136" s="1" t="s">
        <v>83</v>
      </c>
      <c r="S3136" s="1" t="s">
        <v>84</v>
      </c>
      <c r="T3136" s="1">
        <v>1.00941744E8</v>
      </c>
      <c r="W3136" s="1" t="s">
        <v>85</v>
      </c>
      <c r="X3136" s="1" t="s">
        <v>9312</v>
      </c>
    </row>
    <row r="3137">
      <c r="A3137" s="1" t="s">
        <v>9325</v>
      </c>
      <c r="B3137" s="1" t="s">
        <v>5577</v>
      </c>
      <c r="C3137" s="1" t="s">
        <v>9326</v>
      </c>
      <c r="D3137" s="1" t="s">
        <v>28</v>
      </c>
      <c r="E3137" s="1" t="s">
        <v>29</v>
      </c>
      <c r="F3137" s="5">
        <v>250000.0</v>
      </c>
      <c r="G3137" s="1" t="s">
        <v>7016</v>
      </c>
      <c r="H3137" s="4">
        <v>44594.0</v>
      </c>
      <c r="I3137" s="1" t="s">
        <v>302</v>
      </c>
      <c r="K3137" s="1">
        <v>0.0</v>
      </c>
      <c r="L3137" s="1" t="s">
        <v>3623</v>
      </c>
      <c r="M3137" s="1" t="str">
        <f>VLOOKUP(L3137,'Copy of PMD Workday Constants -'!B3136:W3822,22,false)</f>
        <v>#N/A</v>
      </c>
      <c r="N3137" s="1" t="s">
        <v>32</v>
      </c>
      <c r="O3137" s="1" t="s">
        <v>33</v>
      </c>
      <c r="P3137" s="1" t="s">
        <v>82</v>
      </c>
      <c r="Q3137" s="1" t="s">
        <v>82</v>
      </c>
      <c r="R3137" s="1" t="s">
        <v>83</v>
      </c>
      <c r="S3137" s="1" t="s">
        <v>84</v>
      </c>
      <c r="T3137" s="1">
        <v>1.00929557E8</v>
      </c>
      <c r="W3137" s="1" t="s">
        <v>85</v>
      </c>
      <c r="X3137" s="1" t="s">
        <v>9312</v>
      </c>
    </row>
    <row r="3138">
      <c r="A3138" s="1" t="s">
        <v>9327</v>
      </c>
      <c r="B3138" s="1" t="s">
        <v>3973</v>
      </c>
      <c r="C3138" s="1" t="s">
        <v>9328</v>
      </c>
      <c r="D3138" s="1" t="s">
        <v>103</v>
      </c>
      <c r="E3138" s="1" t="s">
        <v>29</v>
      </c>
      <c r="F3138" s="5">
        <v>250000.0</v>
      </c>
      <c r="G3138" s="1" t="s">
        <v>7016</v>
      </c>
      <c r="H3138" s="1" t="s">
        <v>52</v>
      </c>
      <c r="I3138" s="4">
        <v>44840.0</v>
      </c>
      <c r="K3138" s="1">
        <v>0.0</v>
      </c>
      <c r="L3138" s="1" t="s">
        <v>474</v>
      </c>
      <c r="M3138" s="1" t="str">
        <f>VLOOKUP(L3138,'Copy of PMD Workday Constants -'!B3137:W3823,22,false)</f>
        <v>#N/A</v>
      </c>
      <c r="N3138" s="1" t="s">
        <v>32</v>
      </c>
      <c r="O3138" s="1" t="s">
        <v>33</v>
      </c>
      <c r="P3138" s="1" t="s">
        <v>64</v>
      </c>
      <c r="Q3138" s="1" t="s">
        <v>64</v>
      </c>
      <c r="R3138" s="1" t="s">
        <v>65</v>
      </c>
      <c r="T3138" s="1">
        <v>1.00660049E8</v>
      </c>
      <c r="W3138" s="1" t="s">
        <v>56</v>
      </c>
      <c r="X3138" s="1" t="s">
        <v>3013</v>
      </c>
    </row>
    <row r="3139">
      <c r="A3139" s="1" t="s">
        <v>9329</v>
      </c>
      <c r="B3139" s="1" t="s">
        <v>3270</v>
      </c>
      <c r="C3139" s="1" t="s">
        <v>9330</v>
      </c>
      <c r="D3139" s="1" t="s">
        <v>51</v>
      </c>
      <c r="E3139" s="1" t="s">
        <v>29</v>
      </c>
      <c r="F3139" s="5">
        <v>250000.0</v>
      </c>
      <c r="G3139" s="1" t="s">
        <v>7016</v>
      </c>
      <c r="H3139" s="1" t="s">
        <v>3034</v>
      </c>
      <c r="I3139" s="1" t="s">
        <v>302</v>
      </c>
      <c r="K3139" s="1">
        <v>0.0</v>
      </c>
      <c r="L3139" s="1" t="s">
        <v>1278</v>
      </c>
      <c r="M3139" s="1" t="str">
        <f>VLOOKUP(L3139,'Copy of PMD Workday Constants -'!B3138:W3824,22,false)</f>
        <v>#N/A</v>
      </c>
      <c r="N3139" s="1" t="s">
        <v>32</v>
      </c>
      <c r="O3139" s="1" t="s">
        <v>33</v>
      </c>
      <c r="P3139" s="1" t="s">
        <v>112</v>
      </c>
      <c r="Q3139" s="1" t="s">
        <v>112</v>
      </c>
      <c r="R3139" s="1" t="s">
        <v>113</v>
      </c>
      <c r="T3139" s="1">
        <v>1.00626753E8</v>
      </c>
      <c r="W3139" s="1" t="s">
        <v>74</v>
      </c>
      <c r="X3139" s="1" t="s">
        <v>3862</v>
      </c>
    </row>
    <row r="3140">
      <c r="A3140" s="1" t="s">
        <v>9331</v>
      </c>
      <c r="B3140" s="1" t="s">
        <v>70</v>
      </c>
      <c r="C3140" s="1" t="s">
        <v>9332</v>
      </c>
      <c r="D3140" s="1" t="s">
        <v>28</v>
      </c>
      <c r="E3140" s="1" t="s">
        <v>29</v>
      </c>
      <c r="F3140" s="5">
        <v>250000.0</v>
      </c>
      <c r="G3140" s="1" t="s">
        <v>7016</v>
      </c>
      <c r="H3140" s="1" t="s">
        <v>9333</v>
      </c>
      <c r="I3140" s="1" t="s">
        <v>9334</v>
      </c>
      <c r="K3140" s="1">
        <v>0.0</v>
      </c>
      <c r="L3140" s="1" t="s">
        <v>2042</v>
      </c>
      <c r="M3140" s="1" t="str">
        <f>VLOOKUP(L3140,'Copy of PMD Workday Constants -'!B3139:W3825,22,false)</f>
        <v>#N/A</v>
      </c>
      <c r="N3140" s="1" t="s">
        <v>32</v>
      </c>
      <c r="O3140" s="1" t="s">
        <v>33</v>
      </c>
      <c r="P3140" s="1" t="s">
        <v>34</v>
      </c>
      <c r="Q3140" s="1" t="s">
        <v>34</v>
      </c>
      <c r="R3140" s="1" t="s">
        <v>35</v>
      </c>
      <c r="S3140" s="1" t="s">
        <v>126</v>
      </c>
      <c r="T3140" s="1">
        <v>1.00611284E8</v>
      </c>
      <c r="W3140" s="1" t="s">
        <v>74</v>
      </c>
      <c r="X3140" s="1" t="s">
        <v>2042</v>
      </c>
    </row>
    <row r="3141">
      <c r="A3141" s="1" t="s">
        <v>9335</v>
      </c>
      <c r="B3141" s="1" t="s">
        <v>1149</v>
      </c>
      <c r="C3141" s="1" t="s">
        <v>9336</v>
      </c>
      <c r="D3141" s="1" t="s">
        <v>79</v>
      </c>
      <c r="E3141" s="1" t="s">
        <v>29</v>
      </c>
      <c r="F3141" s="5">
        <v>250000.0</v>
      </c>
      <c r="G3141" s="1" t="s">
        <v>7016</v>
      </c>
      <c r="H3141" s="4">
        <v>44839.0</v>
      </c>
      <c r="I3141" s="4">
        <v>44809.0</v>
      </c>
      <c r="K3141" s="1">
        <v>0.0</v>
      </c>
      <c r="L3141" s="1" t="s">
        <v>9337</v>
      </c>
      <c r="M3141" s="1" t="str">
        <f>VLOOKUP(L3141,'Copy of PMD Workday Constants -'!B3140:W3826,22,false)</f>
        <v>#N/A</v>
      </c>
      <c r="N3141" s="1" t="s">
        <v>32</v>
      </c>
      <c r="O3141" s="1" t="s">
        <v>33</v>
      </c>
      <c r="P3141" s="1" t="s">
        <v>173</v>
      </c>
      <c r="Q3141" s="1" t="s">
        <v>173</v>
      </c>
      <c r="R3141" s="1" t="s">
        <v>174</v>
      </c>
      <c r="T3141" s="1">
        <v>1.01195036E8</v>
      </c>
      <c r="W3141" s="1" t="s">
        <v>115</v>
      </c>
      <c r="X3141" s="1" t="s">
        <v>9337</v>
      </c>
    </row>
    <row r="3142">
      <c r="A3142" s="1" t="s">
        <v>9338</v>
      </c>
      <c r="B3142" s="1" t="s">
        <v>117</v>
      </c>
      <c r="C3142" s="1" t="s">
        <v>9339</v>
      </c>
      <c r="D3142" s="1" t="s">
        <v>51</v>
      </c>
      <c r="E3142" s="1" t="s">
        <v>29</v>
      </c>
      <c r="F3142" s="5">
        <v>250000.0</v>
      </c>
      <c r="G3142" s="1" t="s">
        <v>7016</v>
      </c>
      <c r="H3142" s="1" t="s">
        <v>1469</v>
      </c>
      <c r="I3142" s="1" t="s">
        <v>80</v>
      </c>
      <c r="K3142" s="1">
        <v>0.0</v>
      </c>
      <c r="L3142" s="1" t="s">
        <v>3333</v>
      </c>
      <c r="M3142" s="1" t="str">
        <f>VLOOKUP(L3142,'Copy of PMD Workday Constants -'!B3141:W3827,22,false)</f>
        <v>#N/A</v>
      </c>
      <c r="N3142" s="1" t="s">
        <v>32</v>
      </c>
      <c r="O3142" s="1" t="s">
        <v>33</v>
      </c>
      <c r="P3142" s="1" t="s">
        <v>210</v>
      </c>
      <c r="Q3142" s="1" t="s">
        <v>210</v>
      </c>
      <c r="R3142" s="1" t="s">
        <v>211</v>
      </c>
      <c r="S3142" s="1" t="s">
        <v>212</v>
      </c>
      <c r="T3142" s="1">
        <v>1.00636461E8</v>
      </c>
      <c r="W3142" s="1" t="s">
        <v>56</v>
      </c>
      <c r="X3142" s="1" t="s">
        <v>3333</v>
      </c>
    </row>
    <row r="3143">
      <c r="A3143" s="1" t="s">
        <v>9340</v>
      </c>
      <c r="B3143" s="1" t="s">
        <v>744</v>
      </c>
      <c r="C3143" s="1" t="s">
        <v>9341</v>
      </c>
      <c r="D3143" s="1" t="s">
        <v>103</v>
      </c>
      <c r="E3143" s="1" t="s">
        <v>29</v>
      </c>
      <c r="F3143" s="5">
        <v>250000.0</v>
      </c>
      <c r="G3143" s="1" t="s">
        <v>7016</v>
      </c>
      <c r="H3143" s="1" t="s">
        <v>3673</v>
      </c>
      <c r="I3143" s="4">
        <v>44689.0</v>
      </c>
      <c r="K3143" s="1">
        <v>0.0</v>
      </c>
      <c r="L3143" s="1" t="s">
        <v>3986</v>
      </c>
      <c r="M3143" s="1" t="str">
        <f>VLOOKUP(L3143,'Copy of PMD Workday Constants -'!B3142:W3828,22,false)</f>
        <v>#N/A</v>
      </c>
      <c r="N3143" s="1" t="s">
        <v>32</v>
      </c>
      <c r="O3143" s="1" t="s">
        <v>33</v>
      </c>
      <c r="P3143" s="1" t="s">
        <v>222</v>
      </c>
      <c r="Q3143" s="1" t="s">
        <v>222</v>
      </c>
      <c r="R3143" s="1" t="s">
        <v>223</v>
      </c>
      <c r="S3143" s="1" t="s">
        <v>601</v>
      </c>
      <c r="T3143" s="1">
        <v>1.00605616E8</v>
      </c>
      <c r="W3143" s="1" t="s">
        <v>258</v>
      </c>
      <c r="X3143" s="1" t="s">
        <v>9342</v>
      </c>
    </row>
    <row r="3144">
      <c r="A3144" s="1" t="s">
        <v>9343</v>
      </c>
      <c r="B3144" s="1" t="s">
        <v>489</v>
      </c>
      <c r="C3144" s="1" t="s">
        <v>9344</v>
      </c>
      <c r="D3144" s="1" t="s">
        <v>51</v>
      </c>
      <c r="E3144" s="1" t="s">
        <v>29</v>
      </c>
      <c r="F3144" s="5">
        <v>250000.0</v>
      </c>
      <c r="G3144" s="1" t="s">
        <v>7016</v>
      </c>
      <c r="H3144" s="4">
        <v>44357.0</v>
      </c>
      <c r="I3144" s="1" t="s">
        <v>865</v>
      </c>
      <c r="K3144" s="1">
        <v>0.0</v>
      </c>
      <c r="L3144" s="1" t="s">
        <v>5718</v>
      </c>
      <c r="M3144" s="1" t="str">
        <f>VLOOKUP(L3144,'Copy of PMD Workday Constants -'!B3143:W3829,22,false)</f>
        <v>#N/A</v>
      </c>
      <c r="N3144" s="1" t="s">
        <v>32</v>
      </c>
      <c r="O3144" s="1" t="s">
        <v>33</v>
      </c>
      <c r="P3144" s="1" t="s">
        <v>173</v>
      </c>
      <c r="Q3144" s="1" t="s">
        <v>173</v>
      </c>
      <c r="R3144" s="1" t="s">
        <v>174</v>
      </c>
      <c r="T3144" s="1">
        <v>1.00641346E8</v>
      </c>
      <c r="W3144" s="1" t="s">
        <v>493</v>
      </c>
      <c r="X3144" s="1" t="s">
        <v>9345</v>
      </c>
    </row>
    <row r="3145">
      <c r="A3145" s="1" t="s">
        <v>9346</v>
      </c>
      <c r="B3145" s="1" t="s">
        <v>70</v>
      </c>
      <c r="C3145" s="1" t="s">
        <v>9347</v>
      </c>
      <c r="D3145" s="1" t="s">
        <v>51</v>
      </c>
      <c r="E3145" s="1" t="s">
        <v>29</v>
      </c>
      <c r="F3145" s="5">
        <v>250000.0</v>
      </c>
      <c r="G3145" s="1" t="s">
        <v>7016</v>
      </c>
      <c r="H3145" s="4">
        <v>44779.0</v>
      </c>
      <c r="I3145" s="1" t="s">
        <v>104</v>
      </c>
      <c r="K3145" s="1">
        <v>0.0</v>
      </c>
      <c r="L3145" s="1" t="s">
        <v>244</v>
      </c>
      <c r="M3145" s="1" t="str">
        <f>VLOOKUP(L3145,'Copy of PMD Workday Constants -'!B3144:W3830,22,false)</f>
        <v>#N/A</v>
      </c>
      <c r="N3145" s="1" t="s">
        <v>32</v>
      </c>
      <c r="O3145" s="1" t="s">
        <v>33</v>
      </c>
      <c r="P3145" s="1" t="s">
        <v>34</v>
      </c>
      <c r="Q3145" s="1" t="s">
        <v>34</v>
      </c>
      <c r="R3145" s="1" t="s">
        <v>35</v>
      </c>
      <c r="T3145" s="1">
        <v>1.00617853E8</v>
      </c>
      <c r="W3145" s="1" t="s">
        <v>74</v>
      </c>
      <c r="X3145" s="1" t="s">
        <v>244</v>
      </c>
    </row>
    <row r="3146">
      <c r="A3146" s="1" t="s">
        <v>9348</v>
      </c>
      <c r="B3146" s="1" t="s">
        <v>1062</v>
      </c>
      <c r="C3146" s="1" t="s">
        <v>9349</v>
      </c>
      <c r="D3146" s="1" t="s">
        <v>51</v>
      </c>
      <c r="E3146" s="1" t="s">
        <v>29</v>
      </c>
      <c r="F3146" s="5">
        <v>250000.0</v>
      </c>
      <c r="G3146" s="1" t="s">
        <v>7016</v>
      </c>
      <c r="H3146" s="1" t="s">
        <v>727</v>
      </c>
      <c r="I3146" s="4">
        <v>44780.0</v>
      </c>
      <c r="K3146" s="1">
        <v>0.0</v>
      </c>
      <c r="L3146" s="1" t="s">
        <v>4873</v>
      </c>
      <c r="M3146" s="1" t="str">
        <f>VLOOKUP(L3146,'Copy of PMD Workday Constants -'!B3145:W3831,22,false)</f>
        <v>#N/A</v>
      </c>
      <c r="N3146" s="1" t="s">
        <v>32</v>
      </c>
      <c r="O3146" s="1" t="s">
        <v>33</v>
      </c>
      <c r="P3146" s="1" t="s">
        <v>34</v>
      </c>
      <c r="Q3146" s="1" t="s">
        <v>34</v>
      </c>
      <c r="R3146" s="1" t="s">
        <v>35</v>
      </c>
      <c r="S3146" s="1" t="s">
        <v>540</v>
      </c>
      <c r="T3146" s="1">
        <v>1.00587881E8</v>
      </c>
      <c r="W3146" s="1" t="s">
        <v>493</v>
      </c>
      <c r="X3146" s="1" t="s">
        <v>9234</v>
      </c>
    </row>
    <row r="3147">
      <c r="A3147" s="1" t="s">
        <v>9350</v>
      </c>
      <c r="B3147" s="1" t="s">
        <v>9351</v>
      </c>
      <c r="C3147" s="1" t="s">
        <v>9352</v>
      </c>
      <c r="D3147" s="1" t="s">
        <v>51</v>
      </c>
      <c r="E3147" s="1" t="s">
        <v>29</v>
      </c>
      <c r="F3147" s="5">
        <v>250000.0</v>
      </c>
      <c r="G3147" s="1" t="s">
        <v>7016</v>
      </c>
      <c r="H3147" s="1" t="s">
        <v>1708</v>
      </c>
      <c r="I3147" s="1" t="s">
        <v>104</v>
      </c>
      <c r="K3147" s="1">
        <v>0.0</v>
      </c>
      <c r="L3147" s="1" t="s">
        <v>5568</v>
      </c>
      <c r="M3147" s="1" t="str">
        <f>VLOOKUP(L3147,'Copy of PMD Workday Constants -'!B3146:W3832,22,false)</f>
        <v>#N/A</v>
      </c>
      <c r="N3147" s="1" t="s">
        <v>32</v>
      </c>
      <c r="O3147" s="1" t="s">
        <v>33</v>
      </c>
      <c r="P3147" s="1" t="s">
        <v>5253</v>
      </c>
      <c r="Q3147" s="1" t="s">
        <v>5253</v>
      </c>
      <c r="R3147" s="1" t="s">
        <v>65</v>
      </c>
      <c r="T3147" s="1">
        <v>1.00591095E8</v>
      </c>
      <c r="W3147" s="1" t="s">
        <v>287</v>
      </c>
      <c r="X3147" s="1" t="s">
        <v>5569</v>
      </c>
    </row>
    <row r="3148">
      <c r="A3148" s="1" t="s">
        <v>9353</v>
      </c>
      <c r="B3148" s="1" t="s">
        <v>1928</v>
      </c>
      <c r="C3148" s="1" t="s">
        <v>9354</v>
      </c>
      <c r="D3148" s="1" t="s">
        <v>103</v>
      </c>
      <c r="E3148" s="1" t="s">
        <v>29</v>
      </c>
      <c r="F3148" s="5">
        <v>250000.0</v>
      </c>
      <c r="G3148" s="1" t="s">
        <v>7016</v>
      </c>
      <c r="H3148" s="1" t="s">
        <v>3034</v>
      </c>
      <c r="I3148" s="1" t="s">
        <v>732</v>
      </c>
      <c r="K3148" s="1">
        <v>0.0</v>
      </c>
      <c r="L3148" s="1" t="s">
        <v>7276</v>
      </c>
      <c r="M3148" s="1" t="str">
        <f>VLOOKUP(L3148,'Copy of PMD Workday Constants -'!B3147:W3833,22,false)</f>
        <v>#N/A</v>
      </c>
      <c r="N3148" s="1" t="s">
        <v>32</v>
      </c>
      <c r="O3148" s="1" t="s">
        <v>33</v>
      </c>
      <c r="P3148" s="1" t="s">
        <v>64</v>
      </c>
      <c r="Q3148" s="1" t="s">
        <v>64</v>
      </c>
      <c r="R3148" s="1" t="s">
        <v>65</v>
      </c>
      <c r="S3148" s="1" t="s">
        <v>1336</v>
      </c>
      <c r="T3148" s="1">
        <v>1.00587219E8</v>
      </c>
      <c r="W3148" s="1" t="s">
        <v>147</v>
      </c>
      <c r="X3148" s="1" t="s">
        <v>9355</v>
      </c>
    </row>
    <row r="3149">
      <c r="A3149" s="1" t="s">
        <v>9356</v>
      </c>
      <c r="B3149" s="1" t="s">
        <v>2641</v>
      </c>
      <c r="C3149" s="1" t="s">
        <v>9357</v>
      </c>
      <c r="D3149" s="1" t="s">
        <v>28</v>
      </c>
      <c r="E3149" s="1" t="s">
        <v>29</v>
      </c>
      <c r="F3149" s="5">
        <v>250000.0</v>
      </c>
      <c r="G3149" s="1" t="s">
        <v>7016</v>
      </c>
      <c r="H3149" s="1" t="s">
        <v>2770</v>
      </c>
      <c r="I3149" s="1" t="s">
        <v>302</v>
      </c>
      <c r="K3149" s="1">
        <v>0.0</v>
      </c>
      <c r="L3149" s="1" t="s">
        <v>2154</v>
      </c>
      <c r="M3149" s="1" t="str">
        <f>VLOOKUP(L3149,'Copy of PMD Workday Constants -'!B3148:W3834,22,false)</f>
        <v>#N/A</v>
      </c>
      <c r="N3149" s="1" t="s">
        <v>32</v>
      </c>
      <c r="O3149" s="1" t="s">
        <v>33</v>
      </c>
      <c r="P3149" s="1" t="s">
        <v>173</v>
      </c>
      <c r="Q3149" s="1" t="s">
        <v>173</v>
      </c>
      <c r="R3149" s="1" t="s">
        <v>174</v>
      </c>
      <c r="S3149" s="1" t="s">
        <v>612</v>
      </c>
      <c r="T3149" s="1">
        <v>1.00639477E8</v>
      </c>
      <c r="W3149" s="1" t="s">
        <v>456</v>
      </c>
      <c r="X3149" s="1" t="s">
        <v>4072</v>
      </c>
    </row>
    <row r="3150">
      <c r="A3150" s="1" t="s">
        <v>9358</v>
      </c>
      <c r="B3150" s="1" t="s">
        <v>970</v>
      </c>
      <c r="C3150" s="1" t="s">
        <v>9359</v>
      </c>
      <c r="D3150" s="1" t="s">
        <v>51</v>
      </c>
      <c r="E3150" s="1" t="s">
        <v>29</v>
      </c>
      <c r="F3150" s="5">
        <v>250000.0</v>
      </c>
      <c r="G3150" s="1" t="s">
        <v>7016</v>
      </c>
      <c r="H3150" s="1" t="s">
        <v>4941</v>
      </c>
      <c r="I3150" s="1" t="s">
        <v>80</v>
      </c>
      <c r="K3150" s="1">
        <v>0.0</v>
      </c>
      <c r="L3150" s="1" t="s">
        <v>3249</v>
      </c>
      <c r="M3150" s="1" t="str">
        <f>VLOOKUP(L3150,'Copy of PMD Workday Constants -'!B3149:W3835,22,false)</f>
        <v>#N/A</v>
      </c>
      <c r="N3150" s="1" t="s">
        <v>32</v>
      </c>
      <c r="O3150" s="1" t="s">
        <v>33</v>
      </c>
      <c r="P3150" s="1" t="s">
        <v>173</v>
      </c>
      <c r="Q3150" s="1" t="s">
        <v>173</v>
      </c>
      <c r="R3150" s="1" t="s">
        <v>174</v>
      </c>
      <c r="S3150" s="1" t="s">
        <v>540</v>
      </c>
      <c r="T3150" s="1">
        <v>1.00633763E8</v>
      </c>
      <c r="W3150" s="1" t="s">
        <v>308</v>
      </c>
      <c r="X3150" s="1" t="s">
        <v>2197</v>
      </c>
    </row>
    <row r="3151">
      <c r="A3151" s="1" t="s">
        <v>9360</v>
      </c>
      <c r="B3151" s="1" t="s">
        <v>458</v>
      </c>
      <c r="C3151" s="1" t="s">
        <v>9361</v>
      </c>
      <c r="D3151" s="1" t="s">
        <v>28</v>
      </c>
      <c r="E3151" s="1" t="s">
        <v>29</v>
      </c>
      <c r="F3151" s="5">
        <v>250000.0</v>
      </c>
      <c r="G3151" s="1" t="s">
        <v>7016</v>
      </c>
      <c r="H3151" s="1" t="s">
        <v>2890</v>
      </c>
      <c r="I3151" s="1" t="s">
        <v>80</v>
      </c>
      <c r="K3151" s="1">
        <v>0.0</v>
      </c>
      <c r="L3151" s="1" t="s">
        <v>678</v>
      </c>
      <c r="M3151" s="1" t="str">
        <f>VLOOKUP(L3151,'Copy of PMD Workday Constants -'!B3150:W3836,22,false)</f>
        <v>#N/A</v>
      </c>
      <c r="N3151" s="1" t="s">
        <v>32</v>
      </c>
      <c r="O3151" s="1" t="s">
        <v>33</v>
      </c>
      <c r="P3151" s="1" t="s">
        <v>210</v>
      </c>
      <c r="Q3151" s="1" t="s">
        <v>210</v>
      </c>
      <c r="R3151" s="1" t="s">
        <v>211</v>
      </c>
      <c r="S3151" s="1" t="s">
        <v>416</v>
      </c>
      <c r="T3151" s="1">
        <v>1.00609073E8</v>
      </c>
      <c r="W3151" s="1" t="s">
        <v>56</v>
      </c>
      <c r="X3151" s="1" t="s">
        <v>462</v>
      </c>
    </row>
    <row r="3152">
      <c r="A3152" s="1" t="s">
        <v>9362</v>
      </c>
      <c r="B3152" s="1" t="s">
        <v>863</v>
      </c>
      <c r="C3152" s="1" t="s">
        <v>9363</v>
      </c>
      <c r="D3152" s="1" t="s">
        <v>28</v>
      </c>
      <c r="E3152" s="1" t="s">
        <v>29</v>
      </c>
      <c r="F3152" s="5">
        <v>250000.0</v>
      </c>
      <c r="G3152" s="1" t="s">
        <v>7016</v>
      </c>
      <c r="H3152" s="1" t="s">
        <v>545</v>
      </c>
      <c r="I3152" s="1" t="s">
        <v>414</v>
      </c>
      <c r="J3152" s="6">
        <v>44809.85486111111</v>
      </c>
      <c r="K3152" s="1">
        <v>0.0</v>
      </c>
      <c r="L3152" s="1" t="s">
        <v>3623</v>
      </c>
      <c r="M3152" s="1" t="str">
        <f>VLOOKUP(L3152,'Copy of PMD Workday Constants -'!B3151:W3837,22,false)</f>
        <v>#N/A</v>
      </c>
      <c r="N3152" s="1" t="s">
        <v>32</v>
      </c>
      <c r="O3152" s="1" t="s">
        <v>33</v>
      </c>
      <c r="P3152" s="1" t="s">
        <v>82</v>
      </c>
      <c r="Q3152" s="1" t="s">
        <v>82</v>
      </c>
      <c r="R3152" s="1" t="s">
        <v>83</v>
      </c>
      <c r="S3152" s="1" t="s">
        <v>84</v>
      </c>
      <c r="T3152" s="1">
        <v>1.00929557E8</v>
      </c>
      <c r="W3152" s="1" t="s">
        <v>85</v>
      </c>
      <c r="X3152" s="1" t="s">
        <v>3623</v>
      </c>
    </row>
    <row r="3153">
      <c r="A3153" s="1" t="s">
        <v>9364</v>
      </c>
      <c r="B3153" s="1" t="s">
        <v>1531</v>
      </c>
      <c r="C3153" s="1" t="s">
        <v>9365</v>
      </c>
      <c r="D3153" s="1" t="s">
        <v>28</v>
      </c>
      <c r="E3153" s="1" t="s">
        <v>29</v>
      </c>
      <c r="F3153" s="5">
        <v>250000.0</v>
      </c>
      <c r="G3153" s="1" t="s">
        <v>7016</v>
      </c>
      <c r="H3153" s="1" t="s">
        <v>545</v>
      </c>
      <c r="I3153" s="1" t="s">
        <v>152</v>
      </c>
      <c r="K3153" s="1">
        <v>0.0</v>
      </c>
      <c r="L3153" s="1" t="s">
        <v>3623</v>
      </c>
      <c r="M3153" s="1" t="str">
        <f>VLOOKUP(L3153,'Copy of PMD Workday Constants -'!B3152:W3838,22,false)</f>
        <v>#N/A</v>
      </c>
      <c r="N3153" s="1" t="s">
        <v>32</v>
      </c>
      <c r="O3153" s="1" t="s">
        <v>33</v>
      </c>
      <c r="P3153" s="1" t="s">
        <v>82</v>
      </c>
      <c r="Q3153" s="1" t="s">
        <v>82</v>
      </c>
      <c r="R3153" s="1" t="s">
        <v>83</v>
      </c>
      <c r="S3153" s="1" t="s">
        <v>84</v>
      </c>
      <c r="T3153" s="1">
        <v>1.00929557E8</v>
      </c>
      <c r="W3153" s="1" t="s">
        <v>85</v>
      </c>
      <c r="X3153" s="1" t="s">
        <v>3623</v>
      </c>
    </row>
    <row r="3154">
      <c r="A3154" s="1" t="s">
        <v>9366</v>
      </c>
      <c r="B3154" s="1" t="s">
        <v>1364</v>
      </c>
      <c r="C3154" s="1" t="s">
        <v>9367</v>
      </c>
      <c r="D3154" s="1" t="s">
        <v>28</v>
      </c>
      <c r="E3154" s="1" t="s">
        <v>29</v>
      </c>
      <c r="F3154" s="5">
        <v>250000.0</v>
      </c>
      <c r="G3154" s="1" t="s">
        <v>7016</v>
      </c>
      <c r="H3154" s="1" t="s">
        <v>545</v>
      </c>
      <c r="I3154" s="1" t="s">
        <v>104</v>
      </c>
      <c r="K3154" s="1">
        <v>0.0</v>
      </c>
      <c r="L3154" s="1" t="s">
        <v>3623</v>
      </c>
      <c r="M3154" s="1" t="str">
        <f>VLOOKUP(L3154,'Copy of PMD Workday Constants -'!B3153:W3839,22,false)</f>
        <v>#N/A</v>
      </c>
      <c r="N3154" s="1" t="s">
        <v>32</v>
      </c>
      <c r="O3154" s="1" t="s">
        <v>33</v>
      </c>
      <c r="P3154" s="1" t="s">
        <v>82</v>
      </c>
      <c r="Q3154" s="1" t="s">
        <v>82</v>
      </c>
      <c r="R3154" s="1" t="s">
        <v>83</v>
      </c>
      <c r="S3154" s="1" t="s">
        <v>84</v>
      </c>
      <c r="T3154" s="1">
        <v>1.00929557E8</v>
      </c>
      <c r="W3154" s="1" t="s">
        <v>85</v>
      </c>
      <c r="X3154" s="1" t="s">
        <v>3623</v>
      </c>
    </row>
    <row r="3155">
      <c r="A3155" s="1" t="s">
        <v>9368</v>
      </c>
      <c r="B3155" s="1" t="s">
        <v>776</v>
      </c>
      <c r="C3155" s="1" t="s">
        <v>9369</v>
      </c>
      <c r="D3155" s="1" t="s">
        <v>28</v>
      </c>
      <c r="E3155" s="1" t="s">
        <v>29</v>
      </c>
      <c r="F3155" s="5">
        <v>250000.0</v>
      </c>
      <c r="G3155" s="1" t="s">
        <v>7016</v>
      </c>
      <c r="H3155" s="1" t="s">
        <v>3360</v>
      </c>
      <c r="I3155" s="1" t="s">
        <v>166</v>
      </c>
      <c r="K3155" s="1">
        <v>0.0</v>
      </c>
      <c r="L3155" s="1" t="s">
        <v>2547</v>
      </c>
      <c r="M3155" s="1" t="str">
        <f>VLOOKUP(L3155,'Copy of PMD Workday Constants -'!B3154:W3840,22,false)</f>
        <v>#N/A</v>
      </c>
      <c r="N3155" s="1" t="s">
        <v>32</v>
      </c>
      <c r="O3155" s="1" t="s">
        <v>33</v>
      </c>
      <c r="P3155" s="1" t="s">
        <v>64</v>
      </c>
      <c r="Q3155" s="1" t="s">
        <v>64</v>
      </c>
      <c r="R3155" s="1" t="s">
        <v>65</v>
      </c>
      <c r="S3155" s="1" t="s">
        <v>185</v>
      </c>
      <c r="T3155" s="1">
        <v>1.00592932E8</v>
      </c>
      <c r="W3155" s="1" t="s">
        <v>74</v>
      </c>
      <c r="X3155" s="1" t="s">
        <v>2547</v>
      </c>
    </row>
    <row r="3156">
      <c r="A3156" s="1" t="s">
        <v>9370</v>
      </c>
      <c r="B3156" s="1" t="s">
        <v>3954</v>
      </c>
      <c r="C3156" s="1" t="s">
        <v>9371</v>
      </c>
      <c r="D3156" s="1" t="s">
        <v>103</v>
      </c>
      <c r="E3156" s="1" t="s">
        <v>29</v>
      </c>
      <c r="F3156" s="5">
        <v>250000.0</v>
      </c>
      <c r="G3156" s="1" t="s">
        <v>7016</v>
      </c>
      <c r="H3156" s="1" t="s">
        <v>322</v>
      </c>
      <c r="I3156" s="1" t="s">
        <v>104</v>
      </c>
      <c r="K3156" s="1">
        <v>0.0</v>
      </c>
      <c r="L3156" s="1" t="s">
        <v>4235</v>
      </c>
      <c r="M3156" s="1" t="str">
        <f>VLOOKUP(L3156,'Copy of PMD Workday Constants -'!B3155:W3841,22,false)</f>
        <v>#N/A</v>
      </c>
      <c r="N3156" s="1" t="s">
        <v>32</v>
      </c>
      <c r="O3156" s="1" t="s">
        <v>33</v>
      </c>
      <c r="P3156" s="1" t="s">
        <v>210</v>
      </c>
      <c r="Q3156" s="1" t="s">
        <v>210</v>
      </c>
      <c r="R3156" s="1" t="s">
        <v>211</v>
      </c>
      <c r="S3156" s="1" t="s">
        <v>1313</v>
      </c>
      <c r="T3156" s="1">
        <v>1.00628891E8</v>
      </c>
      <c r="W3156" s="1" t="s">
        <v>577</v>
      </c>
      <c r="X3156" s="1" t="s">
        <v>5385</v>
      </c>
    </row>
    <row r="3157">
      <c r="A3157" s="1" t="s">
        <v>9372</v>
      </c>
      <c r="B3157" s="1" t="s">
        <v>521</v>
      </c>
      <c r="C3157" s="1" t="s">
        <v>9373</v>
      </c>
      <c r="D3157" s="1" t="s">
        <v>51</v>
      </c>
      <c r="E3157" s="1" t="s">
        <v>29</v>
      </c>
      <c r="F3157" s="5">
        <v>250000.0</v>
      </c>
      <c r="G3157" s="1" t="s">
        <v>7016</v>
      </c>
      <c r="H3157" s="1" t="s">
        <v>1681</v>
      </c>
      <c r="I3157" s="1" t="s">
        <v>9374</v>
      </c>
      <c r="K3157" s="1">
        <v>0.0</v>
      </c>
      <c r="L3157" s="1" t="s">
        <v>639</v>
      </c>
      <c r="M3157" s="1" t="str">
        <f>VLOOKUP(L3157,'Copy of PMD Workday Constants -'!B3156:W3842,22,false)</f>
        <v>#N/A</v>
      </c>
      <c r="N3157" s="1" t="s">
        <v>32</v>
      </c>
      <c r="O3157" s="1" t="s">
        <v>33</v>
      </c>
      <c r="P3157" s="1" t="s">
        <v>222</v>
      </c>
      <c r="Q3157" s="1" t="s">
        <v>222</v>
      </c>
      <c r="R3157" s="1" t="s">
        <v>223</v>
      </c>
      <c r="S3157" s="1" t="s">
        <v>601</v>
      </c>
      <c r="T3157" s="1">
        <v>1.0089503E8</v>
      </c>
      <c r="W3157" s="1" t="s">
        <v>85</v>
      </c>
      <c r="X3157" s="1" t="s">
        <v>9375</v>
      </c>
    </row>
    <row r="3158">
      <c r="A3158" s="1" t="s">
        <v>9376</v>
      </c>
      <c r="B3158" s="1" t="s">
        <v>913</v>
      </c>
      <c r="C3158" s="1" t="s">
        <v>9377</v>
      </c>
      <c r="D3158" s="1" t="s">
        <v>28</v>
      </c>
      <c r="E3158" s="1" t="s">
        <v>29</v>
      </c>
      <c r="F3158" s="5">
        <v>250000.0</v>
      </c>
      <c r="G3158" s="1" t="s">
        <v>7016</v>
      </c>
      <c r="H3158" s="4">
        <v>44450.0</v>
      </c>
      <c r="I3158" s="1" t="s">
        <v>1426</v>
      </c>
      <c r="K3158" s="1">
        <v>0.0</v>
      </c>
      <c r="L3158" s="1" t="s">
        <v>915</v>
      </c>
      <c r="M3158" s="1" t="str">
        <f>VLOOKUP(L3158,'Copy of PMD Workday Constants -'!B3157:W3843,22,false)</f>
        <v>#N/A</v>
      </c>
      <c r="N3158" s="1" t="s">
        <v>32</v>
      </c>
      <c r="O3158" s="1" t="s">
        <v>33</v>
      </c>
      <c r="P3158" s="1" t="s">
        <v>112</v>
      </c>
      <c r="Q3158" s="1" t="s">
        <v>112</v>
      </c>
      <c r="R3158" s="1" t="s">
        <v>113</v>
      </c>
      <c r="S3158" s="1" t="s">
        <v>84</v>
      </c>
      <c r="T3158" s="1">
        <v>1.00592304E8</v>
      </c>
      <c r="W3158" s="1" t="s">
        <v>85</v>
      </c>
      <c r="X3158" s="1" t="s">
        <v>916</v>
      </c>
    </row>
    <row r="3159">
      <c r="A3159" s="1" t="s">
        <v>9378</v>
      </c>
      <c r="B3159" s="1" t="s">
        <v>3257</v>
      </c>
      <c r="C3159" s="1" t="s">
        <v>9379</v>
      </c>
      <c r="D3159" s="1" t="s">
        <v>28</v>
      </c>
      <c r="E3159" s="1" t="s">
        <v>29</v>
      </c>
      <c r="F3159" s="5">
        <v>250000.0</v>
      </c>
      <c r="G3159" s="1" t="s">
        <v>7016</v>
      </c>
      <c r="H3159" s="1" t="s">
        <v>3042</v>
      </c>
      <c r="I3159" s="1" t="s">
        <v>152</v>
      </c>
      <c r="K3159" s="1">
        <v>0.0</v>
      </c>
      <c r="L3159" s="1" t="s">
        <v>1505</v>
      </c>
      <c r="M3159" s="1" t="str">
        <f>VLOOKUP(L3159,'Copy of PMD Workday Constants -'!B3158:W3844,22,false)</f>
        <v>#N/A</v>
      </c>
      <c r="N3159" s="1" t="s">
        <v>32</v>
      </c>
      <c r="O3159" s="1" t="s">
        <v>33</v>
      </c>
      <c r="P3159" s="1" t="s">
        <v>112</v>
      </c>
      <c r="Q3159" s="1" t="s">
        <v>112</v>
      </c>
      <c r="R3159" s="1" t="s">
        <v>113</v>
      </c>
      <c r="S3159" s="1" t="s">
        <v>455</v>
      </c>
      <c r="T3159" s="1">
        <v>1.00651554E8</v>
      </c>
      <c r="W3159" s="1" t="s">
        <v>456</v>
      </c>
      <c r="X3159" s="1" t="s">
        <v>1505</v>
      </c>
    </row>
    <row r="3160">
      <c r="A3160" s="1" t="s">
        <v>9380</v>
      </c>
      <c r="B3160" s="1" t="s">
        <v>9381</v>
      </c>
      <c r="C3160" s="1" t="s">
        <v>9382</v>
      </c>
      <c r="D3160" s="1" t="s">
        <v>28</v>
      </c>
      <c r="E3160" s="1" t="s">
        <v>29</v>
      </c>
      <c r="F3160" s="5">
        <v>250000.0</v>
      </c>
      <c r="G3160" s="1" t="s">
        <v>7016</v>
      </c>
      <c r="H3160" s="1" t="s">
        <v>556</v>
      </c>
      <c r="I3160" s="1" t="s">
        <v>217</v>
      </c>
      <c r="K3160" s="1">
        <v>0.0</v>
      </c>
      <c r="L3160" s="1" t="s">
        <v>5392</v>
      </c>
      <c r="M3160" s="1" t="str">
        <f>VLOOKUP(L3160,'Copy of PMD Workday Constants -'!B3159:W3845,22,false)</f>
        <v>#N/A</v>
      </c>
      <c r="N3160" s="1" t="s">
        <v>32</v>
      </c>
      <c r="O3160" s="1" t="s">
        <v>33</v>
      </c>
      <c r="P3160" s="1" t="s">
        <v>173</v>
      </c>
      <c r="Q3160" s="1" t="s">
        <v>173</v>
      </c>
      <c r="R3160" s="1" t="s">
        <v>174</v>
      </c>
      <c r="T3160" s="1">
        <v>1.01138319E8</v>
      </c>
      <c r="W3160" s="1" t="s">
        <v>74</v>
      </c>
      <c r="X3160" s="1" t="s">
        <v>5392</v>
      </c>
    </row>
    <row r="3161">
      <c r="A3161" s="1" t="s">
        <v>9383</v>
      </c>
      <c r="B3161" s="1" t="s">
        <v>1204</v>
      </c>
      <c r="C3161" s="1" t="s">
        <v>9384</v>
      </c>
      <c r="D3161" s="1" t="s">
        <v>28</v>
      </c>
      <c r="E3161" s="1" t="s">
        <v>29</v>
      </c>
      <c r="F3161" s="5">
        <v>250000.0</v>
      </c>
      <c r="G3161" s="1" t="s">
        <v>7016</v>
      </c>
      <c r="H3161" s="4">
        <v>44810.0</v>
      </c>
      <c r="I3161" s="1" t="s">
        <v>732</v>
      </c>
      <c r="K3161" s="1">
        <v>0.0</v>
      </c>
      <c r="L3161" s="1" t="s">
        <v>1973</v>
      </c>
      <c r="M3161" s="1" t="str">
        <f>VLOOKUP(L3161,'Copy of PMD Workday Constants -'!B3160:W3846,22,false)</f>
        <v>#N/A</v>
      </c>
      <c r="N3161" s="1" t="s">
        <v>32</v>
      </c>
      <c r="O3161" s="1" t="s">
        <v>33</v>
      </c>
      <c r="P3161" s="1" t="s">
        <v>82</v>
      </c>
      <c r="Q3161" s="1" t="s">
        <v>82</v>
      </c>
      <c r="R3161" s="1" t="s">
        <v>83</v>
      </c>
      <c r="S3161" s="1" t="s">
        <v>180</v>
      </c>
      <c r="T3161" s="1">
        <v>1.00619692E8</v>
      </c>
      <c r="W3161" s="1" t="s">
        <v>85</v>
      </c>
      <c r="X3161" s="1" t="s">
        <v>5221</v>
      </c>
    </row>
    <row r="3162">
      <c r="A3162" s="1" t="s">
        <v>9385</v>
      </c>
      <c r="B3162" s="1" t="s">
        <v>3257</v>
      </c>
      <c r="C3162" s="1" t="s">
        <v>9386</v>
      </c>
      <c r="D3162" s="1" t="s">
        <v>28</v>
      </c>
      <c r="E3162" s="1" t="s">
        <v>29</v>
      </c>
      <c r="F3162" s="5">
        <v>250000.0</v>
      </c>
      <c r="G3162" s="1" t="s">
        <v>7016</v>
      </c>
      <c r="H3162" s="1" t="s">
        <v>3042</v>
      </c>
      <c r="I3162" s="1" t="s">
        <v>152</v>
      </c>
      <c r="K3162" s="1">
        <v>0.0</v>
      </c>
      <c r="L3162" s="1" t="s">
        <v>1505</v>
      </c>
      <c r="M3162" s="1" t="str">
        <f>VLOOKUP(L3162,'Copy of PMD Workday Constants -'!B3161:W3847,22,false)</f>
        <v>#N/A</v>
      </c>
      <c r="N3162" s="1" t="s">
        <v>32</v>
      </c>
      <c r="O3162" s="1" t="s">
        <v>33</v>
      </c>
      <c r="P3162" s="1" t="s">
        <v>112</v>
      </c>
      <c r="Q3162" s="1" t="s">
        <v>112</v>
      </c>
      <c r="R3162" s="1" t="s">
        <v>113</v>
      </c>
      <c r="S3162" s="1" t="s">
        <v>455</v>
      </c>
      <c r="T3162" s="1">
        <v>1.00651554E8</v>
      </c>
      <c r="W3162" s="1" t="s">
        <v>456</v>
      </c>
      <c r="X3162" s="1" t="s">
        <v>1505</v>
      </c>
    </row>
    <row r="3163">
      <c r="A3163" s="1" t="s">
        <v>9387</v>
      </c>
      <c r="B3163" s="1" t="s">
        <v>4935</v>
      </c>
      <c r="C3163" s="1" t="s">
        <v>9388</v>
      </c>
      <c r="D3163" s="1" t="s">
        <v>103</v>
      </c>
      <c r="E3163" s="1" t="s">
        <v>29</v>
      </c>
      <c r="F3163" s="5">
        <v>250000.0</v>
      </c>
      <c r="G3163" s="1" t="s">
        <v>7016</v>
      </c>
      <c r="H3163" s="4">
        <v>44779.0</v>
      </c>
      <c r="I3163" s="1" t="s">
        <v>9389</v>
      </c>
      <c r="K3163" s="1">
        <v>0.0</v>
      </c>
      <c r="L3163" s="1" t="s">
        <v>9390</v>
      </c>
      <c r="M3163" s="1" t="str">
        <f>VLOOKUP(L3163,'Copy of PMD Workday Constants -'!B3162:W3848,22,false)</f>
        <v>#N/A</v>
      </c>
      <c r="N3163" s="1" t="s">
        <v>32</v>
      </c>
      <c r="O3163" s="1" t="s">
        <v>33</v>
      </c>
      <c r="P3163" s="1" t="s">
        <v>64</v>
      </c>
      <c r="Q3163" s="1" t="s">
        <v>64</v>
      </c>
      <c r="R3163" s="1" t="s">
        <v>65</v>
      </c>
      <c r="S3163" s="1" t="s">
        <v>1336</v>
      </c>
      <c r="T3163" s="1">
        <v>1.01148689E8</v>
      </c>
      <c r="W3163" s="1" t="s">
        <v>147</v>
      </c>
      <c r="X3163" s="1" t="s">
        <v>8107</v>
      </c>
    </row>
    <row r="3164">
      <c r="A3164" s="1" t="s">
        <v>9391</v>
      </c>
      <c r="B3164" s="1" t="s">
        <v>1546</v>
      </c>
      <c r="C3164" s="1" t="s">
        <v>9392</v>
      </c>
      <c r="D3164" s="1" t="s">
        <v>28</v>
      </c>
      <c r="E3164" s="1" t="s">
        <v>29</v>
      </c>
      <c r="F3164" s="5">
        <v>250000.0</v>
      </c>
      <c r="G3164" s="1" t="s">
        <v>7016</v>
      </c>
      <c r="H3164" s="4">
        <v>44806.0</v>
      </c>
      <c r="I3164" s="1" t="s">
        <v>104</v>
      </c>
      <c r="K3164" s="1">
        <v>0.0</v>
      </c>
      <c r="L3164" s="1" t="s">
        <v>1549</v>
      </c>
      <c r="M3164" s="1" t="str">
        <f>VLOOKUP(L3164,'Copy of PMD Workday Constants -'!B3163:W3849,22,false)</f>
        <v>#N/A</v>
      </c>
      <c r="N3164" s="1" t="s">
        <v>32</v>
      </c>
      <c r="O3164" s="1" t="s">
        <v>33</v>
      </c>
      <c r="P3164" s="1" t="s">
        <v>173</v>
      </c>
      <c r="Q3164" s="1" t="s">
        <v>173</v>
      </c>
      <c r="R3164" s="1" t="s">
        <v>174</v>
      </c>
      <c r="S3164" s="1" t="s">
        <v>612</v>
      </c>
      <c r="T3164" s="1">
        <v>1.00646908E8</v>
      </c>
      <c r="W3164" s="1" t="s">
        <v>1303</v>
      </c>
      <c r="X3164" s="1" t="s">
        <v>4072</v>
      </c>
    </row>
    <row r="3165">
      <c r="A3165" s="1" t="s">
        <v>9393</v>
      </c>
      <c r="B3165" s="1" t="s">
        <v>3154</v>
      </c>
      <c r="C3165" s="1" t="s">
        <v>9394</v>
      </c>
      <c r="D3165" s="1" t="s">
        <v>28</v>
      </c>
      <c r="E3165" s="1" t="s">
        <v>29</v>
      </c>
      <c r="F3165" s="5">
        <v>250000.0</v>
      </c>
      <c r="G3165" s="1" t="s">
        <v>7016</v>
      </c>
      <c r="H3165" s="1" t="s">
        <v>9395</v>
      </c>
      <c r="I3165" s="1" t="s">
        <v>810</v>
      </c>
      <c r="K3165" s="1">
        <v>0.0</v>
      </c>
      <c r="L3165" s="1" t="s">
        <v>2703</v>
      </c>
      <c r="M3165" s="1" t="str">
        <f>VLOOKUP(L3165,'Copy of PMD Workday Constants -'!B3164:W3850,22,false)</f>
        <v>#N/A</v>
      </c>
      <c r="N3165" s="1" t="s">
        <v>32</v>
      </c>
      <c r="O3165" s="1" t="s">
        <v>33</v>
      </c>
      <c r="P3165" s="1" t="s">
        <v>34</v>
      </c>
      <c r="Q3165" s="1" t="s">
        <v>34</v>
      </c>
      <c r="R3165" s="1" t="s">
        <v>35</v>
      </c>
      <c r="S3165" s="1" t="s">
        <v>383</v>
      </c>
      <c r="T3165" s="1">
        <v>1.00866856E8</v>
      </c>
      <c r="W3165" s="1" t="s">
        <v>147</v>
      </c>
      <c r="X3165" s="1" t="s">
        <v>2703</v>
      </c>
    </row>
    <row r="3166">
      <c r="A3166" s="1" t="s">
        <v>9396</v>
      </c>
      <c r="B3166" s="1" t="s">
        <v>3154</v>
      </c>
      <c r="C3166" s="1" t="s">
        <v>9397</v>
      </c>
      <c r="D3166" s="1" t="s">
        <v>28</v>
      </c>
      <c r="E3166" s="1" t="s">
        <v>29</v>
      </c>
      <c r="F3166" s="5">
        <v>250000.0</v>
      </c>
      <c r="G3166" s="1" t="s">
        <v>7016</v>
      </c>
      <c r="H3166" s="1" t="s">
        <v>9395</v>
      </c>
      <c r="I3166" s="1" t="s">
        <v>810</v>
      </c>
      <c r="K3166" s="1">
        <v>0.0</v>
      </c>
      <c r="L3166" s="1" t="s">
        <v>2703</v>
      </c>
      <c r="M3166" s="1" t="str">
        <f>VLOOKUP(L3166,'Copy of PMD Workday Constants -'!B3165:W3851,22,false)</f>
        <v>#N/A</v>
      </c>
      <c r="N3166" s="1" t="s">
        <v>32</v>
      </c>
      <c r="O3166" s="1" t="s">
        <v>33</v>
      </c>
      <c r="P3166" s="1" t="s">
        <v>34</v>
      </c>
      <c r="Q3166" s="1" t="s">
        <v>34</v>
      </c>
      <c r="R3166" s="1" t="s">
        <v>35</v>
      </c>
      <c r="S3166" s="1" t="s">
        <v>612</v>
      </c>
      <c r="T3166" s="1">
        <v>1.00866856E8</v>
      </c>
      <c r="W3166" s="1" t="s">
        <v>147</v>
      </c>
      <c r="X3166" s="1" t="s">
        <v>2703</v>
      </c>
    </row>
    <row r="3167">
      <c r="A3167" s="1" t="s">
        <v>9398</v>
      </c>
      <c r="B3167" s="1" t="s">
        <v>1703</v>
      </c>
      <c r="C3167" s="1" t="s">
        <v>9399</v>
      </c>
      <c r="D3167" s="1" t="s">
        <v>51</v>
      </c>
      <c r="E3167" s="1" t="s">
        <v>29</v>
      </c>
      <c r="F3167" s="5">
        <v>250000.0</v>
      </c>
      <c r="G3167" s="1" t="s">
        <v>7016</v>
      </c>
      <c r="H3167" s="1" t="s">
        <v>2049</v>
      </c>
      <c r="I3167" s="1" t="s">
        <v>96</v>
      </c>
      <c r="K3167" s="1">
        <v>0.0</v>
      </c>
      <c r="L3167" s="1" t="s">
        <v>1282</v>
      </c>
      <c r="M3167" s="1" t="str">
        <f>VLOOKUP(L3167,'Copy of PMD Workday Constants -'!B3166:W3852,22,false)</f>
        <v>#N/A</v>
      </c>
      <c r="N3167" s="1" t="s">
        <v>32</v>
      </c>
      <c r="O3167" s="1" t="s">
        <v>33</v>
      </c>
      <c r="P3167" s="1" t="s">
        <v>34</v>
      </c>
      <c r="Q3167" s="1" t="s">
        <v>34</v>
      </c>
      <c r="R3167" s="1" t="s">
        <v>35</v>
      </c>
      <c r="S3167" s="1" t="s">
        <v>1166</v>
      </c>
      <c r="T3167" s="1">
        <v>1.006096E8</v>
      </c>
      <c r="W3167" s="1" t="s">
        <v>456</v>
      </c>
      <c r="X3167" s="1" t="s">
        <v>2751</v>
      </c>
    </row>
    <row r="3168">
      <c r="A3168" s="1" t="s">
        <v>9400</v>
      </c>
      <c r="B3168" s="1" t="s">
        <v>6427</v>
      </c>
      <c r="C3168" s="1" t="s">
        <v>9401</v>
      </c>
      <c r="D3168" s="1" t="s">
        <v>28</v>
      </c>
      <c r="E3168" s="1" t="s">
        <v>29</v>
      </c>
      <c r="F3168" s="5">
        <v>250000.0</v>
      </c>
      <c r="G3168" s="1" t="s">
        <v>7016</v>
      </c>
      <c r="H3168" s="1" t="s">
        <v>301</v>
      </c>
      <c r="I3168" s="1" t="s">
        <v>80</v>
      </c>
      <c r="K3168" s="1">
        <v>0.0</v>
      </c>
      <c r="L3168" s="1" t="s">
        <v>6429</v>
      </c>
      <c r="M3168" s="1" t="str">
        <f>VLOOKUP(L3168,'Copy of PMD Workday Constants -'!B3167:W3853,22,false)</f>
        <v>#N/A</v>
      </c>
      <c r="N3168" s="1" t="s">
        <v>32</v>
      </c>
      <c r="O3168" s="1" t="s">
        <v>33</v>
      </c>
      <c r="P3168" s="1" t="s">
        <v>210</v>
      </c>
      <c r="Q3168" s="1" t="s">
        <v>210</v>
      </c>
      <c r="R3168" s="1" t="s">
        <v>211</v>
      </c>
      <c r="T3168" s="1">
        <v>1.01161608E8</v>
      </c>
      <c r="W3168" s="1" t="s">
        <v>258</v>
      </c>
      <c r="X3168" s="1" t="s">
        <v>6430</v>
      </c>
    </row>
    <row r="3169">
      <c r="A3169" s="1" t="s">
        <v>9402</v>
      </c>
      <c r="B3169" s="1" t="s">
        <v>623</v>
      </c>
      <c r="C3169" s="1" t="s">
        <v>9403</v>
      </c>
      <c r="D3169" s="1" t="s">
        <v>51</v>
      </c>
      <c r="E3169" s="1" t="s">
        <v>29</v>
      </c>
      <c r="F3169" s="5">
        <v>250000.0</v>
      </c>
      <c r="G3169" s="1" t="s">
        <v>7016</v>
      </c>
      <c r="H3169" s="4">
        <v>44810.0</v>
      </c>
      <c r="I3169" s="1" t="s">
        <v>104</v>
      </c>
      <c r="K3169" s="1">
        <v>0.0</v>
      </c>
      <c r="L3169" s="1" t="s">
        <v>198</v>
      </c>
      <c r="M3169" s="1" t="str">
        <f>VLOOKUP(L3169,'Copy of PMD Workday Constants -'!B3168:W3854,22,false)</f>
        <v>#N/A</v>
      </c>
      <c r="N3169" s="1" t="s">
        <v>32</v>
      </c>
      <c r="O3169" s="1" t="s">
        <v>33</v>
      </c>
      <c r="P3169" s="1" t="s">
        <v>82</v>
      </c>
      <c r="Q3169" s="1" t="s">
        <v>82</v>
      </c>
      <c r="R3169" s="1" t="s">
        <v>83</v>
      </c>
      <c r="S3169" s="1" t="s">
        <v>180</v>
      </c>
      <c r="T3169" s="1">
        <v>1.00590896E8</v>
      </c>
      <c r="W3169" s="1" t="s">
        <v>85</v>
      </c>
      <c r="X3169" s="1" t="s">
        <v>2497</v>
      </c>
    </row>
    <row r="3170">
      <c r="A3170" s="1" t="s">
        <v>9404</v>
      </c>
      <c r="B3170" s="1" t="s">
        <v>8268</v>
      </c>
      <c r="C3170" s="1" t="s">
        <v>9405</v>
      </c>
      <c r="D3170" s="1" t="s">
        <v>28</v>
      </c>
      <c r="E3170" s="1" t="s">
        <v>29</v>
      </c>
      <c r="F3170" s="5">
        <v>250000.0</v>
      </c>
      <c r="G3170" s="1" t="s">
        <v>7016</v>
      </c>
      <c r="H3170" s="4">
        <v>44806.0</v>
      </c>
      <c r="I3170" s="1" t="s">
        <v>301</v>
      </c>
      <c r="K3170" s="1">
        <v>0.0</v>
      </c>
      <c r="L3170" s="1" t="s">
        <v>1170</v>
      </c>
      <c r="M3170" s="1" t="str">
        <f>VLOOKUP(L3170,'Copy of PMD Workday Constants -'!B3169:W3855,22,false)</f>
        <v>#N/A</v>
      </c>
      <c r="N3170" s="1" t="s">
        <v>32</v>
      </c>
      <c r="O3170" s="1" t="s">
        <v>33</v>
      </c>
      <c r="P3170" s="1" t="s">
        <v>112</v>
      </c>
      <c r="Q3170" s="1" t="s">
        <v>112</v>
      </c>
      <c r="R3170" s="1" t="s">
        <v>113</v>
      </c>
      <c r="S3170" s="1" t="s">
        <v>1336</v>
      </c>
      <c r="T3170" s="1">
        <v>1.00595231E8</v>
      </c>
      <c r="W3170" s="1" t="s">
        <v>74</v>
      </c>
      <c r="X3170" s="1" t="s">
        <v>1170</v>
      </c>
    </row>
    <row r="3171">
      <c r="A3171" s="1" t="s">
        <v>9406</v>
      </c>
      <c r="B3171" s="1" t="s">
        <v>5203</v>
      </c>
      <c r="C3171" s="1" t="s">
        <v>9407</v>
      </c>
      <c r="D3171" s="1" t="s">
        <v>28</v>
      </c>
      <c r="E3171" s="1" t="s">
        <v>29</v>
      </c>
      <c r="F3171" s="5">
        <v>250000.0</v>
      </c>
      <c r="G3171" s="1" t="s">
        <v>7016</v>
      </c>
      <c r="H3171" s="1" t="s">
        <v>1915</v>
      </c>
      <c r="I3171" s="1" t="s">
        <v>9408</v>
      </c>
      <c r="K3171" s="1">
        <v>0.0</v>
      </c>
      <c r="L3171" s="1" t="s">
        <v>5205</v>
      </c>
      <c r="M3171" s="1" t="str">
        <f>VLOOKUP(L3171,'Copy of PMD Workday Constants -'!B3170:W3856,22,false)</f>
        <v>#N/A</v>
      </c>
      <c r="N3171" s="1" t="s">
        <v>32</v>
      </c>
      <c r="O3171" s="1" t="s">
        <v>33</v>
      </c>
      <c r="P3171" s="1" t="s">
        <v>222</v>
      </c>
      <c r="Q3171" s="1" t="s">
        <v>222</v>
      </c>
      <c r="R3171" s="1" t="s">
        <v>223</v>
      </c>
      <c r="S3171" s="1" t="s">
        <v>1336</v>
      </c>
      <c r="T3171" s="1">
        <v>1.00896447E8</v>
      </c>
      <c r="W3171" s="1" t="s">
        <v>436</v>
      </c>
      <c r="X3171" s="1" t="s">
        <v>5205</v>
      </c>
    </row>
    <row r="3172">
      <c r="A3172" s="1" t="s">
        <v>9409</v>
      </c>
      <c r="B3172" s="1" t="s">
        <v>4968</v>
      </c>
      <c r="C3172" s="1" t="s">
        <v>9410</v>
      </c>
      <c r="D3172" s="1" t="s">
        <v>28</v>
      </c>
      <c r="E3172" s="1" t="s">
        <v>29</v>
      </c>
      <c r="F3172" s="5">
        <v>250000.0</v>
      </c>
      <c r="G3172" s="1" t="s">
        <v>7016</v>
      </c>
      <c r="H3172" s="1" t="s">
        <v>545</v>
      </c>
      <c r="I3172" s="4">
        <v>44568.0</v>
      </c>
      <c r="K3172" s="1">
        <v>0.0</v>
      </c>
      <c r="L3172" s="1" t="s">
        <v>3813</v>
      </c>
      <c r="M3172" s="1" t="str">
        <f>VLOOKUP(L3172,'Copy of PMD Workday Constants -'!B3171:W3857,22,false)</f>
        <v>#N/A</v>
      </c>
      <c r="N3172" s="1" t="s">
        <v>32</v>
      </c>
      <c r="O3172" s="1" t="s">
        <v>33</v>
      </c>
      <c r="P3172" s="1" t="s">
        <v>112</v>
      </c>
      <c r="Q3172" s="1" t="s">
        <v>112</v>
      </c>
      <c r="R3172" s="1" t="s">
        <v>113</v>
      </c>
      <c r="T3172" s="1">
        <v>1.00650841E8</v>
      </c>
      <c r="W3172" s="1" t="s">
        <v>456</v>
      </c>
      <c r="X3172" s="1" t="s">
        <v>3813</v>
      </c>
    </row>
    <row r="3173">
      <c r="A3173" s="1" t="s">
        <v>9411</v>
      </c>
      <c r="B3173" s="1" t="s">
        <v>5369</v>
      </c>
      <c r="C3173" s="1" t="s">
        <v>9412</v>
      </c>
      <c r="D3173" s="1" t="s">
        <v>28</v>
      </c>
      <c r="E3173" s="1" t="s">
        <v>29</v>
      </c>
      <c r="F3173" s="5">
        <v>250000.0</v>
      </c>
      <c r="G3173" s="1" t="s">
        <v>7016</v>
      </c>
      <c r="H3173" s="4">
        <v>44806.0</v>
      </c>
      <c r="I3173" s="1" t="s">
        <v>302</v>
      </c>
      <c r="K3173" s="1">
        <v>0.0</v>
      </c>
      <c r="L3173" s="1" t="s">
        <v>1170</v>
      </c>
      <c r="M3173" s="1" t="str">
        <f>VLOOKUP(L3173,'Copy of PMD Workday Constants -'!B3172:W3858,22,false)</f>
        <v>#N/A</v>
      </c>
      <c r="N3173" s="1" t="s">
        <v>32</v>
      </c>
      <c r="O3173" s="1" t="s">
        <v>33</v>
      </c>
      <c r="P3173" s="1" t="s">
        <v>112</v>
      </c>
      <c r="Q3173" s="1" t="s">
        <v>112</v>
      </c>
      <c r="R3173" s="1" t="s">
        <v>113</v>
      </c>
      <c r="S3173" s="1" t="s">
        <v>1336</v>
      </c>
      <c r="T3173" s="1">
        <v>1.00595231E8</v>
      </c>
      <c r="W3173" s="1" t="s">
        <v>74</v>
      </c>
      <c r="X3173" s="1" t="s">
        <v>1170</v>
      </c>
    </row>
    <row r="3174">
      <c r="A3174" s="1" t="s">
        <v>9413</v>
      </c>
      <c r="B3174" s="1" t="s">
        <v>335</v>
      </c>
      <c r="C3174" s="1" t="s">
        <v>9414</v>
      </c>
      <c r="D3174" s="1" t="s">
        <v>28</v>
      </c>
      <c r="E3174" s="1" t="s">
        <v>29</v>
      </c>
      <c r="F3174" s="5">
        <v>250000.0</v>
      </c>
      <c r="G3174" s="1" t="s">
        <v>7016</v>
      </c>
      <c r="H3174" s="1" t="s">
        <v>810</v>
      </c>
      <c r="I3174" s="4">
        <v>44840.0</v>
      </c>
      <c r="K3174" s="1">
        <v>0.0</v>
      </c>
      <c r="L3174" s="1" t="s">
        <v>9415</v>
      </c>
      <c r="M3174" s="1" t="str">
        <f>VLOOKUP(L3174,'Copy of PMD Workday Constants -'!B3173:W3859,22,false)</f>
        <v>#N/A</v>
      </c>
      <c r="N3174" s="1" t="s">
        <v>32</v>
      </c>
      <c r="O3174" s="1" t="s">
        <v>33</v>
      </c>
      <c r="P3174" s="1" t="s">
        <v>54</v>
      </c>
      <c r="Q3174" s="1" t="s">
        <v>54</v>
      </c>
      <c r="R3174" s="1" t="s">
        <v>55</v>
      </c>
      <c r="T3174" s="1">
        <v>1.0061962E8</v>
      </c>
      <c r="U3174" s="1" t="s">
        <v>9416</v>
      </c>
      <c r="V3174" s="1" t="s">
        <v>9417</v>
      </c>
      <c r="W3174" s="1" t="s">
        <v>339</v>
      </c>
      <c r="X3174" s="1" t="s">
        <v>9418</v>
      </c>
    </row>
    <row r="3175">
      <c r="A3175" s="1" t="s">
        <v>9419</v>
      </c>
      <c r="B3175" s="1" t="s">
        <v>9420</v>
      </c>
      <c r="C3175" s="1" t="s">
        <v>9421</v>
      </c>
      <c r="D3175" s="1" t="s">
        <v>28</v>
      </c>
      <c r="E3175" s="1" t="s">
        <v>29</v>
      </c>
      <c r="F3175" s="5">
        <v>250000.0</v>
      </c>
      <c r="G3175" s="1" t="s">
        <v>7016</v>
      </c>
      <c r="H3175" s="4">
        <v>44685.0</v>
      </c>
      <c r="I3175" s="1" t="s">
        <v>732</v>
      </c>
      <c r="K3175" s="1">
        <v>0.0</v>
      </c>
      <c r="L3175" s="1" t="s">
        <v>3249</v>
      </c>
      <c r="M3175" s="1" t="str">
        <f>VLOOKUP(L3175,'Copy of PMD Workday Constants -'!B3174:W3860,22,false)</f>
        <v>#N/A</v>
      </c>
      <c r="N3175" s="1" t="s">
        <v>32</v>
      </c>
      <c r="O3175" s="1" t="s">
        <v>33</v>
      </c>
      <c r="P3175" s="1" t="s">
        <v>173</v>
      </c>
      <c r="Q3175" s="1" t="s">
        <v>173</v>
      </c>
      <c r="R3175" s="1" t="s">
        <v>174</v>
      </c>
      <c r="T3175" s="1">
        <v>1.00633763E8</v>
      </c>
      <c r="W3175" s="1" t="s">
        <v>140</v>
      </c>
      <c r="X3175" s="1" t="s">
        <v>5014</v>
      </c>
    </row>
    <row r="3176">
      <c r="A3176" s="1" t="s">
        <v>9422</v>
      </c>
      <c r="B3176" s="1" t="s">
        <v>5672</v>
      </c>
      <c r="C3176" s="1" t="s">
        <v>9423</v>
      </c>
      <c r="D3176" s="1" t="s">
        <v>28</v>
      </c>
      <c r="E3176" s="1" t="s">
        <v>29</v>
      </c>
      <c r="F3176" s="5">
        <v>250000.0</v>
      </c>
      <c r="G3176" s="1" t="s">
        <v>7016</v>
      </c>
      <c r="H3176" s="4">
        <v>44685.0</v>
      </c>
      <c r="I3176" s="1" t="s">
        <v>941</v>
      </c>
      <c r="K3176" s="1">
        <v>0.0</v>
      </c>
      <c r="L3176" s="1" t="s">
        <v>2672</v>
      </c>
      <c r="M3176" s="1" t="str">
        <f>VLOOKUP(L3176,'Copy of PMD Workday Constants -'!B3175:W3861,22,false)</f>
        <v>#N/A</v>
      </c>
      <c r="N3176" s="1" t="s">
        <v>32</v>
      </c>
      <c r="O3176" s="1" t="s">
        <v>33</v>
      </c>
      <c r="P3176" s="1" t="s">
        <v>173</v>
      </c>
      <c r="Q3176" s="1" t="s">
        <v>173</v>
      </c>
      <c r="R3176" s="1" t="s">
        <v>174</v>
      </c>
      <c r="T3176" s="1">
        <v>1.00607244E8</v>
      </c>
      <c r="W3176" s="1" t="s">
        <v>250</v>
      </c>
      <c r="X3176" s="1" t="s">
        <v>5993</v>
      </c>
    </row>
    <row r="3177">
      <c r="A3177" s="1" t="s">
        <v>9424</v>
      </c>
      <c r="B3177" s="1" t="s">
        <v>2394</v>
      </c>
      <c r="C3177" s="1" t="s">
        <v>9425</v>
      </c>
      <c r="D3177" s="1" t="s">
        <v>28</v>
      </c>
      <c r="E3177" s="1" t="s">
        <v>29</v>
      </c>
      <c r="F3177" s="5">
        <v>250000.0</v>
      </c>
      <c r="G3177" s="1" t="s">
        <v>7016</v>
      </c>
      <c r="H3177" s="1" t="s">
        <v>3007</v>
      </c>
      <c r="I3177" s="1" t="s">
        <v>302</v>
      </c>
      <c r="K3177" s="1">
        <v>0.0</v>
      </c>
      <c r="L3177" s="1" t="s">
        <v>238</v>
      </c>
      <c r="M3177" s="1" t="str">
        <f>VLOOKUP(L3177,'Copy of PMD Workday Constants -'!B3176:W3862,22,false)</f>
        <v>#N/A</v>
      </c>
      <c r="N3177" s="1" t="s">
        <v>32</v>
      </c>
      <c r="O3177" s="1" t="s">
        <v>33</v>
      </c>
      <c r="P3177" s="1" t="s">
        <v>112</v>
      </c>
      <c r="Q3177" s="1" t="s">
        <v>112</v>
      </c>
      <c r="R3177" s="1" t="s">
        <v>113</v>
      </c>
      <c r="S3177" s="1" t="s">
        <v>307</v>
      </c>
      <c r="T3177" s="1">
        <v>1.00658519E8</v>
      </c>
      <c r="W3177" s="1" t="s">
        <v>250</v>
      </c>
      <c r="X3177" s="1" t="s">
        <v>667</v>
      </c>
    </row>
    <row r="3178">
      <c r="A3178" s="1" t="s">
        <v>9426</v>
      </c>
      <c r="B3178" s="1" t="s">
        <v>776</v>
      </c>
      <c r="C3178" s="1" t="s">
        <v>9427</v>
      </c>
      <c r="D3178" s="1" t="s">
        <v>51</v>
      </c>
      <c r="E3178" s="1" t="s">
        <v>29</v>
      </c>
      <c r="F3178" s="5">
        <v>250000.0</v>
      </c>
      <c r="G3178" s="1" t="s">
        <v>7016</v>
      </c>
      <c r="H3178" s="1" t="s">
        <v>1005</v>
      </c>
      <c r="I3178" s="1" t="s">
        <v>302</v>
      </c>
      <c r="K3178" s="1">
        <v>0.0</v>
      </c>
      <c r="L3178" s="1" t="s">
        <v>1170</v>
      </c>
      <c r="M3178" s="1" t="str">
        <f>VLOOKUP(L3178,'Copy of PMD Workday Constants -'!B3177:W3863,22,false)</f>
        <v>#N/A</v>
      </c>
      <c r="N3178" s="1" t="s">
        <v>32</v>
      </c>
      <c r="O3178" s="1" t="s">
        <v>33</v>
      </c>
      <c r="P3178" s="1" t="s">
        <v>112</v>
      </c>
      <c r="Q3178" s="1" t="s">
        <v>112</v>
      </c>
      <c r="R3178" s="1" t="s">
        <v>113</v>
      </c>
      <c r="T3178" s="1">
        <v>1.00595231E8</v>
      </c>
      <c r="W3178" s="1" t="s">
        <v>74</v>
      </c>
      <c r="X3178" s="1" t="s">
        <v>9428</v>
      </c>
    </row>
    <row r="3179">
      <c r="A3179" s="1" t="s">
        <v>9429</v>
      </c>
      <c r="B3179" s="1" t="s">
        <v>9430</v>
      </c>
      <c r="C3179" s="1" t="s">
        <v>9431</v>
      </c>
      <c r="D3179" s="1" t="s">
        <v>51</v>
      </c>
      <c r="E3179" s="1" t="s">
        <v>29</v>
      </c>
      <c r="F3179" s="5">
        <v>250000.0</v>
      </c>
      <c r="G3179" s="1" t="s">
        <v>7016</v>
      </c>
      <c r="H3179" s="1" t="s">
        <v>52</v>
      </c>
      <c r="I3179" s="1" t="s">
        <v>816</v>
      </c>
      <c r="K3179" s="1">
        <v>0.0</v>
      </c>
      <c r="L3179" s="1" t="s">
        <v>4490</v>
      </c>
      <c r="M3179" s="1" t="str">
        <f>VLOOKUP(L3179,'Copy of PMD Workday Constants -'!B3178:W3864,22,false)</f>
        <v>#N/A</v>
      </c>
      <c r="N3179" s="1" t="s">
        <v>32</v>
      </c>
      <c r="O3179" s="1" t="s">
        <v>33</v>
      </c>
      <c r="P3179" s="1" t="s">
        <v>54</v>
      </c>
      <c r="Q3179" s="1" t="s">
        <v>54</v>
      </c>
      <c r="R3179" s="1" t="s">
        <v>55</v>
      </c>
      <c r="T3179" s="1">
        <v>1.00646804E8</v>
      </c>
      <c r="W3179" s="1" t="s">
        <v>258</v>
      </c>
      <c r="X3179" s="1" t="s">
        <v>9432</v>
      </c>
    </row>
    <row r="3180">
      <c r="A3180" s="1" t="s">
        <v>9433</v>
      </c>
      <c r="B3180" s="1" t="s">
        <v>9434</v>
      </c>
      <c r="C3180" s="1" t="s">
        <v>9435</v>
      </c>
      <c r="D3180" s="1" t="s">
        <v>51</v>
      </c>
      <c r="E3180" s="1" t="s">
        <v>29</v>
      </c>
      <c r="F3180" s="5">
        <v>250000.0</v>
      </c>
      <c r="G3180" s="1" t="s">
        <v>7016</v>
      </c>
      <c r="H3180" s="1" t="s">
        <v>1785</v>
      </c>
      <c r="I3180" s="1" t="s">
        <v>104</v>
      </c>
      <c r="K3180" s="1">
        <v>0.0</v>
      </c>
      <c r="L3180" s="1" t="s">
        <v>474</v>
      </c>
      <c r="M3180" s="1" t="str">
        <f>VLOOKUP(L3180,'Copy of PMD Workday Constants -'!B3179:W3865,22,false)</f>
        <v>#N/A</v>
      </c>
      <c r="N3180" s="1" t="s">
        <v>32</v>
      </c>
      <c r="O3180" s="1" t="s">
        <v>33</v>
      </c>
      <c r="P3180" s="1" t="s">
        <v>64</v>
      </c>
      <c r="Q3180" s="1" t="s">
        <v>64</v>
      </c>
      <c r="R3180" s="1" t="s">
        <v>65</v>
      </c>
      <c r="T3180" s="1">
        <v>1.00660049E8</v>
      </c>
      <c r="X3180" s="1" t="s">
        <v>3013</v>
      </c>
    </row>
    <row r="3181">
      <c r="A3181" s="1" t="s">
        <v>9436</v>
      </c>
      <c r="B3181" s="1" t="s">
        <v>1721</v>
      </c>
      <c r="C3181" s="1" t="s">
        <v>9437</v>
      </c>
      <c r="D3181" s="1" t="s">
        <v>51</v>
      </c>
      <c r="E3181" s="1" t="s">
        <v>29</v>
      </c>
      <c r="F3181" s="5">
        <v>250000.0</v>
      </c>
      <c r="G3181" s="1" t="s">
        <v>7016</v>
      </c>
      <c r="H3181" s="1" t="s">
        <v>1785</v>
      </c>
      <c r="I3181" s="4">
        <v>44689.0</v>
      </c>
      <c r="K3181" s="1">
        <v>0.0</v>
      </c>
      <c r="L3181" s="1" t="s">
        <v>2343</v>
      </c>
      <c r="M3181" s="1" t="str">
        <f>VLOOKUP(L3181,'Copy of PMD Workday Constants -'!B3180:W3866,22,false)</f>
        <v>#N/A</v>
      </c>
      <c r="N3181" s="1" t="s">
        <v>32</v>
      </c>
      <c r="O3181" s="1" t="s">
        <v>33</v>
      </c>
      <c r="P3181" s="1" t="s">
        <v>222</v>
      </c>
      <c r="Q3181" s="1" t="s">
        <v>222</v>
      </c>
      <c r="R3181" s="1" t="s">
        <v>223</v>
      </c>
      <c r="S3181" s="1" t="s">
        <v>601</v>
      </c>
      <c r="T3181" s="1">
        <v>1.00619128E8</v>
      </c>
      <c r="W3181" s="1" t="s">
        <v>391</v>
      </c>
      <c r="X3181" s="1" t="s">
        <v>6248</v>
      </c>
    </row>
    <row r="3182">
      <c r="A3182" s="1" t="s">
        <v>9438</v>
      </c>
      <c r="B3182" s="1" t="s">
        <v>9439</v>
      </c>
      <c r="C3182" s="1" t="s">
        <v>9440</v>
      </c>
      <c r="D3182" s="1" t="s">
        <v>79</v>
      </c>
      <c r="E3182" s="1" t="s">
        <v>29</v>
      </c>
      <c r="F3182" s="5">
        <v>250000.0</v>
      </c>
      <c r="G3182" s="1" t="s">
        <v>7016</v>
      </c>
      <c r="H3182" s="1" t="s">
        <v>2069</v>
      </c>
      <c r="I3182" s="4">
        <v>44567.0</v>
      </c>
      <c r="K3182" s="1">
        <v>0.0</v>
      </c>
      <c r="L3182" s="1" t="s">
        <v>2205</v>
      </c>
      <c r="M3182" s="1" t="str">
        <f>VLOOKUP(L3182,'Copy of PMD Workday Constants -'!B3181:W3867,22,false)</f>
        <v>#N/A</v>
      </c>
      <c r="N3182" s="1" t="s">
        <v>32</v>
      </c>
      <c r="O3182" s="1" t="s">
        <v>33</v>
      </c>
      <c r="P3182" s="1" t="s">
        <v>112</v>
      </c>
      <c r="Q3182" s="1" t="s">
        <v>112</v>
      </c>
      <c r="R3182" s="1" t="s">
        <v>113</v>
      </c>
      <c r="S3182" s="1" t="s">
        <v>307</v>
      </c>
      <c r="T3182" s="1">
        <v>1.0059365E8</v>
      </c>
      <c r="W3182" s="1" t="s">
        <v>74</v>
      </c>
      <c r="X3182" s="1" t="s">
        <v>2660</v>
      </c>
    </row>
    <row r="3183">
      <c r="A3183" s="1" t="s">
        <v>9441</v>
      </c>
      <c r="B3183" s="1" t="s">
        <v>1392</v>
      </c>
      <c r="C3183" s="1" t="s">
        <v>9442</v>
      </c>
      <c r="D3183" s="1" t="s">
        <v>28</v>
      </c>
      <c r="E3183" s="1" t="s">
        <v>29</v>
      </c>
      <c r="F3183" s="5">
        <v>250000.0</v>
      </c>
      <c r="G3183" s="1" t="s">
        <v>7016</v>
      </c>
      <c r="H3183" s="1" t="s">
        <v>420</v>
      </c>
      <c r="I3183" s="4">
        <v>44604.0</v>
      </c>
      <c r="K3183" s="1">
        <v>0.0</v>
      </c>
      <c r="L3183" s="1" t="s">
        <v>1396</v>
      </c>
      <c r="M3183" s="1" t="str">
        <f>VLOOKUP(L3183,'Copy of PMD Workday Constants -'!B3182:W3868,22,false)</f>
        <v>#N/A</v>
      </c>
      <c r="N3183" s="1" t="s">
        <v>32</v>
      </c>
      <c r="O3183" s="1" t="s">
        <v>33</v>
      </c>
      <c r="P3183" s="1" t="s">
        <v>222</v>
      </c>
      <c r="Q3183" s="1" t="s">
        <v>222</v>
      </c>
      <c r="R3183" s="1" t="s">
        <v>223</v>
      </c>
      <c r="S3183" s="1" t="s">
        <v>646</v>
      </c>
      <c r="T3183" s="1">
        <v>1.00609118E8</v>
      </c>
      <c r="W3183" s="1" t="s">
        <v>947</v>
      </c>
      <c r="X3183" s="1" t="s">
        <v>2089</v>
      </c>
    </row>
    <row r="3184">
      <c r="A3184" s="1" t="s">
        <v>9443</v>
      </c>
      <c r="B3184" s="1" t="s">
        <v>3478</v>
      </c>
      <c r="C3184" s="1" t="s">
        <v>9444</v>
      </c>
      <c r="D3184" s="1" t="s">
        <v>28</v>
      </c>
      <c r="E3184" s="1" t="s">
        <v>29</v>
      </c>
      <c r="F3184" s="5">
        <v>250000.0</v>
      </c>
      <c r="G3184" s="1" t="s">
        <v>7016</v>
      </c>
      <c r="H3184" s="1" t="s">
        <v>2724</v>
      </c>
      <c r="I3184" s="4">
        <v>44569.0</v>
      </c>
      <c r="K3184" s="1">
        <v>0.0</v>
      </c>
      <c r="L3184" s="1" t="s">
        <v>3480</v>
      </c>
      <c r="M3184" s="1" t="str">
        <f>VLOOKUP(L3184,'Copy of PMD Workday Constants -'!B3183:W3869,22,false)</f>
        <v>#N/A</v>
      </c>
      <c r="N3184" s="1" t="s">
        <v>32</v>
      </c>
      <c r="O3184" s="1" t="s">
        <v>33</v>
      </c>
      <c r="P3184" s="1" t="s">
        <v>112</v>
      </c>
      <c r="Q3184" s="1" t="s">
        <v>112</v>
      </c>
      <c r="R3184" s="1" t="s">
        <v>113</v>
      </c>
      <c r="S3184" s="1" t="s">
        <v>114</v>
      </c>
      <c r="T3184" s="1">
        <v>1.00628223E8</v>
      </c>
      <c r="W3184" s="1" t="s">
        <v>947</v>
      </c>
      <c r="X3184" s="1" t="s">
        <v>6060</v>
      </c>
    </row>
    <row r="3185">
      <c r="A3185" s="1" t="s">
        <v>9445</v>
      </c>
      <c r="B3185" s="1" t="s">
        <v>2375</v>
      </c>
      <c r="C3185" s="1" t="s">
        <v>9446</v>
      </c>
      <c r="D3185" s="1" t="s">
        <v>28</v>
      </c>
      <c r="E3185" s="1" t="s">
        <v>29</v>
      </c>
      <c r="F3185" s="5">
        <v>250000.0</v>
      </c>
      <c r="G3185" s="1" t="s">
        <v>7016</v>
      </c>
      <c r="H3185" s="1" t="s">
        <v>9447</v>
      </c>
      <c r="I3185" s="1" t="s">
        <v>732</v>
      </c>
      <c r="K3185" s="1">
        <v>0.0</v>
      </c>
      <c r="L3185" s="1" t="s">
        <v>821</v>
      </c>
      <c r="M3185" s="1" t="str">
        <f>VLOOKUP(L3185,'Copy of PMD Workday Constants -'!B3184:W3870,22,false)</f>
        <v>#N/A</v>
      </c>
      <c r="N3185" s="1" t="s">
        <v>32</v>
      </c>
      <c r="O3185" s="1" t="s">
        <v>33</v>
      </c>
      <c r="P3185" s="1" t="s">
        <v>210</v>
      </c>
      <c r="Q3185" s="1" t="s">
        <v>210</v>
      </c>
      <c r="R3185" s="1" t="s">
        <v>211</v>
      </c>
      <c r="S3185" s="1" t="s">
        <v>297</v>
      </c>
      <c r="T3185" s="1">
        <v>1.00647674E8</v>
      </c>
      <c r="W3185" s="1" t="s">
        <v>258</v>
      </c>
      <c r="X3185" s="1" t="s">
        <v>9448</v>
      </c>
    </row>
    <row r="3186">
      <c r="A3186" s="1" t="s">
        <v>9449</v>
      </c>
      <c r="B3186" s="1" t="s">
        <v>3603</v>
      </c>
      <c r="C3186" s="1" t="s">
        <v>9450</v>
      </c>
      <c r="D3186" s="1" t="s">
        <v>51</v>
      </c>
      <c r="E3186" s="1" t="s">
        <v>29</v>
      </c>
      <c r="F3186" s="5">
        <v>250000.0</v>
      </c>
      <c r="G3186" s="1" t="s">
        <v>7016</v>
      </c>
      <c r="H3186" s="1" t="s">
        <v>1015</v>
      </c>
      <c r="I3186" s="1" t="s">
        <v>9451</v>
      </c>
      <c r="K3186" s="1">
        <v>0.0</v>
      </c>
      <c r="L3186" s="1" t="s">
        <v>2042</v>
      </c>
      <c r="M3186" s="1" t="str">
        <f>VLOOKUP(L3186,'Copy of PMD Workday Constants -'!B3185:W3871,22,false)</f>
        <v>#N/A</v>
      </c>
      <c r="N3186" s="1" t="s">
        <v>32</v>
      </c>
      <c r="O3186" s="1" t="s">
        <v>33</v>
      </c>
      <c r="P3186" s="1" t="s">
        <v>34</v>
      </c>
      <c r="Q3186" s="1" t="s">
        <v>34</v>
      </c>
      <c r="R3186" s="1" t="s">
        <v>35</v>
      </c>
      <c r="S3186" s="1" t="s">
        <v>126</v>
      </c>
      <c r="T3186" s="1">
        <v>1.00611284E8</v>
      </c>
      <c r="W3186" s="1" t="s">
        <v>74</v>
      </c>
      <c r="X3186" s="1" t="s">
        <v>5863</v>
      </c>
    </row>
    <row r="3187">
      <c r="A3187" s="1" t="s">
        <v>9452</v>
      </c>
      <c r="B3187" s="1" t="s">
        <v>311</v>
      </c>
      <c r="C3187" s="1" t="s">
        <v>9453</v>
      </c>
      <c r="D3187" s="1" t="s">
        <v>51</v>
      </c>
      <c r="E3187" s="1" t="s">
        <v>29</v>
      </c>
      <c r="F3187" s="5">
        <v>250000.0</v>
      </c>
      <c r="G3187" s="1" t="s">
        <v>7016</v>
      </c>
      <c r="H3187" s="1" t="s">
        <v>870</v>
      </c>
      <c r="I3187" s="1" t="s">
        <v>104</v>
      </c>
      <c r="K3187" s="1">
        <v>0.0</v>
      </c>
      <c r="L3187" s="1" t="s">
        <v>2133</v>
      </c>
      <c r="M3187" s="1" t="str">
        <f>VLOOKUP(L3187,'Copy of PMD Workday Constants -'!B3186:W3872,22,false)</f>
        <v>#N/A</v>
      </c>
      <c r="N3187" s="1" t="s">
        <v>32</v>
      </c>
      <c r="O3187" s="1" t="s">
        <v>33</v>
      </c>
      <c r="P3187" s="1" t="s">
        <v>64</v>
      </c>
      <c r="Q3187" s="1" t="s">
        <v>64</v>
      </c>
      <c r="R3187" s="1" t="s">
        <v>65</v>
      </c>
      <c r="T3187" s="1">
        <v>1.00653977E8</v>
      </c>
      <c r="W3187" s="1" t="s">
        <v>140</v>
      </c>
      <c r="X3187" s="1" t="s">
        <v>547</v>
      </c>
    </row>
    <row r="3188">
      <c r="A3188" s="1" t="s">
        <v>9454</v>
      </c>
      <c r="B3188" s="1" t="s">
        <v>1415</v>
      </c>
      <c r="C3188" s="1" t="s">
        <v>9455</v>
      </c>
      <c r="D3188" s="1" t="s">
        <v>51</v>
      </c>
      <c r="E3188" s="1" t="s">
        <v>29</v>
      </c>
      <c r="F3188" s="5">
        <v>250000.0</v>
      </c>
      <c r="G3188" s="1" t="s">
        <v>7016</v>
      </c>
      <c r="H3188" s="1" t="s">
        <v>301</v>
      </c>
      <c r="I3188" s="4">
        <v>44569.0</v>
      </c>
      <c r="K3188" s="1">
        <v>0.0</v>
      </c>
      <c r="L3188" s="1" t="s">
        <v>9456</v>
      </c>
      <c r="M3188" s="1" t="str">
        <f>VLOOKUP(L3188,'Copy of PMD Workday Constants -'!B3187:W3873,22,false)</f>
        <v>#N/A</v>
      </c>
      <c r="N3188" s="1" t="s">
        <v>32</v>
      </c>
      <c r="O3188" s="1" t="s">
        <v>33</v>
      </c>
      <c r="P3188" s="1" t="s">
        <v>222</v>
      </c>
      <c r="Q3188" s="1" t="s">
        <v>222</v>
      </c>
      <c r="R3188" s="1" t="s">
        <v>223</v>
      </c>
      <c r="S3188" s="1" t="s">
        <v>482</v>
      </c>
      <c r="T3188" s="1">
        <v>1.00609628E8</v>
      </c>
      <c r="W3188" s="1" t="s">
        <v>1303</v>
      </c>
      <c r="X3188" s="1" t="s">
        <v>9457</v>
      </c>
    </row>
    <row r="3189">
      <c r="A3189" s="1" t="s">
        <v>9458</v>
      </c>
      <c r="B3189" s="1" t="s">
        <v>913</v>
      </c>
      <c r="C3189" s="1" t="s">
        <v>9459</v>
      </c>
      <c r="D3189" s="1" t="s">
        <v>28</v>
      </c>
      <c r="E3189" s="1" t="s">
        <v>29</v>
      </c>
      <c r="F3189" s="5">
        <v>250000.0</v>
      </c>
      <c r="G3189" s="1" t="s">
        <v>7016</v>
      </c>
      <c r="H3189" s="1" t="s">
        <v>466</v>
      </c>
      <c r="I3189" s="4">
        <v>44569.0</v>
      </c>
      <c r="K3189" s="1">
        <v>0.0</v>
      </c>
      <c r="L3189" s="1" t="s">
        <v>4399</v>
      </c>
      <c r="M3189" s="1" t="str">
        <f>VLOOKUP(L3189,'Copy of PMD Workday Constants -'!B3188:W3874,22,false)</f>
        <v>#N/A</v>
      </c>
      <c r="N3189" s="1" t="s">
        <v>32</v>
      </c>
      <c r="O3189" s="1" t="s">
        <v>33</v>
      </c>
      <c r="P3189" s="1" t="s">
        <v>82</v>
      </c>
      <c r="Q3189" s="1" t="s">
        <v>82</v>
      </c>
      <c r="R3189" s="1" t="s">
        <v>83</v>
      </c>
      <c r="S3189" s="1" t="s">
        <v>180</v>
      </c>
      <c r="T3189" s="1">
        <v>1.01169845E8</v>
      </c>
      <c r="W3189" s="1" t="s">
        <v>85</v>
      </c>
      <c r="X3189" s="1" t="s">
        <v>1293</v>
      </c>
    </row>
    <row r="3190">
      <c r="A3190" s="1" t="s">
        <v>9460</v>
      </c>
      <c r="B3190" s="1" t="s">
        <v>3507</v>
      </c>
      <c r="C3190" s="1" t="s">
        <v>9461</v>
      </c>
      <c r="D3190" s="1" t="s">
        <v>28</v>
      </c>
      <c r="E3190" s="1" t="s">
        <v>29</v>
      </c>
      <c r="F3190" s="5">
        <v>250000.0</v>
      </c>
      <c r="G3190" s="1" t="s">
        <v>7016</v>
      </c>
      <c r="H3190" s="1" t="s">
        <v>9462</v>
      </c>
      <c r="I3190" s="1" t="s">
        <v>152</v>
      </c>
      <c r="K3190" s="1">
        <v>0.0</v>
      </c>
      <c r="L3190" s="1" t="s">
        <v>3509</v>
      </c>
      <c r="M3190" s="1" t="str">
        <f>VLOOKUP(L3190,'Copy of PMD Workday Constants -'!B3189:W3875,22,false)</f>
        <v>#N/A</v>
      </c>
      <c r="N3190" s="1" t="s">
        <v>32</v>
      </c>
      <c r="O3190" s="1" t="s">
        <v>33</v>
      </c>
      <c r="P3190" s="1" t="s">
        <v>34</v>
      </c>
      <c r="Q3190" s="1" t="s">
        <v>34</v>
      </c>
      <c r="R3190" s="1" t="s">
        <v>35</v>
      </c>
      <c r="S3190" s="1" t="s">
        <v>36</v>
      </c>
      <c r="T3190" s="1">
        <v>1.00610426E8</v>
      </c>
      <c r="W3190" s="1" t="s">
        <v>37</v>
      </c>
      <c r="X3190" s="1" t="s">
        <v>9463</v>
      </c>
    </row>
    <row r="3191">
      <c r="A3191" s="1" t="s">
        <v>9464</v>
      </c>
      <c r="B3191" s="1" t="s">
        <v>2728</v>
      </c>
      <c r="C3191" s="1" t="s">
        <v>9465</v>
      </c>
      <c r="D3191" s="1" t="s">
        <v>51</v>
      </c>
      <c r="E3191" s="1" t="s">
        <v>29</v>
      </c>
      <c r="F3191" s="5">
        <v>250000.0</v>
      </c>
      <c r="G3191" s="1" t="s">
        <v>7016</v>
      </c>
      <c r="H3191" s="1" t="s">
        <v>9466</v>
      </c>
      <c r="I3191" s="4">
        <v>44571.0</v>
      </c>
      <c r="K3191" s="1">
        <v>0.0</v>
      </c>
      <c r="L3191" s="1" t="s">
        <v>338</v>
      </c>
      <c r="M3191" s="1" t="str">
        <f>VLOOKUP(L3191,'Copy of PMD Workday Constants -'!B3190:W3876,22,false)</f>
        <v>#N/A</v>
      </c>
      <c r="N3191" s="1" t="s">
        <v>32</v>
      </c>
      <c r="O3191" s="1" t="s">
        <v>33</v>
      </c>
      <c r="P3191" s="1" t="s">
        <v>34</v>
      </c>
      <c r="Q3191" s="1" t="s">
        <v>34</v>
      </c>
      <c r="R3191" s="1" t="s">
        <v>35</v>
      </c>
      <c r="S3191" s="1" t="s">
        <v>36</v>
      </c>
      <c r="T3191" s="1">
        <v>1.00619817E8</v>
      </c>
      <c r="W3191" s="1" t="s">
        <v>91</v>
      </c>
      <c r="X3191" s="1" t="s">
        <v>9467</v>
      </c>
    </row>
    <row r="3192">
      <c r="A3192" s="1" t="s">
        <v>9468</v>
      </c>
      <c r="B3192" s="1" t="s">
        <v>776</v>
      </c>
      <c r="C3192" s="1" t="s">
        <v>9469</v>
      </c>
      <c r="D3192" s="1" t="s">
        <v>28</v>
      </c>
      <c r="E3192" s="1" t="s">
        <v>29</v>
      </c>
      <c r="F3192" s="5">
        <v>250000.0</v>
      </c>
      <c r="G3192" s="1" t="s">
        <v>7016</v>
      </c>
      <c r="H3192" s="1" t="s">
        <v>4892</v>
      </c>
      <c r="I3192" s="1" t="s">
        <v>166</v>
      </c>
      <c r="K3192" s="1">
        <v>0.0</v>
      </c>
      <c r="L3192" s="1" t="s">
        <v>2547</v>
      </c>
      <c r="M3192" s="1" t="str">
        <f>VLOOKUP(L3192,'Copy of PMD Workday Constants -'!B3191:W3877,22,false)</f>
        <v>#N/A</v>
      </c>
      <c r="N3192" s="1" t="s">
        <v>32</v>
      </c>
      <c r="O3192" s="1" t="s">
        <v>33</v>
      </c>
      <c r="P3192" s="1" t="s">
        <v>64</v>
      </c>
      <c r="Q3192" s="1" t="s">
        <v>64</v>
      </c>
      <c r="R3192" s="1" t="s">
        <v>65</v>
      </c>
      <c r="T3192" s="1">
        <v>1.00592932E8</v>
      </c>
      <c r="W3192" s="1" t="s">
        <v>74</v>
      </c>
      <c r="X3192" s="1" t="s">
        <v>2547</v>
      </c>
    </row>
    <row r="3193">
      <c r="A3193" s="1" t="s">
        <v>9470</v>
      </c>
      <c r="B3193" s="1" t="s">
        <v>4968</v>
      </c>
      <c r="C3193" s="1" t="s">
        <v>9471</v>
      </c>
      <c r="D3193" s="1" t="s">
        <v>103</v>
      </c>
      <c r="E3193" s="1" t="s">
        <v>29</v>
      </c>
      <c r="F3193" s="5">
        <v>250000.0</v>
      </c>
      <c r="G3193" s="1" t="s">
        <v>7016</v>
      </c>
      <c r="H3193" s="1" t="s">
        <v>3568</v>
      </c>
      <c r="I3193" s="4">
        <v>44872.0</v>
      </c>
      <c r="K3193" s="1">
        <v>0.0</v>
      </c>
      <c r="L3193" s="1" t="s">
        <v>2762</v>
      </c>
      <c r="M3193" s="1" t="str">
        <f>VLOOKUP(L3193,'Copy of PMD Workday Constants -'!B3192:W3878,22,false)</f>
        <v>#N/A</v>
      </c>
      <c r="N3193" s="1" t="s">
        <v>32</v>
      </c>
      <c r="O3193" s="1" t="s">
        <v>33</v>
      </c>
      <c r="P3193" s="1" t="s">
        <v>82</v>
      </c>
      <c r="Q3193" s="1" t="s">
        <v>82</v>
      </c>
      <c r="R3193" s="1" t="s">
        <v>83</v>
      </c>
      <c r="S3193" s="1" t="s">
        <v>583</v>
      </c>
      <c r="T3193" s="1">
        <v>1.00637221E8</v>
      </c>
      <c r="W3193" s="1" t="s">
        <v>456</v>
      </c>
      <c r="X3193" s="1" t="s">
        <v>767</v>
      </c>
    </row>
    <row r="3194">
      <c r="A3194" s="1" t="s">
        <v>9472</v>
      </c>
      <c r="B3194" s="1" t="s">
        <v>9473</v>
      </c>
      <c r="C3194" s="1" t="s">
        <v>9474</v>
      </c>
      <c r="D3194" s="1" t="s">
        <v>51</v>
      </c>
      <c r="E3194" s="1" t="s">
        <v>29</v>
      </c>
      <c r="F3194" s="5">
        <v>250000.0</v>
      </c>
      <c r="G3194" s="1" t="s">
        <v>7016</v>
      </c>
      <c r="H3194" s="4">
        <v>44897.0</v>
      </c>
      <c r="I3194" s="1" t="s">
        <v>301</v>
      </c>
      <c r="K3194" s="1">
        <v>0.0</v>
      </c>
      <c r="L3194" s="1" t="s">
        <v>5890</v>
      </c>
      <c r="M3194" s="1" t="str">
        <f>VLOOKUP(L3194,'Copy of PMD Workday Constants -'!B3193:W3879,22,false)</f>
        <v>#N/A</v>
      </c>
      <c r="N3194" s="1" t="s">
        <v>32</v>
      </c>
      <c r="O3194" s="1" t="s">
        <v>33</v>
      </c>
      <c r="P3194" s="1" t="s">
        <v>54</v>
      </c>
      <c r="Q3194" s="1" t="s">
        <v>54</v>
      </c>
      <c r="R3194" s="1" t="s">
        <v>55</v>
      </c>
      <c r="T3194" s="1">
        <v>1.00629231E8</v>
      </c>
      <c r="W3194" s="1" t="s">
        <v>56</v>
      </c>
      <c r="X3194" s="1" t="s">
        <v>9475</v>
      </c>
    </row>
    <row r="3195">
      <c r="A3195" s="1" t="s">
        <v>9476</v>
      </c>
      <c r="B3195" s="1" t="s">
        <v>9477</v>
      </c>
      <c r="C3195" s="1" t="s">
        <v>9478</v>
      </c>
      <c r="D3195" s="1" t="s">
        <v>28</v>
      </c>
      <c r="E3195" s="1" t="s">
        <v>29</v>
      </c>
      <c r="F3195" s="5">
        <v>250000.0</v>
      </c>
      <c r="G3195" s="1" t="s">
        <v>7016</v>
      </c>
      <c r="H3195" s="4">
        <v>44809.0</v>
      </c>
      <c r="I3195" s="1" t="s">
        <v>509</v>
      </c>
      <c r="K3195" s="1">
        <v>0.0</v>
      </c>
      <c r="L3195" s="1" t="s">
        <v>9337</v>
      </c>
      <c r="M3195" s="1" t="str">
        <f>VLOOKUP(L3195,'Copy of PMD Workday Constants -'!B3194:W3880,22,false)</f>
        <v>#N/A</v>
      </c>
      <c r="N3195" s="1" t="s">
        <v>32</v>
      </c>
      <c r="O3195" s="1" t="s">
        <v>33</v>
      </c>
      <c r="P3195" s="1" t="s">
        <v>173</v>
      </c>
      <c r="Q3195" s="1" t="s">
        <v>173</v>
      </c>
      <c r="R3195" s="1" t="s">
        <v>174</v>
      </c>
      <c r="S3195" s="1" t="s">
        <v>612</v>
      </c>
      <c r="T3195" s="1">
        <v>1.01195036E8</v>
      </c>
      <c r="W3195" s="1" t="s">
        <v>456</v>
      </c>
      <c r="X3195" s="1" t="s">
        <v>9337</v>
      </c>
    </row>
    <row r="3196">
      <c r="A3196" s="1" t="s">
        <v>9479</v>
      </c>
      <c r="B3196" s="1" t="s">
        <v>9480</v>
      </c>
      <c r="C3196" s="1" t="s">
        <v>9481</v>
      </c>
      <c r="D3196" s="1" t="s">
        <v>103</v>
      </c>
      <c r="E3196" s="1" t="s">
        <v>29</v>
      </c>
      <c r="F3196" s="5">
        <v>250000.0</v>
      </c>
      <c r="G3196" s="1" t="s">
        <v>7016</v>
      </c>
      <c r="H3196" s="1" t="s">
        <v>1785</v>
      </c>
      <c r="I3196" s="4">
        <v>44840.0</v>
      </c>
      <c r="K3196" s="1">
        <v>0.0</v>
      </c>
      <c r="L3196" s="1" t="s">
        <v>737</v>
      </c>
      <c r="M3196" s="1" t="str">
        <f>VLOOKUP(L3196,'Copy of PMD Workday Constants -'!B3195:W3881,22,false)</f>
        <v>#N/A</v>
      </c>
      <c r="N3196" s="1" t="s">
        <v>32</v>
      </c>
      <c r="O3196" s="1" t="s">
        <v>33</v>
      </c>
      <c r="P3196" s="1" t="s">
        <v>112</v>
      </c>
      <c r="Q3196" s="1" t="s">
        <v>112</v>
      </c>
      <c r="R3196" s="1" t="s">
        <v>113</v>
      </c>
      <c r="S3196" s="1" t="s">
        <v>455</v>
      </c>
      <c r="T3196" s="1">
        <v>1.00629729E8</v>
      </c>
      <c r="W3196" s="1" t="s">
        <v>456</v>
      </c>
      <c r="X3196" s="1" t="s">
        <v>3470</v>
      </c>
    </row>
    <row r="3197">
      <c r="A3197" s="1" t="s">
        <v>9482</v>
      </c>
      <c r="B3197" s="1" t="s">
        <v>1928</v>
      </c>
      <c r="C3197" s="1" t="s">
        <v>9483</v>
      </c>
      <c r="D3197" s="1" t="s">
        <v>28</v>
      </c>
      <c r="E3197" s="1" t="s">
        <v>29</v>
      </c>
      <c r="F3197" s="5">
        <v>250000.0</v>
      </c>
      <c r="G3197" s="1" t="s">
        <v>7016</v>
      </c>
      <c r="H3197" s="4">
        <v>44810.0</v>
      </c>
      <c r="I3197" s="1" t="s">
        <v>152</v>
      </c>
      <c r="K3197" s="1">
        <v>0.0</v>
      </c>
      <c r="L3197" s="1" t="s">
        <v>6144</v>
      </c>
      <c r="M3197" s="1" t="str">
        <f>VLOOKUP(L3197,'Copy of PMD Workday Constants -'!B3196:W3882,22,false)</f>
        <v>#N/A</v>
      </c>
      <c r="N3197" s="1" t="s">
        <v>32</v>
      </c>
      <c r="O3197" s="1" t="s">
        <v>33</v>
      </c>
      <c r="P3197" s="1" t="s">
        <v>173</v>
      </c>
      <c r="Q3197" s="1" t="s">
        <v>173</v>
      </c>
      <c r="R3197" s="1" t="s">
        <v>174</v>
      </c>
      <c r="T3197" s="1">
        <v>1.0049491E8</v>
      </c>
      <c r="W3197" s="1" t="s">
        <v>147</v>
      </c>
      <c r="X3197" s="1" t="s">
        <v>6144</v>
      </c>
    </row>
    <row r="3198">
      <c r="A3198" s="1" t="s">
        <v>9484</v>
      </c>
      <c r="B3198" s="1" t="s">
        <v>1234</v>
      </c>
      <c r="C3198" s="1" t="s">
        <v>9485</v>
      </c>
      <c r="D3198" s="1" t="s">
        <v>28</v>
      </c>
      <c r="E3198" s="1" t="s">
        <v>29</v>
      </c>
      <c r="F3198" s="5">
        <v>250000.0</v>
      </c>
      <c r="G3198" s="1" t="s">
        <v>7016</v>
      </c>
      <c r="H3198" s="1" t="s">
        <v>466</v>
      </c>
      <c r="I3198" s="4">
        <v>44812.0</v>
      </c>
      <c r="K3198" s="1">
        <v>0.0</v>
      </c>
      <c r="L3198" s="1" t="s">
        <v>6557</v>
      </c>
      <c r="M3198" s="1" t="str">
        <f>VLOOKUP(L3198,'Copy of PMD Workday Constants -'!B3197:W3883,22,false)</f>
        <v>#N/A</v>
      </c>
      <c r="N3198" s="1" t="s">
        <v>32</v>
      </c>
      <c r="O3198" s="1" t="s">
        <v>33</v>
      </c>
      <c r="P3198" s="1" t="s">
        <v>82</v>
      </c>
      <c r="Q3198" s="1" t="s">
        <v>82</v>
      </c>
      <c r="R3198" s="1" t="s">
        <v>83</v>
      </c>
      <c r="S3198" s="1" t="s">
        <v>180</v>
      </c>
      <c r="T3198" s="1">
        <v>1.01152256E8</v>
      </c>
      <c r="W3198" s="1" t="s">
        <v>85</v>
      </c>
      <c r="X3198" s="1" t="s">
        <v>1692</v>
      </c>
    </row>
    <row r="3199">
      <c r="A3199" s="1" t="s">
        <v>9486</v>
      </c>
      <c r="B3199" s="1" t="s">
        <v>859</v>
      </c>
      <c r="C3199" s="1" t="s">
        <v>9487</v>
      </c>
      <c r="D3199" s="1" t="s">
        <v>28</v>
      </c>
      <c r="E3199" s="1" t="s">
        <v>29</v>
      </c>
      <c r="F3199" s="5">
        <v>250000.0</v>
      </c>
      <c r="G3199" s="1" t="s">
        <v>7016</v>
      </c>
      <c r="H3199" s="4">
        <v>44685.0</v>
      </c>
      <c r="I3199" s="1" t="s">
        <v>80</v>
      </c>
      <c r="K3199" s="1">
        <v>0.0</v>
      </c>
      <c r="L3199" s="1" t="s">
        <v>7435</v>
      </c>
      <c r="M3199" s="1" t="str">
        <f>VLOOKUP(L3199,'Copy of PMD Workday Constants -'!B3198:W3884,22,false)</f>
        <v>#N/A</v>
      </c>
      <c r="N3199" s="1" t="s">
        <v>32</v>
      </c>
      <c r="O3199" s="1" t="s">
        <v>33</v>
      </c>
      <c r="P3199" s="1" t="s">
        <v>34</v>
      </c>
      <c r="Q3199" s="1" t="s">
        <v>34</v>
      </c>
      <c r="R3199" s="1" t="s">
        <v>35</v>
      </c>
      <c r="T3199" s="1">
        <v>1.00642202E8</v>
      </c>
      <c r="W3199" s="1" t="s">
        <v>147</v>
      </c>
      <c r="X3199" s="1" t="s">
        <v>3423</v>
      </c>
    </row>
    <row r="3200">
      <c r="A3200" s="1" t="s">
        <v>9488</v>
      </c>
      <c r="B3200" s="1" t="s">
        <v>317</v>
      </c>
      <c r="C3200" s="1" t="s">
        <v>9489</v>
      </c>
      <c r="D3200" s="1" t="s">
        <v>28</v>
      </c>
      <c r="E3200" s="1" t="s">
        <v>29</v>
      </c>
      <c r="F3200" s="5">
        <v>250000.0</v>
      </c>
      <c r="G3200" s="1" t="s">
        <v>7016</v>
      </c>
      <c r="H3200" s="4">
        <v>44810.0</v>
      </c>
      <c r="I3200" s="1" t="s">
        <v>80</v>
      </c>
      <c r="K3200" s="1">
        <v>0.0</v>
      </c>
      <c r="L3200" s="1" t="s">
        <v>5558</v>
      </c>
      <c r="M3200" s="1" t="str">
        <f>VLOOKUP(L3200,'Copy of PMD Workday Constants -'!B3199:W3885,22,false)</f>
        <v>#N/A</v>
      </c>
      <c r="N3200" s="1" t="s">
        <v>32</v>
      </c>
      <c r="O3200" s="1" t="s">
        <v>33</v>
      </c>
      <c r="P3200" s="1" t="s">
        <v>222</v>
      </c>
      <c r="Q3200" s="1" t="s">
        <v>222</v>
      </c>
      <c r="R3200" s="1" t="s">
        <v>223</v>
      </c>
      <c r="S3200" s="1" t="s">
        <v>482</v>
      </c>
      <c r="T3200" s="1">
        <v>1.00652479E8</v>
      </c>
      <c r="W3200" s="1" t="s">
        <v>85</v>
      </c>
      <c r="X3200" s="1" t="s">
        <v>9490</v>
      </c>
    </row>
    <row r="3201">
      <c r="A3201" s="1" t="s">
        <v>9491</v>
      </c>
      <c r="B3201" s="1" t="s">
        <v>9492</v>
      </c>
      <c r="C3201" s="1" t="s">
        <v>9493</v>
      </c>
      <c r="D3201" s="1" t="s">
        <v>51</v>
      </c>
      <c r="E3201" s="1" t="s">
        <v>29</v>
      </c>
      <c r="F3201" s="5">
        <v>250000.0</v>
      </c>
      <c r="G3201" s="1" t="s">
        <v>7016</v>
      </c>
      <c r="H3201" s="1" t="s">
        <v>9494</v>
      </c>
      <c r="I3201" s="1" t="s">
        <v>2593</v>
      </c>
      <c r="K3201" s="1">
        <v>0.0</v>
      </c>
      <c r="L3201" s="1" t="s">
        <v>2991</v>
      </c>
      <c r="M3201" s="1" t="str">
        <f>VLOOKUP(L3201,'Copy of PMD Workday Constants -'!B3200:W3886,22,false)</f>
        <v>#N/A</v>
      </c>
      <c r="N3201" s="1" t="s">
        <v>32</v>
      </c>
      <c r="O3201" s="1" t="s">
        <v>33</v>
      </c>
      <c r="P3201" s="1" t="s">
        <v>210</v>
      </c>
      <c r="Q3201" s="1" t="s">
        <v>210</v>
      </c>
      <c r="R3201" s="1" t="s">
        <v>211</v>
      </c>
      <c r="S3201" s="1" t="s">
        <v>297</v>
      </c>
      <c r="T3201" s="1">
        <v>1.00647935E8</v>
      </c>
      <c r="W3201" s="1" t="s">
        <v>258</v>
      </c>
      <c r="X3201" s="1" t="s">
        <v>2991</v>
      </c>
    </row>
    <row r="3202">
      <c r="A3202" s="1" t="s">
        <v>9495</v>
      </c>
      <c r="B3202" s="1" t="s">
        <v>353</v>
      </c>
      <c r="C3202" s="1" t="s">
        <v>9496</v>
      </c>
      <c r="D3202" s="1" t="s">
        <v>103</v>
      </c>
      <c r="E3202" s="1" t="s">
        <v>29</v>
      </c>
      <c r="F3202" s="5">
        <v>250000.0</v>
      </c>
      <c r="G3202" s="1" t="s">
        <v>7016</v>
      </c>
      <c r="H3202" s="1" t="s">
        <v>1455</v>
      </c>
      <c r="I3202" s="1" t="s">
        <v>132</v>
      </c>
      <c r="K3202" s="1">
        <v>0.0</v>
      </c>
      <c r="L3202" s="1" t="s">
        <v>1790</v>
      </c>
      <c r="M3202" s="1" t="str">
        <f>VLOOKUP(L3202,'Copy of PMD Workday Constants -'!B3201:W3887,22,false)</f>
        <v>#N/A</v>
      </c>
      <c r="N3202" s="1" t="s">
        <v>32</v>
      </c>
      <c r="O3202" s="1" t="s">
        <v>33</v>
      </c>
      <c r="P3202" s="1" t="s">
        <v>222</v>
      </c>
      <c r="Q3202" s="1" t="s">
        <v>222</v>
      </c>
      <c r="R3202" s="1" t="s">
        <v>223</v>
      </c>
      <c r="S3202" s="1" t="s">
        <v>601</v>
      </c>
      <c r="T3202" s="1">
        <v>1.00645232E8</v>
      </c>
      <c r="W3202" s="1" t="s">
        <v>258</v>
      </c>
      <c r="X3202" s="1" t="s">
        <v>2847</v>
      </c>
    </row>
    <row r="3203">
      <c r="A3203" s="1" t="s">
        <v>9497</v>
      </c>
      <c r="B3203" s="1" t="s">
        <v>40</v>
      </c>
      <c r="C3203" s="1" t="s">
        <v>9498</v>
      </c>
      <c r="D3203" s="1" t="s">
        <v>28</v>
      </c>
      <c r="E3203" s="1" t="s">
        <v>29</v>
      </c>
      <c r="F3203" s="5">
        <v>250000.0</v>
      </c>
      <c r="G3203" s="1" t="s">
        <v>7016</v>
      </c>
      <c r="H3203" s="1" t="s">
        <v>1474</v>
      </c>
      <c r="I3203" s="4">
        <v>44927.0</v>
      </c>
      <c r="K3203" s="1">
        <v>0.0</v>
      </c>
      <c r="L3203" s="1" t="s">
        <v>6325</v>
      </c>
      <c r="M3203" s="1" t="str">
        <f>VLOOKUP(L3203,'Copy of PMD Workday Constants -'!B3202:W3888,22,false)</f>
        <v>#N/A</v>
      </c>
      <c r="N3203" s="1" t="s">
        <v>32</v>
      </c>
      <c r="O3203" s="1" t="s">
        <v>33</v>
      </c>
      <c r="P3203" s="1" t="s">
        <v>34</v>
      </c>
      <c r="Q3203" s="1" t="s">
        <v>34</v>
      </c>
      <c r="R3203" s="1" t="s">
        <v>35</v>
      </c>
      <c r="S3203" s="1" t="s">
        <v>1166</v>
      </c>
      <c r="T3203" s="1">
        <v>1.01210545E8</v>
      </c>
      <c r="W3203" s="1" t="s">
        <v>115</v>
      </c>
      <c r="X3203" s="1" t="s">
        <v>6325</v>
      </c>
    </row>
    <row r="3204">
      <c r="A3204" s="1" t="s">
        <v>9499</v>
      </c>
      <c r="B3204" s="1" t="s">
        <v>3973</v>
      </c>
      <c r="C3204" s="1" t="s">
        <v>9500</v>
      </c>
      <c r="D3204" s="1" t="s">
        <v>51</v>
      </c>
      <c r="E3204" s="1" t="s">
        <v>29</v>
      </c>
      <c r="F3204" s="5">
        <v>250000.0</v>
      </c>
      <c r="G3204" s="1" t="s">
        <v>7016</v>
      </c>
      <c r="H3204" s="1" t="s">
        <v>131</v>
      </c>
      <c r="I3204" s="1" t="s">
        <v>104</v>
      </c>
      <c r="K3204" s="1">
        <v>0.0</v>
      </c>
      <c r="L3204" s="1" t="s">
        <v>474</v>
      </c>
      <c r="M3204" s="1" t="str">
        <f>VLOOKUP(L3204,'Copy of PMD Workday Constants -'!B3203:W3889,22,false)</f>
        <v>#N/A</v>
      </c>
      <c r="N3204" s="1" t="s">
        <v>32</v>
      </c>
      <c r="O3204" s="1" t="s">
        <v>33</v>
      </c>
      <c r="P3204" s="1" t="s">
        <v>64</v>
      </c>
      <c r="Q3204" s="1" t="s">
        <v>64</v>
      </c>
      <c r="R3204" s="1" t="s">
        <v>65</v>
      </c>
      <c r="T3204" s="1">
        <v>1.00660049E8</v>
      </c>
      <c r="W3204" s="1" t="s">
        <v>56</v>
      </c>
      <c r="X3204" s="1" t="s">
        <v>8733</v>
      </c>
    </row>
    <row r="3205">
      <c r="A3205" s="1" t="s">
        <v>9501</v>
      </c>
      <c r="B3205" s="1" t="s">
        <v>8716</v>
      </c>
      <c r="C3205" s="1" t="s">
        <v>9502</v>
      </c>
      <c r="D3205" s="1" t="s">
        <v>103</v>
      </c>
      <c r="E3205" s="1" t="s">
        <v>29</v>
      </c>
      <c r="F3205" s="5">
        <v>250000.0</v>
      </c>
      <c r="G3205" s="1" t="s">
        <v>7016</v>
      </c>
      <c r="H3205" s="1" t="s">
        <v>2360</v>
      </c>
      <c r="I3205" s="1" t="s">
        <v>104</v>
      </c>
      <c r="K3205" s="1">
        <v>0.0</v>
      </c>
      <c r="L3205" s="1" t="s">
        <v>338</v>
      </c>
      <c r="M3205" s="1" t="str">
        <f>VLOOKUP(L3205,'Copy of PMD Workday Constants -'!B3204:W3890,22,false)</f>
        <v>#N/A</v>
      </c>
      <c r="N3205" s="1" t="s">
        <v>32</v>
      </c>
      <c r="O3205" s="1" t="s">
        <v>33</v>
      </c>
      <c r="P3205" s="1" t="s">
        <v>34</v>
      </c>
      <c r="Q3205" s="1" t="s">
        <v>34</v>
      </c>
      <c r="R3205" s="1" t="s">
        <v>35</v>
      </c>
      <c r="S3205" s="1" t="s">
        <v>126</v>
      </c>
      <c r="T3205" s="1">
        <v>1.00619817E8</v>
      </c>
      <c r="W3205" s="1" t="s">
        <v>47</v>
      </c>
      <c r="X3205" s="1" t="s">
        <v>338</v>
      </c>
    </row>
    <row r="3206">
      <c r="A3206" s="1" t="s">
        <v>9503</v>
      </c>
      <c r="B3206" s="1" t="s">
        <v>489</v>
      </c>
      <c r="C3206" s="1" t="s">
        <v>9504</v>
      </c>
      <c r="D3206" s="1" t="s">
        <v>28</v>
      </c>
      <c r="E3206" s="1" t="s">
        <v>29</v>
      </c>
      <c r="F3206" s="5">
        <v>250000.0</v>
      </c>
      <c r="G3206" s="1" t="s">
        <v>7016</v>
      </c>
      <c r="H3206" s="1" t="s">
        <v>2484</v>
      </c>
      <c r="I3206" s="4">
        <v>44626.0</v>
      </c>
      <c r="K3206" s="1">
        <v>0.0</v>
      </c>
      <c r="L3206" s="1" t="s">
        <v>4699</v>
      </c>
      <c r="M3206" s="1" t="str">
        <f>VLOOKUP(L3206,'Copy of PMD Workday Constants -'!B3205:W3891,22,false)</f>
        <v>#N/A</v>
      </c>
      <c r="N3206" s="1" t="s">
        <v>32</v>
      </c>
      <c r="O3206" s="1" t="s">
        <v>33</v>
      </c>
      <c r="P3206" s="1" t="s">
        <v>222</v>
      </c>
      <c r="Q3206" s="1" t="s">
        <v>222</v>
      </c>
      <c r="R3206" s="1" t="s">
        <v>223</v>
      </c>
      <c r="S3206" s="1" t="s">
        <v>601</v>
      </c>
      <c r="T3206" s="1">
        <v>1.00986592E8</v>
      </c>
      <c r="W3206" s="1" t="s">
        <v>493</v>
      </c>
      <c r="X3206" s="1" t="s">
        <v>9219</v>
      </c>
    </row>
    <row r="3207">
      <c r="A3207" s="1" t="s">
        <v>9505</v>
      </c>
      <c r="B3207" s="1" t="s">
        <v>9506</v>
      </c>
      <c r="C3207" s="1" t="s">
        <v>9507</v>
      </c>
      <c r="D3207" s="1" t="s">
        <v>28</v>
      </c>
      <c r="E3207" s="1" t="s">
        <v>29</v>
      </c>
      <c r="F3207" s="5">
        <v>250000.0</v>
      </c>
      <c r="G3207" s="1" t="s">
        <v>7016</v>
      </c>
      <c r="H3207" s="1" t="s">
        <v>6738</v>
      </c>
      <c r="I3207" s="1" t="s">
        <v>400</v>
      </c>
      <c r="K3207" s="1">
        <v>0.0</v>
      </c>
      <c r="L3207" s="1" t="s">
        <v>2991</v>
      </c>
      <c r="M3207" s="1" t="str">
        <f>VLOOKUP(L3207,'Copy of PMD Workday Constants -'!B3206:W3892,22,false)</f>
        <v>#N/A</v>
      </c>
      <c r="N3207" s="1" t="s">
        <v>32</v>
      </c>
      <c r="O3207" s="1" t="s">
        <v>33</v>
      </c>
      <c r="P3207" s="1" t="s">
        <v>210</v>
      </c>
      <c r="Q3207" s="1" t="s">
        <v>210</v>
      </c>
      <c r="R3207" s="1" t="s">
        <v>211</v>
      </c>
      <c r="S3207" s="1" t="s">
        <v>297</v>
      </c>
      <c r="T3207" s="1">
        <v>1.00647935E8</v>
      </c>
      <c r="W3207" s="1" t="s">
        <v>258</v>
      </c>
      <c r="X3207" s="1" t="s">
        <v>9448</v>
      </c>
    </row>
    <row r="3208">
      <c r="A3208" s="1" t="s">
        <v>9508</v>
      </c>
      <c r="B3208" s="1" t="s">
        <v>1725</v>
      </c>
      <c r="C3208" s="1" t="s">
        <v>9509</v>
      </c>
      <c r="D3208" s="1" t="s">
        <v>28</v>
      </c>
      <c r="E3208" s="1" t="s">
        <v>29</v>
      </c>
      <c r="F3208" s="5">
        <v>250000.0</v>
      </c>
      <c r="G3208" s="1" t="s">
        <v>7016</v>
      </c>
      <c r="H3208" s="1" t="s">
        <v>2724</v>
      </c>
      <c r="I3208" s="1" t="s">
        <v>302</v>
      </c>
      <c r="K3208" s="1">
        <v>0.0</v>
      </c>
      <c r="L3208" s="1" t="s">
        <v>1036</v>
      </c>
      <c r="M3208" s="1" t="str">
        <f>VLOOKUP(L3208,'Copy of PMD Workday Constants -'!B3207:W3893,22,false)</f>
        <v>#N/A</v>
      </c>
      <c r="N3208" s="1" t="s">
        <v>32</v>
      </c>
      <c r="O3208" s="1" t="s">
        <v>33</v>
      </c>
      <c r="P3208" s="1" t="s">
        <v>82</v>
      </c>
      <c r="Q3208" s="1" t="s">
        <v>82</v>
      </c>
      <c r="R3208" s="1" t="s">
        <v>83</v>
      </c>
      <c r="S3208" s="1" t="s">
        <v>180</v>
      </c>
      <c r="T3208" s="1">
        <v>1.0090037E8</v>
      </c>
      <c r="W3208" s="1" t="s">
        <v>85</v>
      </c>
      <c r="X3208" s="1" t="s">
        <v>1036</v>
      </c>
    </row>
    <row r="3209">
      <c r="A3209" s="1" t="s">
        <v>9510</v>
      </c>
      <c r="B3209" s="1" t="s">
        <v>756</v>
      </c>
      <c r="C3209" s="1" t="s">
        <v>9511</v>
      </c>
      <c r="D3209" s="1" t="s">
        <v>28</v>
      </c>
      <c r="E3209" s="1" t="s">
        <v>29</v>
      </c>
      <c r="F3209" s="5">
        <v>250000.0</v>
      </c>
      <c r="G3209" s="1" t="s">
        <v>7016</v>
      </c>
      <c r="H3209" s="1" t="s">
        <v>2484</v>
      </c>
      <c r="I3209" s="4">
        <v>44570.0</v>
      </c>
      <c r="K3209" s="1">
        <v>0.0</v>
      </c>
      <c r="L3209" s="1" t="s">
        <v>2522</v>
      </c>
      <c r="M3209" s="1" t="str">
        <f>VLOOKUP(L3209,'Copy of PMD Workday Constants -'!B3208:W3894,22,false)</f>
        <v>#N/A</v>
      </c>
      <c r="N3209" s="1" t="s">
        <v>32</v>
      </c>
      <c r="O3209" s="1" t="s">
        <v>33</v>
      </c>
      <c r="P3209" s="1" t="s">
        <v>173</v>
      </c>
      <c r="Q3209" s="1" t="s">
        <v>173</v>
      </c>
      <c r="R3209" s="1" t="s">
        <v>174</v>
      </c>
      <c r="T3209" s="1">
        <v>1.00590772E8</v>
      </c>
      <c r="W3209" s="1" t="s">
        <v>74</v>
      </c>
      <c r="X3209" s="1" t="s">
        <v>6698</v>
      </c>
    </row>
    <row r="3210">
      <c r="A3210" s="1" t="s">
        <v>9512</v>
      </c>
      <c r="B3210" s="1" t="s">
        <v>149</v>
      </c>
      <c r="C3210" s="1" t="s">
        <v>9513</v>
      </c>
      <c r="D3210" s="1" t="s">
        <v>28</v>
      </c>
      <c r="E3210" s="1" t="s">
        <v>29</v>
      </c>
      <c r="F3210" s="5">
        <v>250000.0</v>
      </c>
      <c r="G3210" s="1" t="s">
        <v>7016</v>
      </c>
      <c r="H3210" s="1" t="s">
        <v>1349</v>
      </c>
      <c r="I3210" s="1" t="s">
        <v>217</v>
      </c>
      <c r="K3210" s="1">
        <v>0.0</v>
      </c>
      <c r="L3210" s="1" t="s">
        <v>2166</v>
      </c>
      <c r="M3210" s="1" t="str">
        <f>VLOOKUP(L3210,'Copy of PMD Workday Constants -'!B3209:W3895,22,false)</f>
        <v>#N/A</v>
      </c>
      <c r="N3210" s="1" t="s">
        <v>32</v>
      </c>
      <c r="O3210" s="1" t="s">
        <v>33</v>
      </c>
      <c r="P3210" s="1" t="s">
        <v>112</v>
      </c>
      <c r="Q3210" s="1" t="s">
        <v>112</v>
      </c>
      <c r="R3210" s="1" t="s">
        <v>113</v>
      </c>
      <c r="S3210" s="1" t="s">
        <v>204</v>
      </c>
      <c r="T3210" s="1">
        <v>1.00595635E8</v>
      </c>
      <c r="W3210" s="1" t="s">
        <v>91</v>
      </c>
      <c r="X3210" s="1" t="s">
        <v>2166</v>
      </c>
    </row>
    <row r="3211">
      <c r="A3211" s="1" t="s">
        <v>9514</v>
      </c>
      <c r="B3211" s="1" t="s">
        <v>149</v>
      </c>
      <c r="C3211" s="1" t="s">
        <v>9515</v>
      </c>
      <c r="D3211" s="1" t="s">
        <v>28</v>
      </c>
      <c r="E3211" s="1" t="s">
        <v>29</v>
      </c>
      <c r="F3211" s="5">
        <v>250000.0</v>
      </c>
      <c r="G3211" s="1" t="s">
        <v>7016</v>
      </c>
      <c r="H3211" s="1" t="s">
        <v>1349</v>
      </c>
      <c r="I3211" s="1" t="s">
        <v>43</v>
      </c>
      <c r="K3211" s="1">
        <v>0.0</v>
      </c>
      <c r="L3211" s="1" t="s">
        <v>2166</v>
      </c>
      <c r="M3211" s="1" t="str">
        <f>VLOOKUP(L3211,'Copy of PMD Workday Constants -'!B3210:W3896,22,false)</f>
        <v>#N/A</v>
      </c>
      <c r="N3211" s="1" t="s">
        <v>32</v>
      </c>
      <c r="O3211" s="1" t="s">
        <v>33</v>
      </c>
      <c r="P3211" s="1" t="s">
        <v>112</v>
      </c>
      <c r="Q3211" s="1" t="s">
        <v>112</v>
      </c>
      <c r="R3211" s="1" t="s">
        <v>113</v>
      </c>
      <c r="S3211" s="1" t="s">
        <v>204</v>
      </c>
      <c r="T3211" s="1">
        <v>1.00595635E8</v>
      </c>
      <c r="W3211" s="1" t="s">
        <v>91</v>
      </c>
      <c r="X3211" s="1" t="s">
        <v>2166</v>
      </c>
    </row>
    <row r="3212">
      <c r="A3212" s="1" t="s">
        <v>9516</v>
      </c>
      <c r="B3212" s="1" t="s">
        <v>751</v>
      </c>
      <c r="C3212" s="1" t="s">
        <v>6502</v>
      </c>
      <c r="D3212" s="1" t="s">
        <v>28</v>
      </c>
      <c r="E3212" s="1" t="s">
        <v>29</v>
      </c>
      <c r="F3212" s="5">
        <v>250000.0</v>
      </c>
      <c r="G3212" s="1" t="s">
        <v>7016</v>
      </c>
      <c r="H3212" s="4">
        <v>44748.0</v>
      </c>
      <c r="I3212" s="4">
        <v>44570.0</v>
      </c>
      <c r="K3212" s="1">
        <v>0.0</v>
      </c>
      <c r="L3212" s="1" t="s">
        <v>6503</v>
      </c>
      <c r="M3212" s="1" t="str">
        <f>VLOOKUP(L3212,'Copy of PMD Workday Constants -'!B3211:W3897,22,false)</f>
        <v>#N/A</v>
      </c>
      <c r="N3212" s="1" t="s">
        <v>32</v>
      </c>
      <c r="O3212" s="1" t="s">
        <v>33</v>
      </c>
      <c r="P3212" s="1" t="s">
        <v>82</v>
      </c>
      <c r="Q3212" s="1" t="s">
        <v>82</v>
      </c>
      <c r="R3212" s="1" t="s">
        <v>83</v>
      </c>
      <c r="S3212" s="1" t="s">
        <v>180</v>
      </c>
      <c r="T3212" s="1">
        <v>1.00593964E8</v>
      </c>
      <c r="U3212" s="1" t="s">
        <v>6504</v>
      </c>
      <c r="V3212" s="1" t="s">
        <v>781</v>
      </c>
      <c r="W3212" s="1" t="s">
        <v>85</v>
      </c>
      <c r="X3212" s="1" t="s">
        <v>6505</v>
      </c>
    </row>
    <row r="3213">
      <c r="A3213" s="1" t="s">
        <v>9517</v>
      </c>
      <c r="B3213" s="1" t="s">
        <v>1163</v>
      </c>
      <c r="C3213" s="1" t="s">
        <v>9518</v>
      </c>
      <c r="D3213" s="1" t="s">
        <v>28</v>
      </c>
      <c r="E3213" s="1" t="s">
        <v>29</v>
      </c>
      <c r="F3213" s="5">
        <v>250000.0</v>
      </c>
      <c r="G3213" s="1" t="s">
        <v>7016</v>
      </c>
      <c r="H3213" s="4">
        <v>44779.0</v>
      </c>
      <c r="I3213" s="1" t="s">
        <v>593</v>
      </c>
      <c r="K3213" s="1">
        <v>0.0</v>
      </c>
      <c r="L3213" s="1" t="s">
        <v>3891</v>
      </c>
      <c r="M3213" s="1" t="str">
        <f>VLOOKUP(L3213,'Copy of PMD Workday Constants -'!B3212:W3898,22,false)</f>
        <v>#N/A</v>
      </c>
      <c r="N3213" s="1" t="s">
        <v>32</v>
      </c>
      <c r="O3213" s="1" t="s">
        <v>33</v>
      </c>
      <c r="P3213" s="1" t="s">
        <v>112</v>
      </c>
      <c r="Q3213" s="1" t="s">
        <v>112</v>
      </c>
      <c r="R3213" s="1" t="s">
        <v>113</v>
      </c>
      <c r="S3213" s="1" t="s">
        <v>114</v>
      </c>
      <c r="T3213" s="1">
        <v>1.00589299E8</v>
      </c>
      <c r="W3213" s="1" t="s">
        <v>147</v>
      </c>
      <c r="X3213" s="1" t="s">
        <v>2519</v>
      </c>
    </row>
    <row r="3214">
      <c r="A3214" s="1" t="s">
        <v>9519</v>
      </c>
      <c r="B3214" s="1" t="s">
        <v>149</v>
      </c>
      <c r="C3214" s="1" t="s">
        <v>9520</v>
      </c>
      <c r="D3214" s="1" t="s">
        <v>28</v>
      </c>
      <c r="E3214" s="1" t="s">
        <v>29</v>
      </c>
      <c r="F3214" s="5">
        <v>250000.0</v>
      </c>
      <c r="G3214" s="1" t="s">
        <v>7016</v>
      </c>
      <c r="H3214" s="1" t="s">
        <v>1349</v>
      </c>
      <c r="I3214" s="1" t="s">
        <v>43</v>
      </c>
      <c r="K3214" s="1">
        <v>0.0</v>
      </c>
      <c r="L3214" s="1" t="s">
        <v>2166</v>
      </c>
      <c r="M3214" s="1" t="str">
        <f>VLOOKUP(L3214,'Copy of PMD Workday Constants -'!B3213:W3899,22,false)</f>
        <v>#N/A</v>
      </c>
      <c r="N3214" s="1" t="s">
        <v>32</v>
      </c>
      <c r="O3214" s="1" t="s">
        <v>33</v>
      </c>
      <c r="P3214" s="1" t="s">
        <v>112</v>
      </c>
      <c r="Q3214" s="1" t="s">
        <v>112</v>
      </c>
      <c r="R3214" s="1" t="s">
        <v>113</v>
      </c>
      <c r="S3214" s="1" t="s">
        <v>204</v>
      </c>
      <c r="T3214" s="1">
        <v>1.00595635E8</v>
      </c>
      <c r="W3214" s="1" t="s">
        <v>91</v>
      </c>
      <c r="X3214" s="1" t="s">
        <v>2166</v>
      </c>
    </row>
    <row r="3215">
      <c r="A3215" s="1" t="s">
        <v>9521</v>
      </c>
      <c r="B3215" s="1" t="s">
        <v>149</v>
      </c>
      <c r="C3215" s="1" t="s">
        <v>9522</v>
      </c>
      <c r="D3215" s="1" t="s">
        <v>28</v>
      </c>
      <c r="E3215" s="1" t="s">
        <v>29</v>
      </c>
      <c r="F3215" s="5">
        <v>250000.0</v>
      </c>
      <c r="G3215" s="1" t="s">
        <v>7016</v>
      </c>
      <c r="H3215" s="1" t="s">
        <v>1349</v>
      </c>
      <c r="I3215" s="1" t="s">
        <v>43</v>
      </c>
      <c r="K3215" s="1">
        <v>0.0</v>
      </c>
      <c r="L3215" s="1" t="s">
        <v>2166</v>
      </c>
      <c r="M3215" s="1" t="str">
        <f>VLOOKUP(L3215,'Copy of PMD Workday Constants -'!B3214:W3900,22,false)</f>
        <v>#N/A</v>
      </c>
      <c r="N3215" s="1" t="s">
        <v>32</v>
      </c>
      <c r="O3215" s="1" t="s">
        <v>33</v>
      </c>
      <c r="P3215" s="1" t="s">
        <v>112</v>
      </c>
      <c r="Q3215" s="1" t="s">
        <v>112</v>
      </c>
      <c r="R3215" s="1" t="s">
        <v>113</v>
      </c>
      <c r="S3215" s="1" t="s">
        <v>204</v>
      </c>
      <c r="T3215" s="1">
        <v>1.00595635E8</v>
      </c>
      <c r="W3215" s="1" t="s">
        <v>91</v>
      </c>
      <c r="X3215" s="1" t="s">
        <v>2166</v>
      </c>
    </row>
    <row r="3216">
      <c r="A3216" s="1" t="s">
        <v>9523</v>
      </c>
      <c r="B3216" s="1" t="s">
        <v>918</v>
      </c>
      <c r="C3216" s="1" t="s">
        <v>9524</v>
      </c>
      <c r="D3216" s="1" t="s">
        <v>51</v>
      </c>
      <c r="E3216" s="1" t="s">
        <v>29</v>
      </c>
      <c r="F3216" s="5">
        <v>250000.0</v>
      </c>
      <c r="G3216" s="1" t="s">
        <v>7016</v>
      </c>
      <c r="H3216" s="1" t="s">
        <v>2837</v>
      </c>
      <c r="I3216" s="4">
        <v>44601.0</v>
      </c>
      <c r="K3216" s="1">
        <v>0.0</v>
      </c>
      <c r="L3216" s="1" t="s">
        <v>645</v>
      </c>
      <c r="M3216" s="1" t="str">
        <f>VLOOKUP(L3216,'Copy of PMD Workday Constants -'!B3215:W3901,22,false)</f>
        <v>#N/A</v>
      </c>
      <c r="N3216" s="1" t="s">
        <v>32</v>
      </c>
      <c r="O3216" s="1" t="s">
        <v>33</v>
      </c>
      <c r="P3216" s="1" t="s">
        <v>64</v>
      </c>
      <c r="Q3216" s="1" t="s">
        <v>64</v>
      </c>
      <c r="R3216" s="1" t="s">
        <v>65</v>
      </c>
      <c r="S3216" s="1" t="s">
        <v>98</v>
      </c>
      <c r="T3216" s="1">
        <v>1.00653597E8</v>
      </c>
      <c r="W3216" s="1" t="s">
        <v>56</v>
      </c>
      <c r="X3216" s="1" t="s">
        <v>3334</v>
      </c>
    </row>
    <row r="3217">
      <c r="A3217" s="1" t="s">
        <v>9525</v>
      </c>
      <c r="B3217" s="1" t="s">
        <v>9526</v>
      </c>
      <c r="C3217" s="1" t="s">
        <v>9527</v>
      </c>
      <c r="D3217" s="1" t="s">
        <v>51</v>
      </c>
      <c r="E3217" s="1" t="s">
        <v>29</v>
      </c>
      <c r="F3217" s="5">
        <v>250000.0</v>
      </c>
      <c r="G3217" s="1" t="s">
        <v>7016</v>
      </c>
      <c r="H3217" s="4">
        <v>44236.0</v>
      </c>
      <c r="I3217" s="1" t="s">
        <v>104</v>
      </c>
      <c r="K3217" s="1">
        <v>0.0</v>
      </c>
      <c r="L3217" s="1" t="s">
        <v>3132</v>
      </c>
      <c r="M3217" s="1" t="str">
        <f>VLOOKUP(L3217,'Copy of PMD Workday Constants -'!B3216:W3902,22,false)</f>
        <v>#N/A</v>
      </c>
      <c r="N3217" s="1" t="s">
        <v>32</v>
      </c>
      <c r="O3217" s="1" t="s">
        <v>33</v>
      </c>
      <c r="P3217" s="1" t="s">
        <v>54</v>
      </c>
      <c r="Q3217" s="1" t="s">
        <v>54</v>
      </c>
      <c r="R3217" s="1" t="s">
        <v>55</v>
      </c>
      <c r="S3217" s="1" t="s">
        <v>2055</v>
      </c>
      <c r="T3217" s="1">
        <v>1.00584866E8</v>
      </c>
      <c r="W3217" s="1" t="s">
        <v>147</v>
      </c>
      <c r="X3217" s="1" t="s">
        <v>3132</v>
      </c>
    </row>
    <row r="3218">
      <c r="A3218" s="1" t="s">
        <v>9528</v>
      </c>
      <c r="B3218" s="1" t="s">
        <v>665</v>
      </c>
      <c r="C3218" s="1" t="s">
        <v>9529</v>
      </c>
      <c r="D3218" s="1" t="s">
        <v>28</v>
      </c>
      <c r="E3218" s="1" t="s">
        <v>29</v>
      </c>
      <c r="F3218" s="5">
        <v>250000.0</v>
      </c>
      <c r="G3218" s="1" t="s">
        <v>7016</v>
      </c>
      <c r="H3218" s="4">
        <v>44778.0</v>
      </c>
      <c r="I3218" s="4">
        <v>44571.0</v>
      </c>
      <c r="K3218" s="1">
        <v>0.0</v>
      </c>
      <c r="L3218" s="1" t="s">
        <v>667</v>
      </c>
      <c r="M3218" s="1" t="str">
        <f>VLOOKUP(L3218,'Copy of PMD Workday Constants -'!B3217:W3903,22,false)</f>
        <v>#N/A</v>
      </c>
      <c r="N3218" s="1" t="s">
        <v>32</v>
      </c>
      <c r="O3218" s="1" t="s">
        <v>33</v>
      </c>
      <c r="P3218" s="1" t="s">
        <v>112</v>
      </c>
      <c r="Q3218" s="1" t="s">
        <v>112</v>
      </c>
      <c r="R3218" s="1" t="s">
        <v>113</v>
      </c>
      <c r="S3218" s="1" t="s">
        <v>307</v>
      </c>
      <c r="T3218" s="1">
        <v>1.00616804E8</v>
      </c>
      <c r="W3218" s="1" t="s">
        <v>115</v>
      </c>
      <c r="X3218" s="1" t="s">
        <v>667</v>
      </c>
    </row>
    <row r="3219">
      <c r="A3219" s="1" t="s">
        <v>9530</v>
      </c>
      <c r="B3219" s="1" t="s">
        <v>9531</v>
      </c>
      <c r="C3219" s="1" t="s">
        <v>9532</v>
      </c>
      <c r="D3219" s="1" t="s">
        <v>51</v>
      </c>
      <c r="E3219" s="1" t="s">
        <v>29</v>
      </c>
      <c r="F3219" s="5">
        <v>250000.0</v>
      </c>
      <c r="G3219" s="1" t="s">
        <v>7016</v>
      </c>
      <c r="H3219" s="4">
        <v>44381.0</v>
      </c>
      <c r="I3219" s="1" t="s">
        <v>166</v>
      </c>
      <c r="K3219" s="1">
        <v>0.0</v>
      </c>
      <c r="L3219" s="1" t="s">
        <v>4608</v>
      </c>
      <c r="M3219" s="1" t="str">
        <f>VLOOKUP(L3219,'Copy of PMD Workday Constants -'!B3218:W3904,22,false)</f>
        <v>#N/A</v>
      </c>
      <c r="N3219" s="1" t="s">
        <v>32</v>
      </c>
      <c r="O3219" s="1" t="s">
        <v>33</v>
      </c>
      <c r="P3219" s="1" t="s">
        <v>222</v>
      </c>
      <c r="Q3219" s="1" t="s">
        <v>222</v>
      </c>
      <c r="R3219" s="1" t="s">
        <v>223</v>
      </c>
      <c r="S3219" s="1" t="s">
        <v>482</v>
      </c>
      <c r="T3219" s="1">
        <v>1.00592715E8</v>
      </c>
      <c r="W3219" s="1" t="s">
        <v>115</v>
      </c>
      <c r="X3219" s="1" t="s">
        <v>4608</v>
      </c>
    </row>
    <row r="3220">
      <c r="A3220" s="1" t="s">
        <v>9533</v>
      </c>
      <c r="B3220" s="1" t="s">
        <v>610</v>
      </c>
      <c r="C3220" s="1" t="s">
        <v>9534</v>
      </c>
      <c r="D3220" s="1" t="s">
        <v>28</v>
      </c>
      <c r="E3220" s="1" t="s">
        <v>29</v>
      </c>
      <c r="F3220" s="5">
        <v>250000.0</v>
      </c>
      <c r="G3220" s="1" t="s">
        <v>7016</v>
      </c>
      <c r="H3220" s="4">
        <v>44809.0</v>
      </c>
      <c r="I3220" s="4">
        <v>44571.0</v>
      </c>
      <c r="K3220" s="1">
        <v>0.0</v>
      </c>
      <c r="L3220" s="1" t="s">
        <v>667</v>
      </c>
      <c r="M3220" s="1" t="str">
        <f>VLOOKUP(L3220,'Copy of PMD Workday Constants -'!B3219:W3905,22,false)</f>
        <v>#N/A</v>
      </c>
      <c r="N3220" s="1" t="s">
        <v>32</v>
      </c>
      <c r="O3220" s="1" t="s">
        <v>33</v>
      </c>
      <c r="P3220" s="1" t="s">
        <v>112</v>
      </c>
      <c r="Q3220" s="1" t="s">
        <v>112</v>
      </c>
      <c r="R3220" s="1" t="s">
        <v>113</v>
      </c>
      <c r="S3220" s="1" t="s">
        <v>307</v>
      </c>
      <c r="T3220" s="1">
        <v>1.00616804E8</v>
      </c>
      <c r="W3220" s="1" t="s">
        <v>947</v>
      </c>
      <c r="X3220" s="1" t="s">
        <v>667</v>
      </c>
    </row>
    <row r="3221">
      <c r="A3221" s="1" t="s">
        <v>9535</v>
      </c>
      <c r="B3221" s="1" t="s">
        <v>7833</v>
      </c>
      <c r="C3221" s="1" t="s">
        <v>9536</v>
      </c>
      <c r="D3221" s="1" t="s">
        <v>28</v>
      </c>
      <c r="E3221" s="1" t="s">
        <v>29</v>
      </c>
      <c r="F3221" s="5">
        <v>250000.0</v>
      </c>
      <c r="G3221" s="1" t="s">
        <v>7016</v>
      </c>
      <c r="H3221" s="4">
        <v>43476.0</v>
      </c>
      <c r="I3221" s="1" t="s">
        <v>302</v>
      </c>
      <c r="K3221" s="1">
        <v>0.0</v>
      </c>
      <c r="L3221" s="1" t="s">
        <v>255</v>
      </c>
      <c r="M3221" s="1" t="str">
        <f>VLOOKUP(L3221,'Copy of PMD Workday Constants -'!B3220:W3906,22,false)</f>
        <v>#N/A</v>
      </c>
      <c r="N3221" s="1" t="s">
        <v>32</v>
      </c>
      <c r="O3221" s="1" t="s">
        <v>33</v>
      </c>
      <c r="P3221" s="1" t="s">
        <v>112</v>
      </c>
      <c r="Q3221" s="1" t="s">
        <v>112</v>
      </c>
      <c r="R3221" s="1" t="s">
        <v>113</v>
      </c>
      <c r="S3221" s="1" t="s">
        <v>256</v>
      </c>
      <c r="T3221" s="1">
        <v>1.00659114E8</v>
      </c>
      <c r="W3221" s="1" t="s">
        <v>258</v>
      </c>
      <c r="X3221" s="1" t="s">
        <v>9537</v>
      </c>
    </row>
    <row r="3222">
      <c r="A3222" s="1" t="s">
        <v>9538</v>
      </c>
      <c r="B3222" s="1" t="s">
        <v>9539</v>
      </c>
      <c r="C3222" s="1" t="s">
        <v>9540</v>
      </c>
      <c r="D3222" s="1" t="s">
        <v>103</v>
      </c>
      <c r="E3222" s="1" t="s">
        <v>29</v>
      </c>
      <c r="F3222" s="5">
        <v>250000.0</v>
      </c>
      <c r="G3222" s="1" t="s">
        <v>7016</v>
      </c>
      <c r="H3222" s="4">
        <v>44626.0</v>
      </c>
      <c r="I3222" s="1" t="s">
        <v>131</v>
      </c>
      <c r="K3222" s="1">
        <v>0.0</v>
      </c>
      <c r="L3222" s="1" t="s">
        <v>1156</v>
      </c>
      <c r="M3222" s="1" t="str">
        <f>VLOOKUP(L3222,'Copy of PMD Workday Constants -'!B3221:W3907,22,false)</f>
        <v>#N/A</v>
      </c>
      <c r="N3222" s="1" t="s">
        <v>32</v>
      </c>
      <c r="O3222" s="1" t="s">
        <v>33</v>
      </c>
      <c r="P3222" s="1" t="s">
        <v>112</v>
      </c>
      <c r="Q3222" s="1" t="s">
        <v>112</v>
      </c>
      <c r="R3222" s="1" t="s">
        <v>113</v>
      </c>
      <c r="S3222" s="1" t="s">
        <v>114</v>
      </c>
      <c r="T3222" s="1">
        <v>1.00633643E8</v>
      </c>
      <c r="W3222" s="1" t="s">
        <v>140</v>
      </c>
      <c r="X3222" s="1" t="s">
        <v>9541</v>
      </c>
    </row>
    <row r="3223">
      <c r="A3223" s="1" t="s">
        <v>9542</v>
      </c>
      <c r="B3223" s="1" t="s">
        <v>3669</v>
      </c>
      <c r="C3223" s="1" t="s">
        <v>9543</v>
      </c>
      <c r="D3223" s="1" t="s">
        <v>28</v>
      </c>
      <c r="E3223" s="1" t="s">
        <v>29</v>
      </c>
      <c r="F3223" s="5">
        <v>250000.0</v>
      </c>
      <c r="G3223" s="1" t="s">
        <v>7016</v>
      </c>
      <c r="H3223" s="1" t="s">
        <v>3496</v>
      </c>
      <c r="I3223" s="1" t="s">
        <v>301</v>
      </c>
      <c r="K3223" s="1">
        <v>0.0</v>
      </c>
      <c r="L3223" s="1" t="s">
        <v>3596</v>
      </c>
      <c r="M3223" s="1" t="str">
        <f>VLOOKUP(L3223,'Copy of PMD Workday Constants -'!B3222:W3908,22,false)</f>
        <v>#N/A</v>
      </c>
      <c r="N3223" s="1" t="s">
        <v>32</v>
      </c>
      <c r="O3223" s="1" t="s">
        <v>33</v>
      </c>
      <c r="P3223" s="1" t="s">
        <v>210</v>
      </c>
      <c r="Q3223" s="1" t="s">
        <v>210</v>
      </c>
      <c r="R3223" s="1" t="s">
        <v>211</v>
      </c>
      <c r="S3223" s="1" t="s">
        <v>416</v>
      </c>
      <c r="T3223" s="1">
        <v>1.00659524E8</v>
      </c>
      <c r="W3223" s="1" t="s">
        <v>74</v>
      </c>
      <c r="X3223" s="1" t="s">
        <v>9090</v>
      </c>
    </row>
    <row r="3224">
      <c r="A3224" s="1" t="s">
        <v>9544</v>
      </c>
      <c r="B3224" s="1" t="s">
        <v>3154</v>
      </c>
      <c r="C3224" s="1" t="s">
        <v>9545</v>
      </c>
      <c r="D3224" s="1" t="s">
        <v>28</v>
      </c>
      <c r="E3224" s="1" t="s">
        <v>29</v>
      </c>
      <c r="F3224" s="5">
        <v>250000.0</v>
      </c>
      <c r="G3224" s="1" t="s">
        <v>7016</v>
      </c>
      <c r="H3224" s="4">
        <v>44563.0</v>
      </c>
      <c r="I3224" s="1" t="s">
        <v>80</v>
      </c>
      <c r="K3224" s="1">
        <v>0.0</v>
      </c>
      <c r="L3224" s="1" t="s">
        <v>2703</v>
      </c>
      <c r="M3224" s="1" t="str">
        <f>VLOOKUP(L3224,'Copy of PMD Workday Constants -'!B3223:W3909,22,false)</f>
        <v>#N/A</v>
      </c>
      <c r="N3224" s="1" t="s">
        <v>32</v>
      </c>
      <c r="O3224" s="1" t="s">
        <v>33</v>
      </c>
      <c r="P3224" s="1" t="s">
        <v>34</v>
      </c>
      <c r="Q3224" s="1" t="s">
        <v>34</v>
      </c>
      <c r="R3224" s="1" t="s">
        <v>35</v>
      </c>
      <c r="S3224" s="1" t="s">
        <v>1336</v>
      </c>
      <c r="T3224" s="1">
        <v>1.00866856E8</v>
      </c>
      <c r="W3224" s="1" t="s">
        <v>147</v>
      </c>
      <c r="X3224" s="1" t="s">
        <v>2703</v>
      </c>
    </row>
    <row r="3225">
      <c r="A3225" s="1" t="s">
        <v>9546</v>
      </c>
      <c r="B3225" s="1" t="s">
        <v>1449</v>
      </c>
      <c r="C3225" s="1" t="s">
        <v>9547</v>
      </c>
      <c r="D3225" s="1" t="s">
        <v>28</v>
      </c>
      <c r="E3225" s="1" t="s">
        <v>29</v>
      </c>
      <c r="F3225" s="5">
        <v>250000.0</v>
      </c>
      <c r="G3225" s="1" t="s">
        <v>7016</v>
      </c>
      <c r="H3225" s="1" t="s">
        <v>1765</v>
      </c>
      <c r="I3225" s="4">
        <v>44872.0</v>
      </c>
      <c r="K3225" s="1">
        <v>0.0</v>
      </c>
      <c r="L3225" s="1" t="s">
        <v>4794</v>
      </c>
      <c r="M3225" s="1" t="str">
        <f>VLOOKUP(L3225,'Copy of PMD Workday Constants -'!B3224:W3910,22,false)</f>
        <v>#N/A</v>
      </c>
      <c r="N3225" s="1" t="s">
        <v>32</v>
      </c>
      <c r="O3225" s="1" t="s">
        <v>33</v>
      </c>
      <c r="P3225" s="1" t="s">
        <v>173</v>
      </c>
      <c r="Q3225" s="1" t="s">
        <v>173</v>
      </c>
      <c r="R3225" s="1" t="s">
        <v>174</v>
      </c>
      <c r="T3225" s="1">
        <v>1.00875111E8</v>
      </c>
      <c r="W3225" s="1" t="s">
        <v>250</v>
      </c>
      <c r="X3225" s="1" t="s">
        <v>9548</v>
      </c>
    </row>
    <row r="3226">
      <c r="A3226" s="1" t="s">
        <v>9549</v>
      </c>
      <c r="B3226" s="1" t="s">
        <v>507</v>
      </c>
      <c r="C3226" s="1" t="s">
        <v>9550</v>
      </c>
      <c r="D3226" s="1" t="s">
        <v>28</v>
      </c>
      <c r="E3226" s="1" t="s">
        <v>29</v>
      </c>
      <c r="F3226" s="5">
        <v>250000.0</v>
      </c>
      <c r="G3226" s="1" t="s">
        <v>7016</v>
      </c>
      <c r="H3226" s="4">
        <v>44836.0</v>
      </c>
      <c r="I3226" s="1" t="s">
        <v>302</v>
      </c>
      <c r="K3226" s="1">
        <v>0.0</v>
      </c>
      <c r="L3226" s="1" t="s">
        <v>1282</v>
      </c>
      <c r="M3226" s="1" t="str">
        <f>VLOOKUP(L3226,'Copy of PMD Workday Constants -'!B3225:W3911,22,false)</f>
        <v>#N/A</v>
      </c>
      <c r="N3226" s="1" t="s">
        <v>32</v>
      </c>
      <c r="O3226" s="1" t="s">
        <v>33</v>
      </c>
      <c r="P3226" s="1" t="s">
        <v>34</v>
      </c>
      <c r="Q3226" s="1" t="s">
        <v>34</v>
      </c>
      <c r="R3226" s="1" t="s">
        <v>35</v>
      </c>
      <c r="S3226" s="1" t="s">
        <v>1166</v>
      </c>
      <c r="T3226" s="1">
        <v>1.006096E8</v>
      </c>
      <c r="W3226" s="1" t="s">
        <v>456</v>
      </c>
      <c r="X3226" s="1" t="s">
        <v>1283</v>
      </c>
    </row>
    <row r="3227">
      <c r="A3227" s="1" t="s">
        <v>9551</v>
      </c>
      <c r="B3227" s="1" t="s">
        <v>9552</v>
      </c>
      <c r="C3227" s="1" t="s">
        <v>9553</v>
      </c>
      <c r="D3227" s="1" t="s">
        <v>28</v>
      </c>
      <c r="E3227" s="1" t="s">
        <v>29</v>
      </c>
      <c r="F3227" s="5">
        <v>250000.0</v>
      </c>
      <c r="G3227" s="1" t="s">
        <v>7016</v>
      </c>
      <c r="H3227" s="1" t="s">
        <v>1220</v>
      </c>
      <c r="I3227" s="1" t="s">
        <v>80</v>
      </c>
      <c r="K3227" s="1">
        <v>0.0</v>
      </c>
      <c r="L3227" s="1" t="s">
        <v>3132</v>
      </c>
      <c r="M3227" s="1" t="str">
        <f>VLOOKUP(L3227,'Copy of PMD Workday Constants -'!B3226:W3912,22,false)</f>
        <v>#N/A</v>
      </c>
      <c r="N3227" s="1" t="s">
        <v>32</v>
      </c>
      <c r="O3227" s="1" t="s">
        <v>33</v>
      </c>
      <c r="P3227" s="1" t="s">
        <v>54</v>
      </c>
      <c r="Q3227" s="1" t="s">
        <v>54</v>
      </c>
      <c r="R3227" s="1" t="s">
        <v>55</v>
      </c>
      <c r="S3227" s="1" t="s">
        <v>285</v>
      </c>
      <c r="T3227" s="1">
        <v>1.00584866E8</v>
      </c>
      <c r="W3227" s="1" t="s">
        <v>4719</v>
      </c>
      <c r="X3227" s="1" t="s">
        <v>3132</v>
      </c>
    </row>
    <row r="3228">
      <c r="A3228" s="1" t="s">
        <v>9554</v>
      </c>
      <c r="B3228" s="1" t="s">
        <v>1609</v>
      </c>
      <c r="C3228" s="1" t="s">
        <v>9555</v>
      </c>
      <c r="D3228" s="1" t="s">
        <v>103</v>
      </c>
      <c r="E3228" s="1" t="s">
        <v>29</v>
      </c>
      <c r="F3228" s="5">
        <v>250000.0</v>
      </c>
      <c r="G3228" s="1" t="s">
        <v>7016</v>
      </c>
      <c r="H3228" s="1" t="s">
        <v>706</v>
      </c>
      <c r="I3228" s="1" t="s">
        <v>1528</v>
      </c>
      <c r="K3228" s="1">
        <v>0.0</v>
      </c>
      <c r="L3228" s="1" t="s">
        <v>2205</v>
      </c>
      <c r="M3228" s="1" t="str">
        <f>VLOOKUP(L3228,'Copy of PMD Workday Constants -'!B3227:W3913,22,false)</f>
        <v>#N/A</v>
      </c>
      <c r="N3228" s="1" t="s">
        <v>32</v>
      </c>
      <c r="O3228" s="1" t="s">
        <v>33</v>
      </c>
      <c r="P3228" s="1" t="s">
        <v>112</v>
      </c>
      <c r="Q3228" s="1" t="s">
        <v>112</v>
      </c>
      <c r="R3228" s="1" t="s">
        <v>113</v>
      </c>
      <c r="S3228" s="1" t="s">
        <v>307</v>
      </c>
      <c r="T3228" s="1">
        <v>1.0059365E8</v>
      </c>
      <c r="W3228" s="1" t="s">
        <v>391</v>
      </c>
      <c r="X3228" s="1" t="s">
        <v>9556</v>
      </c>
    </row>
    <row r="3229">
      <c r="A3229" s="1" t="s">
        <v>9557</v>
      </c>
      <c r="B3229" s="1" t="s">
        <v>1392</v>
      </c>
      <c r="C3229" s="1" t="s">
        <v>9558</v>
      </c>
      <c r="D3229" s="1" t="s">
        <v>28</v>
      </c>
      <c r="E3229" s="1" t="s">
        <v>29</v>
      </c>
      <c r="F3229" s="5">
        <v>250000.0</v>
      </c>
      <c r="G3229" s="1" t="s">
        <v>7016</v>
      </c>
      <c r="H3229" s="1" t="s">
        <v>8680</v>
      </c>
      <c r="I3229" s="1" t="s">
        <v>43</v>
      </c>
      <c r="K3229" s="1">
        <v>0.0</v>
      </c>
      <c r="L3229" s="1" t="s">
        <v>1396</v>
      </c>
      <c r="M3229" s="1" t="str">
        <f>VLOOKUP(L3229,'Copy of PMD Workday Constants -'!B3228:W3914,22,false)</f>
        <v>#N/A</v>
      </c>
      <c r="N3229" s="1" t="s">
        <v>32</v>
      </c>
      <c r="O3229" s="1" t="s">
        <v>33</v>
      </c>
      <c r="P3229" s="1" t="s">
        <v>222</v>
      </c>
      <c r="Q3229" s="1" t="s">
        <v>222</v>
      </c>
      <c r="R3229" s="1" t="s">
        <v>223</v>
      </c>
      <c r="S3229" s="1" t="s">
        <v>646</v>
      </c>
      <c r="T3229" s="1">
        <v>1.00609118E8</v>
      </c>
      <c r="W3229" s="1" t="s">
        <v>947</v>
      </c>
      <c r="X3229" s="1" t="s">
        <v>1638</v>
      </c>
    </row>
    <row r="3230">
      <c r="A3230" s="1" t="s">
        <v>9559</v>
      </c>
      <c r="B3230" s="1" t="s">
        <v>324</v>
      </c>
      <c r="C3230" s="1" t="s">
        <v>9560</v>
      </c>
      <c r="D3230" s="1" t="s">
        <v>28</v>
      </c>
      <c r="E3230" s="1" t="s">
        <v>29</v>
      </c>
      <c r="F3230" s="5">
        <v>250000.0</v>
      </c>
      <c r="G3230" s="1" t="s">
        <v>7016</v>
      </c>
      <c r="H3230" s="1" t="s">
        <v>1323</v>
      </c>
      <c r="I3230" s="1" t="s">
        <v>1330</v>
      </c>
      <c r="K3230" s="1">
        <v>0.0</v>
      </c>
      <c r="L3230" s="1" t="s">
        <v>5335</v>
      </c>
      <c r="M3230" s="1" t="str">
        <f>VLOOKUP(L3230,'Copy of PMD Workday Constants -'!B3229:W3915,22,false)</f>
        <v>#N/A</v>
      </c>
      <c r="N3230" s="1" t="s">
        <v>32</v>
      </c>
      <c r="O3230" s="1" t="s">
        <v>33</v>
      </c>
      <c r="P3230" s="1" t="s">
        <v>64</v>
      </c>
      <c r="Q3230" s="1" t="s">
        <v>64</v>
      </c>
      <c r="R3230" s="1" t="s">
        <v>65</v>
      </c>
      <c r="S3230" s="1" t="s">
        <v>1313</v>
      </c>
      <c r="T3230" s="1">
        <v>1.00649463E8</v>
      </c>
      <c r="W3230" s="1" t="s">
        <v>56</v>
      </c>
      <c r="X3230" s="1" t="s">
        <v>5336</v>
      </c>
    </row>
    <row r="3231">
      <c r="A3231" s="1" t="s">
        <v>9561</v>
      </c>
      <c r="B3231" s="1" t="s">
        <v>776</v>
      </c>
      <c r="C3231" s="1" t="s">
        <v>9562</v>
      </c>
      <c r="D3231" s="1" t="s">
        <v>28</v>
      </c>
      <c r="E3231" s="1" t="s">
        <v>29</v>
      </c>
      <c r="F3231" s="5">
        <v>250000.0</v>
      </c>
      <c r="G3231" s="1" t="s">
        <v>7016</v>
      </c>
      <c r="H3231" s="4">
        <v>44319.0</v>
      </c>
      <c r="I3231" s="1" t="s">
        <v>166</v>
      </c>
      <c r="K3231" s="1">
        <v>0.0</v>
      </c>
      <c r="L3231" s="1" t="s">
        <v>2547</v>
      </c>
      <c r="M3231" s="1" t="str">
        <f>VLOOKUP(L3231,'Copy of PMD Workday Constants -'!B3230:W3916,22,false)</f>
        <v>#N/A</v>
      </c>
      <c r="N3231" s="1" t="s">
        <v>32</v>
      </c>
      <c r="O3231" s="1" t="s">
        <v>33</v>
      </c>
      <c r="P3231" s="1" t="s">
        <v>64</v>
      </c>
      <c r="Q3231" s="1" t="s">
        <v>64</v>
      </c>
      <c r="R3231" s="1" t="s">
        <v>65</v>
      </c>
      <c r="S3231" s="1" t="s">
        <v>185</v>
      </c>
      <c r="T3231" s="1">
        <v>1.00592932E8</v>
      </c>
      <c r="W3231" s="1" t="s">
        <v>74</v>
      </c>
      <c r="X3231" s="1" t="s">
        <v>2547</v>
      </c>
    </row>
    <row r="3232">
      <c r="A3232" s="1" t="s">
        <v>9563</v>
      </c>
      <c r="B3232" s="1" t="s">
        <v>324</v>
      </c>
      <c r="C3232" s="1" t="s">
        <v>9564</v>
      </c>
      <c r="D3232" s="1" t="s">
        <v>28</v>
      </c>
      <c r="E3232" s="1" t="s">
        <v>29</v>
      </c>
      <c r="F3232" s="5">
        <v>250000.0</v>
      </c>
      <c r="G3232" s="1" t="s">
        <v>7016</v>
      </c>
      <c r="H3232" s="1" t="s">
        <v>1323</v>
      </c>
      <c r="I3232" s="1" t="s">
        <v>1330</v>
      </c>
      <c r="K3232" s="1">
        <v>0.0</v>
      </c>
      <c r="L3232" s="1" t="s">
        <v>5335</v>
      </c>
      <c r="M3232" s="1" t="str">
        <f>VLOOKUP(L3232,'Copy of PMD Workday Constants -'!B3231:W3917,22,false)</f>
        <v>#N/A</v>
      </c>
      <c r="N3232" s="1" t="s">
        <v>32</v>
      </c>
      <c r="O3232" s="1" t="s">
        <v>33</v>
      </c>
      <c r="P3232" s="1" t="s">
        <v>64</v>
      </c>
      <c r="Q3232" s="1" t="s">
        <v>64</v>
      </c>
      <c r="R3232" s="1" t="s">
        <v>65</v>
      </c>
      <c r="S3232" s="1" t="s">
        <v>1313</v>
      </c>
      <c r="T3232" s="1">
        <v>1.00649463E8</v>
      </c>
      <c r="W3232" s="1" t="s">
        <v>56</v>
      </c>
      <c r="X3232" s="1" t="s">
        <v>5336</v>
      </c>
    </row>
    <row r="3233">
      <c r="A3233" s="1" t="s">
        <v>9565</v>
      </c>
      <c r="B3233" s="1" t="s">
        <v>1449</v>
      </c>
      <c r="C3233" s="1" t="s">
        <v>9566</v>
      </c>
      <c r="D3233" s="1" t="s">
        <v>28</v>
      </c>
      <c r="E3233" s="1" t="s">
        <v>29</v>
      </c>
      <c r="F3233" s="5">
        <v>250000.0</v>
      </c>
      <c r="G3233" s="1" t="s">
        <v>7016</v>
      </c>
      <c r="H3233" s="1" t="s">
        <v>1765</v>
      </c>
      <c r="I3233" s="1" t="s">
        <v>699</v>
      </c>
      <c r="K3233" s="1">
        <v>0.0</v>
      </c>
      <c r="L3233" s="1" t="s">
        <v>9567</v>
      </c>
      <c r="M3233" s="1" t="str">
        <f>VLOOKUP(L3233,'Copy of PMD Workday Constants -'!B3232:W3918,22,false)</f>
        <v>#N/A</v>
      </c>
      <c r="N3233" s="1" t="s">
        <v>32</v>
      </c>
      <c r="O3233" s="1" t="s">
        <v>33</v>
      </c>
      <c r="P3233" s="1" t="s">
        <v>173</v>
      </c>
      <c r="Q3233" s="1" t="s">
        <v>173</v>
      </c>
      <c r="R3233" s="1" t="s">
        <v>174</v>
      </c>
      <c r="T3233" s="1">
        <v>1.0060437E8</v>
      </c>
      <c r="W3233" s="1" t="s">
        <v>250</v>
      </c>
      <c r="X3233" s="1" t="s">
        <v>9548</v>
      </c>
    </row>
    <row r="3234">
      <c r="A3234" s="1" t="s">
        <v>9568</v>
      </c>
      <c r="B3234" s="1" t="s">
        <v>554</v>
      </c>
      <c r="C3234" s="1" t="s">
        <v>9569</v>
      </c>
      <c r="D3234" s="1" t="s">
        <v>51</v>
      </c>
      <c r="E3234" s="1" t="s">
        <v>29</v>
      </c>
      <c r="F3234" s="5">
        <v>250000.0</v>
      </c>
      <c r="G3234" s="1" t="s">
        <v>7016</v>
      </c>
      <c r="H3234" s="1" t="s">
        <v>3755</v>
      </c>
      <c r="I3234" s="1" t="s">
        <v>302</v>
      </c>
      <c r="K3234" s="1">
        <v>0.0</v>
      </c>
      <c r="L3234" s="1" t="s">
        <v>963</v>
      </c>
      <c r="M3234" s="1" t="str">
        <f>VLOOKUP(L3234,'Copy of PMD Workday Constants -'!B3233:W3919,22,false)</f>
        <v>#N/A</v>
      </c>
      <c r="N3234" s="1" t="s">
        <v>32</v>
      </c>
      <c r="O3234" s="1" t="s">
        <v>33</v>
      </c>
      <c r="P3234" s="1" t="s">
        <v>173</v>
      </c>
      <c r="Q3234" s="1" t="s">
        <v>173</v>
      </c>
      <c r="R3234" s="1" t="s">
        <v>174</v>
      </c>
      <c r="S3234" s="1" t="s">
        <v>612</v>
      </c>
      <c r="T3234" s="1">
        <v>1.00708984E8</v>
      </c>
      <c r="W3234" s="1" t="s">
        <v>147</v>
      </c>
      <c r="X3234" s="1" t="s">
        <v>7614</v>
      </c>
    </row>
    <row r="3235">
      <c r="A3235" s="1" t="s">
        <v>9570</v>
      </c>
      <c r="B3235" s="1" t="s">
        <v>2075</v>
      </c>
      <c r="C3235" s="1" t="s">
        <v>9571</v>
      </c>
      <c r="D3235" s="1" t="s">
        <v>28</v>
      </c>
      <c r="E3235" s="1" t="s">
        <v>29</v>
      </c>
      <c r="F3235" s="5">
        <v>250000.0</v>
      </c>
      <c r="G3235" s="1" t="s">
        <v>7016</v>
      </c>
      <c r="H3235" s="1" t="s">
        <v>1022</v>
      </c>
      <c r="I3235" s="1" t="s">
        <v>227</v>
      </c>
      <c r="K3235" s="1">
        <v>0.0</v>
      </c>
      <c r="L3235" s="1" t="s">
        <v>428</v>
      </c>
      <c r="M3235" s="1" t="str">
        <f>VLOOKUP(L3235,'Copy of PMD Workday Constants -'!B3234:W3920,22,false)</f>
        <v>#N/A</v>
      </c>
      <c r="N3235" s="1" t="s">
        <v>32</v>
      </c>
      <c r="O3235" s="1" t="s">
        <v>33</v>
      </c>
      <c r="P3235" s="1" t="s">
        <v>173</v>
      </c>
      <c r="Q3235" s="1" t="s">
        <v>173</v>
      </c>
      <c r="R3235" s="1" t="s">
        <v>174</v>
      </c>
      <c r="S3235" s="1" t="s">
        <v>229</v>
      </c>
      <c r="T3235" s="1">
        <v>1.00654085E8</v>
      </c>
      <c r="W3235" s="1" t="s">
        <v>85</v>
      </c>
      <c r="X3235" s="1" t="s">
        <v>9572</v>
      </c>
    </row>
    <row r="3236">
      <c r="A3236" s="1" t="s">
        <v>9573</v>
      </c>
      <c r="B3236" s="1" t="s">
        <v>580</v>
      </c>
      <c r="C3236" s="1" t="s">
        <v>9574</v>
      </c>
      <c r="D3236" s="1" t="s">
        <v>28</v>
      </c>
      <c r="E3236" s="1" t="s">
        <v>29</v>
      </c>
      <c r="F3236" s="5">
        <v>250000.0</v>
      </c>
      <c r="G3236" s="1" t="s">
        <v>7016</v>
      </c>
      <c r="H3236" s="1" t="s">
        <v>2484</v>
      </c>
      <c r="I3236" s="1" t="s">
        <v>104</v>
      </c>
      <c r="K3236" s="1">
        <v>0.0</v>
      </c>
      <c r="L3236" s="1" t="s">
        <v>1622</v>
      </c>
      <c r="M3236" s="1" t="str">
        <f>VLOOKUP(L3236,'Copy of PMD Workday Constants -'!B3235:W3921,22,false)</f>
        <v>#N/A</v>
      </c>
      <c r="N3236" s="1" t="s">
        <v>32</v>
      </c>
      <c r="O3236" s="1" t="s">
        <v>33</v>
      </c>
      <c r="P3236" s="1" t="s">
        <v>173</v>
      </c>
      <c r="Q3236" s="1" t="s">
        <v>173</v>
      </c>
      <c r="R3236" s="1" t="s">
        <v>174</v>
      </c>
      <c r="S3236" s="1" t="s">
        <v>612</v>
      </c>
      <c r="T3236" s="1">
        <v>1.00643454E8</v>
      </c>
      <c r="W3236" s="1" t="s">
        <v>456</v>
      </c>
      <c r="X3236" s="1" t="s">
        <v>1622</v>
      </c>
    </row>
    <row r="3237">
      <c r="A3237" s="1" t="s">
        <v>9575</v>
      </c>
      <c r="B3237" s="1" t="s">
        <v>9576</v>
      </c>
      <c r="C3237" s="1" t="s">
        <v>9577</v>
      </c>
      <c r="D3237" s="1" t="s">
        <v>51</v>
      </c>
      <c r="E3237" s="1" t="s">
        <v>29</v>
      </c>
      <c r="F3237" s="5">
        <v>250000.0</v>
      </c>
      <c r="G3237" s="1" t="s">
        <v>7016</v>
      </c>
      <c r="H3237" s="1" t="s">
        <v>810</v>
      </c>
      <c r="I3237" s="1" t="s">
        <v>9578</v>
      </c>
      <c r="K3237" s="1">
        <v>0.0</v>
      </c>
      <c r="L3237" s="1" t="s">
        <v>618</v>
      </c>
      <c r="M3237" s="1" t="str">
        <f>VLOOKUP(L3237,'Copy of PMD Workday Constants -'!B3236:W3922,22,false)</f>
        <v>#N/A</v>
      </c>
      <c r="N3237" s="1" t="s">
        <v>32</v>
      </c>
      <c r="O3237" s="1" t="s">
        <v>33</v>
      </c>
      <c r="P3237" s="1" t="s">
        <v>173</v>
      </c>
      <c r="Q3237" s="1" t="s">
        <v>173</v>
      </c>
      <c r="R3237" s="1" t="s">
        <v>174</v>
      </c>
      <c r="T3237" s="1">
        <v>1.00591141E8</v>
      </c>
      <c r="W3237" s="1" t="s">
        <v>74</v>
      </c>
      <c r="X3237" s="1" t="s">
        <v>5288</v>
      </c>
    </row>
    <row r="3238">
      <c r="A3238" s="1" t="s">
        <v>9579</v>
      </c>
      <c r="B3238" s="1" t="s">
        <v>9072</v>
      </c>
      <c r="C3238" s="1" t="s">
        <v>9580</v>
      </c>
      <c r="D3238" s="1" t="s">
        <v>51</v>
      </c>
      <c r="E3238" s="1" t="s">
        <v>29</v>
      </c>
      <c r="F3238" s="5">
        <v>250000.0</v>
      </c>
      <c r="G3238" s="1" t="s">
        <v>7016</v>
      </c>
      <c r="H3238" s="4">
        <v>44810.0</v>
      </c>
      <c r="I3238" s="1" t="s">
        <v>732</v>
      </c>
      <c r="K3238" s="1">
        <v>0.0</v>
      </c>
      <c r="L3238" s="1" t="s">
        <v>209</v>
      </c>
      <c r="M3238" s="1" t="str">
        <f>VLOOKUP(L3238,'Copy of PMD Workday Constants -'!B3237:W3923,22,false)</f>
        <v>#N/A</v>
      </c>
      <c r="N3238" s="1" t="s">
        <v>32</v>
      </c>
      <c r="O3238" s="1" t="s">
        <v>33</v>
      </c>
      <c r="P3238" s="1" t="s">
        <v>210</v>
      </c>
      <c r="Q3238" s="1" t="s">
        <v>210</v>
      </c>
      <c r="R3238" s="1" t="s">
        <v>211</v>
      </c>
      <c r="S3238" s="1" t="s">
        <v>212</v>
      </c>
      <c r="T3238" s="1">
        <v>1.00628186E8</v>
      </c>
      <c r="W3238" s="1" t="s">
        <v>56</v>
      </c>
      <c r="X3238" s="1" t="s">
        <v>9581</v>
      </c>
    </row>
    <row r="3239">
      <c r="A3239" s="1" t="s">
        <v>9582</v>
      </c>
      <c r="B3239" s="1" t="s">
        <v>913</v>
      </c>
      <c r="C3239" s="1" t="s">
        <v>9583</v>
      </c>
      <c r="D3239" s="1" t="s">
        <v>28</v>
      </c>
      <c r="E3239" s="1" t="s">
        <v>29</v>
      </c>
      <c r="F3239" s="5">
        <v>250000.0</v>
      </c>
      <c r="G3239" s="1" t="s">
        <v>7016</v>
      </c>
      <c r="H3239" s="1" t="s">
        <v>870</v>
      </c>
      <c r="I3239" s="1" t="s">
        <v>3052</v>
      </c>
      <c r="K3239" s="1">
        <v>0.0</v>
      </c>
      <c r="L3239" s="1" t="s">
        <v>3053</v>
      </c>
      <c r="M3239" s="1" t="str">
        <f>VLOOKUP(L3239,'Copy of PMD Workday Constants -'!B3238:W3924,22,false)</f>
        <v>#N/A</v>
      </c>
      <c r="N3239" s="1" t="s">
        <v>32</v>
      </c>
      <c r="O3239" s="1" t="s">
        <v>33</v>
      </c>
      <c r="P3239" s="1" t="s">
        <v>173</v>
      </c>
      <c r="Q3239" s="1" t="s">
        <v>173</v>
      </c>
      <c r="R3239" s="1" t="s">
        <v>174</v>
      </c>
      <c r="T3239" s="1">
        <v>1.00626436E8</v>
      </c>
      <c r="W3239" s="1" t="s">
        <v>85</v>
      </c>
      <c r="X3239" s="1" t="s">
        <v>916</v>
      </c>
    </row>
    <row r="3240">
      <c r="A3240" s="1" t="s">
        <v>9584</v>
      </c>
      <c r="B3240" s="1" t="s">
        <v>2670</v>
      </c>
      <c r="C3240" s="1" t="s">
        <v>9585</v>
      </c>
      <c r="D3240" s="1" t="s">
        <v>28</v>
      </c>
      <c r="E3240" s="1" t="s">
        <v>29</v>
      </c>
      <c r="F3240" s="5">
        <v>250000.0</v>
      </c>
      <c r="G3240" s="1" t="s">
        <v>7016</v>
      </c>
      <c r="H3240" s="4">
        <v>44779.0</v>
      </c>
      <c r="I3240" s="1" t="s">
        <v>104</v>
      </c>
      <c r="K3240" s="1">
        <v>0.0</v>
      </c>
      <c r="L3240" s="1" t="s">
        <v>2672</v>
      </c>
      <c r="M3240" s="1" t="str">
        <f>VLOOKUP(L3240,'Copy of PMD Workday Constants -'!B3239:W3925,22,false)</f>
        <v>#N/A</v>
      </c>
      <c r="N3240" s="1" t="s">
        <v>32</v>
      </c>
      <c r="O3240" s="1" t="s">
        <v>33</v>
      </c>
      <c r="P3240" s="1" t="s">
        <v>173</v>
      </c>
      <c r="Q3240" s="1" t="s">
        <v>173</v>
      </c>
      <c r="R3240" s="1" t="s">
        <v>174</v>
      </c>
      <c r="T3240" s="1">
        <v>1.00607244E8</v>
      </c>
      <c r="W3240" s="1" t="s">
        <v>493</v>
      </c>
      <c r="X3240" s="1" t="s">
        <v>5993</v>
      </c>
    </row>
    <row r="3241">
      <c r="A3241" s="1" t="s">
        <v>9586</v>
      </c>
      <c r="B3241" s="1" t="s">
        <v>1062</v>
      </c>
      <c r="C3241" s="1" t="s">
        <v>9587</v>
      </c>
      <c r="D3241" s="1" t="s">
        <v>51</v>
      </c>
      <c r="E3241" s="1" t="s">
        <v>29</v>
      </c>
      <c r="F3241" s="5">
        <v>250000.0</v>
      </c>
      <c r="G3241" s="1" t="s">
        <v>7016</v>
      </c>
      <c r="H3241" s="4">
        <v>44146.0</v>
      </c>
      <c r="I3241" s="1" t="s">
        <v>1528</v>
      </c>
      <c r="K3241" s="1">
        <v>0.0</v>
      </c>
      <c r="L3241" s="1" t="s">
        <v>1151</v>
      </c>
      <c r="M3241" s="1" t="str">
        <f>VLOOKUP(L3241,'Copy of PMD Workday Constants -'!B3240:W3926,22,false)</f>
        <v>#N/A</v>
      </c>
      <c r="N3241" s="1" t="s">
        <v>32</v>
      </c>
      <c r="O3241" s="1" t="s">
        <v>33</v>
      </c>
      <c r="P3241" s="1" t="s">
        <v>173</v>
      </c>
      <c r="Q3241" s="1" t="s">
        <v>173</v>
      </c>
      <c r="R3241" s="1" t="s">
        <v>174</v>
      </c>
      <c r="S3241" s="1" t="s">
        <v>612</v>
      </c>
      <c r="T3241" s="1">
        <v>1.00654991E8</v>
      </c>
      <c r="W3241" s="1" t="s">
        <v>493</v>
      </c>
      <c r="X3241" s="1" t="s">
        <v>1151</v>
      </c>
    </row>
    <row r="3242">
      <c r="A3242" s="1" t="s">
        <v>9588</v>
      </c>
      <c r="B3242" s="1" t="s">
        <v>2670</v>
      </c>
      <c r="C3242" s="1" t="s">
        <v>9589</v>
      </c>
      <c r="D3242" s="1" t="s">
        <v>103</v>
      </c>
      <c r="E3242" s="1" t="s">
        <v>29</v>
      </c>
      <c r="F3242" s="5">
        <v>250000.0</v>
      </c>
      <c r="G3242" s="1" t="s">
        <v>7016</v>
      </c>
      <c r="H3242" s="4">
        <v>44779.0</v>
      </c>
      <c r="I3242" s="1" t="s">
        <v>96</v>
      </c>
      <c r="K3242" s="1">
        <v>0.0</v>
      </c>
      <c r="L3242" s="1" t="s">
        <v>2672</v>
      </c>
      <c r="M3242" s="1" t="str">
        <f>VLOOKUP(L3242,'Copy of PMD Workday Constants -'!B3241:W3927,22,false)</f>
        <v>#N/A</v>
      </c>
      <c r="N3242" s="1" t="s">
        <v>32</v>
      </c>
      <c r="O3242" s="1" t="s">
        <v>33</v>
      </c>
      <c r="P3242" s="1" t="s">
        <v>173</v>
      </c>
      <c r="Q3242" s="1" t="s">
        <v>173</v>
      </c>
      <c r="R3242" s="1" t="s">
        <v>174</v>
      </c>
      <c r="T3242" s="1">
        <v>1.00607244E8</v>
      </c>
      <c r="W3242" s="1" t="s">
        <v>493</v>
      </c>
      <c r="X3242" s="1" t="s">
        <v>5993</v>
      </c>
    </row>
    <row r="3243">
      <c r="A3243" s="1" t="s">
        <v>9590</v>
      </c>
      <c r="B3243" s="1" t="s">
        <v>1817</v>
      </c>
      <c r="C3243" s="1" t="s">
        <v>9591</v>
      </c>
      <c r="D3243" s="1" t="s">
        <v>28</v>
      </c>
      <c r="E3243" s="1" t="s">
        <v>29</v>
      </c>
      <c r="F3243" s="5">
        <v>250000.0</v>
      </c>
      <c r="G3243" s="1" t="s">
        <v>7016</v>
      </c>
      <c r="H3243" s="4">
        <v>43410.0</v>
      </c>
      <c r="I3243" s="1" t="s">
        <v>406</v>
      </c>
      <c r="K3243" s="1">
        <v>0.0</v>
      </c>
      <c r="L3243" s="1" t="s">
        <v>3917</v>
      </c>
      <c r="M3243" s="1" t="str">
        <f>VLOOKUP(L3243,'Copy of PMD Workday Constants -'!B3242:W3928,22,false)</f>
        <v>#N/A</v>
      </c>
      <c r="N3243" s="1" t="s">
        <v>32</v>
      </c>
      <c r="O3243" s="1" t="s">
        <v>33</v>
      </c>
      <c r="P3243" s="1" t="s">
        <v>82</v>
      </c>
      <c r="Q3243" s="1" t="s">
        <v>82</v>
      </c>
      <c r="R3243" s="1" t="s">
        <v>83</v>
      </c>
      <c r="S3243" s="1" t="s">
        <v>180</v>
      </c>
      <c r="T3243" s="1">
        <v>1.00611547E8</v>
      </c>
      <c r="W3243" s="1" t="s">
        <v>2098</v>
      </c>
      <c r="X3243" s="1" t="s">
        <v>9592</v>
      </c>
    </row>
    <row r="3244">
      <c r="A3244" s="1" t="s">
        <v>9593</v>
      </c>
      <c r="B3244" s="1" t="s">
        <v>77</v>
      </c>
      <c r="C3244" s="1" t="s">
        <v>9594</v>
      </c>
      <c r="D3244" s="1" t="s">
        <v>51</v>
      </c>
      <c r="E3244" s="1" t="s">
        <v>29</v>
      </c>
      <c r="F3244" s="5">
        <v>250000.0</v>
      </c>
      <c r="G3244" s="1" t="s">
        <v>7016</v>
      </c>
      <c r="H3244" s="1" t="s">
        <v>1005</v>
      </c>
      <c r="I3244" s="4">
        <v>44601.0</v>
      </c>
      <c r="K3244" s="1">
        <v>0.0</v>
      </c>
      <c r="L3244" s="1" t="s">
        <v>192</v>
      </c>
      <c r="M3244" s="1" t="str">
        <f>VLOOKUP(L3244,'Copy of PMD Workday Constants -'!B3243:W3929,22,false)</f>
        <v>#N/A</v>
      </c>
      <c r="N3244" s="1" t="s">
        <v>32</v>
      </c>
      <c r="O3244" s="1" t="s">
        <v>33</v>
      </c>
      <c r="P3244" s="1" t="s">
        <v>82</v>
      </c>
      <c r="Q3244" s="1" t="s">
        <v>82</v>
      </c>
      <c r="R3244" s="1" t="s">
        <v>83</v>
      </c>
      <c r="S3244" s="1" t="s">
        <v>84</v>
      </c>
      <c r="T3244" s="1">
        <v>1.00650575E8</v>
      </c>
      <c r="W3244" s="1" t="s">
        <v>85</v>
      </c>
      <c r="X3244" s="1" t="s">
        <v>6824</v>
      </c>
    </row>
    <row r="3245">
      <c r="A3245" s="1" t="s">
        <v>9595</v>
      </c>
      <c r="B3245" s="1" t="s">
        <v>554</v>
      </c>
      <c r="C3245" s="1" t="s">
        <v>9596</v>
      </c>
      <c r="D3245" s="1" t="s">
        <v>28</v>
      </c>
      <c r="E3245" s="1" t="s">
        <v>29</v>
      </c>
      <c r="F3245" s="5">
        <v>250000.0</v>
      </c>
      <c r="G3245" s="1" t="s">
        <v>7016</v>
      </c>
      <c r="H3245" s="1" t="s">
        <v>7755</v>
      </c>
      <c r="I3245" s="1" t="s">
        <v>132</v>
      </c>
      <c r="K3245" s="1">
        <v>0.0</v>
      </c>
      <c r="L3245" s="1" t="s">
        <v>963</v>
      </c>
      <c r="M3245" s="1" t="str">
        <f>VLOOKUP(L3245,'Copy of PMD Workday Constants -'!B3244:W3930,22,false)</f>
        <v>#N/A</v>
      </c>
      <c r="N3245" s="1" t="s">
        <v>32</v>
      </c>
      <c r="O3245" s="1" t="s">
        <v>33</v>
      </c>
      <c r="P3245" s="1" t="s">
        <v>173</v>
      </c>
      <c r="Q3245" s="1" t="s">
        <v>173</v>
      </c>
      <c r="R3245" s="1" t="s">
        <v>174</v>
      </c>
      <c r="S3245" s="1" t="s">
        <v>612</v>
      </c>
      <c r="T3245" s="1">
        <v>1.00708984E8</v>
      </c>
      <c r="W3245" s="1" t="s">
        <v>436</v>
      </c>
      <c r="X3245" s="1" t="s">
        <v>836</v>
      </c>
    </row>
    <row r="3246">
      <c r="A3246" s="1" t="s">
        <v>9597</v>
      </c>
      <c r="B3246" s="1" t="s">
        <v>954</v>
      </c>
      <c r="C3246" s="1" t="s">
        <v>9598</v>
      </c>
      <c r="D3246" s="1" t="s">
        <v>28</v>
      </c>
      <c r="E3246" s="1" t="s">
        <v>29</v>
      </c>
      <c r="F3246" s="5">
        <v>250000.0</v>
      </c>
      <c r="G3246" s="1" t="s">
        <v>7016</v>
      </c>
      <c r="H3246" s="1" t="s">
        <v>9599</v>
      </c>
      <c r="I3246" s="1" t="s">
        <v>2986</v>
      </c>
      <c r="K3246" s="1">
        <v>0.0</v>
      </c>
      <c r="L3246" s="1" t="s">
        <v>2703</v>
      </c>
      <c r="M3246" s="1" t="str">
        <f>VLOOKUP(L3246,'Copy of PMD Workday Constants -'!B3245:W3931,22,false)</f>
        <v>#N/A</v>
      </c>
      <c r="N3246" s="1" t="s">
        <v>32</v>
      </c>
      <c r="O3246" s="1" t="s">
        <v>33</v>
      </c>
      <c r="P3246" s="1" t="s">
        <v>34</v>
      </c>
      <c r="Q3246" s="1" t="s">
        <v>34</v>
      </c>
      <c r="R3246" s="1" t="s">
        <v>35</v>
      </c>
      <c r="S3246" s="1" t="s">
        <v>383</v>
      </c>
      <c r="T3246" s="1">
        <v>1.00866856E8</v>
      </c>
      <c r="W3246" s="1" t="s">
        <v>147</v>
      </c>
      <c r="X3246" s="1" t="s">
        <v>2703</v>
      </c>
    </row>
    <row r="3247">
      <c r="A3247" s="1" t="s">
        <v>9600</v>
      </c>
      <c r="B3247" s="1" t="s">
        <v>744</v>
      </c>
      <c r="C3247" s="1" t="s">
        <v>9601</v>
      </c>
      <c r="D3247" s="1" t="s">
        <v>28</v>
      </c>
      <c r="E3247" s="1" t="s">
        <v>29</v>
      </c>
      <c r="F3247" s="5">
        <v>250000.0</v>
      </c>
      <c r="G3247" s="1" t="s">
        <v>7016</v>
      </c>
      <c r="H3247" s="1" t="s">
        <v>9602</v>
      </c>
      <c r="I3247" s="1" t="s">
        <v>302</v>
      </c>
      <c r="K3247" s="1">
        <v>0.0</v>
      </c>
      <c r="L3247" s="1" t="s">
        <v>255</v>
      </c>
      <c r="M3247" s="1" t="str">
        <f>VLOOKUP(L3247,'Copy of PMD Workday Constants -'!B3246:W3932,22,false)</f>
        <v>#N/A</v>
      </c>
      <c r="N3247" s="1" t="s">
        <v>32</v>
      </c>
      <c r="O3247" s="1" t="s">
        <v>33</v>
      </c>
      <c r="P3247" s="1" t="s">
        <v>112</v>
      </c>
      <c r="Q3247" s="1" t="s">
        <v>112</v>
      </c>
      <c r="R3247" s="1" t="s">
        <v>113</v>
      </c>
      <c r="S3247" s="1" t="s">
        <v>256</v>
      </c>
      <c r="T3247" s="1">
        <v>1.00659114E8</v>
      </c>
      <c r="W3247" s="1" t="s">
        <v>258</v>
      </c>
      <c r="X3247" s="1" t="s">
        <v>259</v>
      </c>
    </row>
    <row r="3248">
      <c r="A3248" s="1" t="s">
        <v>9603</v>
      </c>
      <c r="B3248" s="1" t="s">
        <v>177</v>
      </c>
      <c r="C3248" s="1" t="s">
        <v>9604</v>
      </c>
      <c r="D3248" s="1" t="s">
        <v>51</v>
      </c>
      <c r="E3248" s="1" t="s">
        <v>29</v>
      </c>
      <c r="F3248" s="5">
        <v>250000.0</v>
      </c>
      <c r="G3248" s="1" t="s">
        <v>7016</v>
      </c>
      <c r="H3248" s="1" t="s">
        <v>6003</v>
      </c>
      <c r="I3248" s="1" t="s">
        <v>152</v>
      </c>
      <c r="K3248" s="1">
        <v>0.0</v>
      </c>
      <c r="L3248" s="1" t="s">
        <v>1036</v>
      </c>
      <c r="M3248" s="1" t="str">
        <f>VLOOKUP(L3248,'Copy of PMD Workday Constants -'!B3247:W3933,22,false)</f>
        <v>#N/A</v>
      </c>
      <c r="N3248" s="1" t="s">
        <v>32</v>
      </c>
      <c r="O3248" s="1" t="s">
        <v>33</v>
      </c>
      <c r="P3248" s="1" t="s">
        <v>82</v>
      </c>
      <c r="Q3248" s="1" t="s">
        <v>82</v>
      </c>
      <c r="R3248" s="1" t="s">
        <v>83</v>
      </c>
      <c r="S3248" s="1" t="s">
        <v>180</v>
      </c>
      <c r="T3248" s="1">
        <v>1.0090037E8</v>
      </c>
      <c r="W3248" s="1" t="s">
        <v>85</v>
      </c>
      <c r="X3248" s="1" t="s">
        <v>1036</v>
      </c>
    </row>
    <row r="3249">
      <c r="A3249" s="1" t="s">
        <v>9605</v>
      </c>
      <c r="B3249" s="1" t="s">
        <v>954</v>
      </c>
      <c r="C3249" s="1" t="s">
        <v>9606</v>
      </c>
      <c r="D3249" s="1" t="s">
        <v>51</v>
      </c>
      <c r="E3249" s="1" t="s">
        <v>29</v>
      </c>
      <c r="F3249" s="5">
        <v>250000.0</v>
      </c>
      <c r="G3249" s="1" t="s">
        <v>7016</v>
      </c>
      <c r="H3249" s="4">
        <v>44779.0</v>
      </c>
      <c r="I3249" s="1" t="s">
        <v>132</v>
      </c>
      <c r="K3249" s="1">
        <v>0.0</v>
      </c>
      <c r="L3249" s="1" t="s">
        <v>2703</v>
      </c>
      <c r="M3249" s="1" t="str">
        <f>VLOOKUP(L3249,'Copy of PMD Workday Constants -'!B3248:W3934,22,false)</f>
        <v>#N/A</v>
      </c>
      <c r="N3249" s="1" t="s">
        <v>32</v>
      </c>
      <c r="O3249" s="1" t="s">
        <v>33</v>
      </c>
      <c r="P3249" s="1" t="s">
        <v>34</v>
      </c>
      <c r="Q3249" s="1" t="s">
        <v>34</v>
      </c>
      <c r="R3249" s="1" t="s">
        <v>35</v>
      </c>
      <c r="T3249" s="1">
        <v>1.00866856E8</v>
      </c>
      <c r="W3249" s="1" t="s">
        <v>147</v>
      </c>
      <c r="X3249" s="1" t="s">
        <v>2703</v>
      </c>
    </row>
    <row r="3250">
      <c r="A3250" s="1" t="s">
        <v>9607</v>
      </c>
      <c r="B3250" s="1" t="s">
        <v>9608</v>
      </c>
      <c r="C3250" s="1" t="s">
        <v>9596</v>
      </c>
      <c r="D3250" s="1" t="s">
        <v>28</v>
      </c>
      <c r="E3250" s="1" t="s">
        <v>29</v>
      </c>
      <c r="F3250" s="5">
        <v>250000.0</v>
      </c>
      <c r="G3250" s="1" t="s">
        <v>7016</v>
      </c>
      <c r="H3250" s="1" t="s">
        <v>7755</v>
      </c>
      <c r="I3250" s="1" t="s">
        <v>104</v>
      </c>
      <c r="K3250" s="1">
        <v>0.0</v>
      </c>
      <c r="L3250" s="1" t="s">
        <v>963</v>
      </c>
      <c r="M3250" s="1" t="str">
        <f>VLOOKUP(L3250,'Copy of PMD Workday Constants -'!B3249:W3935,22,false)</f>
        <v>#N/A</v>
      </c>
      <c r="N3250" s="1" t="s">
        <v>32</v>
      </c>
      <c r="O3250" s="1" t="s">
        <v>33</v>
      </c>
      <c r="P3250" s="1" t="s">
        <v>173</v>
      </c>
      <c r="Q3250" s="1" t="s">
        <v>173</v>
      </c>
      <c r="R3250" s="1" t="s">
        <v>174</v>
      </c>
      <c r="S3250" s="1" t="s">
        <v>612</v>
      </c>
      <c r="T3250" s="1">
        <v>1.00708984E8</v>
      </c>
      <c r="W3250" s="1" t="s">
        <v>140</v>
      </c>
      <c r="X3250" s="1" t="s">
        <v>836</v>
      </c>
    </row>
    <row r="3251">
      <c r="A3251" s="1" t="s">
        <v>9609</v>
      </c>
      <c r="B3251" s="1" t="s">
        <v>9610</v>
      </c>
      <c r="C3251" s="1" t="s">
        <v>9611</v>
      </c>
      <c r="D3251" s="1" t="s">
        <v>28</v>
      </c>
      <c r="E3251" s="1" t="s">
        <v>29</v>
      </c>
      <c r="F3251" s="5">
        <v>250000.0</v>
      </c>
      <c r="G3251" s="1" t="s">
        <v>7016</v>
      </c>
      <c r="H3251" s="1" t="s">
        <v>3513</v>
      </c>
      <c r="I3251" s="4">
        <v>44568.0</v>
      </c>
      <c r="K3251" s="1">
        <v>0.0</v>
      </c>
      <c r="L3251" s="1" t="s">
        <v>9612</v>
      </c>
      <c r="M3251" s="1" t="str">
        <f>VLOOKUP(L3251,'Copy of PMD Workday Constants -'!B3250:W3936,22,false)</f>
        <v>#N/A</v>
      </c>
      <c r="N3251" s="1" t="s">
        <v>32</v>
      </c>
      <c r="O3251" s="1" t="s">
        <v>33</v>
      </c>
      <c r="P3251" s="1" t="s">
        <v>82</v>
      </c>
      <c r="Q3251" s="1" t="s">
        <v>82</v>
      </c>
      <c r="R3251" s="1" t="s">
        <v>83</v>
      </c>
      <c r="S3251" s="1" t="s">
        <v>180</v>
      </c>
      <c r="T3251" s="1">
        <v>1.0059101E8</v>
      </c>
      <c r="W3251" s="1" t="s">
        <v>2098</v>
      </c>
      <c r="X3251" s="1" t="s">
        <v>9612</v>
      </c>
    </row>
    <row r="3252">
      <c r="A3252" s="1" t="s">
        <v>9613</v>
      </c>
      <c r="B3252" s="1" t="s">
        <v>40</v>
      </c>
      <c r="C3252" s="1" t="s">
        <v>9614</v>
      </c>
      <c r="D3252" s="1" t="s">
        <v>103</v>
      </c>
      <c r="E3252" s="1" t="s">
        <v>29</v>
      </c>
      <c r="F3252" s="5">
        <v>250000.0</v>
      </c>
      <c r="G3252" s="1" t="s">
        <v>7016</v>
      </c>
      <c r="H3252" s="4">
        <v>44748.0</v>
      </c>
      <c r="I3252" s="1" t="s">
        <v>132</v>
      </c>
      <c r="K3252" s="1">
        <v>0.0</v>
      </c>
      <c r="L3252" s="1" t="s">
        <v>6081</v>
      </c>
      <c r="M3252" s="1" t="str">
        <f>VLOOKUP(L3252,'Copy of PMD Workday Constants -'!B3251:W3937,22,false)</f>
        <v>#N/A</v>
      </c>
      <c r="N3252" s="1" t="s">
        <v>32</v>
      </c>
      <c r="O3252" s="1" t="s">
        <v>33</v>
      </c>
      <c r="P3252" s="1" t="s">
        <v>222</v>
      </c>
      <c r="Q3252" s="1" t="s">
        <v>222</v>
      </c>
      <c r="R3252" s="1" t="s">
        <v>223</v>
      </c>
      <c r="T3252" s="1">
        <v>1.00632043E8</v>
      </c>
      <c r="U3252" s="1" t="s">
        <v>332</v>
      </c>
      <c r="V3252" s="1" t="s">
        <v>46</v>
      </c>
      <c r="W3252" s="1" t="s">
        <v>47</v>
      </c>
      <c r="X3252" s="1" t="s">
        <v>9226</v>
      </c>
    </row>
    <row r="3253">
      <c r="A3253" s="1" t="s">
        <v>9615</v>
      </c>
      <c r="B3253" s="1" t="s">
        <v>1252</v>
      </c>
      <c r="C3253" s="1" t="s">
        <v>9616</v>
      </c>
      <c r="D3253" s="1" t="s">
        <v>28</v>
      </c>
      <c r="E3253" s="1" t="s">
        <v>29</v>
      </c>
      <c r="F3253" s="5">
        <v>250000.0</v>
      </c>
      <c r="G3253" s="1" t="s">
        <v>7016</v>
      </c>
      <c r="H3253" s="1" t="s">
        <v>52</v>
      </c>
      <c r="I3253" s="1" t="s">
        <v>1746</v>
      </c>
      <c r="K3253" s="1">
        <v>0.0</v>
      </c>
      <c r="L3253" s="1" t="s">
        <v>209</v>
      </c>
      <c r="M3253" s="1" t="str">
        <f>VLOOKUP(L3253,'Copy of PMD Workday Constants -'!B3252:W3938,22,false)</f>
        <v>#N/A</v>
      </c>
      <c r="N3253" s="1" t="s">
        <v>32</v>
      </c>
      <c r="O3253" s="1" t="s">
        <v>33</v>
      </c>
      <c r="P3253" s="1" t="s">
        <v>210</v>
      </c>
      <c r="Q3253" s="1" t="s">
        <v>210</v>
      </c>
      <c r="R3253" s="1" t="s">
        <v>211</v>
      </c>
      <c r="S3253" s="1" t="s">
        <v>212</v>
      </c>
      <c r="T3253" s="1">
        <v>1.00628186E8</v>
      </c>
      <c r="W3253" s="1" t="s">
        <v>56</v>
      </c>
      <c r="X3253" s="1" t="s">
        <v>5627</v>
      </c>
    </row>
    <row r="3254">
      <c r="A3254" s="1" t="s">
        <v>9617</v>
      </c>
      <c r="B3254" s="1" t="s">
        <v>1392</v>
      </c>
      <c r="C3254" s="1" t="s">
        <v>9618</v>
      </c>
      <c r="D3254" s="1" t="s">
        <v>28</v>
      </c>
      <c r="E3254" s="1" t="s">
        <v>29</v>
      </c>
      <c r="F3254" s="5">
        <v>250000.0</v>
      </c>
      <c r="G3254" s="1" t="s">
        <v>7016</v>
      </c>
      <c r="H3254" s="4">
        <v>43811.0</v>
      </c>
      <c r="I3254" s="1" t="s">
        <v>217</v>
      </c>
      <c r="K3254" s="1">
        <v>0.0</v>
      </c>
      <c r="L3254" s="1" t="s">
        <v>1396</v>
      </c>
      <c r="M3254" s="1" t="str">
        <f>VLOOKUP(L3254,'Copy of PMD Workday Constants -'!B3253:W3939,22,false)</f>
        <v>#N/A</v>
      </c>
      <c r="N3254" s="1" t="s">
        <v>32</v>
      </c>
      <c r="O3254" s="1" t="s">
        <v>33</v>
      </c>
      <c r="P3254" s="1" t="s">
        <v>222</v>
      </c>
      <c r="Q3254" s="1" t="s">
        <v>222</v>
      </c>
      <c r="R3254" s="1" t="s">
        <v>223</v>
      </c>
      <c r="S3254" s="1" t="s">
        <v>2055</v>
      </c>
      <c r="T3254" s="1">
        <v>1.00609118E8</v>
      </c>
      <c r="W3254" s="1" t="s">
        <v>947</v>
      </c>
      <c r="X3254" s="1" t="s">
        <v>1995</v>
      </c>
    </row>
    <row r="3255">
      <c r="A3255" s="1" t="s">
        <v>9619</v>
      </c>
      <c r="B3255" s="1" t="s">
        <v>765</v>
      </c>
      <c r="C3255" s="1" t="s">
        <v>9620</v>
      </c>
      <c r="D3255" s="1" t="s">
        <v>51</v>
      </c>
      <c r="E3255" s="1" t="s">
        <v>29</v>
      </c>
      <c r="F3255" s="5">
        <v>250000.0</v>
      </c>
      <c r="G3255" s="1" t="s">
        <v>7016</v>
      </c>
      <c r="H3255" s="1" t="s">
        <v>1650</v>
      </c>
      <c r="I3255" s="1" t="s">
        <v>302</v>
      </c>
      <c r="K3255" s="1">
        <v>0.0</v>
      </c>
      <c r="L3255" s="1" t="s">
        <v>1622</v>
      </c>
      <c r="M3255" s="1" t="str">
        <f>VLOOKUP(L3255,'Copy of PMD Workday Constants -'!B3254:W3940,22,false)</f>
        <v>#N/A</v>
      </c>
      <c r="N3255" s="1" t="s">
        <v>32</v>
      </c>
      <c r="O3255" s="1" t="s">
        <v>33</v>
      </c>
      <c r="P3255" s="1" t="s">
        <v>173</v>
      </c>
      <c r="Q3255" s="1" t="s">
        <v>173</v>
      </c>
      <c r="R3255" s="1" t="s">
        <v>174</v>
      </c>
      <c r="S3255" s="1" t="s">
        <v>153</v>
      </c>
      <c r="T3255" s="1">
        <v>1.00643454E8</v>
      </c>
      <c r="W3255" s="1" t="s">
        <v>456</v>
      </c>
      <c r="X3255" s="1" t="s">
        <v>1622</v>
      </c>
    </row>
    <row r="3256">
      <c r="A3256" s="1" t="s">
        <v>9621</v>
      </c>
      <c r="B3256" s="1" t="s">
        <v>9622</v>
      </c>
      <c r="C3256" s="1" t="s">
        <v>9623</v>
      </c>
      <c r="D3256" s="1" t="s">
        <v>51</v>
      </c>
      <c r="E3256" s="1" t="s">
        <v>29</v>
      </c>
      <c r="F3256" s="5">
        <v>250000.0</v>
      </c>
      <c r="G3256" s="1" t="s">
        <v>7016</v>
      </c>
      <c r="H3256" s="4">
        <v>44420.0</v>
      </c>
      <c r="I3256" s="1" t="s">
        <v>80</v>
      </c>
      <c r="K3256" s="1">
        <v>0.0</v>
      </c>
      <c r="L3256" s="1" t="s">
        <v>4873</v>
      </c>
      <c r="M3256" s="1" t="str">
        <f>VLOOKUP(L3256,'Copy of PMD Workday Constants -'!B3255:W3941,22,false)</f>
        <v>#N/A</v>
      </c>
      <c r="N3256" s="1" t="s">
        <v>32</v>
      </c>
      <c r="O3256" s="1" t="s">
        <v>33</v>
      </c>
      <c r="P3256" s="1" t="s">
        <v>34</v>
      </c>
      <c r="Q3256" s="1" t="s">
        <v>34</v>
      </c>
      <c r="R3256" s="1" t="s">
        <v>35</v>
      </c>
      <c r="S3256" s="1" t="s">
        <v>1336</v>
      </c>
      <c r="T3256" s="1">
        <v>1.00587881E8</v>
      </c>
      <c r="W3256" s="1" t="s">
        <v>493</v>
      </c>
      <c r="X3256" s="1" t="s">
        <v>4873</v>
      </c>
    </row>
    <row r="3257">
      <c r="A3257" s="1" t="s">
        <v>9624</v>
      </c>
      <c r="B3257" s="1" t="s">
        <v>8544</v>
      </c>
      <c r="C3257" s="1" t="s">
        <v>9625</v>
      </c>
      <c r="D3257" s="1" t="s">
        <v>51</v>
      </c>
      <c r="E3257" s="1" t="s">
        <v>29</v>
      </c>
      <c r="F3257" s="5">
        <v>250000.0</v>
      </c>
      <c r="G3257" s="1" t="s">
        <v>7016</v>
      </c>
      <c r="H3257" s="1" t="s">
        <v>9626</v>
      </c>
      <c r="I3257" s="4">
        <v>44626.0</v>
      </c>
      <c r="K3257" s="1">
        <v>0.0</v>
      </c>
      <c r="L3257" s="1" t="s">
        <v>4051</v>
      </c>
      <c r="M3257" s="1" t="str">
        <f>VLOOKUP(L3257,'Copy of PMD Workday Constants -'!B3256:W3942,22,false)</f>
        <v>#N/A</v>
      </c>
      <c r="N3257" s="1" t="s">
        <v>32</v>
      </c>
      <c r="O3257" s="1" t="s">
        <v>33</v>
      </c>
      <c r="P3257" s="1" t="s">
        <v>112</v>
      </c>
      <c r="Q3257" s="1" t="s">
        <v>112</v>
      </c>
      <c r="R3257" s="1" t="s">
        <v>113</v>
      </c>
      <c r="S3257" s="1" t="s">
        <v>114</v>
      </c>
      <c r="T3257" s="1">
        <v>1.00694651E8</v>
      </c>
      <c r="W3257" s="1" t="s">
        <v>947</v>
      </c>
      <c r="X3257" s="1" t="s">
        <v>9627</v>
      </c>
    </row>
    <row r="3258">
      <c r="A3258" s="1" t="s">
        <v>9628</v>
      </c>
      <c r="B3258" s="1" t="s">
        <v>9629</v>
      </c>
      <c r="C3258" s="1" t="s">
        <v>9630</v>
      </c>
      <c r="D3258" s="1" t="s">
        <v>28</v>
      </c>
      <c r="E3258" s="1" t="s">
        <v>29</v>
      </c>
      <c r="F3258" s="5">
        <v>250000.0</v>
      </c>
      <c r="G3258" s="1" t="s">
        <v>7016</v>
      </c>
      <c r="H3258" s="4">
        <v>44326.0</v>
      </c>
      <c r="I3258" s="1" t="s">
        <v>941</v>
      </c>
      <c r="K3258" s="1">
        <v>0.0</v>
      </c>
      <c r="L3258" s="1" t="s">
        <v>3476</v>
      </c>
      <c r="M3258" s="1" t="str">
        <f>VLOOKUP(L3258,'Copy of PMD Workday Constants -'!B3257:W3943,22,false)</f>
        <v>#N/A</v>
      </c>
      <c r="N3258" s="1" t="s">
        <v>32</v>
      </c>
      <c r="O3258" s="1" t="s">
        <v>33</v>
      </c>
      <c r="P3258" s="1" t="s">
        <v>112</v>
      </c>
      <c r="Q3258" s="1" t="s">
        <v>112</v>
      </c>
      <c r="R3258" s="1" t="s">
        <v>113</v>
      </c>
      <c r="S3258" s="1" t="s">
        <v>114</v>
      </c>
      <c r="T3258" s="1">
        <v>1.00702554E8</v>
      </c>
      <c r="W3258" s="1" t="s">
        <v>1303</v>
      </c>
      <c r="X3258" s="1" t="s">
        <v>3476</v>
      </c>
    </row>
    <row r="3259">
      <c r="A3259" s="1" t="s">
        <v>9631</v>
      </c>
      <c r="B3259" s="1" t="s">
        <v>580</v>
      </c>
      <c r="C3259" s="1" t="s">
        <v>9632</v>
      </c>
      <c r="D3259" s="1" t="s">
        <v>28</v>
      </c>
      <c r="E3259" s="1" t="s">
        <v>29</v>
      </c>
      <c r="F3259" s="5">
        <v>250000.0</v>
      </c>
      <c r="G3259" s="1" t="s">
        <v>7016</v>
      </c>
      <c r="H3259" s="1" t="s">
        <v>698</v>
      </c>
      <c r="I3259" s="1" t="s">
        <v>104</v>
      </c>
      <c r="K3259" s="1">
        <v>0.0</v>
      </c>
      <c r="L3259" s="1" t="s">
        <v>1622</v>
      </c>
      <c r="M3259" s="1" t="str">
        <f>VLOOKUP(L3259,'Copy of PMD Workday Constants -'!B3258:W3944,22,false)</f>
        <v>#N/A</v>
      </c>
      <c r="N3259" s="1" t="s">
        <v>32</v>
      </c>
      <c r="O3259" s="1" t="s">
        <v>33</v>
      </c>
      <c r="P3259" s="1" t="s">
        <v>173</v>
      </c>
      <c r="Q3259" s="1" t="s">
        <v>173</v>
      </c>
      <c r="R3259" s="1" t="s">
        <v>174</v>
      </c>
      <c r="S3259" s="1" t="s">
        <v>612</v>
      </c>
      <c r="T3259" s="1">
        <v>1.00643454E8</v>
      </c>
      <c r="W3259" s="1" t="s">
        <v>456</v>
      </c>
      <c r="X3259" s="1" t="s">
        <v>1622</v>
      </c>
    </row>
    <row r="3260">
      <c r="A3260" s="1" t="s">
        <v>9633</v>
      </c>
      <c r="B3260" s="1" t="s">
        <v>4344</v>
      </c>
      <c r="C3260" s="1" t="s">
        <v>9634</v>
      </c>
      <c r="D3260" s="1" t="s">
        <v>51</v>
      </c>
      <c r="E3260" s="1" t="s">
        <v>29</v>
      </c>
      <c r="F3260" s="5">
        <v>250000.0</v>
      </c>
      <c r="G3260" s="1" t="s">
        <v>7016</v>
      </c>
      <c r="H3260" s="4">
        <v>44748.0</v>
      </c>
      <c r="I3260" s="1" t="s">
        <v>104</v>
      </c>
      <c r="K3260" s="1">
        <v>0.0</v>
      </c>
      <c r="L3260" s="1" t="s">
        <v>8258</v>
      </c>
      <c r="M3260" s="1" t="str">
        <f>VLOOKUP(L3260,'Copy of PMD Workday Constants -'!B3259:W3945,22,false)</f>
        <v>#N/A</v>
      </c>
      <c r="N3260" s="1" t="s">
        <v>32</v>
      </c>
      <c r="O3260" s="1" t="s">
        <v>33</v>
      </c>
      <c r="P3260" s="1" t="s">
        <v>112</v>
      </c>
      <c r="Q3260" s="1" t="s">
        <v>112</v>
      </c>
      <c r="R3260" s="1" t="s">
        <v>113</v>
      </c>
      <c r="S3260" s="1" t="s">
        <v>114</v>
      </c>
      <c r="T3260" s="1">
        <v>1.00620553E8</v>
      </c>
      <c r="W3260" s="1" t="s">
        <v>147</v>
      </c>
      <c r="X3260" s="1" t="s">
        <v>9635</v>
      </c>
    </row>
    <row r="3261">
      <c r="A3261" s="1" t="s">
        <v>9636</v>
      </c>
      <c r="B3261" s="1" t="s">
        <v>772</v>
      </c>
      <c r="C3261" s="1" t="s">
        <v>9637</v>
      </c>
      <c r="D3261" s="1" t="s">
        <v>28</v>
      </c>
      <c r="E3261" s="1" t="s">
        <v>29</v>
      </c>
      <c r="F3261" s="5">
        <v>250000.0</v>
      </c>
      <c r="G3261" s="1" t="s">
        <v>7016</v>
      </c>
      <c r="H3261" s="1" t="s">
        <v>1323</v>
      </c>
      <c r="I3261" s="1" t="s">
        <v>104</v>
      </c>
      <c r="K3261" s="1">
        <v>0.0</v>
      </c>
      <c r="L3261" s="1" t="s">
        <v>1324</v>
      </c>
      <c r="M3261" s="1" t="str">
        <f>VLOOKUP(L3261,'Copy of PMD Workday Constants -'!B3260:W3946,22,false)</f>
        <v>#N/A</v>
      </c>
      <c r="N3261" s="1" t="s">
        <v>32</v>
      </c>
      <c r="O3261" s="1" t="s">
        <v>33</v>
      </c>
      <c r="P3261" s="1" t="s">
        <v>34</v>
      </c>
      <c r="Q3261" s="1" t="s">
        <v>34</v>
      </c>
      <c r="R3261" s="1" t="s">
        <v>35</v>
      </c>
      <c r="T3261" s="1">
        <v>1.00613915E8</v>
      </c>
      <c r="W3261" s="1" t="s">
        <v>37</v>
      </c>
      <c r="X3261" s="1" t="s">
        <v>977</v>
      </c>
    </row>
    <row r="3262">
      <c r="A3262" s="1" t="s">
        <v>9638</v>
      </c>
      <c r="B3262" s="1" t="s">
        <v>4717</v>
      </c>
      <c r="C3262" s="1" t="s">
        <v>9639</v>
      </c>
      <c r="D3262" s="1" t="s">
        <v>103</v>
      </c>
      <c r="E3262" s="1" t="s">
        <v>29</v>
      </c>
      <c r="F3262" s="5">
        <v>250000.0</v>
      </c>
      <c r="G3262" s="1" t="s">
        <v>7016</v>
      </c>
      <c r="H3262" s="1" t="s">
        <v>1915</v>
      </c>
      <c r="I3262" s="1" t="s">
        <v>132</v>
      </c>
      <c r="K3262" s="1">
        <v>0.0</v>
      </c>
      <c r="L3262" s="1" t="s">
        <v>1916</v>
      </c>
      <c r="M3262" s="1" t="str">
        <f>VLOOKUP(L3262,'Copy of PMD Workday Constants -'!B3261:W3947,22,false)</f>
        <v>#N/A</v>
      </c>
      <c r="N3262" s="1" t="s">
        <v>32</v>
      </c>
      <c r="O3262" s="1" t="s">
        <v>33</v>
      </c>
      <c r="P3262" s="1" t="s">
        <v>222</v>
      </c>
      <c r="Q3262" s="1" t="s">
        <v>222</v>
      </c>
      <c r="R3262" s="1" t="s">
        <v>223</v>
      </c>
      <c r="S3262" s="1" t="s">
        <v>601</v>
      </c>
      <c r="T3262" s="1">
        <v>1.00955805E8</v>
      </c>
      <c r="W3262" s="1" t="s">
        <v>4719</v>
      </c>
      <c r="X3262" s="1" t="s">
        <v>1916</v>
      </c>
    </row>
    <row r="3263">
      <c r="A3263" s="1" t="s">
        <v>9640</v>
      </c>
      <c r="B3263" s="1" t="s">
        <v>7511</v>
      </c>
      <c r="C3263" s="1" t="s">
        <v>9641</v>
      </c>
      <c r="D3263" s="1" t="s">
        <v>103</v>
      </c>
      <c r="E3263" s="1" t="s">
        <v>29</v>
      </c>
      <c r="F3263" s="5">
        <v>250000.0</v>
      </c>
      <c r="G3263" s="1" t="s">
        <v>7016</v>
      </c>
      <c r="H3263" s="1" t="s">
        <v>2484</v>
      </c>
      <c r="I3263" s="1" t="s">
        <v>104</v>
      </c>
      <c r="K3263" s="1">
        <v>0.0</v>
      </c>
      <c r="L3263" s="1" t="s">
        <v>9612</v>
      </c>
      <c r="M3263" s="1" t="str">
        <f>VLOOKUP(L3263,'Copy of PMD Workday Constants -'!B3262:W3948,22,false)</f>
        <v>#N/A</v>
      </c>
      <c r="N3263" s="1" t="s">
        <v>32</v>
      </c>
      <c r="O3263" s="1" t="s">
        <v>33</v>
      </c>
      <c r="P3263" s="1" t="s">
        <v>82</v>
      </c>
      <c r="Q3263" s="1" t="s">
        <v>82</v>
      </c>
      <c r="R3263" s="1" t="s">
        <v>83</v>
      </c>
      <c r="S3263" s="1" t="s">
        <v>180</v>
      </c>
      <c r="T3263" s="1">
        <v>1.0059101E8</v>
      </c>
      <c r="W3263" s="1" t="s">
        <v>2098</v>
      </c>
      <c r="X3263" s="1" t="s">
        <v>9612</v>
      </c>
    </row>
    <row r="3264">
      <c r="A3264" s="1" t="s">
        <v>9642</v>
      </c>
      <c r="B3264" s="1" t="s">
        <v>6985</v>
      </c>
      <c r="C3264" s="1" t="s">
        <v>9643</v>
      </c>
      <c r="D3264" s="1" t="s">
        <v>103</v>
      </c>
      <c r="E3264" s="1" t="s">
        <v>29</v>
      </c>
      <c r="F3264" s="5">
        <v>250000.0</v>
      </c>
      <c r="G3264" s="1" t="s">
        <v>7016</v>
      </c>
      <c r="H3264" s="1" t="s">
        <v>1650</v>
      </c>
      <c r="I3264" s="1" t="s">
        <v>302</v>
      </c>
      <c r="K3264" s="1">
        <v>0.0</v>
      </c>
      <c r="L3264" s="1" t="s">
        <v>4921</v>
      </c>
      <c r="M3264" s="1" t="str">
        <f>VLOOKUP(L3264,'Copy of PMD Workday Constants -'!B3263:W3949,22,false)</f>
        <v>#N/A</v>
      </c>
      <c r="N3264" s="1" t="s">
        <v>32</v>
      </c>
      <c r="O3264" s="1" t="s">
        <v>33</v>
      </c>
      <c r="P3264" s="1" t="s">
        <v>54</v>
      </c>
      <c r="Q3264" s="1" t="s">
        <v>54</v>
      </c>
      <c r="R3264" s="1" t="s">
        <v>55</v>
      </c>
      <c r="T3264" s="1">
        <v>1.00603236E8</v>
      </c>
      <c r="W3264" s="1" t="s">
        <v>533</v>
      </c>
      <c r="X3264" s="1" t="s">
        <v>9644</v>
      </c>
    </row>
    <row r="3265">
      <c r="A3265" s="1" t="s">
        <v>9645</v>
      </c>
      <c r="B3265" s="1" t="s">
        <v>3343</v>
      </c>
      <c r="C3265" s="1" t="s">
        <v>9646</v>
      </c>
      <c r="D3265" s="1" t="s">
        <v>28</v>
      </c>
      <c r="E3265" s="1" t="s">
        <v>29</v>
      </c>
      <c r="F3265" s="5">
        <v>250000.0</v>
      </c>
      <c r="G3265" s="1" t="s">
        <v>7016</v>
      </c>
      <c r="H3265" s="4">
        <v>44868.0</v>
      </c>
      <c r="I3265" s="1" t="s">
        <v>104</v>
      </c>
      <c r="K3265" s="1">
        <v>0.0</v>
      </c>
      <c r="L3265" s="1" t="s">
        <v>2275</v>
      </c>
      <c r="M3265" s="1" t="str">
        <f>VLOOKUP(L3265,'Copy of PMD Workday Constants -'!B3264:W3950,22,false)</f>
        <v>#N/A</v>
      </c>
      <c r="N3265" s="1" t="s">
        <v>32</v>
      </c>
      <c r="O3265" s="1" t="s">
        <v>33</v>
      </c>
      <c r="P3265" s="1" t="s">
        <v>173</v>
      </c>
      <c r="Q3265" s="1" t="s">
        <v>173</v>
      </c>
      <c r="R3265" s="1" t="s">
        <v>174</v>
      </c>
      <c r="S3265" s="1" t="s">
        <v>791</v>
      </c>
      <c r="T3265" s="1">
        <v>1.00650783E8</v>
      </c>
      <c r="W3265" s="1" t="s">
        <v>140</v>
      </c>
      <c r="X3265" s="1" t="s">
        <v>2275</v>
      </c>
    </row>
    <row r="3266">
      <c r="A3266" s="1" t="s">
        <v>9647</v>
      </c>
      <c r="B3266" s="1" t="s">
        <v>9648</v>
      </c>
      <c r="C3266" s="1" t="s">
        <v>9649</v>
      </c>
      <c r="D3266" s="1" t="s">
        <v>28</v>
      </c>
      <c r="E3266" s="1" t="s">
        <v>29</v>
      </c>
      <c r="F3266" s="5">
        <v>250000.0</v>
      </c>
      <c r="G3266" s="1" t="s">
        <v>7016</v>
      </c>
      <c r="H3266" s="1" t="s">
        <v>1474</v>
      </c>
      <c r="I3266" s="1" t="s">
        <v>414</v>
      </c>
      <c r="K3266" s="1">
        <v>0.0</v>
      </c>
      <c r="L3266" s="1" t="s">
        <v>9650</v>
      </c>
      <c r="M3266" s="1" t="str">
        <f>VLOOKUP(L3266,'Copy of PMD Workday Constants -'!B3265:W3951,22,false)</f>
        <v>#N/A</v>
      </c>
      <c r="N3266" s="1" t="s">
        <v>32</v>
      </c>
      <c r="O3266" s="1" t="s">
        <v>33</v>
      </c>
      <c r="P3266" s="1" t="s">
        <v>54</v>
      </c>
      <c r="Q3266" s="1" t="s">
        <v>54</v>
      </c>
      <c r="R3266" s="1" t="s">
        <v>55</v>
      </c>
      <c r="S3266" s="1" t="s">
        <v>654</v>
      </c>
      <c r="T3266" s="1">
        <v>1.00702365E8</v>
      </c>
      <c r="W3266" s="1" t="s">
        <v>56</v>
      </c>
      <c r="X3266" s="1" t="s">
        <v>3069</v>
      </c>
    </row>
    <row r="3267">
      <c r="A3267" s="1" t="s">
        <v>9651</v>
      </c>
      <c r="B3267" s="1" t="s">
        <v>1664</v>
      </c>
      <c r="C3267" s="1" t="s">
        <v>9652</v>
      </c>
      <c r="D3267" s="1" t="s">
        <v>28</v>
      </c>
      <c r="E3267" s="1" t="s">
        <v>29</v>
      </c>
      <c r="F3267" s="5">
        <v>250000.0</v>
      </c>
      <c r="G3267" s="1" t="s">
        <v>7016</v>
      </c>
      <c r="H3267" s="1" t="s">
        <v>1514</v>
      </c>
      <c r="I3267" s="1" t="s">
        <v>9653</v>
      </c>
      <c r="K3267" s="1">
        <v>0.0</v>
      </c>
      <c r="L3267" s="1" t="s">
        <v>963</v>
      </c>
      <c r="M3267" s="1" t="str">
        <f>VLOOKUP(L3267,'Copy of PMD Workday Constants -'!B3266:W3952,22,false)</f>
        <v>#N/A</v>
      </c>
      <c r="N3267" s="1" t="s">
        <v>32</v>
      </c>
      <c r="O3267" s="1" t="s">
        <v>33</v>
      </c>
      <c r="P3267" s="1" t="s">
        <v>173</v>
      </c>
      <c r="Q3267" s="1" t="s">
        <v>173</v>
      </c>
      <c r="R3267" s="1" t="s">
        <v>174</v>
      </c>
      <c r="S3267" s="1" t="s">
        <v>612</v>
      </c>
      <c r="T3267" s="1">
        <v>1.00708984E8</v>
      </c>
      <c r="W3267" s="1" t="s">
        <v>147</v>
      </c>
      <c r="X3267" s="1" t="s">
        <v>4072</v>
      </c>
    </row>
    <row r="3268">
      <c r="A3268" s="1" t="s">
        <v>9654</v>
      </c>
      <c r="B3268" s="1" t="s">
        <v>9655</v>
      </c>
      <c r="C3268" s="1" t="s">
        <v>9656</v>
      </c>
      <c r="D3268" s="1" t="s">
        <v>51</v>
      </c>
      <c r="E3268" s="1" t="s">
        <v>29</v>
      </c>
      <c r="F3268" s="5">
        <v>250000.0</v>
      </c>
      <c r="G3268" s="1" t="s">
        <v>7016</v>
      </c>
      <c r="H3268" s="4">
        <v>43870.0</v>
      </c>
      <c r="I3268" s="1" t="s">
        <v>152</v>
      </c>
      <c r="K3268" s="1">
        <v>0.0</v>
      </c>
      <c r="L3268" s="1" t="s">
        <v>1036</v>
      </c>
      <c r="M3268" s="1" t="str">
        <f>VLOOKUP(L3268,'Copy of PMD Workday Constants -'!B3267:W3953,22,false)</f>
        <v>#N/A</v>
      </c>
      <c r="N3268" s="1" t="s">
        <v>32</v>
      </c>
      <c r="O3268" s="1" t="s">
        <v>33</v>
      </c>
      <c r="P3268" s="1" t="s">
        <v>82</v>
      </c>
      <c r="Q3268" s="1" t="s">
        <v>82</v>
      </c>
      <c r="R3268" s="1" t="s">
        <v>83</v>
      </c>
      <c r="S3268" s="1" t="s">
        <v>180</v>
      </c>
      <c r="T3268" s="1">
        <v>1.0090037E8</v>
      </c>
      <c r="W3268" s="1" t="s">
        <v>85</v>
      </c>
      <c r="X3268" s="1" t="s">
        <v>9657</v>
      </c>
    </row>
    <row r="3269">
      <c r="A3269" s="1" t="s">
        <v>9658</v>
      </c>
      <c r="B3269" s="1" t="s">
        <v>77</v>
      </c>
      <c r="C3269" s="1" t="s">
        <v>9659</v>
      </c>
      <c r="D3269" s="1" t="s">
        <v>28</v>
      </c>
      <c r="E3269" s="1" t="s">
        <v>29</v>
      </c>
      <c r="F3269" s="5">
        <v>250000.0</v>
      </c>
      <c r="G3269" s="1" t="s">
        <v>7016</v>
      </c>
      <c r="H3269" s="1" t="s">
        <v>3399</v>
      </c>
      <c r="I3269" s="1" t="s">
        <v>414</v>
      </c>
      <c r="K3269" s="1">
        <v>0.0</v>
      </c>
      <c r="L3269" s="1" t="s">
        <v>319</v>
      </c>
      <c r="M3269" s="1" t="str">
        <f>VLOOKUP(L3269,'Copy of PMD Workday Constants -'!B3268:W3954,22,false)</f>
        <v>#N/A</v>
      </c>
      <c r="N3269" s="1" t="s">
        <v>32</v>
      </c>
      <c r="O3269" s="1" t="s">
        <v>33</v>
      </c>
      <c r="P3269" s="1" t="s">
        <v>82</v>
      </c>
      <c r="Q3269" s="1" t="s">
        <v>82</v>
      </c>
      <c r="R3269" s="1" t="s">
        <v>83</v>
      </c>
      <c r="S3269" s="1" t="s">
        <v>84</v>
      </c>
      <c r="T3269" s="1">
        <v>1.00654705E8</v>
      </c>
      <c r="W3269" s="1" t="s">
        <v>85</v>
      </c>
      <c r="X3269" s="1" t="s">
        <v>319</v>
      </c>
    </row>
    <row r="3270">
      <c r="A3270" s="1" t="s">
        <v>9660</v>
      </c>
      <c r="B3270" s="1" t="s">
        <v>430</v>
      </c>
      <c r="C3270" s="1" t="s">
        <v>9661</v>
      </c>
      <c r="D3270" s="1" t="s">
        <v>28</v>
      </c>
      <c r="E3270" s="1" t="s">
        <v>29</v>
      </c>
      <c r="F3270" s="5">
        <v>250000.0</v>
      </c>
      <c r="G3270" s="1" t="s">
        <v>7016</v>
      </c>
      <c r="H3270" s="1" t="s">
        <v>1287</v>
      </c>
      <c r="I3270" s="1" t="s">
        <v>80</v>
      </c>
      <c r="K3270" s="1">
        <v>0.0</v>
      </c>
      <c r="L3270" s="1" t="s">
        <v>428</v>
      </c>
      <c r="M3270" s="1" t="str">
        <f>VLOOKUP(L3270,'Copy of PMD Workday Constants -'!B3269:W3955,22,false)</f>
        <v>#N/A</v>
      </c>
      <c r="N3270" s="1" t="s">
        <v>32</v>
      </c>
      <c r="O3270" s="1" t="s">
        <v>33</v>
      </c>
      <c r="P3270" s="1" t="s">
        <v>173</v>
      </c>
      <c r="Q3270" s="1" t="s">
        <v>173</v>
      </c>
      <c r="R3270" s="1" t="s">
        <v>174</v>
      </c>
      <c r="T3270" s="1">
        <v>1.00654085E8</v>
      </c>
      <c r="W3270" s="1" t="s">
        <v>85</v>
      </c>
      <c r="X3270" s="1" t="s">
        <v>3714</v>
      </c>
    </row>
    <row r="3271">
      <c r="A3271" s="1" t="s">
        <v>9662</v>
      </c>
      <c r="B3271" s="1" t="s">
        <v>1062</v>
      </c>
      <c r="C3271" s="1" t="s">
        <v>9663</v>
      </c>
      <c r="D3271" s="1" t="s">
        <v>51</v>
      </c>
      <c r="E3271" s="1" t="s">
        <v>29</v>
      </c>
      <c r="F3271" s="5">
        <v>250000.0</v>
      </c>
      <c r="G3271" s="1" t="s">
        <v>7016</v>
      </c>
      <c r="H3271" s="1" t="s">
        <v>1662</v>
      </c>
      <c r="I3271" s="1" t="s">
        <v>302</v>
      </c>
      <c r="K3271" s="1">
        <v>0.0</v>
      </c>
      <c r="L3271" s="1" t="s">
        <v>3100</v>
      </c>
      <c r="M3271" s="1" t="str">
        <f>VLOOKUP(L3271,'Copy of PMD Workday Constants -'!B3270:W3956,22,false)</f>
        <v>#N/A</v>
      </c>
      <c r="N3271" s="1" t="s">
        <v>32</v>
      </c>
      <c r="O3271" s="1" t="s">
        <v>33</v>
      </c>
      <c r="P3271" s="1" t="s">
        <v>210</v>
      </c>
      <c r="Q3271" s="1" t="s">
        <v>210</v>
      </c>
      <c r="R3271" s="1" t="s">
        <v>211</v>
      </c>
      <c r="S3271" s="1" t="s">
        <v>540</v>
      </c>
      <c r="T3271" s="1">
        <v>1.01093101E8</v>
      </c>
      <c r="W3271" s="1" t="s">
        <v>493</v>
      </c>
      <c r="X3271" s="1" t="s">
        <v>3100</v>
      </c>
    </row>
    <row r="3272">
      <c r="A3272" s="1" t="s">
        <v>9664</v>
      </c>
      <c r="B3272" s="1" t="s">
        <v>5503</v>
      </c>
      <c r="C3272" s="1" t="s">
        <v>9665</v>
      </c>
      <c r="D3272" s="1" t="s">
        <v>28</v>
      </c>
      <c r="E3272" s="1" t="s">
        <v>29</v>
      </c>
      <c r="F3272" s="5">
        <v>250000.0</v>
      </c>
      <c r="G3272" s="1" t="s">
        <v>7016</v>
      </c>
      <c r="H3272" s="1" t="s">
        <v>131</v>
      </c>
      <c r="I3272" s="1" t="s">
        <v>166</v>
      </c>
      <c r="K3272" s="1">
        <v>0.0</v>
      </c>
      <c r="L3272" s="1" t="s">
        <v>9666</v>
      </c>
      <c r="M3272" s="1" t="str">
        <f>VLOOKUP(L3272,'Copy of PMD Workday Constants -'!B3271:W3957,22,false)</f>
        <v>#N/A</v>
      </c>
      <c r="N3272" s="1" t="s">
        <v>32</v>
      </c>
      <c r="O3272" s="1" t="s">
        <v>33</v>
      </c>
      <c r="P3272" s="1" t="s">
        <v>210</v>
      </c>
      <c r="Q3272" s="1" t="s">
        <v>210</v>
      </c>
      <c r="R3272" s="1" t="s">
        <v>211</v>
      </c>
      <c r="T3272" s="1">
        <v>1.01218675E8</v>
      </c>
      <c r="W3272" s="1" t="s">
        <v>947</v>
      </c>
      <c r="X3272" s="1" t="s">
        <v>5505</v>
      </c>
    </row>
    <row r="3273">
      <c r="A3273" s="1" t="s">
        <v>9667</v>
      </c>
      <c r="B3273" s="1" t="s">
        <v>293</v>
      </c>
      <c r="C3273" s="1" t="s">
        <v>9668</v>
      </c>
      <c r="D3273" s="1" t="s">
        <v>28</v>
      </c>
      <c r="E3273" s="1" t="s">
        <v>29</v>
      </c>
      <c r="F3273" s="5">
        <v>250000.0</v>
      </c>
      <c r="G3273" s="1" t="s">
        <v>7016</v>
      </c>
      <c r="H3273" s="1" t="s">
        <v>698</v>
      </c>
      <c r="I3273" s="1" t="s">
        <v>302</v>
      </c>
      <c r="K3273" s="1">
        <v>0.0</v>
      </c>
      <c r="L3273" s="1" t="s">
        <v>296</v>
      </c>
      <c r="M3273" s="1" t="str">
        <f>VLOOKUP(L3273,'Copy of PMD Workday Constants -'!B3272:W3958,22,false)</f>
        <v>#N/A</v>
      </c>
      <c r="N3273" s="1" t="s">
        <v>32</v>
      </c>
      <c r="O3273" s="1" t="s">
        <v>33</v>
      </c>
      <c r="P3273" s="1" t="s">
        <v>173</v>
      </c>
      <c r="Q3273" s="1" t="s">
        <v>173</v>
      </c>
      <c r="R3273" s="1" t="s">
        <v>174</v>
      </c>
      <c r="S3273" s="1" t="s">
        <v>297</v>
      </c>
      <c r="T3273" s="1">
        <v>1.00642806E8</v>
      </c>
      <c r="W3273" s="1" t="s">
        <v>258</v>
      </c>
      <c r="X3273" s="1" t="s">
        <v>2991</v>
      </c>
    </row>
    <row r="3274">
      <c r="A3274" s="1" t="s">
        <v>9669</v>
      </c>
      <c r="B3274" s="1" t="s">
        <v>610</v>
      </c>
      <c r="C3274" s="1" t="s">
        <v>9670</v>
      </c>
      <c r="D3274" s="1" t="s">
        <v>51</v>
      </c>
      <c r="E3274" s="1" t="s">
        <v>29</v>
      </c>
      <c r="F3274" s="5">
        <v>250000.0</v>
      </c>
      <c r="G3274" s="1" t="s">
        <v>7016</v>
      </c>
      <c r="H3274" s="1" t="s">
        <v>9671</v>
      </c>
      <c r="I3274" s="1" t="s">
        <v>80</v>
      </c>
      <c r="K3274" s="1">
        <v>0.0</v>
      </c>
      <c r="L3274" s="1" t="s">
        <v>255</v>
      </c>
      <c r="M3274" s="1" t="str">
        <f>VLOOKUP(L3274,'Copy of PMD Workday Constants -'!B3273:W3959,22,false)</f>
        <v>#N/A</v>
      </c>
      <c r="N3274" s="1" t="s">
        <v>32</v>
      </c>
      <c r="O3274" s="1" t="s">
        <v>33</v>
      </c>
      <c r="P3274" s="1" t="s">
        <v>112</v>
      </c>
      <c r="Q3274" s="1" t="s">
        <v>112</v>
      </c>
      <c r="R3274" s="1" t="s">
        <v>113</v>
      </c>
      <c r="S3274" s="1" t="s">
        <v>256</v>
      </c>
      <c r="T3274" s="1">
        <v>1.00659114E8</v>
      </c>
      <c r="W3274" s="1" t="s">
        <v>258</v>
      </c>
      <c r="X3274" s="1" t="s">
        <v>1068</v>
      </c>
    </row>
    <row r="3275">
      <c r="A3275" s="1" t="s">
        <v>9672</v>
      </c>
      <c r="B3275" s="1" t="s">
        <v>9673</v>
      </c>
      <c r="C3275" s="1" t="s">
        <v>9674</v>
      </c>
      <c r="D3275" s="1" t="s">
        <v>51</v>
      </c>
      <c r="E3275" s="1" t="s">
        <v>29</v>
      </c>
      <c r="F3275" s="5">
        <v>250000.0</v>
      </c>
      <c r="G3275" s="1" t="s">
        <v>7016</v>
      </c>
      <c r="H3275" s="1" t="s">
        <v>2077</v>
      </c>
      <c r="I3275" s="1" t="s">
        <v>301</v>
      </c>
      <c r="K3275" s="1">
        <v>0.0</v>
      </c>
      <c r="L3275" s="1" t="s">
        <v>3148</v>
      </c>
      <c r="M3275" s="1" t="str">
        <f>VLOOKUP(L3275,'Copy of PMD Workday Constants -'!B3274:W3960,22,false)</f>
        <v>#N/A</v>
      </c>
      <c r="N3275" s="1" t="s">
        <v>32</v>
      </c>
      <c r="O3275" s="1" t="s">
        <v>33</v>
      </c>
      <c r="P3275" s="1" t="s">
        <v>112</v>
      </c>
      <c r="Q3275" s="1" t="s">
        <v>112</v>
      </c>
      <c r="R3275" s="1" t="s">
        <v>113</v>
      </c>
      <c r="S3275" s="1" t="s">
        <v>455</v>
      </c>
      <c r="T3275" s="1">
        <v>1.00620159E8</v>
      </c>
      <c r="W3275" s="1" t="s">
        <v>85</v>
      </c>
      <c r="X3275" s="1" t="s">
        <v>3148</v>
      </c>
    </row>
    <row r="3276">
      <c r="A3276" s="1" t="s">
        <v>9675</v>
      </c>
      <c r="B3276" s="1" t="s">
        <v>3585</v>
      </c>
      <c r="C3276" s="1" t="s">
        <v>9676</v>
      </c>
      <c r="D3276" s="1" t="s">
        <v>28</v>
      </c>
      <c r="E3276" s="1" t="s">
        <v>29</v>
      </c>
      <c r="F3276" s="5">
        <v>250000.0</v>
      </c>
      <c r="G3276" s="1" t="s">
        <v>7016</v>
      </c>
      <c r="H3276" s="1" t="s">
        <v>644</v>
      </c>
      <c r="I3276" s="1" t="s">
        <v>132</v>
      </c>
      <c r="K3276" s="1">
        <v>0.0</v>
      </c>
      <c r="L3276" s="1" t="s">
        <v>5807</v>
      </c>
      <c r="M3276" s="1" t="str">
        <f>VLOOKUP(L3276,'Copy of PMD Workday Constants -'!B3275:W3961,22,false)</f>
        <v>#N/A</v>
      </c>
      <c r="N3276" s="1" t="s">
        <v>32</v>
      </c>
      <c r="O3276" s="1" t="s">
        <v>33</v>
      </c>
      <c r="P3276" s="1" t="s">
        <v>173</v>
      </c>
      <c r="Q3276" s="1" t="s">
        <v>173</v>
      </c>
      <c r="R3276" s="1" t="s">
        <v>174</v>
      </c>
      <c r="S3276" s="1" t="s">
        <v>540</v>
      </c>
      <c r="T3276" s="1">
        <v>1.00589278E8</v>
      </c>
      <c r="X3276" s="1" t="s">
        <v>7871</v>
      </c>
    </row>
    <row r="3277">
      <c r="A3277" s="1" t="s">
        <v>9677</v>
      </c>
      <c r="B3277" s="1" t="s">
        <v>1109</v>
      </c>
      <c r="C3277" s="1" t="s">
        <v>9678</v>
      </c>
      <c r="D3277" s="1" t="s">
        <v>28</v>
      </c>
      <c r="E3277" s="1" t="s">
        <v>29</v>
      </c>
      <c r="F3277" s="5">
        <v>250000.0</v>
      </c>
      <c r="G3277" s="1" t="s">
        <v>7016</v>
      </c>
      <c r="H3277" s="4">
        <v>44563.0</v>
      </c>
      <c r="I3277" s="1" t="s">
        <v>80</v>
      </c>
      <c r="K3277" s="1">
        <v>0.0</v>
      </c>
      <c r="L3277" s="1" t="s">
        <v>866</v>
      </c>
      <c r="M3277" s="1" t="str">
        <f>VLOOKUP(L3277,'Copy of PMD Workday Constants -'!B3276:W3962,22,false)</f>
        <v>#N/A</v>
      </c>
      <c r="N3277" s="1" t="s">
        <v>32</v>
      </c>
      <c r="O3277" s="1" t="s">
        <v>33</v>
      </c>
      <c r="P3277" s="1" t="s">
        <v>82</v>
      </c>
      <c r="Q3277" s="1" t="s">
        <v>82</v>
      </c>
      <c r="R3277" s="1" t="s">
        <v>83</v>
      </c>
      <c r="S3277" s="1" t="s">
        <v>1385</v>
      </c>
      <c r="T3277" s="1">
        <v>1.00941744E8</v>
      </c>
      <c r="W3277" s="1" t="s">
        <v>85</v>
      </c>
      <c r="X3277" s="1" t="s">
        <v>9312</v>
      </c>
    </row>
    <row r="3278">
      <c r="A3278" s="1" t="s">
        <v>9679</v>
      </c>
      <c r="B3278" s="1" t="s">
        <v>77</v>
      </c>
      <c r="C3278" s="1" t="s">
        <v>9680</v>
      </c>
      <c r="D3278" s="1" t="s">
        <v>28</v>
      </c>
      <c r="E3278" s="1" t="s">
        <v>29</v>
      </c>
      <c r="F3278" s="5">
        <v>250000.0</v>
      </c>
      <c r="G3278" s="1" t="s">
        <v>7016</v>
      </c>
      <c r="H3278" s="4">
        <v>44563.0</v>
      </c>
      <c r="I3278" s="1" t="s">
        <v>264</v>
      </c>
      <c r="K3278" s="1">
        <v>0.0</v>
      </c>
      <c r="L3278" s="1" t="s">
        <v>3623</v>
      </c>
      <c r="M3278" s="1" t="str">
        <f>VLOOKUP(L3278,'Copy of PMD Workday Constants -'!B3277:W3963,22,false)</f>
        <v>#N/A</v>
      </c>
      <c r="N3278" s="1" t="s">
        <v>32</v>
      </c>
      <c r="O3278" s="1" t="s">
        <v>33</v>
      </c>
      <c r="P3278" s="1" t="s">
        <v>82</v>
      </c>
      <c r="Q3278" s="1" t="s">
        <v>82</v>
      </c>
      <c r="R3278" s="1" t="s">
        <v>83</v>
      </c>
      <c r="S3278" s="1" t="s">
        <v>84</v>
      </c>
      <c r="T3278" s="1">
        <v>1.00929557E8</v>
      </c>
      <c r="W3278" s="1" t="s">
        <v>85</v>
      </c>
      <c r="X3278" s="1" t="s">
        <v>9312</v>
      </c>
    </row>
    <row r="3279">
      <c r="A3279" s="1" t="s">
        <v>9681</v>
      </c>
      <c r="B3279" s="1" t="s">
        <v>77</v>
      </c>
      <c r="C3279" s="1" t="s">
        <v>9682</v>
      </c>
      <c r="D3279" s="1" t="s">
        <v>28</v>
      </c>
      <c r="E3279" s="1" t="s">
        <v>29</v>
      </c>
      <c r="F3279" s="5">
        <v>250000.0</v>
      </c>
      <c r="G3279" s="1" t="s">
        <v>7016</v>
      </c>
      <c r="H3279" s="4">
        <v>44563.0</v>
      </c>
      <c r="I3279" s="1" t="s">
        <v>80</v>
      </c>
      <c r="K3279" s="1">
        <v>0.0</v>
      </c>
      <c r="L3279" s="1" t="s">
        <v>866</v>
      </c>
      <c r="M3279" s="1" t="str">
        <f>VLOOKUP(L3279,'Copy of PMD Workday Constants -'!B3278:W3964,22,false)</f>
        <v>#N/A</v>
      </c>
      <c r="N3279" s="1" t="s">
        <v>32</v>
      </c>
      <c r="O3279" s="1" t="s">
        <v>33</v>
      </c>
      <c r="P3279" s="1" t="s">
        <v>82</v>
      </c>
      <c r="Q3279" s="1" t="s">
        <v>82</v>
      </c>
      <c r="R3279" s="1" t="s">
        <v>83</v>
      </c>
      <c r="S3279" s="1" t="s">
        <v>84</v>
      </c>
      <c r="T3279" s="1">
        <v>1.00941744E8</v>
      </c>
      <c r="W3279" s="1" t="s">
        <v>85</v>
      </c>
      <c r="X3279" s="1" t="s">
        <v>9312</v>
      </c>
    </row>
    <row r="3280">
      <c r="A3280" s="1" t="s">
        <v>9683</v>
      </c>
      <c r="B3280" s="1" t="s">
        <v>143</v>
      </c>
      <c r="C3280" s="1" t="s">
        <v>9684</v>
      </c>
      <c r="D3280" s="1" t="s">
        <v>51</v>
      </c>
      <c r="E3280" s="1" t="s">
        <v>29</v>
      </c>
      <c r="F3280" s="5">
        <v>250000.0</v>
      </c>
      <c r="G3280" s="1" t="s">
        <v>7016</v>
      </c>
      <c r="H3280" s="4">
        <v>44288.0</v>
      </c>
      <c r="I3280" s="1" t="s">
        <v>264</v>
      </c>
      <c r="K3280" s="1">
        <v>0.0</v>
      </c>
      <c r="L3280" s="1" t="s">
        <v>3727</v>
      </c>
      <c r="M3280" s="1" t="str">
        <f>VLOOKUP(L3280,'Copy of PMD Workday Constants -'!B3279:W3965,22,false)</f>
        <v>#N/A</v>
      </c>
      <c r="N3280" s="1" t="s">
        <v>32</v>
      </c>
      <c r="O3280" s="1" t="s">
        <v>33</v>
      </c>
      <c r="P3280" s="1" t="s">
        <v>222</v>
      </c>
      <c r="Q3280" s="1" t="s">
        <v>222</v>
      </c>
      <c r="R3280" s="1" t="s">
        <v>223</v>
      </c>
      <c r="S3280" s="1" t="s">
        <v>601</v>
      </c>
      <c r="T3280" s="1">
        <v>1.00611158E8</v>
      </c>
      <c r="W3280" s="1" t="s">
        <v>147</v>
      </c>
      <c r="X3280" s="1" t="s">
        <v>3727</v>
      </c>
    </row>
    <row r="3281">
      <c r="A3281" s="1" t="s">
        <v>9685</v>
      </c>
      <c r="B3281" s="1" t="s">
        <v>225</v>
      </c>
      <c r="C3281" s="1" t="s">
        <v>9686</v>
      </c>
      <c r="D3281" s="1" t="s">
        <v>28</v>
      </c>
      <c r="E3281" s="1" t="s">
        <v>29</v>
      </c>
      <c r="F3281" s="5">
        <v>250000.0</v>
      </c>
      <c r="G3281" s="1" t="s">
        <v>7016</v>
      </c>
      <c r="H3281" s="4">
        <v>44563.0</v>
      </c>
      <c r="I3281" s="4">
        <v>44816.0</v>
      </c>
      <c r="K3281" s="1">
        <v>0.0</v>
      </c>
      <c r="L3281" s="1" t="s">
        <v>3623</v>
      </c>
      <c r="M3281" s="1" t="str">
        <f>VLOOKUP(L3281,'Copy of PMD Workday Constants -'!B3280:W3966,22,false)</f>
        <v>#N/A</v>
      </c>
      <c r="N3281" s="1" t="s">
        <v>32</v>
      </c>
      <c r="O3281" s="1" t="s">
        <v>33</v>
      </c>
      <c r="P3281" s="1" t="s">
        <v>82</v>
      </c>
      <c r="Q3281" s="1" t="s">
        <v>82</v>
      </c>
      <c r="R3281" s="1" t="s">
        <v>83</v>
      </c>
      <c r="S3281" s="1" t="s">
        <v>84</v>
      </c>
      <c r="T3281" s="1">
        <v>1.00929557E8</v>
      </c>
      <c r="W3281" s="1" t="s">
        <v>85</v>
      </c>
      <c r="X3281" s="1" t="s">
        <v>9312</v>
      </c>
    </row>
    <row r="3282">
      <c r="A3282" s="1" t="s">
        <v>9687</v>
      </c>
      <c r="B3282" s="1" t="s">
        <v>2277</v>
      </c>
      <c r="C3282" s="1" t="s">
        <v>9688</v>
      </c>
      <c r="D3282" s="1" t="s">
        <v>51</v>
      </c>
      <c r="E3282" s="1" t="s">
        <v>29</v>
      </c>
      <c r="F3282" s="5">
        <v>250000.0</v>
      </c>
      <c r="G3282" s="1" t="s">
        <v>7016</v>
      </c>
      <c r="H3282" s="4">
        <v>44717.0</v>
      </c>
      <c r="I3282" s="1" t="s">
        <v>732</v>
      </c>
      <c r="K3282" s="1">
        <v>0.0</v>
      </c>
      <c r="L3282" s="1" t="s">
        <v>1902</v>
      </c>
      <c r="M3282" s="1" t="str">
        <f>VLOOKUP(L3282,'Copy of PMD Workday Constants -'!B3281:W3967,22,false)</f>
        <v>#N/A</v>
      </c>
      <c r="N3282" s="1" t="s">
        <v>32</v>
      </c>
      <c r="O3282" s="1" t="s">
        <v>33</v>
      </c>
      <c r="P3282" s="1" t="s">
        <v>173</v>
      </c>
      <c r="Q3282" s="1" t="s">
        <v>173</v>
      </c>
      <c r="R3282" s="1" t="s">
        <v>174</v>
      </c>
      <c r="S3282" s="1" t="s">
        <v>1336</v>
      </c>
      <c r="T3282" s="1">
        <v>1.00956516E8</v>
      </c>
      <c r="W3282" s="1" t="s">
        <v>258</v>
      </c>
      <c r="X3282" s="1" t="s">
        <v>9689</v>
      </c>
    </row>
    <row r="3283">
      <c r="A3283" s="1" t="s">
        <v>9690</v>
      </c>
      <c r="B3283" s="1" t="s">
        <v>225</v>
      </c>
      <c r="C3283" s="1" t="s">
        <v>9691</v>
      </c>
      <c r="D3283" s="1" t="s">
        <v>28</v>
      </c>
      <c r="E3283" s="1" t="s">
        <v>29</v>
      </c>
      <c r="F3283" s="5">
        <v>250000.0</v>
      </c>
      <c r="G3283" s="1" t="s">
        <v>7016</v>
      </c>
      <c r="H3283" s="4">
        <v>44563.0</v>
      </c>
      <c r="I3283" s="1" t="s">
        <v>217</v>
      </c>
      <c r="K3283" s="1">
        <v>0.0</v>
      </c>
      <c r="L3283" s="1" t="s">
        <v>866</v>
      </c>
      <c r="M3283" s="1" t="str">
        <f>VLOOKUP(L3283,'Copy of PMD Workday Constants -'!B3282:W3968,22,false)</f>
        <v>#N/A</v>
      </c>
      <c r="N3283" s="1" t="s">
        <v>32</v>
      </c>
      <c r="O3283" s="1" t="s">
        <v>33</v>
      </c>
      <c r="P3283" s="1" t="s">
        <v>82</v>
      </c>
      <c r="Q3283" s="1" t="s">
        <v>82</v>
      </c>
      <c r="R3283" s="1" t="s">
        <v>83</v>
      </c>
      <c r="S3283" s="1" t="s">
        <v>84</v>
      </c>
      <c r="T3283" s="1">
        <v>1.00941744E8</v>
      </c>
      <c r="W3283" s="1" t="s">
        <v>85</v>
      </c>
      <c r="X3283" s="1" t="s">
        <v>9312</v>
      </c>
    </row>
    <row r="3284">
      <c r="A3284" s="1" t="s">
        <v>9692</v>
      </c>
      <c r="B3284" s="1" t="s">
        <v>9693</v>
      </c>
      <c r="C3284" s="1" t="s">
        <v>9694</v>
      </c>
      <c r="D3284" s="1" t="s">
        <v>28</v>
      </c>
      <c r="E3284" s="1" t="s">
        <v>29</v>
      </c>
      <c r="F3284" s="5">
        <v>250000.0</v>
      </c>
      <c r="G3284" s="1" t="s">
        <v>7016</v>
      </c>
      <c r="H3284" s="1" t="s">
        <v>3496</v>
      </c>
      <c r="I3284" s="1" t="s">
        <v>80</v>
      </c>
      <c r="K3284" s="1">
        <v>0.0</v>
      </c>
      <c r="L3284" s="1" t="s">
        <v>866</v>
      </c>
      <c r="M3284" s="1" t="str">
        <f>VLOOKUP(L3284,'Copy of PMD Workday Constants -'!B3283:W3969,22,false)</f>
        <v>#N/A</v>
      </c>
      <c r="N3284" s="1" t="s">
        <v>32</v>
      </c>
      <c r="O3284" s="1" t="s">
        <v>33</v>
      </c>
      <c r="P3284" s="1" t="s">
        <v>82</v>
      </c>
      <c r="Q3284" s="1" t="s">
        <v>82</v>
      </c>
      <c r="R3284" s="1" t="s">
        <v>83</v>
      </c>
      <c r="S3284" s="1" t="s">
        <v>84</v>
      </c>
      <c r="T3284" s="1">
        <v>1.00941744E8</v>
      </c>
      <c r="W3284" s="1" t="s">
        <v>115</v>
      </c>
      <c r="X3284" s="1" t="s">
        <v>9312</v>
      </c>
    </row>
    <row r="3285">
      <c r="A3285" s="1" t="s">
        <v>9695</v>
      </c>
      <c r="B3285" s="1" t="s">
        <v>5577</v>
      </c>
      <c r="C3285" s="1" t="s">
        <v>9696</v>
      </c>
      <c r="D3285" s="1" t="s">
        <v>51</v>
      </c>
      <c r="E3285" s="1" t="s">
        <v>29</v>
      </c>
      <c r="F3285" s="5">
        <v>250000.0</v>
      </c>
      <c r="G3285" s="1" t="s">
        <v>7016</v>
      </c>
      <c r="H3285" s="1" t="s">
        <v>6768</v>
      </c>
      <c r="I3285" s="4">
        <v>44688.0</v>
      </c>
      <c r="K3285" s="1">
        <v>0.0</v>
      </c>
      <c r="L3285" s="1" t="s">
        <v>7193</v>
      </c>
      <c r="M3285" s="1" t="str">
        <f>VLOOKUP(L3285,'Copy of PMD Workday Constants -'!B3284:W3970,22,false)</f>
        <v>#N/A</v>
      </c>
      <c r="N3285" s="1" t="s">
        <v>32</v>
      </c>
      <c r="O3285" s="1" t="s">
        <v>33</v>
      </c>
      <c r="P3285" s="1" t="s">
        <v>82</v>
      </c>
      <c r="Q3285" s="1" t="s">
        <v>82</v>
      </c>
      <c r="R3285" s="1" t="s">
        <v>83</v>
      </c>
      <c r="S3285" s="1" t="s">
        <v>84</v>
      </c>
      <c r="T3285" s="1">
        <v>1.00635527E8</v>
      </c>
      <c r="W3285" s="1" t="s">
        <v>85</v>
      </c>
      <c r="X3285" s="1" t="s">
        <v>7193</v>
      </c>
    </row>
    <row r="3286">
      <c r="A3286" s="1" t="s">
        <v>9697</v>
      </c>
      <c r="B3286" s="1" t="s">
        <v>6988</v>
      </c>
      <c r="C3286" s="1" t="s">
        <v>9698</v>
      </c>
      <c r="D3286" s="1" t="s">
        <v>28</v>
      </c>
      <c r="E3286" s="1" t="s">
        <v>29</v>
      </c>
      <c r="F3286" s="5">
        <v>250000.0</v>
      </c>
      <c r="G3286" s="1" t="s">
        <v>7016</v>
      </c>
      <c r="H3286" s="1" t="s">
        <v>413</v>
      </c>
      <c r="I3286" s="4">
        <v>44626.0</v>
      </c>
      <c r="K3286" s="1">
        <v>0.0</v>
      </c>
      <c r="L3286" s="1" t="s">
        <v>9197</v>
      </c>
      <c r="M3286" s="1" t="str">
        <f>VLOOKUP(L3286,'Copy of PMD Workday Constants -'!B3285:W3971,22,false)</f>
        <v>#N/A</v>
      </c>
      <c r="N3286" s="1" t="s">
        <v>32</v>
      </c>
      <c r="O3286" s="1" t="s">
        <v>33</v>
      </c>
      <c r="P3286" s="1" t="s">
        <v>112</v>
      </c>
      <c r="Q3286" s="1" t="s">
        <v>112</v>
      </c>
      <c r="R3286" s="1" t="s">
        <v>113</v>
      </c>
      <c r="T3286" s="1">
        <v>1.00637451E8</v>
      </c>
      <c r="W3286" s="1" t="s">
        <v>1303</v>
      </c>
      <c r="X3286" s="1" t="s">
        <v>9197</v>
      </c>
    </row>
    <row r="3287">
      <c r="A3287" s="1" t="s">
        <v>9699</v>
      </c>
      <c r="B3287" s="1" t="s">
        <v>9700</v>
      </c>
      <c r="C3287" s="1" t="s">
        <v>9701</v>
      </c>
      <c r="D3287" s="1" t="s">
        <v>103</v>
      </c>
      <c r="E3287" s="1" t="s">
        <v>29</v>
      </c>
      <c r="F3287" s="5">
        <v>250000.0</v>
      </c>
      <c r="G3287" s="1" t="s">
        <v>7016</v>
      </c>
      <c r="H3287" s="4">
        <v>44748.0</v>
      </c>
      <c r="I3287" s="1" t="s">
        <v>96</v>
      </c>
      <c r="K3287" s="1">
        <v>0.0</v>
      </c>
      <c r="L3287" s="1" t="s">
        <v>7095</v>
      </c>
      <c r="M3287" s="1" t="str">
        <f>VLOOKUP(L3287,'Copy of PMD Workday Constants -'!B3286:W3972,22,false)</f>
        <v>#N/A</v>
      </c>
      <c r="N3287" s="1" t="s">
        <v>32</v>
      </c>
      <c r="O3287" s="1" t="s">
        <v>33</v>
      </c>
      <c r="P3287" s="1" t="s">
        <v>222</v>
      </c>
      <c r="Q3287" s="1" t="s">
        <v>222</v>
      </c>
      <c r="R3287" s="1" t="s">
        <v>223</v>
      </c>
      <c r="T3287" s="1">
        <v>1.00963608E8</v>
      </c>
      <c r="W3287" s="1" t="s">
        <v>456</v>
      </c>
      <c r="X3287" s="1" t="s">
        <v>7095</v>
      </c>
    </row>
    <row r="3288">
      <c r="A3288" s="1" t="s">
        <v>9702</v>
      </c>
      <c r="B3288" s="1" t="s">
        <v>5103</v>
      </c>
      <c r="C3288" s="1" t="s">
        <v>9703</v>
      </c>
      <c r="D3288" s="1" t="s">
        <v>28</v>
      </c>
      <c r="E3288" s="1" t="s">
        <v>29</v>
      </c>
      <c r="F3288" s="5">
        <v>250000.0</v>
      </c>
      <c r="G3288" s="1" t="s">
        <v>7016</v>
      </c>
      <c r="H3288" s="1" t="s">
        <v>3496</v>
      </c>
      <c r="I3288" s="1" t="s">
        <v>104</v>
      </c>
      <c r="K3288" s="1">
        <v>0.0</v>
      </c>
      <c r="L3288" s="1" t="s">
        <v>3623</v>
      </c>
      <c r="M3288" s="1" t="str">
        <f>VLOOKUP(L3288,'Copy of PMD Workday Constants -'!B3287:W3973,22,false)</f>
        <v>#N/A</v>
      </c>
      <c r="N3288" s="1" t="s">
        <v>32</v>
      </c>
      <c r="O3288" s="1" t="s">
        <v>33</v>
      </c>
      <c r="P3288" s="1" t="s">
        <v>82</v>
      </c>
      <c r="Q3288" s="1" t="s">
        <v>82</v>
      </c>
      <c r="R3288" s="1" t="s">
        <v>83</v>
      </c>
      <c r="S3288" s="1" t="s">
        <v>84</v>
      </c>
      <c r="T3288" s="1">
        <v>1.00929557E8</v>
      </c>
      <c r="W3288" s="1" t="s">
        <v>115</v>
      </c>
      <c r="X3288" s="1" t="s">
        <v>9312</v>
      </c>
    </row>
    <row r="3289">
      <c r="A3289" s="1" t="s">
        <v>9704</v>
      </c>
      <c r="B3289" s="1" t="s">
        <v>3521</v>
      </c>
      <c r="C3289" s="1" t="s">
        <v>9705</v>
      </c>
      <c r="D3289" s="1" t="s">
        <v>28</v>
      </c>
      <c r="E3289" s="1" t="s">
        <v>29</v>
      </c>
      <c r="F3289" s="5">
        <v>250000.0</v>
      </c>
      <c r="G3289" s="1" t="s">
        <v>7016</v>
      </c>
      <c r="H3289" s="1" t="s">
        <v>3496</v>
      </c>
      <c r="I3289" s="4">
        <v>45170.0</v>
      </c>
      <c r="K3289" s="1">
        <v>0.0</v>
      </c>
      <c r="L3289" s="1" t="s">
        <v>866</v>
      </c>
      <c r="M3289" s="1" t="str">
        <f>VLOOKUP(L3289,'Copy of PMD Workday Constants -'!B3288:W3974,22,false)</f>
        <v>#N/A</v>
      </c>
      <c r="N3289" s="1" t="s">
        <v>32</v>
      </c>
      <c r="O3289" s="1" t="s">
        <v>33</v>
      </c>
      <c r="P3289" s="1" t="s">
        <v>82</v>
      </c>
      <c r="Q3289" s="1" t="s">
        <v>82</v>
      </c>
      <c r="R3289" s="1" t="s">
        <v>83</v>
      </c>
      <c r="S3289" s="1" t="s">
        <v>84</v>
      </c>
      <c r="T3289" s="1">
        <v>1.00941744E8</v>
      </c>
      <c r="W3289" s="1" t="s">
        <v>85</v>
      </c>
      <c r="X3289" s="1" t="s">
        <v>9312</v>
      </c>
    </row>
    <row r="3290">
      <c r="A3290" s="1" t="s">
        <v>9706</v>
      </c>
      <c r="B3290" s="1" t="s">
        <v>317</v>
      </c>
      <c r="C3290" s="1" t="s">
        <v>9707</v>
      </c>
      <c r="D3290" s="1" t="s">
        <v>28</v>
      </c>
      <c r="E3290" s="1" t="s">
        <v>29</v>
      </c>
      <c r="F3290" s="5">
        <v>250000.0</v>
      </c>
      <c r="G3290" s="1" t="s">
        <v>7016</v>
      </c>
      <c r="H3290" s="1" t="s">
        <v>3496</v>
      </c>
      <c r="I3290" s="1" t="s">
        <v>80</v>
      </c>
      <c r="K3290" s="1">
        <v>0.0</v>
      </c>
      <c r="L3290" s="1" t="s">
        <v>866</v>
      </c>
      <c r="M3290" s="1" t="str">
        <f>VLOOKUP(L3290,'Copy of PMD Workday Constants -'!B3289:W3975,22,false)</f>
        <v>#N/A</v>
      </c>
      <c r="N3290" s="1" t="s">
        <v>32</v>
      </c>
      <c r="O3290" s="1" t="s">
        <v>33</v>
      </c>
      <c r="P3290" s="1" t="s">
        <v>82</v>
      </c>
      <c r="Q3290" s="1" t="s">
        <v>82</v>
      </c>
      <c r="R3290" s="1" t="s">
        <v>83</v>
      </c>
      <c r="S3290" s="1" t="s">
        <v>84</v>
      </c>
      <c r="T3290" s="1">
        <v>1.00941744E8</v>
      </c>
      <c r="W3290" s="1" t="s">
        <v>85</v>
      </c>
      <c r="X3290" s="1" t="s">
        <v>9312</v>
      </c>
    </row>
    <row r="3291">
      <c r="A3291" s="1" t="s">
        <v>9708</v>
      </c>
      <c r="B3291" s="1" t="s">
        <v>5871</v>
      </c>
      <c r="C3291" s="1" t="s">
        <v>9709</v>
      </c>
      <c r="D3291" s="1" t="s">
        <v>28</v>
      </c>
      <c r="E3291" s="1" t="s">
        <v>29</v>
      </c>
      <c r="F3291" s="5">
        <v>250000.0</v>
      </c>
      <c r="G3291" s="1" t="s">
        <v>7016</v>
      </c>
      <c r="H3291" s="4">
        <v>44775.0</v>
      </c>
      <c r="I3291" s="1" t="s">
        <v>152</v>
      </c>
      <c r="K3291" s="1">
        <v>0.0</v>
      </c>
      <c r="L3291" s="1" t="s">
        <v>2205</v>
      </c>
      <c r="M3291" s="1" t="str">
        <f>VLOOKUP(L3291,'Copy of PMD Workday Constants -'!B3290:W3976,22,false)</f>
        <v>#N/A</v>
      </c>
      <c r="N3291" s="1" t="s">
        <v>32</v>
      </c>
      <c r="O3291" s="1" t="s">
        <v>33</v>
      </c>
      <c r="P3291" s="1" t="s">
        <v>112</v>
      </c>
      <c r="Q3291" s="1" t="s">
        <v>112</v>
      </c>
      <c r="R3291" s="1" t="s">
        <v>113</v>
      </c>
      <c r="S3291" s="1" t="s">
        <v>307</v>
      </c>
      <c r="T3291" s="1">
        <v>1.0059365E8</v>
      </c>
      <c r="W3291" s="1" t="s">
        <v>47</v>
      </c>
      <c r="X3291" s="1" t="s">
        <v>2205</v>
      </c>
    </row>
    <row r="3292">
      <c r="A3292" s="1" t="s">
        <v>9710</v>
      </c>
      <c r="B3292" s="1" t="s">
        <v>1109</v>
      </c>
      <c r="C3292" s="1" t="s">
        <v>9711</v>
      </c>
      <c r="D3292" s="1" t="s">
        <v>28</v>
      </c>
      <c r="E3292" s="1" t="s">
        <v>29</v>
      </c>
      <c r="F3292" s="5">
        <v>250000.0</v>
      </c>
      <c r="G3292" s="1" t="s">
        <v>7016</v>
      </c>
      <c r="H3292" s="1" t="s">
        <v>3496</v>
      </c>
      <c r="I3292" s="1" t="s">
        <v>104</v>
      </c>
      <c r="K3292" s="1">
        <v>0.0</v>
      </c>
      <c r="L3292" s="1" t="s">
        <v>3623</v>
      </c>
      <c r="M3292" s="1" t="str">
        <f>VLOOKUP(L3292,'Copy of PMD Workday Constants -'!B3291:W3977,22,false)</f>
        <v>#N/A</v>
      </c>
      <c r="N3292" s="1" t="s">
        <v>32</v>
      </c>
      <c r="O3292" s="1" t="s">
        <v>33</v>
      </c>
      <c r="P3292" s="1" t="s">
        <v>82</v>
      </c>
      <c r="Q3292" s="1" t="s">
        <v>82</v>
      </c>
      <c r="R3292" s="1" t="s">
        <v>83</v>
      </c>
      <c r="S3292" s="1" t="s">
        <v>1385</v>
      </c>
      <c r="T3292" s="1">
        <v>1.00929557E8</v>
      </c>
      <c r="W3292" s="1" t="s">
        <v>85</v>
      </c>
      <c r="X3292" s="1" t="s">
        <v>9312</v>
      </c>
    </row>
    <row r="3293">
      <c r="A3293" s="1" t="s">
        <v>9712</v>
      </c>
      <c r="B3293" s="1" t="s">
        <v>9713</v>
      </c>
      <c r="C3293" s="1" t="s">
        <v>9714</v>
      </c>
      <c r="D3293" s="1" t="s">
        <v>28</v>
      </c>
      <c r="E3293" s="1" t="s">
        <v>29</v>
      </c>
      <c r="F3293" s="5">
        <v>250000.0</v>
      </c>
      <c r="G3293" s="1" t="s">
        <v>7016</v>
      </c>
      <c r="H3293" s="4">
        <v>44626.0</v>
      </c>
      <c r="I3293" s="1" t="s">
        <v>104</v>
      </c>
      <c r="K3293" s="1">
        <v>0.0</v>
      </c>
      <c r="L3293" s="1" t="s">
        <v>3345</v>
      </c>
      <c r="M3293" s="1" t="str">
        <f>VLOOKUP(L3293,'Copy of PMD Workday Constants -'!B3292:W3978,22,false)</f>
        <v>#N/A</v>
      </c>
      <c r="N3293" s="1" t="s">
        <v>32</v>
      </c>
      <c r="O3293" s="1" t="s">
        <v>33</v>
      </c>
      <c r="P3293" s="1" t="s">
        <v>64</v>
      </c>
      <c r="Q3293" s="1" t="s">
        <v>64</v>
      </c>
      <c r="R3293" s="1" t="s">
        <v>65</v>
      </c>
      <c r="S3293" s="1" t="s">
        <v>791</v>
      </c>
      <c r="T3293" s="1">
        <v>1.0105484E8</v>
      </c>
      <c r="X3293" s="1" t="s">
        <v>3345</v>
      </c>
    </row>
    <row r="3294">
      <c r="A3294" s="1" t="s">
        <v>9715</v>
      </c>
      <c r="B3294" s="1" t="s">
        <v>9053</v>
      </c>
      <c r="C3294" s="1" t="s">
        <v>9716</v>
      </c>
      <c r="D3294" s="1" t="s">
        <v>28</v>
      </c>
      <c r="E3294" s="1" t="s">
        <v>29</v>
      </c>
      <c r="F3294" s="5">
        <v>250000.0</v>
      </c>
      <c r="G3294" s="1" t="s">
        <v>7016</v>
      </c>
      <c r="H3294" s="4">
        <v>44626.0</v>
      </c>
      <c r="I3294" s="4">
        <v>44569.0</v>
      </c>
      <c r="K3294" s="1">
        <v>0.0</v>
      </c>
      <c r="L3294" s="1" t="s">
        <v>2885</v>
      </c>
      <c r="M3294" s="1" t="str">
        <f>VLOOKUP(L3294,'Copy of PMD Workday Constants -'!B3293:W3979,22,false)</f>
        <v>#N/A</v>
      </c>
      <c r="N3294" s="1" t="s">
        <v>32</v>
      </c>
      <c r="O3294" s="1" t="s">
        <v>33</v>
      </c>
      <c r="P3294" s="1" t="s">
        <v>210</v>
      </c>
      <c r="Q3294" s="1" t="s">
        <v>210</v>
      </c>
      <c r="R3294" s="1" t="s">
        <v>211</v>
      </c>
      <c r="T3294" s="1">
        <v>1.00647463E8</v>
      </c>
      <c r="W3294" s="1" t="s">
        <v>56</v>
      </c>
      <c r="X3294" s="1" t="s">
        <v>2885</v>
      </c>
    </row>
    <row r="3295">
      <c r="A3295" s="1" t="s">
        <v>9717</v>
      </c>
      <c r="B3295" s="1" t="s">
        <v>9053</v>
      </c>
      <c r="C3295" s="1" t="s">
        <v>9718</v>
      </c>
      <c r="D3295" s="1" t="s">
        <v>28</v>
      </c>
      <c r="E3295" s="1" t="s">
        <v>29</v>
      </c>
      <c r="F3295" s="5">
        <v>250000.0</v>
      </c>
      <c r="G3295" s="1" t="s">
        <v>7016</v>
      </c>
      <c r="H3295" s="4">
        <v>44626.0</v>
      </c>
      <c r="I3295" s="1" t="s">
        <v>152</v>
      </c>
      <c r="K3295" s="1">
        <v>0.0</v>
      </c>
      <c r="L3295" s="1" t="s">
        <v>2885</v>
      </c>
      <c r="M3295" s="1" t="str">
        <f>VLOOKUP(L3295,'Copy of PMD Workday Constants -'!B3294:W3980,22,false)</f>
        <v>#N/A</v>
      </c>
      <c r="N3295" s="1" t="s">
        <v>32</v>
      </c>
      <c r="O3295" s="1" t="s">
        <v>33</v>
      </c>
      <c r="P3295" s="1" t="s">
        <v>210</v>
      </c>
      <c r="Q3295" s="1" t="s">
        <v>210</v>
      </c>
      <c r="R3295" s="1" t="s">
        <v>211</v>
      </c>
      <c r="S3295" s="1" t="s">
        <v>416</v>
      </c>
      <c r="T3295" s="1">
        <v>1.00647463E8</v>
      </c>
      <c r="W3295" s="1" t="s">
        <v>56</v>
      </c>
      <c r="X3295" s="1" t="s">
        <v>2885</v>
      </c>
    </row>
    <row r="3296">
      <c r="A3296" s="1" t="s">
        <v>9719</v>
      </c>
      <c r="B3296" s="1" t="s">
        <v>1631</v>
      </c>
      <c r="C3296" s="1" t="s">
        <v>9720</v>
      </c>
      <c r="D3296" s="1" t="s">
        <v>28</v>
      </c>
      <c r="E3296" s="1" t="s">
        <v>29</v>
      </c>
      <c r="F3296" s="5">
        <v>250000.0</v>
      </c>
      <c r="G3296" s="1" t="s">
        <v>7016</v>
      </c>
      <c r="H3296" s="4">
        <v>44626.0</v>
      </c>
      <c r="I3296" s="1" t="s">
        <v>104</v>
      </c>
      <c r="K3296" s="1">
        <v>0.0</v>
      </c>
      <c r="L3296" s="1" t="s">
        <v>3345</v>
      </c>
      <c r="M3296" s="1" t="str">
        <f>VLOOKUP(L3296,'Copy of PMD Workday Constants -'!B3295:W3981,22,false)</f>
        <v>#N/A</v>
      </c>
      <c r="N3296" s="1" t="s">
        <v>32</v>
      </c>
      <c r="O3296" s="1" t="s">
        <v>33</v>
      </c>
      <c r="P3296" s="1" t="s">
        <v>64</v>
      </c>
      <c r="Q3296" s="1" t="s">
        <v>64</v>
      </c>
      <c r="R3296" s="1" t="s">
        <v>65</v>
      </c>
      <c r="S3296" s="1" t="s">
        <v>791</v>
      </c>
      <c r="T3296" s="1">
        <v>1.0105484E8</v>
      </c>
      <c r="W3296" s="1" t="s">
        <v>456</v>
      </c>
      <c r="X3296" s="1" t="s">
        <v>3345</v>
      </c>
    </row>
    <row r="3297">
      <c r="A3297" s="1" t="s">
        <v>9721</v>
      </c>
      <c r="B3297" s="1" t="s">
        <v>877</v>
      </c>
      <c r="C3297" s="1" t="s">
        <v>9722</v>
      </c>
      <c r="D3297" s="1" t="s">
        <v>28</v>
      </c>
      <c r="E3297" s="1" t="s">
        <v>29</v>
      </c>
      <c r="F3297" s="5">
        <v>250000.0</v>
      </c>
      <c r="G3297" s="1" t="s">
        <v>7016</v>
      </c>
      <c r="H3297" s="1" t="s">
        <v>9723</v>
      </c>
      <c r="I3297" s="1" t="s">
        <v>80</v>
      </c>
      <c r="K3297" s="1">
        <v>0.0</v>
      </c>
      <c r="L3297" s="1" t="s">
        <v>344</v>
      </c>
      <c r="M3297" s="1" t="str">
        <f>VLOOKUP(L3297,'Copy of PMD Workday Constants -'!B3296:W3982,22,false)</f>
        <v>#N/A</v>
      </c>
      <c r="N3297" s="1" t="s">
        <v>32</v>
      </c>
      <c r="O3297" s="1" t="s">
        <v>33</v>
      </c>
      <c r="P3297" s="1" t="s">
        <v>82</v>
      </c>
      <c r="Q3297" s="1" t="s">
        <v>82</v>
      </c>
      <c r="R3297" s="1" t="s">
        <v>83</v>
      </c>
      <c r="S3297" s="1" t="s">
        <v>180</v>
      </c>
      <c r="T3297" s="1">
        <v>1.00610483E8</v>
      </c>
      <c r="W3297" s="1" t="s">
        <v>85</v>
      </c>
      <c r="X3297" s="1" t="s">
        <v>3138</v>
      </c>
    </row>
    <row r="3298">
      <c r="A3298" s="1" t="s">
        <v>9724</v>
      </c>
      <c r="B3298" s="1" t="s">
        <v>9725</v>
      </c>
      <c r="C3298" s="1" t="s">
        <v>9726</v>
      </c>
      <c r="D3298" s="1" t="s">
        <v>51</v>
      </c>
      <c r="E3298" s="1" t="s">
        <v>29</v>
      </c>
      <c r="F3298" s="5">
        <v>250000.0</v>
      </c>
      <c r="G3298" s="1" t="s">
        <v>7016</v>
      </c>
      <c r="H3298" s="4">
        <v>44713.0</v>
      </c>
      <c r="I3298" s="1" t="s">
        <v>8349</v>
      </c>
      <c r="K3298" s="1">
        <v>0.0</v>
      </c>
      <c r="L3298" s="1" t="s">
        <v>5317</v>
      </c>
      <c r="M3298" s="1" t="str">
        <f>VLOOKUP(L3298,'Copy of PMD Workday Constants -'!B3297:W3983,22,false)</f>
        <v>#N/A</v>
      </c>
      <c r="N3298" s="1" t="s">
        <v>32</v>
      </c>
      <c r="O3298" s="1" t="s">
        <v>33</v>
      </c>
      <c r="P3298" s="1" t="s">
        <v>112</v>
      </c>
      <c r="Q3298" s="1" t="s">
        <v>112</v>
      </c>
      <c r="R3298" s="1" t="s">
        <v>113</v>
      </c>
      <c r="S3298" s="1" t="s">
        <v>114</v>
      </c>
      <c r="T3298" s="1">
        <v>1.00569225E8</v>
      </c>
      <c r="W3298" s="1" t="s">
        <v>147</v>
      </c>
      <c r="X3298" s="1" t="s">
        <v>1039</v>
      </c>
    </row>
    <row r="3299">
      <c r="A3299" s="1" t="s">
        <v>9727</v>
      </c>
      <c r="B3299" s="1" t="s">
        <v>3518</v>
      </c>
      <c r="C3299" s="1" t="s">
        <v>9728</v>
      </c>
      <c r="D3299" s="1" t="s">
        <v>28</v>
      </c>
      <c r="E3299" s="1" t="s">
        <v>29</v>
      </c>
      <c r="F3299" s="5">
        <v>250000.0</v>
      </c>
      <c r="G3299" s="1" t="s">
        <v>7016</v>
      </c>
      <c r="H3299" s="4">
        <v>44900.0</v>
      </c>
      <c r="I3299" s="1" t="s">
        <v>1528</v>
      </c>
      <c r="K3299" s="1">
        <v>0.0</v>
      </c>
      <c r="L3299" s="1" t="s">
        <v>4937</v>
      </c>
      <c r="M3299" s="1" t="str">
        <f>VLOOKUP(L3299,'Copy of PMD Workday Constants -'!B3298:W3984,22,false)</f>
        <v>#N/A</v>
      </c>
      <c r="N3299" s="1" t="s">
        <v>32</v>
      </c>
      <c r="O3299" s="1" t="s">
        <v>33</v>
      </c>
      <c r="P3299" s="1" t="s">
        <v>34</v>
      </c>
      <c r="Q3299" s="1" t="s">
        <v>34</v>
      </c>
      <c r="R3299" s="1" t="s">
        <v>35</v>
      </c>
      <c r="T3299" s="1">
        <v>1.00644939E8</v>
      </c>
      <c r="W3299" s="1" t="s">
        <v>140</v>
      </c>
      <c r="X3299" s="1" t="s">
        <v>2519</v>
      </c>
    </row>
    <row r="3300">
      <c r="A3300" s="1" t="s">
        <v>9729</v>
      </c>
      <c r="B3300" s="1" t="s">
        <v>507</v>
      </c>
      <c r="C3300" s="1" t="s">
        <v>9730</v>
      </c>
      <c r="D3300" s="1" t="s">
        <v>28</v>
      </c>
      <c r="E3300" s="1" t="s">
        <v>29</v>
      </c>
      <c r="F3300" s="5">
        <v>250000.0</v>
      </c>
      <c r="G3300" s="1" t="s">
        <v>7016</v>
      </c>
      <c r="H3300" s="4">
        <v>44839.0</v>
      </c>
      <c r="I3300" s="4">
        <v>44752.0</v>
      </c>
      <c r="K3300" s="1">
        <v>0.0</v>
      </c>
      <c r="L3300" s="1" t="s">
        <v>2762</v>
      </c>
      <c r="M3300" s="1" t="str">
        <f>VLOOKUP(L3300,'Copy of PMD Workday Constants -'!B3299:W3985,22,false)</f>
        <v>#N/A</v>
      </c>
      <c r="N3300" s="1" t="s">
        <v>32</v>
      </c>
      <c r="O3300" s="1" t="s">
        <v>33</v>
      </c>
      <c r="P3300" s="1" t="s">
        <v>82</v>
      </c>
      <c r="Q3300" s="1" t="s">
        <v>82</v>
      </c>
      <c r="R3300" s="1" t="s">
        <v>83</v>
      </c>
      <c r="S3300" s="1" t="s">
        <v>583</v>
      </c>
      <c r="T3300" s="1">
        <v>1.00637221E8</v>
      </c>
      <c r="W3300" s="1" t="s">
        <v>456</v>
      </c>
      <c r="X3300" s="1" t="s">
        <v>2763</v>
      </c>
    </row>
    <row r="3301">
      <c r="A3301" s="1" t="s">
        <v>9731</v>
      </c>
      <c r="B3301" s="1" t="s">
        <v>1882</v>
      </c>
      <c r="C3301" s="1" t="s">
        <v>9732</v>
      </c>
      <c r="D3301" s="1" t="s">
        <v>28</v>
      </c>
      <c r="E3301" s="1" t="s">
        <v>29</v>
      </c>
      <c r="F3301" s="5">
        <v>250000.0</v>
      </c>
      <c r="G3301" s="1" t="s">
        <v>7016</v>
      </c>
      <c r="H3301" s="4">
        <v>44267.0</v>
      </c>
      <c r="I3301" s="1" t="s">
        <v>414</v>
      </c>
      <c r="K3301" s="1">
        <v>0.0</v>
      </c>
      <c r="L3301" s="1" t="s">
        <v>72</v>
      </c>
      <c r="M3301" s="1" t="str">
        <f>VLOOKUP(L3301,'Copy of PMD Workday Constants -'!B3300:W3986,22,false)</f>
        <v>#N/A</v>
      </c>
      <c r="N3301" s="1" t="s">
        <v>32</v>
      </c>
      <c r="O3301" s="1" t="s">
        <v>33</v>
      </c>
      <c r="P3301" s="1" t="s">
        <v>34</v>
      </c>
      <c r="Q3301" s="1" t="s">
        <v>34</v>
      </c>
      <c r="R3301" s="1" t="s">
        <v>35</v>
      </c>
      <c r="S3301" s="1" t="s">
        <v>126</v>
      </c>
      <c r="T3301" s="1">
        <v>1.0060843E8</v>
      </c>
      <c r="W3301" s="1" t="s">
        <v>47</v>
      </c>
      <c r="X3301" s="1" t="s">
        <v>72</v>
      </c>
    </row>
    <row r="3302">
      <c r="A3302" s="1" t="s">
        <v>9733</v>
      </c>
      <c r="B3302" s="1" t="s">
        <v>2263</v>
      </c>
      <c r="C3302" s="1" t="s">
        <v>9734</v>
      </c>
      <c r="D3302" s="1" t="s">
        <v>28</v>
      </c>
      <c r="E3302" s="1" t="s">
        <v>29</v>
      </c>
      <c r="F3302" s="5">
        <v>250000.0</v>
      </c>
      <c r="G3302" s="1" t="s">
        <v>7016</v>
      </c>
      <c r="H3302" s="1" t="s">
        <v>1134</v>
      </c>
      <c r="I3302" s="1" t="s">
        <v>1673</v>
      </c>
      <c r="K3302" s="1">
        <v>0.0</v>
      </c>
      <c r="L3302" s="1" t="s">
        <v>1075</v>
      </c>
      <c r="M3302" s="1" t="str">
        <f>VLOOKUP(L3302,'Copy of PMD Workday Constants -'!B3301:W3987,22,false)</f>
        <v>#N/A</v>
      </c>
      <c r="N3302" s="1" t="s">
        <v>32</v>
      </c>
      <c r="O3302" s="1" t="s">
        <v>33</v>
      </c>
      <c r="P3302" s="1" t="s">
        <v>34</v>
      </c>
      <c r="Q3302" s="1" t="s">
        <v>34</v>
      </c>
      <c r="R3302" s="1" t="s">
        <v>35</v>
      </c>
      <c r="T3302" s="1">
        <v>1.00601386E8</v>
      </c>
      <c r="W3302" s="1" t="s">
        <v>91</v>
      </c>
      <c r="X3302" s="1" t="s">
        <v>9735</v>
      </c>
    </row>
    <row r="3303">
      <c r="A3303" s="1" t="s">
        <v>9736</v>
      </c>
      <c r="B3303" s="1" t="s">
        <v>1154</v>
      </c>
      <c r="C3303" s="1" t="s">
        <v>9737</v>
      </c>
      <c r="D3303" s="1" t="s">
        <v>28</v>
      </c>
      <c r="E3303" s="1" t="s">
        <v>29</v>
      </c>
      <c r="F3303" s="5">
        <v>250000.0</v>
      </c>
      <c r="G3303" s="1" t="s">
        <v>7016</v>
      </c>
      <c r="H3303" s="1" t="s">
        <v>569</v>
      </c>
      <c r="I3303" s="1" t="s">
        <v>132</v>
      </c>
      <c r="K3303" s="1">
        <v>0.0</v>
      </c>
      <c r="L3303" s="1" t="s">
        <v>2602</v>
      </c>
      <c r="M3303" s="1" t="str">
        <f>VLOOKUP(L3303,'Copy of PMD Workday Constants -'!B3302:W3988,22,false)</f>
        <v>#N/A</v>
      </c>
      <c r="N3303" s="1" t="s">
        <v>32</v>
      </c>
      <c r="O3303" s="1" t="s">
        <v>33</v>
      </c>
      <c r="P3303" s="1" t="s">
        <v>173</v>
      </c>
      <c r="Q3303" s="1" t="s">
        <v>173</v>
      </c>
      <c r="R3303" s="1" t="s">
        <v>174</v>
      </c>
      <c r="T3303" s="1">
        <v>1.00611351E8</v>
      </c>
      <c r="W3303" s="1" t="s">
        <v>947</v>
      </c>
      <c r="X3303" s="1" t="s">
        <v>2833</v>
      </c>
    </row>
    <row r="3304">
      <c r="A3304" s="1" t="s">
        <v>9738</v>
      </c>
      <c r="B3304" s="1" t="s">
        <v>403</v>
      </c>
      <c r="C3304" s="1" t="s">
        <v>9739</v>
      </c>
      <c r="D3304" s="1" t="s">
        <v>28</v>
      </c>
      <c r="E3304" s="1" t="s">
        <v>29</v>
      </c>
      <c r="F3304" s="5">
        <v>250000.0</v>
      </c>
      <c r="G3304" s="1" t="s">
        <v>7016</v>
      </c>
      <c r="H3304" s="1" t="s">
        <v>8552</v>
      </c>
      <c r="I3304" s="1" t="s">
        <v>152</v>
      </c>
      <c r="K3304" s="1">
        <v>0.0</v>
      </c>
      <c r="L3304" s="1" t="s">
        <v>2136</v>
      </c>
      <c r="M3304" s="1" t="str">
        <f>VLOOKUP(L3304,'Copy of PMD Workday Constants -'!B3303:W3989,22,false)</f>
        <v>#N/A</v>
      </c>
      <c r="N3304" s="1" t="s">
        <v>32</v>
      </c>
      <c r="O3304" s="1" t="s">
        <v>33</v>
      </c>
      <c r="P3304" s="1" t="s">
        <v>34</v>
      </c>
      <c r="Q3304" s="1" t="s">
        <v>34</v>
      </c>
      <c r="R3304" s="1" t="s">
        <v>35</v>
      </c>
      <c r="T3304" s="1">
        <v>1.00610903E8</v>
      </c>
      <c r="W3304" s="1" t="s">
        <v>37</v>
      </c>
      <c r="X3304" s="1" t="s">
        <v>9740</v>
      </c>
    </row>
    <row r="3305">
      <c r="A3305" s="1" t="s">
        <v>9741</v>
      </c>
      <c r="B3305" s="1" t="s">
        <v>1154</v>
      </c>
      <c r="C3305" s="1" t="s">
        <v>9742</v>
      </c>
      <c r="D3305" s="1" t="s">
        <v>28</v>
      </c>
      <c r="E3305" s="1" t="s">
        <v>29</v>
      </c>
      <c r="F3305" s="5">
        <v>250000.0</v>
      </c>
      <c r="G3305" s="1" t="s">
        <v>7016</v>
      </c>
      <c r="H3305" s="4">
        <v>44868.0</v>
      </c>
      <c r="I3305" s="1" t="s">
        <v>80</v>
      </c>
      <c r="K3305" s="1">
        <v>0.0</v>
      </c>
      <c r="L3305" s="1" t="s">
        <v>3565</v>
      </c>
      <c r="M3305" s="1" t="str">
        <f>VLOOKUP(L3305,'Copy of PMD Workday Constants -'!B3304:W3990,22,false)</f>
        <v>#N/A</v>
      </c>
      <c r="N3305" s="1" t="s">
        <v>32</v>
      </c>
      <c r="O3305" s="1" t="s">
        <v>33</v>
      </c>
      <c r="P3305" s="1" t="s">
        <v>112</v>
      </c>
      <c r="Q3305" s="1" t="s">
        <v>112</v>
      </c>
      <c r="R3305" s="1" t="s">
        <v>113</v>
      </c>
      <c r="S3305" s="1" t="s">
        <v>114</v>
      </c>
      <c r="T3305" s="1">
        <v>1.00658777E8</v>
      </c>
      <c r="W3305" s="1" t="s">
        <v>947</v>
      </c>
      <c r="X3305" s="1" t="s">
        <v>3565</v>
      </c>
    </row>
    <row r="3306">
      <c r="A3306" s="1" t="s">
        <v>9743</v>
      </c>
      <c r="B3306" s="1" t="s">
        <v>2079</v>
      </c>
      <c r="C3306" s="1" t="s">
        <v>9744</v>
      </c>
      <c r="D3306" s="1" t="s">
        <v>103</v>
      </c>
      <c r="E3306" s="1" t="s">
        <v>29</v>
      </c>
      <c r="F3306" s="5">
        <v>250000.0</v>
      </c>
      <c r="G3306" s="1" t="s">
        <v>7016</v>
      </c>
      <c r="H3306" s="4">
        <v>44717.0</v>
      </c>
      <c r="I3306" s="4">
        <v>44568.0</v>
      </c>
      <c r="K3306" s="1">
        <v>0.0</v>
      </c>
      <c r="L3306" s="1" t="s">
        <v>1790</v>
      </c>
      <c r="M3306" s="1" t="str">
        <f>VLOOKUP(L3306,'Copy of PMD Workday Constants -'!B3305:W3991,22,false)</f>
        <v>#N/A</v>
      </c>
      <c r="N3306" s="1" t="s">
        <v>32</v>
      </c>
      <c r="O3306" s="1" t="s">
        <v>33</v>
      </c>
      <c r="P3306" s="1" t="s">
        <v>222</v>
      </c>
      <c r="Q3306" s="1" t="s">
        <v>222</v>
      </c>
      <c r="R3306" s="1" t="s">
        <v>223</v>
      </c>
      <c r="S3306" s="1" t="s">
        <v>601</v>
      </c>
      <c r="T3306" s="1">
        <v>1.00645232E8</v>
      </c>
      <c r="W3306" s="1" t="s">
        <v>258</v>
      </c>
      <c r="X3306" s="1" t="s">
        <v>1790</v>
      </c>
    </row>
    <row r="3307">
      <c r="A3307" s="1" t="s">
        <v>9745</v>
      </c>
      <c r="B3307" s="1" t="s">
        <v>1184</v>
      </c>
      <c r="C3307" s="1" t="s">
        <v>9746</v>
      </c>
      <c r="D3307" s="1" t="s">
        <v>28</v>
      </c>
      <c r="E3307" s="1" t="s">
        <v>29</v>
      </c>
      <c r="F3307" s="5">
        <v>250000.0</v>
      </c>
      <c r="G3307" s="1" t="s">
        <v>7016</v>
      </c>
      <c r="H3307" s="1" t="s">
        <v>413</v>
      </c>
      <c r="I3307" s="1" t="s">
        <v>302</v>
      </c>
      <c r="K3307" s="1">
        <v>0.0</v>
      </c>
      <c r="L3307" s="1" t="s">
        <v>5017</v>
      </c>
      <c r="M3307" s="1" t="str">
        <f>VLOOKUP(L3307,'Copy of PMD Workday Constants -'!B3306:W3992,22,false)</f>
        <v>#N/A</v>
      </c>
      <c r="N3307" s="1" t="s">
        <v>32</v>
      </c>
      <c r="O3307" s="1" t="s">
        <v>33</v>
      </c>
      <c r="P3307" s="1" t="s">
        <v>210</v>
      </c>
      <c r="Q3307" s="1" t="s">
        <v>210</v>
      </c>
      <c r="R3307" s="1" t="s">
        <v>211</v>
      </c>
      <c r="S3307" s="1" t="s">
        <v>416</v>
      </c>
      <c r="T3307" s="1">
        <v>1.0060792E8</v>
      </c>
      <c r="W3307" s="1" t="s">
        <v>56</v>
      </c>
      <c r="X3307" s="1" t="s">
        <v>9747</v>
      </c>
    </row>
    <row r="3308">
      <c r="A3308" s="1" t="s">
        <v>9748</v>
      </c>
      <c r="B3308" s="1" t="s">
        <v>403</v>
      </c>
      <c r="C3308" s="1" t="s">
        <v>9749</v>
      </c>
      <c r="D3308" s="1" t="s">
        <v>28</v>
      </c>
      <c r="E3308" s="1" t="s">
        <v>29</v>
      </c>
      <c r="F3308" s="5">
        <v>250000.0</v>
      </c>
      <c r="G3308" s="1" t="s">
        <v>7016</v>
      </c>
      <c r="H3308" s="1" t="s">
        <v>9750</v>
      </c>
      <c r="I3308" s="1" t="s">
        <v>132</v>
      </c>
      <c r="K3308" s="1">
        <v>0.0</v>
      </c>
      <c r="L3308" s="1" t="s">
        <v>407</v>
      </c>
      <c r="M3308" s="1" t="str">
        <f>VLOOKUP(L3308,'Copy of PMD Workday Constants -'!B3307:W3993,22,false)</f>
        <v>#N/A</v>
      </c>
      <c r="N3308" s="1" t="s">
        <v>32</v>
      </c>
      <c r="O3308" s="1" t="s">
        <v>33</v>
      </c>
      <c r="P3308" s="1" t="s">
        <v>34</v>
      </c>
      <c r="Q3308" s="1" t="s">
        <v>34</v>
      </c>
      <c r="R3308" s="1" t="s">
        <v>35</v>
      </c>
      <c r="S3308" s="1" t="s">
        <v>36</v>
      </c>
      <c r="T3308" s="1">
        <v>1.0064407E8</v>
      </c>
      <c r="U3308" s="1" t="s">
        <v>9751</v>
      </c>
      <c r="W3308" s="1" t="s">
        <v>37</v>
      </c>
      <c r="X3308" s="1" t="s">
        <v>3462</v>
      </c>
    </row>
    <row r="3309">
      <c r="A3309" s="1" t="s">
        <v>9752</v>
      </c>
      <c r="B3309" s="1" t="s">
        <v>8544</v>
      </c>
      <c r="C3309" s="1" t="s">
        <v>9753</v>
      </c>
      <c r="D3309" s="1" t="s">
        <v>28</v>
      </c>
      <c r="E3309" s="1" t="s">
        <v>29</v>
      </c>
      <c r="F3309" s="5">
        <v>250000.0</v>
      </c>
      <c r="G3309" s="1" t="s">
        <v>7016</v>
      </c>
      <c r="H3309" s="1" t="s">
        <v>3496</v>
      </c>
      <c r="I3309" s="1" t="s">
        <v>80</v>
      </c>
      <c r="K3309" s="1">
        <v>0.0</v>
      </c>
      <c r="L3309" s="1" t="s">
        <v>2703</v>
      </c>
      <c r="M3309" s="1" t="str">
        <f>VLOOKUP(L3309,'Copy of PMD Workday Constants -'!B3308:W3994,22,false)</f>
        <v>#N/A</v>
      </c>
      <c r="N3309" s="1" t="s">
        <v>32</v>
      </c>
      <c r="O3309" s="1" t="s">
        <v>33</v>
      </c>
      <c r="P3309" s="1" t="s">
        <v>34</v>
      </c>
      <c r="Q3309" s="1" t="s">
        <v>34</v>
      </c>
      <c r="R3309" s="1" t="s">
        <v>35</v>
      </c>
      <c r="S3309" s="1" t="s">
        <v>1336</v>
      </c>
      <c r="T3309" s="1">
        <v>1.00866856E8</v>
      </c>
      <c r="W3309" s="1" t="s">
        <v>947</v>
      </c>
      <c r="X3309" s="1" t="s">
        <v>2703</v>
      </c>
    </row>
    <row r="3310">
      <c r="A3310" s="1" t="s">
        <v>9754</v>
      </c>
      <c r="B3310" s="1" t="s">
        <v>554</v>
      </c>
      <c r="C3310" s="1" t="s">
        <v>9755</v>
      </c>
      <c r="D3310" s="1" t="s">
        <v>28</v>
      </c>
      <c r="E3310" s="1" t="s">
        <v>29</v>
      </c>
      <c r="F3310" s="5">
        <v>250000.0</v>
      </c>
      <c r="G3310" s="1" t="s">
        <v>7016</v>
      </c>
      <c r="H3310" s="1" t="s">
        <v>3443</v>
      </c>
      <c r="I3310" s="1" t="s">
        <v>152</v>
      </c>
      <c r="K3310" s="1">
        <v>0.0</v>
      </c>
      <c r="L3310" s="1" t="s">
        <v>9756</v>
      </c>
      <c r="M3310" s="1" t="str">
        <f>VLOOKUP(L3310,'Copy of PMD Workday Constants -'!B3309:W3995,22,false)</f>
        <v>#N/A</v>
      </c>
      <c r="N3310" s="1" t="s">
        <v>32</v>
      </c>
      <c r="O3310" s="1" t="s">
        <v>33</v>
      </c>
      <c r="P3310" s="1" t="s">
        <v>173</v>
      </c>
      <c r="Q3310" s="1" t="s">
        <v>173</v>
      </c>
      <c r="R3310" s="1" t="s">
        <v>174</v>
      </c>
      <c r="S3310" s="1" t="s">
        <v>612</v>
      </c>
      <c r="T3310" s="1">
        <v>1.00630909E8</v>
      </c>
      <c r="W3310" s="1" t="s">
        <v>147</v>
      </c>
      <c r="X3310" s="1" t="s">
        <v>559</v>
      </c>
    </row>
    <row r="3311">
      <c r="A3311" s="1" t="s">
        <v>9757</v>
      </c>
      <c r="B3311" s="1" t="s">
        <v>1997</v>
      </c>
      <c r="C3311" s="1" t="s">
        <v>9758</v>
      </c>
      <c r="D3311" s="1" t="s">
        <v>51</v>
      </c>
      <c r="E3311" s="1" t="s">
        <v>29</v>
      </c>
      <c r="F3311" s="5">
        <v>250000.0</v>
      </c>
      <c r="G3311" s="1" t="s">
        <v>7016</v>
      </c>
      <c r="H3311" s="1" t="s">
        <v>1349</v>
      </c>
      <c r="I3311" s="1" t="s">
        <v>732</v>
      </c>
      <c r="K3311" s="1">
        <v>0.0</v>
      </c>
      <c r="L3311" s="1" t="s">
        <v>4365</v>
      </c>
      <c r="M3311" s="1" t="str">
        <f>VLOOKUP(L3311,'Copy of PMD Workday Constants -'!B3310:W3996,22,false)</f>
        <v>#N/A</v>
      </c>
      <c r="N3311" s="1" t="s">
        <v>32</v>
      </c>
      <c r="O3311" s="1" t="s">
        <v>33</v>
      </c>
      <c r="P3311" s="1" t="s">
        <v>173</v>
      </c>
      <c r="Q3311" s="1" t="s">
        <v>173</v>
      </c>
      <c r="R3311" s="1" t="s">
        <v>174</v>
      </c>
      <c r="T3311" s="1">
        <v>1.0066064E8</v>
      </c>
      <c r="W3311" s="1" t="s">
        <v>947</v>
      </c>
      <c r="X3311" s="1" t="s">
        <v>5967</v>
      </c>
    </row>
    <row r="3312">
      <c r="A3312" s="1" t="s">
        <v>9759</v>
      </c>
      <c r="B3312" s="1" t="s">
        <v>2554</v>
      </c>
      <c r="C3312" s="1" t="s">
        <v>9760</v>
      </c>
      <c r="D3312" s="1" t="s">
        <v>103</v>
      </c>
      <c r="E3312" s="1" t="s">
        <v>29</v>
      </c>
      <c r="F3312" s="5">
        <v>250000.0</v>
      </c>
      <c r="G3312" s="1" t="s">
        <v>7016</v>
      </c>
      <c r="H3312" s="1" t="s">
        <v>301</v>
      </c>
      <c r="I3312" s="1" t="s">
        <v>132</v>
      </c>
      <c r="K3312" s="1">
        <v>0.0</v>
      </c>
      <c r="L3312" s="1" t="s">
        <v>1534</v>
      </c>
      <c r="M3312" s="1" t="str">
        <f>VLOOKUP(L3312,'Copy of PMD Workday Constants -'!B3311:W3997,22,false)</f>
        <v>#N/A</v>
      </c>
      <c r="N3312" s="1" t="s">
        <v>32</v>
      </c>
      <c r="O3312" s="1" t="s">
        <v>33</v>
      </c>
      <c r="P3312" s="1" t="s">
        <v>82</v>
      </c>
      <c r="Q3312" s="1" t="s">
        <v>82</v>
      </c>
      <c r="R3312" s="1" t="s">
        <v>83</v>
      </c>
      <c r="S3312" s="1" t="s">
        <v>84</v>
      </c>
      <c r="T3312" s="1">
        <v>1.00618842E8</v>
      </c>
      <c r="W3312" s="1" t="s">
        <v>85</v>
      </c>
      <c r="X3312" s="1" t="s">
        <v>7858</v>
      </c>
    </row>
    <row r="3313">
      <c r="A3313" s="1" t="s">
        <v>9761</v>
      </c>
      <c r="B3313" s="1" t="s">
        <v>970</v>
      </c>
      <c r="C3313" s="1" t="s">
        <v>9762</v>
      </c>
      <c r="D3313" s="1" t="s">
        <v>51</v>
      </c>
      <c r="E3313" s="1" t="s">
        <v>29</v>
      </c>
      <c r="F3313" s="5">
        <v>250000.0</v>
      </c>
      <c r="G3313" s="1" t="s">
        <v>7016</v>
      </c>
      <c r="H3313" s="4">
        <v>44022.0</v>
      </c>
      <c r="I3313" s="1" t="s">
        <v>80</v>
      </c>
      <c r="K3313" s="1">
        <v>0.0</v>
      </c>
      <c r="L3313" s="1" t="s">
        <v>1646</v>
      </c>
      <c r="M3313" s="1" t="str">
        <f>VLOOKUP(L3313,'Copy of PMD Workday Constants -'!B3312:W3998,22,false)</f>
        <v>#N/A</v>
      </c>
      <c r="N3313" s="1" t="s">
        <v>32</v>
      </c>
      <c r="O3313" s="1" t="s">
        <v>33</v>
      </c>
      <c r="P3313" s="1" t="s">
        <v>64</v>
      </c>
      <c r="Q3313" s="1" t="s">
        <v>64</v>
      </c>
      <c r="R3313" s="1" t="s">
        <v>65</v>
      </c>
      <c r="S3313" s="1" t="s">
        <v>126</v>
      </c>
      <c r="T3313" s="1">
        <v>1.00650657E8</v>
      </c>
      <c r="W3313" s="1" t="s">
        <v>308</v>
      </c>
      <c r="X3313" s="1" t="s">
        <v>2197</v>
      </c>
    </row>
    <row r="3314">
      <c r="A3314" s="1" t="s">
        <v>9763</v>
      </c>
      <c r="B3314" s="1" t="s">
        <v>776</v>
      </c>
      <c r="C3314" s="1" t="s">
        <v>9764</v>
      </c>
      <c r="D3314" s="1" t="s">
        <v>28</v>
      </c>
      <c r="E3314" s="1" t="s">
        <v>29</v>
      </c>
      <c r="F3314" s="5">
        <v>250000.0</v>
      </c>
      <c r="G3314" s="1" t="s">
        <v>7016</v>
      </c>
      <c r="H3314" s="1" t="s">
        <v>9765</v>
      </c>
      <c r="I3314" s="1" t="s">
        <v>166</v>
      </c>
      <c r="K3314" s="1">
        <v>0.0</v>
      </c>
      <c r="L3314" s="1" t="s">
        <v>2547</v>
      </c>
      <c r="M3314" s="1" t="str">
        <f>VLOOKUP(L3314,'Copy of PMD Workday Constants -'!B3313:W3999,22,false)</f>
        <v>#N/A</v>
      </c>
      <c r="N3314" s="1" t="s">
        <v>32</v>
      </c>
      <c r="O3314" s="1" t="s">
        <v>33</v>
      </c>
      <c r="P3314" s="1" t="s">
        <v>64</v>
      </c>
      <c r="Q3314" s="1" t="s">
        <v>64</v>
      </c>
      <c r="R3314" s="1" t="s">
        <v>65</v>
      </c>
      <c r="S3314" s="1" t="s">
        <v>540</v>
      </c>
      <c r="T3314" s="1">
        <v>1.00592932E8</v>
      </c>
      <c r="W3314" s="1" t="s">
        <v>74</v>
      </c>
      <c r="X3314" s="1" t="s">
        <v>2547</v>
      </c>
    </row>
    <row r="3315">
      <c r="A3315" s="1" t="s">
        <v>9766</v>
      </c>
      <c r="B3315" s="1" t="s">
        <v>1997</v>
      </c>
      <c r="C3315" s="1" t="s">
        <v>9767</v>
      </c>
      <c r="D3315" s="1" t="s">
        <v>51</v>
      </c>
      <c r="E3315" s="1" t="s">
        <v>29</v>
      </c>
      <c r="F3315" s="5">
        <v>250000.0</v>
      </c>
      <c r="G3315" s="1" t="s">
        <v>7016</v>
      </c>
      <c r="H3315" s="1" t="s">
        <v>569</v>
      </c>
      <c r="I3315" s="1" t="s">
        <v>941</v>
      </c>
      <c r="K3315" s="1">
        <v>0.0</v>
      </c>
      <c r="L3315" s="1" t="s">
        <v>9768</v>
      </c>
      <c r="M3315" s="1" t="str">
        <f>VLOOKUP(L3315,'Copy of PMD Workday Constants -'!B3314:W4000,22,false)</f>
        <v>#N/A</v>
      </c>
      <c r="N3315" s="1" t="s">
        <v>32</v>
      </c>
      <c r="O3315" s="1" t="s">
        <v>33</v>
      </c>
      <c r="P3315" s="1" t="s">
        <v>222</v>
      </c>
      <c r="Q3315" s="1" t="s">
        <v>222</v>
      </c>
      <c r="R3315" s="1" t="s">
        <v>223</v>
      </c>
      <c r="T3315" s="1">
        <v>1.0058867E8</v>
      </c>
      <c r="W3315" s="1" t="s">
        <v>947</v>
      </c>
      <c r="X3315" s="1" t="s">
        <v>1999</v>
      </c>
    </row>
    <row r="3316">
      <c r="A3316" s="1" t="s">
        <v>9769</v>
      </c>
      <c r="B3316" s="1" t="s">
        <v>4162</v>
      </c>
      <c r="C3316" s="1" t="s">
        <v>9770</v>
      </c>
      <c r="D3316" s="1" t="s">
        <v>103</v>
      </c>
      <c r="E3316" s="1" t="s">
        <v>29</v>
      </c>
      <c r="F3316" s="5">
        <v>250000.0</v>
      </c>
      <c r="G3316" s="1" t="s">
        <v>7016</v>
      </c>
      <c r="H3316" s="4">
        <v>44839.0</v>
      </c>
      <c r="I3316" s="4">
        <v>44626.0</v>
      </c>
      <c r="K3316" s="1">
        <v>0.0</v>
      </c>
      <c r="L3316" s="1" t="s">
        <v>6578</v>
      </c>
      <c r="M3316" s="1" t="str">
        <f>VLOOKUP(L3316,'Copy of PMD Workday Constants -'!B3315:W4001,22,false)</f>
        <v>#N/A</v>
      </c>
      <c r="N3316" s="1" t="s">
        <v>32</v>
      </c>
      <c r="O3316" s="1" t="s">
        <v>33</v>
      </c>
      <c r="P3316" s="1" t="s">
        <v>222</v>
      </c>
      <c r="Q3316" s="1" t="s">
        <v>222</v>
      </c>
      <c r="R3316" s="1" t="s">
        <v>223</v>
      </c>
      <c r="S3316" s="1" t="s">
        <v>482</v>
      </c>
      <c r="T3316" s="1">
        <v>1.00597339E8</v>
      </c>
      <c r="W3316" s="1" t="s">
        <v>308</v>
      </c>
      <c r="X3316" s="1" t="s">
        <v>6579</v>
      </c>
    </row>
    <row r="3317">
      <c r="A3317" s="1" t="s">
        <v>9771</v>
      </c>
      <c r="B3317" s="1" t="s">
        <v>6616</v>
      </c>
      <c r="C3317" s="1" t="s">
        <v>9772</v>
      </c>
      <c r="D3317" s="1" t="s">
        <v>28</v>
      </c>
      <c r="E3317" s="1" t="s">
        <v>29</v>
      </c>
      <c r="F3317" s="5">
        <v>250000.0</v>
      </c>
      <c r="G3317" s="1" t="s">
        <v>7016</v>
      </c>
      <c r="H3317" s="1" t="s">
        <v>1005</v>
      </c>
      <c r="I3317" s="4">
        <v>44626.0</v>
      </c>
      <c r="K3317" s="1">
        <v>0.0</v>
      </c>
      <c r="L3317" s="1" t="s">
        <v>2477</v>
      </c>
      <c r="M3317" s="1" t="str">
        <f>VLOOKUP(L3317,'Copy of PMD Workday Constants -'!B3316:W4002,22,false)</f>
        <v>#N/A</v>
      </c>
      <c r="N3317" s="1" t="s">
        <v>32</v>
      </c>
      <c r="O3317" s="1" t="s">
        <v>33</v>
      </c>
      <c r="P3317" s="1" t="s">
        <v>112</v>
      </c>
      <c r="Q3317" s="1" t="s">
        <v>112</v>
      </c>
      <c r="R3317" s="1" t="s">
        <v>113</v>
      </c>
      <c r="S3317" s="1" t="s">
        <v>134</v>
      </c>
      <c r="T3317" s="1">
        <v>1.00660092E8</v>
      </c>
      <c r="U3317" s="1" t="s">
        <v>9773</v>
      </c>
      <c r="V3317" s="1" t="s">
        <v>187</v>
      </c>
      <c r="W3317" s="1" t="s">
        <v>250</v>
      </c>
      <c r="X3317" s="1" t="s">
        <v>2477</v>
      </c>
    </row>
    <row r="3318">
      <c r="A3318" s="1" t="s">
        <v>9774</v>
      </c>
      <c r="B3318" s="1" t="s">
        <v>993</v>
      </c>
      <c r="C3318" s="1" t="s">
        <v>9775</v>
      </c>
      <c r="D3318" s="1" t="s">
        <v>51</v>
      </c>
      <c r="E3318" s="1" t="s">
        <v>29</v>
      </c>
      <c r="F3318" s="5">
        <v>250000.0</v>
      </c>
      <c r="G3318" s="1" t="s">
        <v>7016</v>
      </c>
      <c r="H3318" s="1" t="s">
        <v>2484</v>
      </c>
      <c r="I3318" s="1" t="s">
        <v>1134</v>
      </c>
      <c r="K3318" s="1">
        <v>0.0</v>
      </c>
      <c r="L3318" s="1" t="s">
        <v>2477</v>
      </c>
      <c r="M3318" s="1" t="str">
        <f>VLOOKUP(L3318,'Copy of PMD Workday Constants -'!B3317:W4003,22,false)</f>
        <v>#N/A</v>
      </c>
      <c r="N3318" s="1" t="s">
        <v>32</v>
      </c>
      <c r="O3318" s="1" t="s">
        <v>33</v>
      </c>
      <c r="P3318" s="1" t="s">
        <v>112</v>
      </c>
      <c r="Q3318" s="1" t="s">
        <v>112</v>
      </c>
      <c r="R3318" s="1" t="s">
        <v>113</v>
      </c>
      <c r="S3318" s="1" t="s">
        <v>134</v>
      </c>
      <c r="T3318" s="1">
        <v>1.00660092E8</v>
      </c>
      <c r="W3318" s="1" t="s">
        <v>74</v>
      </c>
      <c r="X3318" s="1" t="s">
        <v>2477</v>
      </c>
    </row>
    <row r="3319">
      <c r="A3319" s="1" t="s">
        <v>9776</v>
      </c>
      <c r="B3319" s="1" t="s">
        <v>973</v>
      </c>
      <c r="C3319" s="1" t="s">
        <v>9777</v>
      </c>
      <c r="D3319" s="1" t="s">
        <v>28</v>
      </c>
      <c r="E3319" s="1" t="s">
        <v>29</v>
      </c>
      <c r="F3319" s="5">
        <v>250000.0</v>
      </c>
      <c r="G3319" s="1" t="s">
        <v>7016</v>
      </c>
      <c r="H3319" s="4">
        <v>44717.0</v>
      </c>
      <c r="I3319" s="1" t="s">
        <v>237</v>
      </c>
      <c r="K3319" s="1">
        <v>0.0</v>
      </c>
      <c r="L3319" s="1" t="s">
        <v>976</v>
      </c>
      <c r="M3319" s="1" t="str">
        <f>VLOOKUP(L3319,'Copy of PMD Workday Constants -'!B3318:W4004,22,false)</f>
        <v>#N/A</v>
      </c>
      <c r="N3319" s="1" t="s">
        <v>32</v>
      </c>
      <c r="O3319" s="1" t="s">
        <v>33</v>
      </c>
      <c r="P3319" s="1" t="s">
        <v>173</v>
      </c>
      <c r="Q3319" s="1" t="s">
        <v>173</v>
      </c>
      <c r="R3319" s="1" t="s">
        <v>174</v>
      </c>
      <c r="T3319" s="1">
        <v>1.00611358E8</v>
      </c>
      <c r="W3319" s="1" t="s">
        <v>456</v>
      </c>
      <c r="X3319" s="1" t="s">
        <v>977</v>
      </c>
    </row>
    <row r="3320">
      <c r="A3320" s="1" t="s">
        <v>9778</v>
      </c>
      <c r="B3320" s="1" t="s">
        <v>234</v>
      </c>
      <c r="C3320" s="1" t="s">
        <v>9779</v>
      </c>
      <c r="D3320" s="1" t="s">
        <v>28</v>
      </c>
      <c r="E3320" s="1" t="s">
        <v>29</v>
      </c>
      <c r="F3320" s="5">
        <v>250000.0</v>
      </c>
      <c r="G3320" s="1" t="s">
        <v>7016</v>
      </c>
      <c r="H3320" s="1" t="s">
        <v>1514</v>
      </c>
      <c r="I3320" s="1" t="s">
        <v>302</v>
      </c>
      <c r="K3320" s="1">
        <v>0.0</v>
      </c>
      <c r="L3320" s="1" t="s">
        <v>9242</v>
      </c>
      <c r="M3320" s="1" t="str">
        <f>VLOOKUP(L3320,'Copy of PMD Workday Constants -'!B3319:W4005,22,false)</f>
        <v>#N/A</v>
      </c>
      <c r="N3320" s="1" t="s">
        <v>32</v>
      </c>
      <c r="O3320" s="1" t="s">
        <v>33</v>
      </c>
      <c r="P3320" s="1" t="s">
        <v>173</v>
      </c>
      <c r="Q3320" s="1" t="s">
        <v>173</v>
      </c>
      <c r="R3320" s="1" t="s">
        <v>174</v>
      </c>
      <c r="S3320" s="1" t="s">
        <v>153</v>
      </c>
      <c r="T3320" s="1">
        <v>1.00866857E8</v>
      </c>
      <c r="W3320" s="1" t="s">
        <v>140</v>
      </c>
      <c r="X3320" s="1" t="s">
        <v>3371</v>
      </c>
    </row>
    <row r="3321">
      <c r="A3321" s="1" t="s">
        <v>9780</v>
      </c>
      <c r="B3321" s="1" t="s">
        <v>3911</v>
      </c>
      <c r="C3321" s="1" t="s">
        <v>9781</v>
      </c>
      <c r="D3321" s="1" t="s">
        <v>28</v>
      </c>
      <c r="E3321" s="1" t="s">
        <v>29</v>
      </c>
      <c r="F3321" s="5">
        <v>250000.0</v>
      </c>
      <c r="G3321" s="1" t="s">
        <v>7016</v>
      </c>
      <c r="H3321" s="1" t="s">
        <v>1287</v>
      </c>
      <c r="I3321" s="1" t="s">
        <v>538</v>
      </c>
      <c r="K3321" s="1">
        <v>0.0</v>
      </c>
      <c r="L3321" s="1" t="s">
        <v>2143</v>
      </c>
      <c r="M3321" s="1" t="str">
        <f>VLOOKUP(L3321,'Copy of PMD Workday Constants -'!B3320:W4006,22,false)</f>
        <v>#N/A</v>
      </c>
      <c r="N3321" s="1" t="s">
        <v>32</v>
      </c>
      <c r="O3321" s="1" t="s">
        <v>33</v>
      </c>
      <c r="P3321" s="1" t="s">
        <v>82</v>
      </c>
      <c r="Q3321" s="1" t="s">
        <v>82</v>
      </c>
      <c r="R3321" s="1" t="s">
        <v>83</v>
      </c>
      <c r="S3321" s="1" t="s">
        <v>153</v>
      </c>
      <c r="T3321" s="1">
        <v>1.00612395E8</v>
      </c>
      <c r="W3321" s="1" t="s">
        <v>258</v>
      </c>
      <c r="X3321" s="1" t="s">
        <v>6478</v>
      </c>
    </row>
    <row r="3322">
      <c r="A3322" s="1" t="s">
        <v>9782</v>
      </c>
      <c r="B3322" s="1" t="s">
        <v>289</v>
      </c>
      <c r="C3322" s="1" t="s">
        <v>9783</v>
      </c>
      <c r="D3322" s="1" t="s">
        <v>28</v>
      </c>
      <c r="E3322" s="1" t="s">
        <v>29</v>
      </c>
      <c r="F3322" s="5">
        <v>250000.0</v>
      </c>
      <c r="G3322" s="1" t="s">
        <v>7016</v>
      </c>
      <c r="H3322" s="1" t="s">
        <v>498</v>
      </c>
      <c r="I3322" s="1" t="s">
        <v>414</v>
      </c>
      <c r="K3322" s="1">
        <v>0.0</v>
      </c>
      <c r="L3322" s="1" t="s">
        <v>645</v>
      </c>
      <c r="M3322" s="1" t="str">
        <f>VLOOKUP(L3322,'Copy of PMD Workday Constants -'!B3321:W4007,22,false)</f>
        <v>#N/A</v>
      </c>
      <c r="N3322" s="1" t="s">
        <v>32</v>
      </c>
      <c r="O3322" s="1" t="s">
        <v>33</v>
      </c>
      <c r="P3322" s="1" t="s">
        <v>64</v>
      </c>
      <c r="Q3322" s="1" t="s">
        <v>64</v>
      </c>
      <c r="R3322" s="1" t="s">
        <v>65</v>
      </c>
      <c r="S3322" s="1" t="s">
        <v>98</v>
      </c>
      <c r="T3322" s="1">
        <v>1.00653597E8</v>
      </c>
      <c r="W3322" s="1" t="s">
        <v>74</v>
      </c>
      <c r="X3322" s="1" t="s">
        <v>852</v>
      </c>
    </row>
    <row r="3323">
      <c r="A3323" s="1" t="s">
        <v>9784</v>
      </c>
      <c r="B3323" s="1" t="s">
        <v>293</v>
      </c>
      <c r="C3323" s="1" t="s">
        <v>9785</v>
      </c>
      <c r="D3323" s="1" t="s">
        <v>28</v>
      </c>
      <c r="E3323" s="1" t="s">
        <v>29</v>
      </c>
      <c r="F3323" s="5">
        <v>250000.0</v>
      </c>
      <c r="G3323" s="1" t="s">
        <v>7016</v>
      </c>
      <c r="H3323" s="4">
        <v>44717.0</v>
      </c>
      <c r="I3323" s="1" t="s">
        <v>9786</v>
      </c>
      <c r="K3323" s="1">
        <v>0.0</v>
      </c>
      <c r="L3323" s="1" t="s">
        <v>2339</v>
      </c>
      <c r="M3323" s="1" t="str">
        <f>VLOOKUP(L3323,'Copy of PMD Workday Constants -'!B3322:W4008,22,false)</f>
        <v>#N/A</v>
      </c>
      <c r="N3323" s="1" t="s">
        <v>32</v>
      </c>
      <c r="O3323" s="1" t="s">
        <v>33</v>
      </c>
      <c r="P3323" s="1" t="s">
        <v>210</v>
      </c>
      <c r="Q3323" s="1" t="s">
        <v>210</v>
      </c>
      <c r="R3323" s="1" t="s">
        <v>211</v>
      </c>
      <c r="T3323" s="1">
        <v>1.00647488E8</v>
      </c>
      <c r="W3323" s="1" t="s">
        <v>258</v>
      </c>
      <c r="X3323" s="1" t="s">
        <v>9787</v>
      </c>
    </row>
    <row r="3324">
      <c r="A3324" s="1" t="s">
        <v>9788</v>
      </c>
      <c r="B3324" s="1" t="s">
        <v>3529</v>
      </c>
      <c r="C3324" s="1" t="s">
        <v>9789</v>
      </c>
      <c r="D3324" s="1" t="s">
        <v>28</v>
      </c>
      <c r="E3324" s="1" t="s">
        <v>29</v>
      </c>
      <c r="F3324" s="5">
        <v>250000.0</v>
      </c>
      <c r="G3324" s="1" t="s">
        <v>7016</v>
      </c>
      <c r="H3324" s="4">
        <v>44654.0</v>
      </c>
      <c r="I3324" s="1" t="s">
        <v>104</v>
      </c>
      <c r="K3324" s="1">
        <v>0.0</v>
      </c>
      <c r="L3324" s="1" t="s">
        <v>2991</v>
      </c>
      <c r="M3324" s="1" t="str">
        <f>VLOOKUP(L3324,'Copy of PMD Workday Constants -'!B3323:W4009,22,false)</f>
        <v>#N/A</v>
      </c>
      <c r="N3324" s="1" t="s">
        <v>32</v>
      </c>
      <c r="O3324" s="1" t="s">
        <v>33</v>
      </c>
      <c r="P3324" s="1" t="s">
        <v>210</v>
      </c>
      <c r="Q3324" s="1" t="s">
        <v>210</v>
      </c>
      <c r="R3324" s="1" t="s">
        <v>211</v>
      </c>
      <c r="S3324" s="1" t="s">
        <v>297</v>
      </c>
      <c r="T3324" s="1">
        <v>1.00647935E8</v>
      </c>
      <c r="U3324" s="1" t="s">
        <v>9790</v>
      </c>
      <c r="V3324" s="1" t="s">
        <v>187</v>
      </c>
      <c r="W3324" s="1" t="s">
        <v>258</v>
      </c>
      <c r="X3324" s="1" t="s">
        <v>2991</v>
      </c>
    </row>
    <row r="3325">
      <c r="A3325" s="1" t="s">
        <v>9791</v>
      </c>
      <c r="B3325" s="1" t="s">
        <v>77</v>
      </c>
      <c r="C3325" s="1" t="s">
        <v>9792</v>
      </c>
      <c r="D3325" s="1" t="s">
        <v>28</v>
      </c>
      <c r="E3325" s="1" t="s">
        <v>29</v>
      </c>
      <c r="F3325" s="5">
        <v>250000.0</v>
      </c>
      <c r="G3325" s="1" t="s">
        <v>7016</v>
      </c>
      <c r="H3325" s="4">
        <v>44654.0</v>
      </c>
      <c r="I3325" s="1" t="s">
        <v>80</v>
      </c>
      <c r="K3325" s="1">
        <v>0.0</v>
      </c>
      <c r="L3325" s="1" t="s">
        <v>6791</v>
      </c>
      <c r="M3325" s="1" t="str">
        <f>VLOOKUP(L3325,'Copy of PMD Workday Constants -'!B3324:W4010,22,false)</f>
        <v>#N/A</v>
      </c>
      <c r="N3325" s="1" t="s">
        <v>32</v>
      </c>
      <c r="O3325" s="1" t="s">
        <v>33</v>
      </c>
      <c r="P3325" s="1" t="s">
        <v>82</v>
      </c>
      <c r="Q3325" s="1" t="s">
        <v>82</v>
      </c>
      <c r="R3325" s="1" t="s">
        <v>83</v>
      </c>
      <c r="S3325" s="1" t="s">
        <v>84</v>
      </c>
      <c r="T3325" s="1">
        <v>1.00594243E8</v>
      </c>
      <c r="W3325" s="1" t="s">
        <v>85</v>
      </c>
      <c r="X3325" s="1" t="s">
        <v>7194</v>
      </c>
    </row>
    <row r="3326">
      <c r="A3326" s="1" t="s">
        <v>9793</v>
      </c>
      <c r="B3326" s="1" t="s">
        <v>9246</v>
      </c>
      <c r="C3326" s="1" t="s">
        <v>9794</v>
      </c>
      <c r="D3326" s="1" t="s">
        <v>28</v>
      </c>
      <c r="E3326" s="1" t="s">
        <v>29</v>
      </c>
      <c r="F3326" s="5">
        <v>250000.0</v>
      </c>
      <c r="G3326" s="1" t="s">
        <v>7016</v>
      </c>
      <c r="H3326" s="1" t="s">
        <v>785</v>
      </c>
      <c r="I3326" s="1" t="s">
        <v>442</v>
      </c>
      <c r="K3326" s="1">
        <v>0.0</v>
      </c>
      <c r="L3326" s="1" t="s">
        <v>9795</v>
      </c>
      <c r="M3326" s="1" t="str">
        <f>VLOOKUP(L3326,'Copy of PMD Workday Constants -'!B3325:W4011,22,false)</f>
        <v>#N/A</v>
      </c>
      <c r="N3326" s="1" t="s">
        <v>32</v>
      </c>
      <c r="O3326" s="1" t="s">
        <v>33</v>
      </c>
      <c r="P3326" s="1" t="s">
        <v>210</v>
      </c>
      <c r="Q3326" s="1" t="s">
        <v>210</v>
      </c>
      <c r="R3326" s="1" t="s">
        <v>211</v>
      </c>
      <c r="S3326" s="1" t="s">
        <v>212</v>
      </c>
      <c r="T3326" s="1">
        <v>1.00623111E8</v>
      </c>
      <c r="W3326" s="1" t="s">
        <v>56</v>
      </c>
      <c r="X3326" s="1" t="s">
        <v>9795</v>
      </c>
    </row>
    <row r="3327">
      <c r="A3327" s="1" t="s">
        <v>9796</v>
      </c>
      <c r="B3327" s="1" t="s">
        <v>87</v>
      </c>
      <c r="C3327" s="1" t="s">
        <v>9797</v>
      </c>
      <c r="D3327" s="1" t="s">
        <v>51</v>
      </c>
      <c r="E3327" s="1" t="s">
        <v>29</v>
      </c>
      <c r="F3327" s="5">
        <v>250000.0</v>
      </c>
      <c r="G3327" s="1" t="s">
        <v>7016</v>
      </c>
      <c r="H3327" s="4">
        <v>44868.0</v>
      </c>
      <c r="I3327" s="1" t="s">
        <v>1843</v>
      </c>
      <c r="K3327" s="1">
        <v>0.0</v>
      </c>
      <c r="L3327" s="1" t="s">
        <v>3043</v>
      </c>
      <c r="M3327" s="1" t="str">
        <f>VLOOKUP(L3327,'Copy of PMD Workday Constants -'!B3326:W4012,22,false)</f>
        <v>#N/A</v>
      </c>
      <c r="N3327" s="1" t="s">
        <v>32</v>
      </c>
      <c r="O3327" s="1" t="s">
        <v>33</v>
      </c>
      <c r="P3327" s="1" t="s">
        <v>222</v>
      </c>
      <c r="Q3327" s="1" t="s">
        <v>222</v>
      </c>
      <c r="R3327" s="1" t="s">
        <v>223</v>
      </c>
      <c r="S3327" s="1" t="s">
        <v>601</v>
      </c>
      <c r="T3327" s="1">
        <v>1.00638978E8</v>
      </c>
      <c r="W3327" s="1" t="s">
        <v>91</v>
      </c>
      <c r="X3327" s="1" t="s">
        <v>401</v>
      </c>
    </row>
    <row r="3328">
      <c r="A3328" s="1" t="s">
        <v>9798</v>
      </c>
      <c r="B3328" s="1" t="s">
        <v>7866</v>
      </c>
      <c r="C3328" s="1" t="s">
        <v>9799</v>
      </c>
      <c r="D3328" s="1" t="s">
        <v>103</v>
      </c>
      <c r="E3328" s="1" t="s">
        <v>29</v>
      </c>
      <c r="F3328" s="5">
        <v>250000.0</v>
      </c>
      <c r="G3328" s="1" t="s">
        <v>7016</v>
      </c>
      <c r="H3328" s="1" t="s">
        <v>4872</v>
      </c>
      <c r="I3328" s="1" t="s">
        <v>302</v>
      </c>
      <c r="K3328" s="1">
        <v>0.0</v>
      </c>
      <c r="L3328" s="1" t="s">
        <v>198</v>
      </c>
      <c r="M3328" s="1" t="str">
        <f>VLOOKUP(L3328,'Copy of PMD Workday Constants -'!B3327:W4013,22,false)</f>
        <v>#N/A</v>
      </c>
      <c r="N3328" s="1" t="s">
        <v>32</v>
      </c>
      <c r="O3328" s="1" t="s">
        <v>33</v>
      </c>
      <c r="P3328" s="1" t="s">
        <v>82</v>
      </c>
      <c r="Q3328" s="1" t="s">
        <v>82</v>
      </c>
      <c r="R3328" s="1" t="s">
        <v>83</v>
      </c>
      <c r="S3328" s="1" t="s">
        <v>180</v>
      </c>
      <c r="T3328" s="1">
        <v>1.00590896E8</v>
      </c>
      <c r="X3328" s="1" t="s">
        <v>5487</v>
      </c>
    </row>
    <row r="3329">
      <c r="A3329" s="1" t="s">
        <v>9800</v>
      </c>
      <c r="B3329" s="1" t="s">
        <v>9246</v>
      </c>
      <c r="C3329" s="1" t="s">
        <v>9801</v>
      </c>
      <c r="D3329" s="1" t="s">
        <v>51</v>
      </c>
      <c r="E3329" s="1" t="s">
        <v>29</v>
      </c>
      <c r="F3329" s="5">
        <v>250000.0</v>
      </c>
      <c r="G3329" s="1" t="s">
        <v>7016</v>
      </c>
      <c r="H3329" s="1" t="s">
        <v>785</v>
      </c>
      <c r="I3329" s="1" t="s">
        <v>442</v>
      </c>
      <c r="K3329" s="1">
        <v>0.0</v>
      </c>
      <c r="L3329" s="1" t="s">
        <v>9802</v>
      </c>
      <c r="M3329" s="1" t="str">
        <f>VLOOKUP(L3329,'Copy of PMD Workday Constants -'!B3328:W4014,22,false)</f>
        <v>#N/A</v>
      </c>
      <c r="N3329" s="1" t="s">
        <v>32</v>
      </c>
      <c r="O3329" s="1" t="s">
        <v>33</v>
      </c>
      <c r="P3329" s="1" t="s">
        <v>173</v>
      </c>
      <c r="Q3329" s="1" t="s">
        <v>173</v>
      </c>
      <c r="R3329" s="1" t="s">
        <v>174</v>
      </c>
      <c r="S3329" s="1" t="s">
        <v>416</v>
      </c>
      <c r="T3329" s="1">
        <v>1.0061717E8</v>
      </c>
      <c r="W3329" s="1" t="s">
        <v>56</v>
      </c>
      <c r="X3329" s="1" t="s">
        <v>9795</v>
      </c>
    </row>
    <row r="3330">
      <c r="A3330" s="1" t="s">
        <v>9803</v>
      </c>
      <c r="B3330" s="1" t="s">
        <v>489</v>
      </c>
      <c r="C3330" s="1" t="s">
        <v>9804</v>
      </c>
      <c r="D3330" s="1" t="s">
        <v>28</v>
      </c>
      <c r="E3330" s="1" t="s">
        <v>29</v>
      </c>
      <c r="F3330" s="5">
        <v>250000.0</v>
      </c>
      <c r="G3330" s="1" t="s">
        <v>7016</v>
      </c>
      <c r="H3330" s="4">
        <v>44837.0</v>
      </c>
      <c r="I3330" s="1" t="s">
        <v>104</v>
      </c>
      <c r="K3330" s="1">
        <v>0.0</v>
      </c>
      <c r="L3330" s="1" t="s">
        <v>5718</v>
      </c>
      <c r="M3330" s="1" t="str">
        <f>VLOOKUP(L3330,'Copy of PMD Workday Constants -'!B3329:W4015,22,false)</f>
        <v>#N/A</v>
      </c>
      <c r="N3330" s="1" t="s">
        <v>32</v>
      </c>
      <c r="O3330" s="1" t="s">
        <v>33</v>
      </c>
      <c r="P3330" s="1" t="s">
        <v>173</v>
      </c>
      <c r="Q3330" s="1" t="s">
        <v>173</v>
      </c>
      <c r="R3330" s="1" t="s">
        <v>174</v>
      </c>
      <c r="T3330" s="1">
        <v>1.00641346E8</v>
      </c>
      <c r="W3330" s="1" t="s">
        <v>493</v>
      </c>
      <c r="X3330" s="1" t="s">
        <v>9219</v>
      </c>
    </row>
    <row r="3331">
      <c r="A3331" s="1" t="s">
        <v>9805</v>
      </c>
      <c r="B3331" s="1" t="s">
        <v>40</v>
      </c>
      <c r="C3331" s="1" t="s">
        <v>9806</v>
      </c>
      <c r="D3331" s="1" t="s">
        <v>28</v>
      </c>
      <c r="E3331" s="1" t="s">
        <v>29</v>
      </c>
      <c r="F3331" s="5">
        <v>250000.0</v>
      </c>
      <c r="G3331" s="1" t="s">
        <v>7016</v>
      </c>
      <c r="H3331" s="1" t="s">
        <v>1027</v>
      </c>
      <c r="I3331" s="1" t="s">
        <v>575</v>
      </c>
      <c r="K3331" s="1">
        <v>0.0</v>
      </c>
      <c r="L3331" s="1" t="s">
        <v>44</v>
      </c>
      <c r="M3331" s="1" t="str">
        <f>VLOOKUP(L3331,'Copy of PMD Workday Constants -'!B3330:W4016,22,false)</f>
        <v>#N/A</v>
      </c>
      <c r="N3331" s="1" t="s">
        <v>32</v>
      </c>
      <c r="O3331" s="1" t="s">
        <v>33</v>
      </c>
      <c r="P3331" s="1" t="s">
        <v>34</v>
      </c>
      <c r="Q3331" s="1" t="s">
        <v>34</v>
      </c>
      <c r="R3331" s="1" t="s">
        <v>35</v>
      </c>
      <c r="S3331" s="1" t="s">
        <v>126</v>
      </c>
      <c r="T3331" s="1">
        <v>1.00587944E8</v>
      </c>
      <c r="W3331" s="1" t="s">
        <v>47</v>
      </c>
      <c r="X3331" s="1" t="s">
        <v>127</v>
      </c>
    </row>
    <row r="3332">
      <c r="A3332" s="1" t="s">
        <v>9807</v>
      </c>
      <c r="B3332" s="1" t="s">
        <v>40</v>
      </c>
      <c r="C3332" s="1" t="s">
        <v>9808</v>
      </c>
      <c r="D3332" s="1" t="s">
        <v>28</v>
      </c>
      <c r="E3332" s="1" t="s">
        <v>29</v>
      </c>
      <c r="F3332" s="5">
        <v>250000.0</v>
      </c>
      <c r="G3332" s="1" t="s">
        <v>7016</v>
      </c>
      <c r="H3332" s="1" t="s">
        <v>1027</v>
      </c>
      <c r="I3332" s="1" t="s">
        <v>9374</v>
      </c>
      <c r="K3332" s="1">
        <v>0.0</v>
      </c>
      <c r="L3332" s="1" t="s">
        <v>44</v>
      </c>
      <c r="M3332" s="1" t="str">
        <f>VLOOKUP(L3332,'Copy of PMD Workday Constants -'!B3331:W4017,22,false)</f>
        <v>#N/A</v>
      </c>
      <c r="N3332" s="1" t="s">
        <v>32</v>
      </c>
      <c r="O3332" s="1" t="s">
        <v>33</v>
      </c>
      <c r="P3332" s="1" t="s">
        <v>34</v>
      </c>
      <c r="Q3332" s="1" t="s">
        <v>34</v>
      </c>
      <c r="R3332" s="1" t="s">
        <v>35</v>
      </c>
      <c r="S3332" s="1" t="s">
        <v>126</v>
      </c>
      <c r="T3332" s="1">
        <v>1.00587944E8</v>
      </c>
      <c r="W3332" s="1" t="s">
        <v>47</v>
      </c>
      <c r="X3332" s="1" t="s">
        <v>127</v>
      </c>
    </row>
    <row r="3333">
      <c r="A3333" s="1" t="s">
        <v>9809</v>
      </c>
      <c r="B3333" s="1" t="s">
        <v>324</v>
      </c>
      <c r="C3333" s="1" t="s">
        <v>9810</v>
      </c>
      <c r="D3333" s="1" t="s">
        <v>28</v>
      </c>
      <c r="E3333" s="1" t="s">
        <v>29</v>
      </c>
      <c r="F3333" s="5">
        <v>250000.0</v>
      </c>
      <c r="G3333" s="1" t="s">
        <v>7016</v>
      </c>
      <c r="H3333" s="1" t="s">
        <v>1650</v>
      </c>
      <c r="I3333" s="1" t="s">
        <v>264</v>
      </c>
      <c r="K3333" s="1">
        <v>0.0</v>
      </c>
      <c r="L3333" s="1" t="s">
        <v>5194</v>
      </c>
      <c r="M3333" s="1" t="str">
        <f>VLOOKUP(L3333,'Copy of PMD Workday Constants -'!B3332:W4018,22,false)</f>
        <v>#N/A</v>
      </c>
      <c r="N3333" s="1" t="s">
        <v>32</v>
      </c>
      <c r="O3333" s="1" t="s">
        <v>33</v>
      </c>
      <c r="P3333" s="1" t="s">
        <v>173</v>
      </c>
      <c r="Q3333" s="1" t="s">
        <v>173</v>
      </c>
      <c r="R3333" s="1" t="s">
        <v>174</v>
      </c>
      <c r="S3333" s="1" t="s">
        <v>540</v>
      </c>
      <c r="T3333" s="1">
        <v>1.00609393E8</v>
      </c>
      <c r="W3333" s="1" t="s">
        <v>56</v>
      </c>
      <c r="X3333" s="1" t="s">
        <v>9811</v>
      </c>
    </row>
    <row r="3334">
      <c r="A3334" s="1" t="s">
        <v>9812</v>
      </c>
      <c r="B3334" s="1" t="s">
        <v>3529</v>
      </c>
      <c r="C3334" s="1" t="s">
        <v>9813</v>
      </c>
      <c r="D3334" s="1" t="s">
        <v>28</v>
      </c>
      <c r="E3334" s="1" t="s">
        <v>29</v>
      </c>
      <c r="F3334" s="5">
        <v>250000.0</v>
      </c>
      <c r="G3334" s="1" t="s">
        <v>7016</v>
      </c>
      <c r="H3334" s="1" t="s">
        <v>5928</v>
      </c>
      <c r="I3334" s="1" t="s">
        <v>80</v>
      </c>
      <c r="K3334" s="1">
        <v>0.0</v>
      </c>
      <c r="L3334" s="1" t="s">
        <v>1335</v>
      </c>
      <c r="M3334" s="1" t="str">
        <f>VLOOKUP(L3334,'Copy of PMD Workday Constants -'!B3333:W4019,22,false)</f>
        <v>#N/A</v>
      </c>
      <c r="N3334" s="1" t="s">
        <v>32</v>
      </c>
      <c r="O3334" s="1" t="s">
        <v>33</v>
      </c>
      <c r="P3334" s="1" t="s">
        <v>210</v>
      </c>
      <c r="Q3334" s="1" t="s">
        <v>210</v>
      </c>
      <c r="R3334" s="1" t="s">
        <v>211</v>
      </c>
      <c r="S3334" s="1" t="s">
        <v>297</v>
      </c>
      <c r="T3334" s="1">
        <v>1.00594397E8</v>
      </c>
      <c r="W3334" s="1" t="s">
        <v>258</v>
      </c>
      <c r="X3334" s="1" t="s">
        <v>2833</v>
      </c>
    </row>
    <row r="3335">
      <c r="A3335" s="1" t="s">
        <v>9814</v>
      </c>
      <c r="B3335" s="1" t="s">
        <v>9815</v>
      </c>
      <c r="C3335" s="1" t="s">
        <v>9816</v>
      </c>
      <c r="D3335" s="1" t="s">
        <v>103</v>
      </c>
      <c r="E3335" s="1" t="s">
        <v>29</v>
      </c>
      <c r="F3335" s="5">
        <v>250000.0</v>
      </c>
      <c r="G3335" s="1" t="s">
        <v>7016</v>
      </c>
      <c r="H3335" s="4">
        <v>44871.0</v>
      </c>
      <c r="I3335" s="1" t="s">
        <v>248</v>
      </c>
      <c r="K3335" s="1">
        <v>0.0</v>
      </c>
      <c r="L3335" s="1" t="s">
        <v>9612</v>
      </c>
      <c r="M3335" s="1" t="str">
        <f>VLOOKUP(L3335,'Copy of PMD Workday Constants -'!B3334:W4020,22,false)</f>
        <v>#N/A</v>
      </c>
      <c r="N3335" s="1" t="s">
        <v>32</v>
      </c>
      <c r="O3335" s="1" t="s">
        <v>33</v>
      </c>
      <c r="P3335" s="1" t="s">
        <v>82</v>
      </c>
      <c r="Q3335" s="1" t="s">
        <v>82</v>
      </c>
      <c r="R3335" s="1" t="s">
        <v>83</v>
      </c>
      <c r="S3335" s="1" t="s">
        <v>180</v>
      </c>
      <c r="T3335" s="1">
        <v>1.0059101E8</v>
      </c>
      <c r="W3335" s="1" t="s">
        <v>85</v>
      </c>
      <c r="X3335" s="1" t="s">
        <v>9612</v>
      </c>
    </row>
    <row r="3336">
      <c r="A3336" s="1" t="s">
        <v>9817</v>
      </c>
      <c r="B3336" s="1" t="s">
        <v>3585</v>
      </c>
      <c r="C3336" s="1" t="s">
        <v>9818</v>
      </c>
      <c r="D3336" s="1" t="s">
        <v>51</v>
      </c>
      <c r="E3336" s="1" t="s">
        <v>29</v>
      </c>
      <c r="F3336" s="5">
        <v>250000.0</v>
      </c>
      <c r="G3336" s="1" t="s">
        <v>7016</v>
      </c>
      <c r="H3336" s="1" t="s">
        <v>273</v>
      </c>
      <c r="I3336" s="1" t="s">
        <v>810</v>
      </c>
      <c r="K3336" s="1">
        <v>0.0</v>
      </c>
      <c r="L3336" s="1" t="s">
        <v>6744</v>
      </c>
      <c r="M3336" s="1" t="str">
        <f>VLOOKUP(L3336,'Copy of PMD Workday Constants -'!B3335:W4021,22,false)</f>
        <v>#N/A</v>
      </c>
      <c r="N3336" s="1" t="s">
        <v>32</v>
      </c>
      <c r="O3336" s="1" t="s">
        <v>33</v>
      </c>
      <c r="P3336" s="1" t="s">
        <v>173</v>
      </c>
      <c r="Q3336" s="1" t="s">
        <v>173</v>
      </c>
      <c r="R3336" s="1" t="s">
        <v>174</v>
      </c>
      <c r="S3336" s="1" t="s">
        <v>540</v>
      </c>
      <c r="T3336" s="1">
        <v>1.00599152E8</v>
      </c>
      <c r="X3336" s="1" t="s">
        <v>7272</v>
      </c>
    </row>
    <row r="3337">
      <c r="A3337" s="1" t="s">
        <v>9819</v>
      </c>
      <c r="B3337" s="1" t="s">
        <v>9820</v>
      </c>
      <c r="C3337" s="1" t="s">
        <v>9821</v>
      </c>
      <c r="D3337" s="1" t="s">
        <v>28</v>
      </c>
      <c r="E3337" s="1" t="s">
        <v>29</v>
      </c>
      <c r="F3337" s="5">
        <v>250000.0</v>
      </c>
      <c r="G3337" s="1" t="s">
        <v>7016</v>
      </c>
      <c r="H3337" s="1" t="s">
        <v>1524</v>
      </c>
      <c r="I3337" s="1" t="s">
        <v>104</v>
      </c>
      <c r="K3337" s="1">
        <v>0.0</v>
      </c>
      <c r="L3337" s="1" t="s">
        <v>2861</v>
      </c>
      <c r="M3337" s="1" t="str">
        <f>VLOOKUP(L3337,'Copy of PMD Workday Constants -'!B3336:W4022,22,false)</f>
        <v>#N/A</v>
      </c>
      <c r="N3337" s="1" t="s">
        <v>32</v>
      </c>
      <c r="O3337" s="1" t="s">
        <v>33</v>
      </c>
      <c r="P3337" s="1" t="s">
        <v>112</v>
      </c>
      <c r="Q3337" s="1" t="s">
        <v>112</v>
      </c>
      <c r="R3337" s="1" t="s">
        <v>113</v>
      </c>
      <c r="S3337" s="1" t="s">
        <v>120</v>
      </c>
      <c r="T3337" s="1">
        <v>1.00649654E8</v>
      </c>
      <c r="W3337" s="1" t="s">
        <v>115</v>
      </c>
      <c r="X3337" s="1" t="s">
        <v>2861</v>
      </c>
    </row>
    <row r="3338">
      <c r="A3338" s="1" t="s">
        <v>9822</v>
      </c>
      <c r="B3338" s="1" t="s">
        <v>4067</v>
      </c>
      <c r="C3338" s="1" t="s">
        <v>9823</v>
      </c>
      <c r="D3338" s="1" t="s">
        <v>103</v>
      </c>
      <c r="E3338" s="1" t="s">
        <v>29</v>
      </c>
      <c r="F3338" s="5">
        <v>250000.0</v>
      </c>
      <c r="G3338" s="1" t="s">
        <v>7016</v>
      </c>
      <c r="H3338" s="4">
        <v>44743.0</v>
      </c>
      <c r="I3338" s="1" t="s">
        <v>96</v>
      </c>
      <c r="K3338" s="1">
        <v>0.0</v>
      </c>
      <c r="L3338" s="1" t="s">
        <v>9390</v>
      </c>
      <c r="M3338" s="1" t="str">
        <f>VLOOKUP(L3338,'Copy of PMD Workday Constants -'!B3337:W4023,22,false)</f>
        <v>#N/A</v>
      </c>
      <c r="N3338" s="1" t="s">
        <v>32</v>
      </c>
      <c r="O3338" s="1" t="s">
        <v>33</v>
      </c>
      <c r="P3338" s="1" t="s">
        <v>64</v>
      </c>
      <c r="Q3338" s="1" t="s">
        <v>64</v>
      </c>
      <c r="R3338" s="1" t="s">
        <v>65</v>
      </c>
      <c r="S3338" s="1" t="s">
        <v>1336</v>
      </c>
      <c r="T3338" s="1">
        <v>1.01148689E8</v>
      </c>
      <c r="W3338" s="1" t="s">
        <v>47</v>
      </c>
      <c r="X3338" s="1" t="s">
        <v>9824</v>
      </c>
    </row>
    <row r="3339">
      <c r="A3339" s="1" t="s">
        <v>9825</v>
      </c>
      <c r="B3339" s="1" t="s">
        <v>7471</v>
      </c>
      <c r="C3339" s="1" t="s">
        <v>9826</v>
      </c>
      <c r="D3339" s="1" t="s">
        <v>51</v>
      </c>
      <c r="E3339" s="1" t="s">
        <v>29</v>
      </c>
      <c r="F3339" s="5">
        <v>250000.0</v>
      </c>
      <c r="G3339" s="1" t="s">
        <v>7016</v>
      </c>
      <c r="H3339" s="4">
        <v>44565.0</v>
      </c>
      <c r="I3339" s="1" t="s">
        <v>4378</v>
      </c>
      <c r="K3339" s="1">
        <v>0.0</v>
      </c>
      <c r="L3339" s="1" t="s">
        <v>2284</v>
      </c>
      <c r="M3339" s="1" t="str">
        <f>VLOOKUP(L3339,'Copy of PMD Workday Constants -'!B3338:W4024,22,false)</f>
        <v>#N/A</v>
      </c>
      <c r="N3339" s="1" t="s">
        <v>32</v>
      </c>
      <c r="O3339" s="1" t="s">
        <v>33</v>
      </c>
      <c r="P3339" s="1" t="s">
        <v>173</v>
      </c>
      <c r="Q3339" s="1" t="s">
        <v>173</v>
      </c>
      <c r="R3339" s="1" t="s">
        <v>174</v>
      </c>
      <c r="T3339" s="1">
        <v>1.00650678E8</v>
      </c>
      <c r="W3339" s="1" t="s">
        <v>147</v>
      </c>
      <c r="X3339" s="1" t="s">
        <v>9827</v>
      </c>
    </row>
    <row r="3340">
      <c r="A3340" s="1" t="s">
        <v>9828</v>
      </c>
      <c r="B3340" s="1" t="s">
        <v>5948</v>
      </c>
      <c r="C3340" s="1" t="s">
        <v>9829</v>
      </c>
      <c r="D3340" s="1" t="s">
        <v>28</v>
      </c>
      <c r="E3340" s="1" t="s">
        <v>29</v>
      </c>
      <c r="F3340" s="5">
        <v>250000.0</v>
      </c>
      <c r="G3340" s="1" t="s">
        <v>7016</v>
      </c>
      <c r="H3340" s="1" t="s">
        <v>170</v>
      </c>
      <c r="I3340" s="1" t="s">
        <v>104</v>
      </c>
      <c r="K3340" s="1">
        <v>0.0</v>
      </c>
      <c r="L3340" s="1" t="s">
        <v>9830</v>
      </c>
      <c r="M3340" s="1" t="str">
        <f>VLOOKUP(L3340,'Copy of PMD Workday Constants -'!B3339:W4025,22,false)</f>
        <v>#N/A</v>
      </c>
      <c r="N3340" s="1" t="s">
        <v>32</v>
      </c>
      <c r="O3340" s="1" t="s">
        <v>33</v>
      </c>
      <c r="P3340" s="1" t="s">
        <v>54</v>
      </c>
      <c r="Q3340" s="1" t="s">
        <v>54</v>
      </c>
      <c r="R3340" s="1" t="s">
        <v>55</v>
      </c>
      <c r="S3340" s="1" t="s">
        <v>512</v>
      </c>
      <c r="T3340" s="1">
        <v>1.0061958E8</v>
      </c>
      <c r="W3340" s="1" t="s">
        <v>456</v>
      </c>
      <c r="X3340" s="1" t="s">
        <v>106</v>
      </c>
    </row>
    <row r="3341">
      <c r="A3341" s="1" t="s">
        <v>9831</v>
      </c>
      <c r="B3341" s="1" t="s">
        <v>9832</v>
      </c>
      <c r="C3341" s="1" t="s">
        <v>9833</v>
      </c>
      <c r="D3341" s="1" t="s">
        <v>51</v>
      </c>
      <c r="E3341" s="1" t="s">
        <v>29</v>
      </c>
      <c r="F3341" s="5">
        <v>250000.0</v>
      </c>
      <c r="G3341" s="1" t="s">
        <v>7016</v>
      </c>
      <c r="H3341" s="1" t="s">
        <v>3083</v>
      </c>
      <c r="I3341" s="1" t="s">
        <v>732</v>
      </c>
      <c r="K3341" s="1">
        <v>0.0</v>
      </c>
      <c r="L3341" s="1" t="s">
        <v>2879</v>
      </c>
      <c r="M3341" s="1" t="str">
        <f>VLOOKUP(L3341,'Copy of PMD Workday Constants -'!B3340:W4026,22,false)</f>
        <v>#N/A</v>
      </c>
      <c r="N3341" s="1" t="s">
        <v>32</v>
      </c>
      <c r="O3341" s="1" t="s">
        <v>33</v>
      </c>
      <c r="P3341" s="1" t="s">
        <v>173</v>
      </c>
      <c r="Q3341" s="1" t="s">
        <v>173</v>
      </c>
      <c r="R3341" s="1" t="s">
        <v>174</v>
      </c>
      <c r="S3341" s="1" t="s">
        <v>153</v>
      </c>
      <c r="T3341" s="1">
        <v>1.00608521E8</v>
      </c>
      <c r="W3341" s="1" t="s">
        <v>140</v>
      </c>
      <c r="X3341" s="1" t="s">
        <v>2880</v>
      </c>
    </row>
    <row r="3342">
      <c r="A3342" s="1" t="s">
        <v>9834</v>
      </c>
      <c r="B3342" s="1" t="s">
        <v>9835</v>
      </c>
      <c r="C3342" s="1" t="s">
        <v>9836</v>
      </c>
      <c r="D3342" s="1" t="s">
        <v>51</v>
      </c>
      <c r="E3342" s="1" t="s">
        <v>29</v>
      </c>
      <c r="F3342" s="5">
        <v>250000.0</v>
      </c>
      <c r="G3342" s="1" t="s">
        <v>7016</v>
      </c>
      <c r="H3342" s="1" t="s">
        <v>3083</v>
      </c>
      <c r="I3342" s="1" t="s">
        <v>732</v>
      </c>
      <c r="K3342" s="1">
        <v>0.0</v>
      </c>
      <c r="L3342" s="1" t="s">
        <v>2879</v>
      </c>
      <c r="M3342" s="1" t="str">
        <f>VLOOKUP(L3342,'Copy of PMD Workday Constants -'!B3341:W4027,22,false)</f>
        <v>#N/A</v>
      </c>
      <c r="N3342" s="1" t="s">
        <v>32</v>
      </c>
      <c r="O3342" s="1" t="s">
        <v>33</v>
      </c>
      <c r="P3342" s="1" t="s">
        <v>173</v>
      </c>
      <c r="Q3342" s="1" t="s">
        <v>173</v>
      </c>
      <c r="R3342" s="1" t="s">
        <v>174</v>
      </c>
      <c r="S3342" s="1" t="s">
        <v>153</v>
      </c>
      <c r="T3342" s="1">
        <v>1.00608521E8</v>
      </c>
      <c r="W3342" s="1" t="s">
        <v>147</v>
      </c>
      <c r="X3342" s="1" t="s">
        <v>2880</v>
      </c>
    </row>
    <row r="3343">
      <c r="A3343" s="1" t="s">
        <v>9837</v>
      </c>
      <c r="B3343" s="1" t="s">
        <v>9246</v>
      </c>
      <c r="C3343" s="1" t="s">
        <v>9838</v>
      </c>
      <c r="D3343" s="1" t="s">
        <v>28</v>
      </c>
      <c r="E3343" s="1" t="s">
        <v>29</v>
      </c>
      <c r="F3343" s="5">
        <v>250000.0</v>
      </c>
      <c r="G3343" s="1" t="s">
        <v>7016</v>
      </c>
      <c r="H3343" s="1" t="s">
        <v>785</v>
      </c>
      <c r="I3343" s="1" t="s">
        <v>442</v>
      </c>
      <c r="K3343" s="1">
        <v>0.0</v>
      </c>
      <c r="L3343" s="1" t="s">
        <v>9795</v>
      </c>
      <c r="M3343" s="1" t="str">
        <f>VLOOKUP(L3343,'Copy of PMD Workday Constants -'!B3342:W4028,22,false)</f>
        <v>#N/A</v>
      </c>
      <c r="N3343" s="1" t="s">
        <v>32</v>
      </c>
      <c r="O3343" s="1" t="s">
        <v>33</v>
      </c>
      <c r="P3343" s="1" t="s">
        <v>210</v>
      </c>
      <c r="Q3343" s="1" t="s">
        <v>210</v>
      </c>
      <c r="R3343" s="1" t="s">
        <v>211</v>
      </c>
      <c r="S3343" s="1" t="s">
        <v>212</v>
      </c>
      <c r="T3343" s="1">
        <v>1.00623111E8</v>
      </c>
      <c r="W3343" s="1" t="s">
        <v>56</v>
      </c>
      <c r="X3343" s="1" t="s">
        <v>9795</v>
      </c>
    </row>
    <row r="3344">
      <c r="A3344" s="1" t="s">
        <v>9839</v>
      </c>
      <c r="B3344" s="1" t="s">
        <v>886</v>
      </c>
      <c r="C3344" s="1" t="s">
        <v>9840</v>
      </c>
      <c r="D3344" s="1" t="s">
        <v>51</v>
      </c>
      <c r="E3344" s="1" t="s">
        <v>29</v>
      </c>
      <c r="F3344" s="5">
        <v>250000.0</v>
      </c>
      <c r="G3344" s="1" t="s">
        <v>7016</v>
      </c>
      <c r="H3344" s="1" t="s">
        <v>4779</v>
      </c>
      <c r="I3344" s="1" t="s">
        <v>302</v>
      </c>
      <c r="K3344" s="1">
        <v>0.0</v>
      </c>
      <c r="L3344" s="1" t="s">
        <v>1206</v>
      </c>
      <c r="M3344" s="1" t="str">
        <f>VLOOKUP(L3344,'Copy of PMD Workday Constants -'!B3343:W4029,22,false)</f>
        <v>#N/A</v>
      </c>
      <c r="N3344" s="1" t="s">
        <v>32</v>
      </c>
      <c r="O3344" s="1" t="s">
        <v>33</v>
      </c>
      <c r="P3344" s="1" t="s">
        <v>82</v>
      </c>
      <c r="Q3344" s="1" t="s">
        <v>82</v>
      </c>
      <c r="R3344" s="1" t="s">
        <v>83</v>
      </c>
      <c r="S3344" s="1" t="s">
        <v>180</v>
      </c>
      <c r="T3344" s="1">
        <v>1.00943277E8</v>
      </c>
      <c r="W3344" s="1" t="s">
        <v>85</v>
      </c>
      <c r="X3344" s="1" t="s">
        <v>2432</v>
      </c>
    </row>
    <row r="3345">
      <c r="A3345" s="1" t="s">
        <v>9841</v>
      </c>
      <c r="B3345" s="1" t="s">
        <v>40</v>
      </c>
      <c r="C3345" s="1" t="s">
        <v>9842</v>
      </c>
      <c r="D3345" s="1" t="s">
        <v>51</v>
      </c>
      <c r="E3345" s="1" t="s">
        <v>29</v>
      </c>
      <c r="F3345" s="5">
        <v>250000.0</v>
      </c>
      <c r="G3345" s="1" t="s">
        <v>7016</v>
      </c>
      <c r="H3345" s="1" t="s">
        <v>785</v>
      </c>
      <c r="I3345" s="1" t="s">
        <v>414</v>
      </c>
      <c r="K3345" s="1">
        <v>0.0</v>
      </c>
      <c r="L3345" s="1" t="s">
        <v>1611</v>
      </c>
      <c r="M3345" s="1" t="str">
        <f>VLOOKUP(L3345,'Copy of PMD Workday Constants -'!B3344:W4030,22,false)</f>
        <v>#N/A</v>
      </c>
      <c r="N3345" s="1" t="s">
        <v>32</v>
      </c>
      <c r="O3345" s="1" t="s">
        <v>33</v>
      </c>
      <c r="P3345" s="1" t="s">
        <v>34</v>
      </c>
      <c r="Q3345" s="1" t="s">
        <v>34</v>
      </c>
      <c r="R3345" s="1" t="s">
        <v>35</v>
      </c>
      <c r="S3345" s="1" t="s">
        <v>126</v>
      </c>
      <c r="T3345" s="1">
        <v>1.00645852E8</v>
      </c>
      <c r="W3345" s="1" t="s">
        <v>47</v>
      </c>
      <c r="X3345" s="1" t="s">
        <v>127</v>
      </c>
    </row>
    <row r="3346">
      <c r="A3346" s="1" t="s">
        <v>9843</v>
      </c>
      <c r="B3346" s="1" t="s">
        <v>5830</v>
      </c>
      <c r="C3346" s="1" t="s">
        <v>9844</v>
      </c>
      <c r="D3346" s="1" t="s">
        <v>28</v>
      </c>
      <c r="E3346" s="1" t="s">
        <v>29</v>
      </c>
      <c r="F3346" s="5">
        <v>250000.0</v>
      </c>
      <c r="G3346" s="1" t="s">
        <v>7016</v>
      </c>
      <c r="H3346" s="4">
        <v>44420.0</v>
      </c>
      <c r="I3346" s="1" t="s">
        <v>152</v>
      </c>
      <c r="K3346" s="1">
        <v>0.0</v>
      </c>
      <c r="L3346" s="1" t="s">
        <v>5832</v>
      </c>
      <c r="M3346" s="1" t="str">
        <f>VLOOKUP(L3346,'Copy of PMD Workday Constants -'!B3345:W4031,22,false)</f>
        <v>#N/A</v>
      </c>
      <c r="N3346" s="1" t="s">
        <v>32</v>
      </c>
      <c r="O3346" s="1" t="s">
        <v>33</v>
      </c>
      <c r="P3346" s="1" t="s">
        <v>64</v>
      </c>
      <c r="Q3346" s="1" t="s">
        <v>64</v>
      </c>
      <c r="R3346" s="1" t="s">
        <v>65</v>
      </c>
      <c r="S3346" s="1" t="s">
        <v>1496</v>
      </c>
      <c r="T3346" s="1">
        <v>1.00609257E8</v>
      </c>
      <c r="W3346" s="1" t="s">
        <v>258</v>
      </c>
      <c r="X3346" s="1" t="s">
        <v>5833</v>
      </c>
    </row>
    <row r="3347">
      <c r="A3347" s="1" t="s">
        <v>9845</v>
      </c>
      <c r="B3347" s="1" t="s">
        <v>2212</v>
      </c>
      <c r="C3347" s="1" t="s">
        <v>9846</v>
      </c>
      <c r="D3347" s="1" t="s">
        <v>28</v>
      </c>
      <c r="E3347" s="1" t="s">
        <v>29</v>
      </c>
      <c r="F3347" s="5">
        <v>250000.0</v>
      </c>
      <c r="G3347" s="1" t="s">
        <v>7016</v>
      </c>
      <c r="H3347" s="4">
        <v>44899.0</v>
      </c>
      <c r="I3347" s="1" t="s">
        <v>692</v>
      </c>
      <c r="K3347" s="1">
        <v>0.0</v>
      </c>
      <c r="L3347" s="1" t="s">
        <v>6791</v>
      </c>
      <c r="M3347" s="1" t="str">
        <f>VLOOKUP(L3347,'Copy of PMD Workday Constants -'!B3346:W4032,22,false)</f>
        <v>#N/A</v>
      </c>
      <c r="N3347" s="1" t="s">
        <v>32</v>
      </c>
      <c r="O3347" s="1" t="s">
        <v>33</v>
      </c>
      <c r="P3347" s="1" t="s">
        <v>82</v>
      </c>
      <c r="Q3347" s="1" t="s">
        <v>82</v>
      </c>
      <c r="R3347" s="1" t="s">
        <v>83</v>
      </c>
      <c r="S3347" s="1" t="s">
        <v>84</v>
      </c>
      <c r="T3347" s="1">
        <v>1.00594243E8</v>
      </c>
      <c r="W3347" s="1" t="s">
        <v>85</v>
      </c>
      <c r="X3347" s="1" t="s">
        <v>6791</v>
      </c>
    </row>
    <row r="3348">
      <c r="A3348" s="1" t="s">
        <v>9847</v>
      </c>
      <c r="B3348" s="1" t="s">
        <v>5830</v>
      </c>
      <c r="C3348" s="1" t="s">
        <v>9848</v>
      </c>
      <c r="D3348" s="1" t="s">
        <v>28</v>
      </c>
      <c r="E3348" s="1" t="s">
        <v>29</v>
      </c>
      <c r="F3348" s="5">
        <v>250000.0</v>
      </c>
      <c r="G3348" s="1" t="s">
        <v>7016</v>
      </c>
      <c r="H3348" s="4">
        <v>44420.0</v>
      </c>
      <c r="I3348" s="1" t="s">
        <v>152</v>
      </c>
      <c r="K3348" s="1">
        <v>0.0</v>
      </c>
      <c r="L3348" s="1" t="s">
        <v>5832</v>
      </c>
      <c r="M3348" s="1" t="str">
        <f>VLOOKUP(L3348,'Copy of PMD Workday Constants -'!B3347:W4033,22,false)</f>
        <v>#N/A</v>
      </c>
      <c r="N3348" s="1" t="s">
        <v>32</v>
      </c>
      <c r="O3348" s="1" t="s">
        <v>33</v>
      </c>
      <c r="P3348" s="1" t="s">
        <v>64</v>
      </c>
      <c r="Q3348" s="1" t="s">
        <v>64</v>
      </c>
      <c r="R3348" s="1" t="s">
        <v>65</v>
      </c>
      <c r="S3348" s="1" t="s">
        <v>1496</v>
      </c>
      <c r="T3348" s="1">
        <v>1.00609257E8</v>
      </c>
      <c r="W3348" s="1" t="s">
        <v>258</v>
      </c>
      <c r="X3348" s="1" t="s">
        <v>5833</v>
      </c>
    </row>
    <row r="3349">
      <c r="A3349" s="1" t="s">
        <v>9849</v>
      </c>
      <c r="B3349" s="1" t="s">
        <v>8944</v>
      </c>
      <c r="C3349" s="1" t="s">
        <v>9850</v>
      </c>
      <c r="D3349" s="1" t="s">
        <v>103</v>
      </c>
      <c r="E3349" s="1" t="s">
        <v>29</v>
      </c>
      <c r="F3349" s="5">
        <v>250000.0</v>
      </c>
      <c r="G3349" s="1" t="s">
        <v>7016</v>
      </c>
      <c r="H3349" s="4">
        <v>44538.0</v>
      </c>
      <c r="I3349" s="1" t="s">
        <v>80</v>
      </c>
      <c r="K3349" s="1">
        <v>0.0</v>
      </c>
      <c r="L3349" s="1" t="s">
        <v>9851</v>
      </c>
      <c r="M3349" s="1" t="str">
        <f>VLOOKUP(L3349,'Copy of PMD Workday Constants -'!B3348:W4034,22,false)</f>
        <v>#N/A</v>
      </c>
      <c r="N3349" s="1" t="s">
        <v>32</v>
      </c>
      <c r="O3349" s="1" t="s">
        <v>33</v>
      </c>
      <c r="P3349" s="1" t="s">
        <v>34</v>
      </c>
      <c r="Q3349" s="1" t="s">
        <v>34</v>
      </c>
      <c r="R3349" s="1" t="s">
        <v>35</v>
      </c>
      <c r="S3349" s="1" t="s">
        <v>383</v>
      </c>
      <c r="T3349" s="1">
        <v>1.00633795E8</v>
      </c>
      <c r="W3349" s="1" t="s">
        <v>74</v>
      </c>
      <c r="X3349" s="1" t="s">
        <v>9851</v>
      </c>
    </row>
    <row r="3350">
      <c r="A3350" s="1" t="s">
        <v>9852</v>
      </c>
      <c r="B3350" s="1" t="s">
        <v>311</v>
      </c>
      <c r="C3350" s="1" t="s">
        <v>9853</v>
      </c>
      <c r="D3350" s="1" t="s">
        <v>28</v>
      </c>
      <c r="E3350" s="1" t="s">
        <v>29</v>
      </c>
      <c r="F3350" s="5">
        <v>250000.0</v>
      </c>
      <c r="G3350" s="1" t="s">
        <v>7016</v>
      </c>
      <c r="H3350" s="4">
        <v>44024.0</v>
      </c>
      <c r="I3350" s="1" t="s">
        <v>302</v>
      </c>
      <c r="K3350" s="1">
        <v>0.0</v>
      </c>
      <c r="L3350" s="1" t="s">
        <v>963</v>
      </c>
      <c r="M3350" s="1" t="str">
        <f>VLOOKUP(L3350,'Copy of PMD Workday Constants -'!B3349:W4035,22,false)</f>
        <v>#N/A</v>
      </c>
      <c r="N3350" s="1" t="s">
        <v>32</v>
      </c>
      <c r="O3350" s="1" t="s">
        <v>33</v>
      </c>
      <c r="P3350" s="1" t="s">
        <v>173</v>
      </c>
      <c r="Q3350" s="1" t="s">
        <v>173</v>
      </c>
      <c r="R3350" s="1" t="s">
        <v>174</v>
      </c>
      <c r="S3350" s="1" t="s">
        <v>612</v>
      </c>
      <c r="T3350" s="1">
        <v>1.00708984E8</v>
      </c>
      <c r="W3350" s="1" t="s">
        <v>140</v>
      </c>
      <c r="X3350" s="1" t="s">
        <v>7614</v>
      </c>
    </row>
    <row r="3351">
      <c r="A3351" s="1" t="s">
        <v>9854</v>
      </c>
      <c r="B3351" s="1" t="s">
        <v>9855</v>
      </c>
      <c r="C3351" s="1" t="s">
        <v>9853</v>
      </c>
      <c r="D3351" s="1" t="s">
        <v>28</v>
      </c>
      <c r="E3351" s="1" t="s">
        <v>29</v>
      </c>
      <c r="F3351" s="5">
        <v>250000.0</v>
      </c>
      <c r="G3351" s="1" t="s">
        <v>7016</v>
      </c>
      <c r="H3351" s="4">
        <v>44024.0</v>
      </c>
      <c r="I3351" s="1" t="s">
        <v>302</v>
      </c>
      <c r="K3351" s="1">
        <v>0.0</v>
      </c>
      <c r="L3351" s="1" t="s">
        <v>963</v>
      </c>
      <c r="M3351" s="1" t="str">
        <f>VLOOKUP(L3351,'Copy of PMD Workday Constants -'!B3350:W4036,22,false)</f>
        <v>#N/A</v>
      </c>
      <c r="N3351" s="1" t="s">
        <v>32</v>
      </c>
      <c r="O3351" s="1" t="s">
        <v>33</v>
      </c>
      <c r="P3351" s="1" t="s">
        <v>173</v>
      </c>
      <c r="Q3351" s="1" t="s">
        <v>173</v>
      </c>
      <c r="R3351" s="1" t="s">
        <v>174</v>
      </c>
      <c r="S3351" s="1" t="s">
        <v>612</v>
      </c>
      <c r="T3351" s="1">
        <v>1.00708984E8</v>
      </c>
      <c r="W3351" s="1" t="s">
        <v>147</v>
      </c>
      <c r="X3351" s="1" t="s">
        <v>7614</v>
      </c>
    </row>
    <row r="3352">
      <c r="A3352" s="1" t="s">
        <v>9856</v>
      </c>
      <c r="B3352" s="1" t="s">
        <v>521</v>
      </c>
      <c r="C3352" s="1" t="s">
        <v>9857</v>
      </c>
      <c r="D3352" s="1" t="s">
        <v>51</v>
      </c>
      <c r="E3352" s="1" t="s">
        <v>29</v>
      </c>
      <c r="F3352" s="5">
        <v>250000.0</v>
      </c>
      <c r="G3352" s="1" t="s">
        <v>7016</v>
      </c>
      <c r="H3352" s="1" t="s">
        <v>1541</v>
      </c>
      <c r="I3352" s="4">
        <v>44780.0</v>
      </c>
      <c r="K3352" s="1">
        <v>0.0</v>
      </c>
      <c r="L3352" s="1" t="s">
        <v>9756</v>
      </c>
      <c r="M3352" s="1" t="str">
        <f>VLOOKUP(L3352,'Copy of PMD Workday Constants -'!B3351:W4037,22,false)</f>
        <v>#N/A</v>
      </c>
      <c r="N3352" s="1" t="s">
        <v>32</v>
      </c>
      <c r="O3352" s="1" t="s">
        <v>33</v>
      </c>
      <c r="P3352" s="1" t="s">
        <v>173</v>
      </c>
      <c r="Q3352" s="1" t="s">
        <v>173</v>
      </c>
      <c r="R3352" s="1" t="s">
        <v>174</v>
      </c>
      <c r="S3352" s="1" t="s">
        <v>612</v>
      </c>
      <c r="T3352" s="1">
        <v>1.00630909E8</v>
      </c>
      <c r="W3352" s="1" t="s">
        <v>85</v>
      </c>
      <c r="X3352" s="1" t="s">
        <v>9375</v>
      </c>
    </row>
    <row r="3353">
      <c r="A3353" s="1" t="s">
        <v>9858</v>
      </c>
      <c r="B3353" s="1" t="s">
        <v>149</v>
      </c>
      <c r="C3353" s="1" t="s">
        <v>9859</v>
      </c>
      <c r="D3353" s="1" t="s">
        <v>28</v>
      </c>
      <c r="E3353" s="1" t="s">
        <v>29</v>
      </c>
      <c r="F3353" s="5">
        <v>250000.0</v>
      </c>
      <c r="G3353" s="1" t="s">
        <v>7016</v>
      </c>
      <c r="H3353" s="1" t="s">
        <v>3983</v>
      </c>
      <c r="I3353" s="1" t="s">
        <v>217</v>
      </c>
      <c r="K3353" s="1">
        <v>0.0</v>
      </c>
      <c r="L3353" s="1" t="s">
        <v>588</v>
      </c>
      <c r="M3353" s="1" t="str">
        <f>VLOOKUP(L3353,'Copy of PMD Workday Constants -'!B3352:W4038,22,false)</f>
        <v>#N/A</v>
      </c>
      <c r="N3353" s="1" t="s">
        <v>32</v>
      </c>
      <c r="O3353" s="1" t="s">
        <v>33</v>
      </c>
      <c r="P3353" s="1" t="s">
        <v>34</v>
      </c>
      <c r="Q3353" s="1" t="s">
        <v>34</v>
      </c>
      <c r="R3353" s="1" t="s">
        <v>35</v>
      </c>
      <c r="S3353" s="1" t="s">
        <v>153</v>
      </c>
      <c r="T3353" s="1">
        <v>1.00609607E8</v>
      </c>
      <c r="W3353" s="1" t="s">
        <v>91</v>
      </c>
      <c r="X3353" s="1" t="s">
        <v>4022</v>
      </c>
    </row>
    <row r="3354">
      <c r="A3354" s="1" t="s">
        <v>9860</v>
      </c>
      <c r="B3354" s="1" t="s">
        <v>7706</v>
      </c>
      <c r="C3354" s="1" t="s">
        <v>9861</v>
      </c>
      <c r="D3354" s="1" t="s">
        <v>51</v>
      </c>
      <c r="E3354" s="1" t="s">
        <v>29</v>
      </c>
      <c r="F3354" s="5">
        <v>250000.0</v>
      </c>
      <c r="G3354" s="1" t="s">
        <v>7016</v>
      </c>
      <c r="H3354" s="1" t="s">
        <v>9862</v>
      </c>
      <c r="I3354" s="1" t="s">
        <v>43</v>
      </c>
      <c r="K3354" s="1">
        <v>0.0</v>
      </c>
      <c r="L3354" s="1" t="s">
        <v>1558</v>
      </c>
      <c r="M3354" s="1" t="str">
        <f>VLOOKUP(L3354,'Copy of PMD Workday Constants -'!B3353:W4039,22,false)</f>
        <v>#N/A</v>
      </c>
      <c r="N3354" s="1" t="s">
        <v>32</v>
      </c>
      <c r="O3354" s="1" t="s">
        <v>33</v>
      </c>
      <c r="P3354" s="1" t="s">
        <v>210</v>
      </c>
      <c r="Q3354" s="1" t="s">
        <v>210</v>
      </c>
      <c r="R3354" s="1" t="s">
        <v>211</v>
      </c>
      <c r="S3354" s="1" t="s">
        <v>416</v>
      </c>
      <c r="T3354" s="1">
        <v>1.00639226E8</v>
      </c>
      <c r="W3354" s="1" t="s">
        <v>56</v>
      </c>
      <c r="X3354" s="1" t="s">
        <v>1558</v>
      </c>
    </row>
    <row r="3355">
      <c r="A3355" s="1" t="s">
        <v>9863</v>
      </c>
      <c r="B3355" s="1" t="s">
        <v>353</v>
      </c>
      <c r="C3355" s="1" t="s">
        <v>9864</v>
      </c>
      <c r="D3355" s="1" t="s">
        <v>51</v>
      </c>
      <c r="E3355" s="1" t="s">
        <v>29</v>
      </c>
      <c r="F3355" s="5">
        <v>250000.0</v>
      </c>
      <c r="G3355" s="1" t="s">
        <v>7016</v>
      </c>
      <c r="H3355" s="4">
        <v>44442.0</v>
      </c>
      <c r="I3355" s="1" t="s">
        <v>132</v>
      </c>
      <c r="K3355" s="1">
        <v>0.0</v>
      </c>
      <c r="L3355" s="1" t="s">
        <v>2201</v>
      </c>
      <c r="M3355" s="1" t="str">
        <f>VLOOKUP(L3355,'Copy of PMD Workday Constants -'!B3354:W4040,22,false)</f>
        <v>#N/A</v>
      </c>
      <c r="N3355" s="1" t="s">
        <v>32</v>
      </c>
      <c r="O3355" s="1" t="s">
        <v>33</v>
      </c>
      <c r="P3355" s="1" t="s">
        <v>64</v>
      </c>
      <c r="Q3355" s="1" t="s">
        <v>64</v>
      </c>
      <c r="R3355" s="1" t="s">
        <v>65</v>
      </c>
      <c r="S3355" s="1" t="s">
        <v>1496</v>
      </c>
      <c r="T3355" s="1">
        <v>1.00649936E8</v>
      </c>
      <c r="W3355" s="1" t="s">
        <v>258</v>
      </c>
      <c r="X3355" s="1" t="s">
        <v>2847</v>
      </c>
    </row>
    <row r="3356">
      <c r="A3356" s="1" t="s">
        <v>9865</v>
      </c>
      <c r="B3356" s="1" t="s">
        <v>776</v>
      </c>
      <c r="C3356" s="1" t="s">
        <v>9866</v>
      </c>
      <c r="D3356" s="1" t="s">
        <v>28</v>
      </c>
      <c r="E3356" s="1" t="s">
        <v>29</v>
      </c>
      <c r="F3356" s="5">
        <v>250000.0</v>
      </c>
      <c r="G3356" s="1" t="s">
        <v>7016</v>
      </c>
      <c r="H3356" s="4">
        <v>44412.0</v>
      </c>
      <c r="I3356" s="1" t="s">
        <v>302</v>
      </c>
      <c r="K3356" s="1">
        <v>0.0</v>
      </c>
      <c r="L3356" s="1" t="s">
        <v>1357</v>
      </c>
      <c r="M3356" s="1" t="str">
        <f>VLOOKUP(L3356,'Copy of PMD Workday Constants -'!B3355:W4041,22,false)</f>
        <v>#N/A</v>
      </c>
      <c r="N3356" s="1" t="s">
        <v>32</v>
      </c>
      <c r="O3356" s="1" t="s">
        <v>33</v>
      </c>
      <c r="P3356" s="1" t="s">
        <v>64</v>
      </c>
      <c r="Q3356" s="1" t="s">
        <v>64</v>
      </c>
      <c r="R3356" s="1" t="s">
        <v>65</v>
      </c>
      <c r="S3356" s="1" t="s">
        <v>4915</v>
      </c>
      <c r="T3356" s="1">
        <v>1.00589587E8</v>
      </c>
      <c r="W3356" s="1" t="s">
        <v>74</v>
      </c>
      <c r="X3356" s="1" t="s">
        <v>9867</v>
      </c>
    </row>
    <row r="3357">
      <c r="A3357" s="1" t="s">
        <v>9868</v>
      </c>
      <c r="B3357" s="1" t="s">
        <v>9869</v>
      </c>
      <c r="C3357" s="1" t="s">
        <v>9870</v>
      </c>
      <c r="D3357" s="1" t="s">
        <v>28</v>
      </c>
      <c r="E3357" s="1" t="s">
        <v>29</v>
      </c>
      <c r="F3357" s="5">
        <v>250000.0</v>
      </c>
      <c r="G3357" s="1" t="s">
        <v>7016</v>
      </c>
      <c r="H3357" s="1" t="s">
        <v>9871</v>
      </c>
      <c r="I3357" s="4">
        <v>44604.0</v>
      </c>
      <c r="K3357" s="1">
        <v>0.0</v>
      </c>
      <c r="L3357" s="1" t="s">
        <v>3904</v>
      </c>
      <c r="M3357" s="1" t="str">
        <f>VLOOKUP(L3357,'Copy of PMD Workday Constants -'!B3356:W4042,22,false)</f>
        <v>#N/A</v>
      </c>
      <c r="N3357" s="1" t="s">
        <v>32</v>
      </c>
      <c r="O3357" s="1" t="s">
        <v>33</v>
      </c>
      <c r="P3357" s="1" t="s">
        <v>173</v>
      </c>
      <c r="Q3357" s="1" t="s">
        <v>173</v>
      </c>
      <c r="R3357" s="1" t="s">
        <v>174</v>
      </c>
      <c r="T3357" s="1">
        <v>1.00649566E8</v>
      </c>
      <c r="X3357" s="1" t="s">
        <v>3904</v>
      </c>
    </row>
    <row r="3358">
      <c r="A3358" s="1" t="s">
        <v>9872</v>
      </c>
      <c r="B3358" s="1" t="s">
        <v>9873</v>
      </c>
      <c r="C3358" s="1" t="s">
        <v>9874</v>
      </c>
      <c r="D3358" s="1" t="s">
        <v>28</v>
      </c>
      <c r="E3358" s="1" t="s">
        <v>29</v>
      </c>
      <c r="F3358" s="5">
        <v>250000.0</v>
      </c>
      <c r="G3358" s="1" t="s">
        <v>7016</v>
      </c>
      <c r="H3358" s="4">
        <v>44287.0</v>
      </c>
      <c r="I3358" s="1" t="s">
        <v>80</v>
      </c>
      <c r="K3358" s="1">
        <v>0.0</v>
      </c>
      <c r="L3358" s="1" t="s">
        <v>5404</v>
      </c>
      <c r="M3358" s="1" t="str">
        <f>VLOOKUP(L3358,'Copy of PMD Workday Constants -'!B3357:W4043,22,false)</f>
        <v>#N/A</v>
      </c>
      <c r="N3358" s="1" t="s">
        <v>32</v>
      </c>
      <c r="O3358" s="1" t="s">
        <v>33</v>
      </c>
      <c r="P3358" s="1" t="s">
        <v>64</v>
      </c>
      <c r="Q3358" s="1" t="s">
        <v>64</v>
      </c>
      <c r="R3358" s="1" t="s">
        <v>65</v>
      </c>
      <c r="S3358" s="1" t="s">
        <v>9875</v>
      </c>
      <c r="T3358" s="1">
        <v>1.00650453E8</v>
      </c>
      <c r="W3358" s="1" t="s">
        <v>56</v>
      </c>
      <c r="X3358" s="1" t="s">
        <v>5404</v>
      </c>
    </row>
    <row r="3359">
      <c r="A3359" s="1" t="s">
        <v>9876</v>
      </c>
      <c r="B3359" s="1" t="s">
        <v>9877</v>
      </c>
      <c r="C3359" s="1" t="s">
        <v>9878</v>
      </c>
      <c r="D3359" s="1" t="s">
        <v>103</v>
      </c>
      <c r="E3359" s="1" t="s">
        <v>29</v>
      </c>
      <c r="F3359" s="5">
        <v>250000.0</v>
      </c>
      <c r="G3359" s="1" t="s">
        <v>7016</v>
      </c>
      <c r="H3359" s="4">
        <v>44896.0</v>
      </c>
      <c r="I3359" s="1" t="s">
        <v>152</v>
      </c>
      <c r="K3359" s="1">
        <v>0.0</v>
      </c>
      <c r="L3359" s="1" t="s">
        <v>1120</v>
      </c>
      <c r="M3359" s="1" t="str">
        <f>VLOOKUP(L3359,'Copy of PMD Workday Constants -'!B3358:W4044,22,false)</f>
        <v>#N/A</v>
      </c>
      <c r="N3359" s="1" t="s">
        <v>32</v>
      </c>
      <c r="O3359" s="1" t="s">
        <v>33</v>
      </c>
      <c r="P3359" s="1" t="s">
        <v>82</v>
      </c>
      <c r="Q3359" s="1" t="s">
        <v>82</v>
      </c>
      <c r="R3359" s="1" t="s">
        <v>83</v>
      </c>
      <c r="S3359" s="1" t="s">
        <v>180</v>
      </c>
      <c r="T3359" s="1">
        <v>1.00603613E8</v>
      </c>
      <c r="W3359" s="1" t="s">
        <v>85</v>
      </c>
      <c r="X3359" s="1" t="s">
        <v>1120</v>
      </c>
    </row>
    <row r="3360">
      <c r="A3360" s="1" t="s">
        <v>9879</v>
      </c>
      <c r="B3360" s="1" t="s">
        <v>3507</v>
      </c>
      <c r="C3360" s="1" t="s">
        <v>9880</v>
      </c>
      <c r="D3360" s="1" t="s">
        <v>28</v>
      </c>
      <c r="E3360" s="1" t="s">
        <v>29</v>
      </c>
      <c r="F3360" s="5">
        <v>250000.0</v>
      </c>
      <c r="G3360" s="1" t="s">
        <v>7016</v>
      </c>
      <c r="H3360" s="4">
        <v>44349.0</v>
      </c>
      <c r="I3360" s="1" t="s">
        <v>313</v>
      </c>
      <c r="K3360" s="1">
        <v>0.0</v>
      </c>
      <c r="L3360" s="1" t="s">
        <v>407</v>
      </c>
      <c r="M3360" s="1" t="str">
        <f>VLOOKUP(L3360,'Copy of PMD Workday Constants -'!B3359:W4045,22,false)</f>
        <v>#N/A</v>
      </c>
      <c r="N3360" s="1" t="s">
        <v>32</v>
      </c>
      <c r="O3360" s="1" t="s">
        <v>33</v>
      </c>
      <c r="P3360" s="1" t="s">
        <v>34</v>
      </c>
      <c r="Q3360" s="1" t="s">
        <v>34</v>
      </c>
      <c r="R3360" s="1" t="s">
        <v>35</v>
      </c>
      <c r="S3360" s="1" t="s">
        <v>36</v>
      </c>
      <c r="T3360" s="1">
        <v>1.0064407E8</v>
      </c>
      <c r="W3360" s="1" t="s">
        <v>37</v>
      </c>
      <c r="X3360" s="1" t="s">
        <v>409</v>
      </c>
    </row>
    <row r="3361">
      <c r="A3361" s="1" t="s">
        <v>9881</v>
      </c>
      <c r="B3361" s="1" t="s">
        <v>1596</v>
      </c>
      <c r="C3361" s="1" t="s">
        <v>9882</v>
      </c>
      <c r="D3361" s="1" t="s">
        <v>51</v>
      </c>
      <c r="E3361" s="1" t="s">
        <v>29</v>
      </c>
      <c r="F3361" s="5">
        <v>250000.0</v>
      </c>
      <c r="G3361" s="1" t="s">
        <v>7016</v>
      </c>
      <c r="H3361" s="4">
        <v>44899.0</v>
      </c>
      <c r="I3361" s="1" t="s">
        <v>313</v>
      </c>
      <c r="K3361" s="1">
        <v>0.0</v>
      </c>
      <c r="L3361" s="1" t="s">
        <v>3201</v>
      </c>
      <c r="M3361" s="1" t="str">
        <f>VLOOKUP(L3361,'Copy of PMD Workday Constants -'!B3360:W4046,22,false)</f>
        <v>#N/A</v>
      </c>
      <c r="N3361" s="1" t="s">
        <v>32</v>
      </c>
      <c r="O3361" s="1" t="s">
        <v>33</v>
      </c>
      <c r="P3361" s="1" t="s">
        <v>34</v>
      </c>
      <c r="Q3361" s="1" t="s">
        <v>34</v>
      </c>
      <c r="R3361" s="1" t="s">
        <v>35</v>
      </c>
      <c r="S3361" s="1" t="s">
        <v>126</v>
      </c>
      <c r="T3361" s="1">
        <v>1.00651946E8</v>
      </c>
      <c r="W3361" s="1" t="s">
        <v>391</v>
      </c>
      <c r="X3361" s="1" t="s">
        <v>2660</v>
      </c>
    </row>
    <row r="3362">
      <c r="A3362" s="1" t="s">
        <v>9883</v>
      </c>
      <c r="B3362" s="1" t="s">
        <v>623</v>
      </c>
      <c r="C3362" s="1" t="s">
        <v>9884</v>
      </c>
      <c r="D3362" s="1" t="s">
        <v>103</v>
      </c>
      <c r="E3362" s="1" t="s">
        <v>29</v>
      </c>
      <c r="F3362" s="5">
        <v>250000.0</v>
      </c>
      <c r="G3362" s="1" t="s">
        <v>7016</v>
      </c>
      <c r="H3362" s="1" t="s">
        <v>9885</v>
      </c>
      <c r="I3362" s="1" t="s">
        <v>217</v>
      </c>
      <c r="K3362" s="1">
        <v>0.0</v>
      </c>
      <c r="L3362" s="1" t="s">
        <v>198</v>
      </c>
      <c r="M3362" s="1" t="str">
        <f>VLOOKUP(L3362,'Copy of PMD Workday Constants -'!B3361:W4047,22,false)</f>
        <v>#N/A</v>
      </c>
      <c r="N3362" s="1" t="s">
        <v>32</v>
      </c>
      <c r="O3362" s="1" t="s">
        <v>33</v>
      </c>
      <c r="P3362" s="1" t="s">
        <v>82</v>
      </c>
      <c r="Q3362" s="1" t="s">
        <v>82</v>
      </c>
      <c r="R3362" s="1" t="s">
        <v>83</v>
      </c>
      <c r="S3362" s="1" t="s">
        <v>180</v>
      </c>
      <c r="T3362" s="1">
        <v>1.00590896E8</v>
      </c>
      <c r="W3362" s="1" t="s">
        <v>85</v>
      </c>
      <c r="X3362" s="1" t="s">
        <v>9886</v>
      </c>
    </row>
    <row r="3363">
      <c r="A3363" s="1" t="s">
        <v>9887</v>
      </c>
      <c r="B3363" s="1" t="s">
        <v>9888</v>
      </c>
      <c r="C3363" s="1" t="s">
        <v>9889</v>
      </c>
      <c r="D3363" s="1" t="s">
        <v>28</v>
      </c>
      <c r="E3363" s="1" t="s">
        <v>29</v>
      </c>
      <c r="F3363" s="5">
        <v>250000.0</v>
      </c>
      <c r="G3363" s="1" t="s">
        <v>7016</v>
      </c>
      <c r="H3363" s="4">
        <v>44900.0</v>
      </c>
      <c r="I3363" s="1" t="s">
        <v>132</v>
      </c>
      <c r="K3363" s="1">
        <v>0.0</v>
      </c>
      <c r="L3363" s="1" t="s">
        <v>1198</v>
      </c>
      <c r="M3363" s="1" t="str">
        <f>VLOOKUP(L3363,'Copy of PMD Workday Constants -'!B3362:W4048,22,false)</f>
        <v>#N/A</v>
      </c>
      <c r="N3363" s="1" t="s">
        <v>32</v>
      </c>
      <c r="O3363" s="1" t="s">
        <v>33</v>
      </c>
      <c r="P3363" s="1" t="s">
        <v>64</v>
      </c>
      <c r="Q3363" s="1" t="s">
        <v>64</v>
      </c>
      <c r="R3363" s="1" t="s">
        <v>65</v>
      </c>
      <c r="T3363" s="1">
        <v>1.01127868E8</v>
      </c>
      <c r="W3363" s="1" t="s">
        <v>308</v>
      </c>
      <c r="X3363" s="1" t="s">
        <v>4552</v>
      </c>
    </row>
    <row r="3364">
      <c r="A3364" s="1" t="s">
        <v>9890</v>
      </c>
      <c r="B3364" s="1" t="s">
        <v>9891</v>
      </c>
      <c r="C3364" s="1" t="s">
        <v>9892</v>
      </c>
      <c r="D3364" s="1" t="s">
        <v>28</v>
      </c>
      <c r="E3364" s="1" t="s">
        <v>29</v>
      </c>
      <c r="F3364" s="5">
        <v>250000.0</v>
      </c>
      <c r="G3364" s="1" t="s">
        <v>7016</v>
      </c>
      <c r="H3364" s="1" t="s">
        <v>1915</v>
      </c>
      <c r="I3364" s="1" t="s">
        <v>104</v>
      </c>
      <c r="K3364" s="1">
        <v>0.0</v>
      </c>
      <c r="L3364" s="1" t="s">
        <v>1916</v>
      </c>
      <c r="M3364" s="1" t="str">
        <f>VLOOKUP(L3364,'Copy of PMD Workday Constants -'!B3363:W4049,22,false)</f>
        <v>#N/A</v>
      </c>
      <c r="N3364" s="1" t="s">
        <v>32</v>
      </c>
      <c r="O3364" s="1" t="s">
        <v>33</v>
      </c>
      <c r="P3364" s="1" t="s">
        <v>222</v>
      </c>
      <c r="Q3364" s="1" t="s">
        <v>222</v>
      </c>
      <c r="R3364" s="1" t="s">
        <v>223</v>
      </c>
      <c r="S3364" s="1" t="s">
        <v>601</v>
      </c>
      <c r="T3364" s="1">
        <v>1.00955805E8</v>
      </c>
      <c r="W3364" s="1" t="s">
        <v>436</v>
      </c>
      <c r="X3364" s="1" t="s">
        <v>1916</v>
      </c>
    </row>
    <row r="3365">
      <c r="A3365" s="1" t="s">
        <v>9893</v>
      </c>
      <c r="B3365" s="1" t="s">
        <v>450</v>
      </c>
      <c r="C3365" s="1" t="s">
        <v>9894</v>
      </c>
      <c r="D3365" s="1" t="s">
        <v>28</v>
      </c>
      <c r="E3365" s="1" t="s">
        <v>29</v>
      </c>
      <c r="F3365" s="5">
        <v>250000.0</v>
      </c>
      <c r="G3365" s="1" t="s">
        <v>7016</v>
      </c>
      <c r="H3365" s="1" t="s">
        <v>1015</v>
      </c>
      <c r="I3365" s="1" t="s">
        <v>152</v>
      </c>
      <c r="K3365" s="1">
        <v>0.0</v>
      </c>
      <c r="L3365" s="1" t="s">
        <v>607</v>
      </c>
      <c r="M3365" s="1" t="str">
        <f>VLOOKUP(L3365,'Copy of PMD Workday Constants -'!B3364:W4050,22,false)</f>
        <v>#N/A</v>
      </c>
      <c r="N3365" s="1" t="s">
        <v>32</v>
      </c>
      <c r="O3365" s="1" t="s">
        <v>33</v>
      </c>
      <c r="P3365" s="1" t="s">
        <v>112</v>
      </c>
      <c r="Q3365" s="1" t="s">
        <v>112</v>
      </c>
      <c r="R3365" s="1" t="s">
        <v>113</v>
      </c>
      <c r="S3365" s="1" t="s">
        <v>455</v>
      </c>
      <c r="T3365" s="1">
        <v>1.00646427E8</v>
      </c>
      <c r="W3365" s="1" t="s">
        <v>456</v>
      </c>
      <c r="X3365" s="1" t="s">
        <v>1016</v>
      </c>
    </row>
    <row r="3366">
      <c r="A3366" s="1" t="s">
        <v>9895</v>
      </c>
      <c r="B3366" s="1" t="s">
        <v>9896</v>
      </c>
      <c r="C3366" s="1" t="s">
        <v>9897</v>
      </c>
      <c r="D3366" s="1" t="s">
        <v>103</v>
      </c>
      <c r="E3366" s="1" t="s">
        <v>29</v>
      </c>
      <c r="F3366" s="5">
        <v>250000.0</v>
      </c>
      <c r="G3366" s="1" t="s">
        <v>7016</v>
      </c>
      <c r="H3366" s="4">
        <v>44900.0</v>
      </c>
      <c r="I3366" s="4">
        <v>44872.0</v>
      </c>
      <c r="K3366" s="1">
        <v>0.0</v>
      </c>
      <c r="L3366" s="1" t="s">
        <v>5351</v>
      </c>
      <c r="M3366" s="1" t="str">
        <f>VLOOKUP(L3366,'Copy of PMD Workday Constants -'!B3365:W4051,22,false)</f>
        <v>#N/A</v>
      </c>
      <c r="N3366" s="1" t="s">
        <v>32</v>
      </c>
      <c r="O3366" s="1" t="s">
        <v>33</v>
      </c>
      <c r="P3366" s="1" t="s">
        <v>222</v>
      </c>
      <c r="Q3366" s="1" t="s">
        <v>222</v>
      </c>
      <c r="R3366" s="1" t="s">
        <v>223</v>
      </c>
      <c r="S3366" s="1" t="s">
        <v>482</v>
      </c>
      <c r="T3366" s="1">
        <v>1.00640945E8</v>
      </c>
      <c r="W3366" s="1" t="s">
        <v>85</v>
      </c>
      <c r="X3366" s="1" t="s">
        <v>5351</v>
      </c>
    </row>
    <row r="3367">
      <c r="A3367" s="1" t="s">
        <v>9898</v>
      </c>
      <c r="B3367" s="1" t="s">
        <v>9899</v>
      </c>
      <c r="C3367" s="1" t="s">
        <v>9900</v>
      </c>
      <c r="D3367" s="1" t="s">
        <v>28</v>
      </c>
      <c r="E3367" s="1" t="s">
        <v>29</v>
      </c>
      <c r="F3367" s="5">
        <v>250000.0</v>
      </c>
      <c r="G3367" s="1" t="s">
        <v>7016</v>
      </c>
      <c r="H3367" s="4">
        <v>44239.0</v>
      </c>
      <c r="I3367" s="4">
        <v>44689.0</v>
      </c>
      <c r="K3367" s="1">
        <v>0.0</v>
      </c>
      <c r="L3367" s="1" t="s">
        <v>4937</v>
      </c>
      <c r="M3367" s="1" t="str">
        <f>VLOOKUP(L3367,'Copy of PMD Workday Constants -'!B3366:W4052,22,false)</f>
        <v>#N/A</v>
      </c>
      <c r="N3367" s="1" t="s">
        <v>32</v>
      </c>
      <c r="O3367" s="1" t="s">
        <v>33</v>
      </c>
      <c r="P3367" s="1" t="s">
        <v>34</v>
      </c>
      <c r="Q3367" s="1" t="s">
        <v>34</v>
      </c>
      <c r="R3367" s="1" t="s">
        <v>35</v>
      </c>
      <c r="T3367" s="1">
        <v>1.00644939E8</v>
      </c>
      <c r="W3367" s="1" t="s">
        <v>250</v>
      </c>
      <c r="X3367" s="1" t="s">
        <v>4438</v>
      </c>
    </row>
    <row r="3368">
      <c r="A3368" s="1" t="s">
        <v>9901</v>
      </c>
      <c r="B3368" s="1" t="s">
        <v>5634</v>
      </c>
      <c r="C3368" s="1" t="s">
        <v>9902</v>
      </c>
      <c r="D3368" s="1" t="s">
        <v>51</v>
      </c>
      <c r="E3368" s="1" t="s">
        <v>29</v>
      </c>
      <c r="F3368" s="5">
        <v>250000.0</v>
      </c>
      <c r="G3368" s="1" t="s">
        <v>7016</v>
      </c>
      <c r="H3368" s="1" t="s">
        <v>1186</v>
      </c>
      <c r="I3368" s="1" t="s">
        <v>43</v>
      </c>
      <c r="K3368" s="1">
        <v>0.0</v>
      </c>
      <c r="L3368" s="1" t="s">
        <v>2655</v>
      </c>
      <c r="M3368" s="1" t="str">
        <f>VLOOKUP(L3368,'Copy of PMD Workday Constants -'!B3367:W4053,22,false)</f>
        <v>#N/A</v>
      </c>
      <c r="N3368" s="1" t="s">
        <v>32</v>
      </c>
      <c r="O3368" s="1" t="s">
        <v>33</v>
      </c>
      <c r="P3368" s="1" t="s">
        <v>210</v>
      </c>
      <c r="Q3368" s="1" t="s">
        <v>210</v>
      </c>
      <c r="R3368" s="1" t="s">
        <v>211</v>
      </c>
      <c r="S3368" s="1" t="s">
        <v>1313</v>
      </c>
      <c r="T3368" s="1">
        <v>1.0062606E8</v>
      </c>
      <c r="W3368" s="1" t="s">
        <v>436</v>
      </c>
      <c r="X3368" s="1" t="s">
        <v>5511</v>
      </c>
    </row>
    <row r="3369">
      <c r="A3369" s="1" t="s">
        <v>9903</v>
      </c>
      <c r="B3369" s="1" t="s">
        <v>9904</v>
      </c>
      <c r="C3369" s="1" t="s">
        <v>9905</v>
      </c>
      <c r="D3369" s="1" t="s">
        <v>51</v>
      </c>
      <c r="E3369" s="1" t="s">
        <v>29</v>
      </c>
      <c r="F3369" s="5">
        <v>250000.0</v>
      </c>
      <c r="G3369" s="1" t="s">
        <v>7016</v>
      </c>
      <c r="H3369" s="1" t="s">
        <v>9906</v>
      </c>
      <c r="I3369" s="4">
        <v>44568.0</v>
      </c>
      <c r="K3369" s="1">
        <v>0.0</v>
      </c>
      <c r="L3369" s="1" t="s">
        <v>2602</v>
      </c>
      <c r="M3369" s="1" t="str">
        <f>VLOOKUP(L3369,'Copy of PMD Workday Constants -'!B3368:W4054,22,false)</f>
        <v>#N/A</v>
      </c>
      <c r="N3369" s="1" t="s">
        <v>32</v>
      </c>
      <c r="O3369" s="1" t="s">
        <v>33</v>
      </c>
      <c r="P3369" s="1" t="s">
        <v>173</v>
      </c>
      <c r="Q3369" s="1" t="s">
        <v>173</v>
      </c>
      <c r="R3369" s="1" t="s">
        <v>174</v>
      </c>
      <c r="S3369" s="1" t="s">
        <v>383</v>
      </c>
      <c r="T3369" s="1">
        <v>1.00611351E8</v>
      </c>
      <c r="W3369" s="1" t="s">
        <v>1303</v>
      </c>
      <c r="X3369" s="1" t="s">
        <v>2914</v>
      </c>
    </row>
    <row r="3370">
      <c r="A3370" s="1" t="s">
        <v>9907</v>
      </c>
      <c r="B3370" s="1" t="s">
        <v>450</v>
      </c>
      <c r="C3370" s="1" t="s">
        <v>9908</v>
      </c>
      <c r="D3370" s="1" t="s">
        <v>28</v>
      </c>
      <c r="E3370" s="1" t="s">
        <v>29</v>
      </c>
      <c r="F3370" s="5">
        <v>250000.0</v>
      </c>
      <c r="G3370" s="1" t="s">
        <v>7016</v>
      </c>
      <c r="H3370" s="1" t="s">
        <v>1015</v>
      </c>
      <c r="I3370" s="1" t="s">
        <v>152</v>
      </c>
      <c r="K3370" s="1">
        <v>0.0</v>
      </c>
      <c r="L3370" s="1" t="s">
        <v>9909</v>
      </c>
      <c r="M3370" s="1" t="str">
        <f>VLOOKUP(L3370,'Copy of PMD Workday Constants -'!B3369:W4055,22,false)</f>
        <v>#N/A</v>
      </c>
      <c r="N3370" s="1" t="s">
        <v>32</v>
      </c>
      <c r="O3370" s="1" t="s">
        <v>33</v>
      </c>
      <c r="P3370" s="1" t="s">
        <v>34</v>
      </c>
      <c r="Q3370" s="1" t="s">
        <v>34</v>
      </c>
      <c r="R3370" s="1" t="s">
        <v>35</v>
      </c>
      <c r="S3370" s="1" t="s">
        <v>1166</v>
      </c>
      <c r="T3370" s="1">
        <v>1.00608771E8</v>
      </c>
      <c r="W3370" s="1" t="s">
        <v>456</v>
      </c>
      <c r="X3370" s="1" t="s">
        <v>1016</v>
      </c>
    </row>
    <row r="3371">
      <c r="A3371" s="1" t="s">
        <v>9910</v>
      </c>
      <c r="B3371" s="1" t="s">
        <v>450</v>
      </c>
      <c r="C3371" s="1" t="s">
        <v>9911</v>
      </c>
      <c r="D3371" s="1" t="s">
        <v>28</v>
      </c>
      <c r="E3371" s="1" t="s">
        <v>29</v>
      </c>
      <c r="F3371" s="5">
        <v>250000.0</v>
      </c>
      <c r="G3371" s="1" t="s">
        <v>7016</v>
      </c>
      <c r="H3371" s="1" t="s">
        <v>1015</v>
      </c>
      <c r="I3371" s="1" t="s">
        <v>152</v>
      </c>
      <c r="K3371" s="1">
        <v>0.0</v>
      </c>
      <c r="L3371" s="1" t="s">
        <v>2762</v>
      </c>
      <c r="M3371" s="1" t="str">
        <f>VLOOKUP(L3371,'Copy of PMD Workday Constants -'!B3370:W4056,22,false)</f>
        <v>#N/A</v>
      </c>
      <c r="N3371" s="1" t="s">
        <v>32</v>
      </c>
      <c r="O3371" s="1" t="s">
        <v>33</v>
      </c>
      <c r="P3371" s="1" t="s">
        <v>82</v>
      </c>
      <c r="Q3371" s="1" t="s">
        <v>82</v>
      </c>
      <c r="R3371" s="1" t="s">
        <v>83</v>
      </c>
      <c r="S3371" s="1" t="s">
        <v>583</v>
      </c>
      <c r="T3371" s="1">
        <v>1.00637221E8</v>
      </c>
      <c r="W3371" s="1" t="s">
        <v>456</v>
      </c>
      <c r="X3371" s="1" t="s">
        <v>1016</v>
      </c>
    </row>
    <row r="3372">
      <c r="A3372" s="1" t="s">
        <v>9912</v>
      </c>
      <c r="B3372" s="1" t="s">
        <v>9913</v>
      </c>
      <c r="C3372" s="1" t="s">
        <v>9914</v>
      </c>
      <c r="D3372" s="1" t="s">
        <v>51</v>
      </c>
      <c r="E3372" s="1" t="s">
        <v>29</v>
      </c>
      <c r="F3372" s="5">
        <v>250000.0</v>
      </c>
      <c r="G3372" s="1" t="s">
        <v>7016</v>
      </c>
      <c r="H3372" s="4">
        <v>44146.0</v>
      </c>
      <c r="I3372" s="1" t="s">
        <v>80</v>
      </c>
      <c r="K3372" s="1">
        <v>0.0</v>
      </c>
      <c r="L3372" s="1" t="s">
        <v>3137</v>
      </c>
      <c r="M3372" s="1" t="str">
        <f>VLOOKUP(L3372,'Copy of PMD Workday Constants -'!B3371:W4057,22,false)</f>
        <v>#N/A</v>
      </c>
      <c r="N3372" s="1" t="s">
        <v>32</v>
      </c>
      <c r="O3372" s="1" t="s">
        <v>33</v>
      </c>
      <c r="P3372" s="1" t="s">
        <v>82</v>
      </c>
      <c r="Q3372" s="1" t="s">
        <v>82</v>
      </c>
      <c r="R3372" s="1" t="s">
        <v>83</v>
      </c>
      <c r="S3372" s="1" t="s">
        <v>180</v>
      </c>
      <c r="T3372" s="1">
        <v>1.00586452E8</v>
      </c>
      <c r="W3372" s="1" t="s">
        <v>115</v>
      </c>
      <c r="X3372" s="1" t="s">
        <v>5126</v>
      </c>
    </row>
    <row r="3373">
      <c r="A3373" s="1" t="s">
        <v>9915</v>
      </c>
      <c r="B3373" s="1" t="s">
        <v>311</v>
      </c>
      <c r="C3373" s="1" t="s">
        <v>9916</v>
      </c>
      <c r="D3373" s="1" t="s">
        <v>28</v>
      </c>
      <c r="E3373" s="1" t="s">
        <v>29</v>
      </c>
      <c r="F3373" s="5">
        <v>250000.0</v>
      </c>
      <c r="G3373" s="1" t="s">
        <v>7016</v>
      </c>
      <c r="H3373" s="4">
        <v>44623.0</v>
      </c>
      <c r="I3373" s="1" t="s">
        <v>2485</v>
      </c>
      <c r="K3373" s="1">
        <v>0.0</v>
      </c>
      <c r="L3373" s="1" t="s">
        <v>3771</v>
      </c>
      <c r="M3373" s="1" t="str">
        <f>VLOOKUP(L3373,'Copy of PMD Workday Constants -'!B3372:W4058,22,false)</f>
        <v>#N/A</v>
      </c>
      <c r="N3373" s="1" t="s">
        <v>32</v>
      </c>
      <c r="O3373" s="1" t="s">
        <v>33</v>
      </c>
      <c r="P3373" s="1" t="s">
        <v>34</v>
      </c>
      <c r="Q3373" s="1" t="s">
        <v>34</v>
      </c>
      <c r="R3373" s="1" t="s">
        <v>35</v>
      </c>
      <c r="S3373" s="1" t="s">
        <v>1166</v>
      </c>
      <c r="T3373" s="1">
        <v>1.00651998E8</v>
      </c>
      <c r="W3373" s="1" t="s">
        <v>115</v>
      </c>
      <c r="X3373" s="1" t="s">
        <v>3771</v>
      </c>
    </row>
    <row r="3374">
      <c r="A3374" s="1" t="s">
        <v>9917</v>
      </c>
      <c r="B3374" s="1" t="s">
        <v>1062</v>
      </c>
      <c r="C3374" s="1" t="s">
        <v>9918</v>
      </c>
      <c r="D3374" s="1" t="s">
        <v>28</v>
      </c>
      <c r="E3374" s="1" t="s">
        <v>29</v>
      </c>
      <c r="F3374" s="5">
        <v>250000.0</v>
      </c>
      <c r="G3374" s="1" t="s">
        <v>7016</v>
      </c>
      <c r="H3374" s="1" t="s">
        <v>1064</v>
      </c>
      <c r="I3374" s="1" t="s">
        <v>96</v>
      </c>
      <c r="K3374" s="1">
        <v>0.0</v>
      </c>
      <c r="L3374" s="1" t="s">
        <v>2970</v>
      </c>
      <c r="M3374" s="1" t="str">
        <f>VLOOKUP(L3374,'Copy of PMD Workday Constants -'!B3373:W4059,22,false)</f>
        <v>#N/A</v>
      </c>
      <c r="N3374" s="1" t="s">
        <v>32</v>
      </c>
      <c r="O3374" s="1" t="s">
        <v>33</v>
      </c>
      <c r="P3374" s="1" t="s">
        <v>173</v>
      </c>
      <c r="Q3374" s="1" t="s">
        <v>173</v>
      </c>
      <c r="R3374" s="1" t="s">
        <v>174</v>
      </c>
      <c r="S3374" s="1" t="s">
        <v>540</v>
      </c>
      <c r="T3374" s="1">
        <v>1.00616377E8</v>
      </c>
      <c r="W3374" s="1" t="s">
        <v>493</v>
      </c>
      <c r="X3374" s="1" t="s">
        <v>1065</v>
      </c>
    </row>
    <row r="3375">
      <c r="A3375" s="1" t="s">
        <v>9919</v>
      </c>
      <c r="B3375" s="1" t="s">
        <v>918</v>
      </c>
      <c r="C3375" s="1" t="s">
        <v>9920</v>
      </c>
      <c r="D3375" s="1" t="s">
        <v>28</v>
      </c>
      <c r="E3375" s="1" t="s">
        <v>29</v>
      </c>
      <c r="F3375" s="5">
        <v>250000.0</v>
      </c>
      <c r="G3375" s="1" t="s">
        <v>7016</v>
      </c>
      <c r="H3375" s="1" t="s">
        <v>1524</v>
      </c>
      <c r="I3375" s="1" t="s">
        <v>301</v>
      </c>
      <c r="K3375" s="1">
        <v>0.0</v>
      </c>
      <c r="L3375" s="1" t="s">
        <v>9802</v>
      </c>
      <c r="M3375" s="1" t="str">
        <f>VLOOKUP(L3375,'Copy of PMD Workday Constants -'!B3374:W4060,22,false)</f>
        <v>#N/A</v>
      </c>
      <c r="N3375" s="1" t="s">
        <v>32</v>
      </c>
      <c r="O3375" s="1" t="s">
        <v>33</v>
      </c>
      <c r="P3375" s="1" t="s">
        <v>173</v>
      </c>
      <c r="Q3375" s="1" t="s">
        <v>173</v>
      </c>
      <c r="R3375" s="1" t="s">
        <v>174</v>
      </c>
      <c r="S3375" s="1" t="s">
        <v>416</v>
      </c>
      <c r="T3375" s="1">
        <v>1.0061717E8</v>
      </c>
      <c r="W3375" s="1" t="s">
        <v>56</v>
      </c>
      <c r="X3375" s="1" t="s">
        <v>3334</v>
      </c>
    </row>
    <row r="3376">
      <c r="A3376" s="1" t="s">
        <v>9921</v>
      </c>
      <c r="B3376" s="1" t="s">
        <v>6536</v>
      </c>
      <c r="C3376" s="1" t="s">
        <v>9922</v>
      </c>
      <c r="D3376" s="1" t="s">
        <v>28</v>
      </c>
      <c r="E3376" s="1" t="s">
        <v>29</v>
      </c>
      <c r="F3376" s="5">
        <v>250000.0</v>
      </c>
      <c r="G3376" s="1" t="s">
        <v>7016</v>
      </c>
      <c r="H3376" s="1" t="s">
        <v>1553</v>
      </c>
      <c r="I3376" s="1" t="s">
        <v>80</v>
      </c>
      <c r="K3376" s="1">
        <v>0.0</v>
      </c>
      <c r="L3376" s="1" t="s">
        <v>1036</v>
      </c>
      <c r="M3376" s="1" t="str">
        <f>VLOOKUP(L3376,'Copy of PMD Workday Constants -'!B3375:W4061,22,false)</f>
        <v>#N/A</v>
      </c>
      <c r="N3376" s="1" t="s">
        <v>32</v>
      </c>
      <c r="O3376" s="1" t="s">
        <v>33</v>
      </c>
      <c r="P3376" s="1" t="s">
        <v>82</v>
      </c>
      <c r="Q3376" s="1" t="s">
        <v>82</v>
      </c>
      <c r="R3376" s="1" t="s">
        <v>83</v>
      </c>
      <c r="S3376" s="1" t="s">
        <v>180</v>
      </c>
      <c r="T3376" s="1">
        <v>1.0090037E8</v>
      </c>
      <c r="W3376" s="1" t="s">
        <v>85</v>
      </c>
      <c r="X3376" s="1" t="s">
        <v>1036</v>
      </c>
    </row>
    <row r="3377">
      <c r="A3377" s="1" t="s">
        <v>9923</v>
      </c>
      <c r="B3377" s="1" t="s">
        <v>776</v>
      </c>
      <c r="C3377" s="1" t="s">
        <v>9924</v>
      </c>
      <c r="D3377" s="1" t="s">
        <v>28</v>
      </c>
      <c r="E3377" s="1" t="s">
        <v>29</v>
      </c>
      <c r="F3377" s="5">
        <v>250000.0</v>
      </c>
      <c r="G3377" s="1" t="s">
        <v>7016</v>
      </c>
      <c r="H3377" s="1" t="s">
        <v>509</v>
      </c>
      <c r="I3377" s="1" t="s">
        <v>43</v>
      </c>
      <c r="K3377" s="1">
        <v>0.0</v>
      </c>
      <c r="L3377" s="1" t="s">
        <v>2547</v>
      </c>
      <c r="M3377" s="1" t="str">
        <f>VLOOKUP(L3377,'Copy of PMD Workday Constants -'!B3376:W4062,22,false)</f>
        <v>#N/A</v>
      </c>
      <c r="N3377" s="1" t="s">
        <v>32</v>
      </c>
      <c r="O3377" s="1" t="s">
        <v>33</v>
      </c>
      <c r="P3377" s="1" t="s">
        <v>64</v>
      </c>
      <c r="Q3377" s="1" t="s">
        <v>64</v>
      </c>
      <c r="R3377" s="1" t="s">
        <v>65</v>
      </c>
      <c r="T3377" s="1">
        <v>1.00592932E8</v>
      </c>
      <c r="W3377" s="1" t="s">
        <v>74</v>
      </c>
      <c r="X3377" s="1" t="s">
        <v>2547</v>
      </c>
    </row>
    <row r="3378">
      <c r="A3378" s="1" t="s">
        <v>9925</v>
      </c>
      <c r="B3378" s="1" t="s">
        <v>5369</v>
      </c>
      <c r="C3378" s="1" t="s">
        <v>9926</v>
      </c>
      <c r="D3378" s="1" t="s">
        <v>51</v>
      </c>
      <c r="E3378" s="1" t="s">
        <v>29</v>
      </c>
      <c r="F3378" s="5">
        <v>250000.0</v>
      </c>
      <c r="G3378" s="1" t="s">
        <v>7016</v>
      </c>
      <c r="H3378" s="1" t="s">
        <v>9927</v>
      </c>
      <c r="I3378" s="1" t="s">
        <v>264</v>
      </c>
      <c r="K3378" s="1">
        <v>0.0</v>
      </c>
      <c r="L3378" s="1" t="s">
        <v>3727</v>
      </c>
      <c r="M3378" s="1" t="str">
        <f>VLOOKUP(L3378,'Copy of PMD Workday Constants -'!B3377:W4063,22,false)</f>
        <v>#N/A</v>
      </c>
      <c r="N3378" s="1" t="s">
        <v>32</v>
      </c>
      <c r="O3378" s="1" t="s">
        <v>33</v>
      </c>
      <c r="P3378" s="1" t="s">
        <v>222</v>
      </c>
      <c r="Q3378" s="1" t="s">
        <v>222</v>
      </c>
      <c r="R3378" s="1" t="s">
        <v>223</v>
      </c>
      <c r="S3378" s="1" t="s">
        <v>601</v>
      </c>
      <c r="T3378" s="1">
        <v>1.00611158E8</v>
      </c>
      <c r="W3378" s="1" t="s">
        <v>74</v>
      </c>
      <c r="X3378" s="1" t="s">
        <v>3727</v>
      </c>
    </row>
    <row r="3379">
      <c r="A3379" s="1" t="s">
        <v>9928</v>
      </c>
      <c r="B3379" s="1" t="s">
        <v>3989</v>
      </c>
      <c r="C3379" s="1" t="s">
        <v>9929</v>
      </c>
      <c r="D3379" s="1" t="s">
        <v>28</v>
      </c>
      <c r="E3379" s="1" t="s">
        <v>29</v>
      </c>
      <c r="F3379" s="5">
        <v>250000.0</v>
      </c>
      <c r="G3379" s="1" t="s">
        <v>7016</v>
      </c>
      <c r="H3379" s="4">
        <v>44686.0</v>
      </c>
      <c r="I3379" s="1" t="s">
        <v>264</v>
      </c>
      <c r="K3379" s="1">
        <v>0.0</v>
      </c>
      <c r="L3379" s="1" t="s">
        <v>2970</v>
      </c>
      <c r="M3379" s="1" t="str">
        <f>VLOOKUP(L3379,'Copy of PMD Workday Constants -'!B3378:W4064,22,false)</f>
        <v>#N/A</v>
      </c>
      <c r="N3379" s="1" t="s">
        <v>32</v>
      </c>
      <c r="O3379" s="1" t="s">
        <v>33</v>
      </c>
      <c r="P3379" s="1" t="s">
        <v>173</v>
      </c>
      <c r="Q3379" s="1" t="s">
        <v>173</v>
      </c>
      <c r="R3379" s="1" t="s">
        <v>174</v>
      </c>
      <c r="T3379" s="1">
        <v>1.00616377E8</v>
      </c>
      <c r="W3379" s="1" t="s">
        <v>456</v>
      </c>
      <c r="X3379" s="1" t="s">
        <v>977</v>
      </c>
    </row>
    <row r="3380">
      <c r="A3380" s="1" t="s">
        <v>9930</v>
      </c>
      <c r="B3380" s="1" t="s">
        <v>3989</v>
      </c>
      <c r="C3380" s="1" t="s">
        <v>9931</v>
      </c>
      <c r="D3380" s="1" t="s">
        <v>28</v>
      </c>
      <c r="E3380" s="1" t="s">
        <v>29</v>
      </c>
      <c r="F3380" s="5">
        <v>250000.0</v>
      </c>
      <c r="G3380" s="1" t="s">
        <v>7016</v>
      </c>
      <c r="H3380" s="4">
        <v>44686.0</v>
      </c>
      <c r="I3380" s="1" t="s">
        <v>302</v>
      </c>
      <c r="K3380" s="1">
        <v>0.0</v>
      </c>
      <c r="L3380" s="1" t="s">
        <v>2970</v>
      </c>
      <c r="M3380" s="1" t="str">
        <f>VLOOKUP(L3380,'Copy of PMD Workday Constants -'!B3379:W4065,22,false)</f>
        <v>#N/A</v>
      </c>
      <c r="N3380" s="1" t="s">
        <v>32</v>
      </c>
      <c r="O3380" s="1" t="s">
        <v>33</v>
      </c>
      <c r="P3380" s="1" t="s">
        <v>173</v>
      </c>
      <c r="Q3380" s="1" t="s">
        <v>173</v>
      </c>
      <c r="R3380" s="1" t="s">
        <v>174</v>
      </c>
      <c r="T3380" s="1">
        <v>1.00616377E8</v>
      </c>
      <c r="W3380" s="1" t="s">
        <v>456</v>
      </c>
      <c r="X3380" s="1" t="s">
        <v>977</v>
      </c>
    </row>
    <row r="3381">
      <c r="A3381" s="1" t="s">
        <v>9932</v>
      </c>
      <c r="B3381" s="1" t="s">
        <v>3973</v>
      </c>
      <c r="C3381" s="1" t="s">
        <v>9933</v>
      </c>
      <c r="D3381" s="1" t="s">
        <v>103</v>
      </c>
      <c r="E3381" s="1" t="s">
        <v>29</v>
      </c>
      <c r="F3381" s="5">
        <v>250000.0</v>
      </c>
      <c r="G3381" s="1" t="s">
        <v>7016</v>
      </c>
      <c r="H3381" s="4">
        <v>44414.0</v>
      </c>
      <c r="I3381" s="1" t="s">
        <v>80</v>
      </c>
      <c r="K3381" s="1">
        <v>0.0</v>
      </c>
      <c r="L3381" s="1" t="s">
        <v>3975</v>
      </c>
      <c r="M3381" s="1" t="str">
        <f>VLOOKUP(L3381,'Copy of PMD Workday Constants -'!B3380:W4066,22,false)</f>
        <v>#N/A</v>
      </c>
      <c r="N3381" s="1" t="s">
        <v>32</v>
      </c>
      <c r="O3381" s="1" t="s">
        <v>33</v>
      </c>
      <c r="P3381" s="1" t="s">
        <v>210</v>
      </c>
      <c r="Q3381" s="1" t="s">
        <v>210</v>
      </c>
      <c r="R3381" s="1" t="s">
        <v>211</v>
      </c>
      <c r="S3381" s="1" t="s">
        <v>212</v>
      </c>
      <c r="T3381" s="1">
        <v>1.00623535E8</v>
      </c>
      <c r="W3381" s="1" t="s">
        <v>56</v>
      </c>
      <c r="X3381" s="1" t="s">
        <v>3462</v>
      </c>
    </row>
    <row r="3382">
      <c r="A3382" s="1" t="s">
        <v>9934</v>
      </c>
      <c r="B3382" s="1" t="s">
        <v>9935</v>
      </c>
      <c r="C3382" s="1" t="s">
        <v>9936</v>
      </c>
      <c r="D3382" s="1" t="s">
        <v>28</v>
      </c>
      <c r="E3382" s="1" t="s">
        <v>29</v>
      </c>
      <c r="F3382" s="5">
        <v>250000.0</v>
      </c>
      <c r="G3382" s="1" t="s">
        <v>7016</v>
      </c>
      <c r="H3382" s="1" t="s">
        <v>1027</v>
      </c>
      <c r="I3382" s="1" t="s">
        <v>302</v>
      </c>
      <c r="K3382" s="1">
        <v>0.0</v>
      </c>
      <c r="L3382" s="1" t="s">
        <v>1238</v>
      </c>
      <c r="M3382" s="1" t="str">
        <f>VLOOKUP(L3382,'Copy of PMD Workday Constants -'!B3381:W4067,22,false)</f>
        <v>#N/A</v>
      </c>
      <c r="N3382" s="1" t="s">
        <v>32</v>
      </c>
      <c r="O3382" s="1" t="s">
        <v>33</v>
      </c>
      <c r="P3382" s="1" t="s">
        <v>210</v>
      </c>
      <c r="Q3382" s="1" t="s">
        <v>210</v>
      </c>
      <c r="R3382" s="1" t="s">
        <v>211</v>
      </c>
      <c r="S3382" s="1" t="s">
        <v>416</v>
      </c>
      <c r="T3382" s="1">
        <v>1.00586959E8</v>
      </c>
      <c r="W3382" s="1" t="s">
        <v>56</v>
      </c>
      <c r="X3382" s="1" t="s">
        <v>2569</v>
      </c>
    </row>
    <row r="3383">
      <c r="A3383" s="1" t="s">
        <v>9937</v>
      </c>
      <c r="B3383" s="1" t="s">
        <v>324</v>
      </c>
      <c r="C3383" s="1" t="s">
        <v>9938</v>
      </c>
      <c r="D3383" s="1" t="s">
        <v>28</v>
      </c>
      <c r="E3383" s="1" t="s">
        <v>29</v>
      </c>
      <c r="F3383" s="5">
        <v>250000.0</v>
      </c>
      <c r="G3383" s="1" t="s">
        <v>7016</v>
      </c>
      <c r="H3383" s="1" t="s">
        <v>9939</v>
      </c>
      <c r="I3383" s="1" t="s">
        <v>1528</v>
      </c>
      <c r="K3383" s="1">
        <v>0.0</v>
      </c>
      <c r="L3383" s="1" t="s">
        <v>1674</v>
      </c>
      <c r="M3383" s="1" t="str">
        <f>VLOOKUP(L3383,'Copy of PMD Workday Constants -'!B3382:W4068,22,false)</f>
        <v>#N/A</v>
      </c>
      <c r="N3383" s="1" t="s">
        <v>32</v>
      </c>
      <c r="O3383" s="1" t="s">
        <v>33</v>
      </c>
      <c r="P3383" s="1" t="s">
        <v>210</v>
      </c>
      <c r="Q3383" s="1" t="s">
        <v>210</v>
      </c>
      <c r="R3383" s="1" t="s">
        <v>211</v>
      </c>
      <c r="S3383" s="1" t="s">
        <v>212</v>
      </c>
      <c r="T3383" s="1">
        <v>1.00648421E8</v>
      </c>
      <c r="W3383" s="1" t="s">
        <v>56</v>
      </c>
      <c r="X3383" s="1" t="s">
        <v>3333</v>
      </c>
    </row>
    <row r="3384">
      <c r="A3384" s="1" t="s">
        <v>9940</v>
      </c>
      <c r="B3384" s="1" t="s">
        <v>450</v>
      </c>
      <c r="C3384" s="1" t="s">
        <v>9941</v>
      </c>
      <c r="D3384" s="1" t="s">
        <v>28</v>
      </c>
      <c r="E3384" s="1" t="s">
        <v>29</v>
      </c>
      <c r="F3384" s="5">
        <v>250000.0</v>
      </c>
      <c r="G3384" s="1" t="s">
        <v>7016</v>
      </c>
      <c r="H3384" s="1" t="s">
        <v>1015</v>
      </c>
      <c r="I3384" s="1" t="s">
        <v>191</v>
      </c>
      <c r="K3384" s="1">
        <v>0.0</v>
      </c>
      <c r="L3384" s="1" t="s">
        <v>1525</v>
      </c>
      <c r="M3384" s="1" t="str">
        <f>VLOOKUP(L3384,'Copy of PMD Workday Constants -'!B3383:W4069,22,false)</f>
        <v>#N/A</v>
      </c>
      <c r="N3384" s="1" t="s">
        <v>32</v>
      </c>
      <c r="O3384" s="1" t="s">
        <v>33</v>
      </c>
      <c r="P3384" s="1" t="s">
        <v>34</v>
      </c>
      <c r="Q3384" s="1" t="s">
        <v>34</v>
      </c>
      <c r="R3384" s="1" t="s">
        <v>35</v>
      </c>
      <c r="S3384" s="1" t="s">
        <v>1166</v>
      </c>
      <c r="T3384" s="1">
        <v>1.00637597E8</v>
      </c>
      <c r="W3384" s="1" t="s">
        <v>456</v>
      </c>
      <c r="X3384" s="1" t="s">
        <v>1016</v>
      </c>
    </row>
    <row r="3385">
      <c r="A3385" s="1" t="s">
        <v>9942</v>
      </c>
      <c r="B3385" s="1" t="s">
        <v>225</v>
      </c>
      <c r="C3385" s="1" t="s">
        <v>9943</v>
      </c>
      <c r="D3385" s="1" t="s">
        <v>28</v>
      </c>
      <c r="E3385" s="1" t="s">
        <v>29</v>
      </c>
      <c r="F3385" s="5">
        <v>250000.0</v>
      </c>
      <c r="G3385" s="1" t="s">
        <v>7016</v>
      </c>
      <c r="H3385" s="1" t="s">
        <v>8538</v>
      </c>
      <c r="I3385" s="4">
        <v>44689.0</v>
      </c>
      <c r="K3385" s="1">
        <v>0.0</v>
      </c>
      <c r="L3385" s="1" t="s">
        <v>1036</v>
      </c>
      <c r="M3385" s="1" t="str">
        <f>VLOOKUP(L3385,'Copy of PMD Workday Constants -'!B3384:W4070,22,false)</f>
        <v>#N/A</v>
      </c>
      <c r="N3385" s="1" t="s">
        <v>32</v>
      </c>
      <c r="O3385" s="1" t="s">
        <v>33</v>
      </c>
      <c r="P3385" s="1" t="s">
        <v>82</v>
      </c>
      <c r="Q3385" s="1" t="s">
        <v>82</v>
      </c>
      <c r="R3385" s="1" t="s">
        <v>83</v>
      </c>
      <c r="S3385" s="1" t="s">
        <v>180</v>
      </c>
      <c r="T3385" s="1">
        <v>1.0090037E8</v>
      </c>
      <c r="W3385" s="1" t="s">
        <v>85</v>
      </c>
      <c r="X3385" s="1" t="s">
        <v>1036</v>
      </c>
    </row>
    <row r="3386">
      <c r="A3386" s="1" t="s">
        <v>9944</v>
      </c>
      <c r="B3386" s="1" t="s">
        <v>2263</v>
      </c>
      <c r="C3386" s="1" t="s">
        <v>9945</v>
      </c>
      <c r="D3386" s="1" t="s">
        <v>51</v>
      </c>
      <c r="E3386" s="1" t="s">
        <v>29</v>
      </c>
      <c r="F3386" s="5">
        <v>250000.0</v>
      </c>
      <c r="G3386" s="1" t="s">
        <v>7016</v>
      </c>
      <c r="H3386" s="1" t="s">
        <v>375</v>
      </c>
      <c r="I3386" s="1" t="s">
        <v>80</v>
      </c>
      <c r="K3386" s="1">
        <v>0.0</v>
      </c>
      <c r="L3386" s="1" t="s">
        <v>255</v>
      </c>
      <c r="M3386" s="1" t="str">
        <f>VLOOKUP(L3386,'Copy of PMD Workday Constants -'!B3385:W4071,22,false)</f>
        <v>#N/A</v>
      </c>
      <c r="N3386" s="1" t="s">
        <v>32</v>
      </c>
      <c r="O3386" s="1" t="s">
        <v>33</v>
      </c>
      <c r="P3386" s="1" t="s">
        <v>112</v>
      </c>
      <c r="Q3386" s="1" t="s">
        <v>112</v>
      </c>
      <c r="R3386" s="1" t="s">
        <v>113</v>
      </c>
      <c r="S3386" s="1" t="s">
        <v>256</v>
      </c>
      <c r="T3386" s="1">
        <v>1.00659114E8</v>
      </c>
      <c r="W3386" s="1" t="s">
        <v>258</v>
      </c>
      <c r="X3386" s="1" t="s">
        <v>9946</v>
      </c>
    </row>
    <row r="3387">
      <c r="A3387" s="1" t="s">
        <v>9947</v>
      </c>
      <c r="B3387" s="1" t="s">
        <v>450</v>
      </c>
      <c r="C3387" s="1" t="s">
        <v>9948</v>
      </c>
      <c r="D3387" s="1" t="s">
        <v>28</v>
      </c>
      <c r="E3387" s="1" t="s">
        <v>29</v>
      </c>
      <c r="F3387" s="5">
        <v>250000.0</v>
      </c>
      <c r="G3387" s="1" t="s">
        <v>7016</v>
      </c>
      <c r="H3387" s="1" t="s">
        <v>1015</v>
      </c>
      <c r="I3387" s="1" t="s">
        <v>152</v>
      </c>
      <c r="K3387" s="1">
        <v>0.0</v>
      </c>
      <c r="L3387" s="1" t="s">
        <v>3345</v>
      </c>
      <c r="M3387" s="1" t="str">
        <f>VLOOKUP(L3387,'Copy of PMD Workday Constants -'!B3386:W4072,22,false)</f>
        <v>#N/A</v>
      </c>
      <c r="N3387" s="1" t="s">
        <v>32</v>
      </c>
      <c r="O3387" s="1" t="s">
        <v>33</v>
      </c>
      <c r="P3387" s="1" t="s">
        <v>64</v>
      </c>
      <c r="Q3387" s="1" t="s">
        <v>64</v>
      </c>
      <c r="R3387" s="1" t="s">
        <v>65</v>
      </c>
      <c r="S3387" s="1" t="s">
        <v>791</v>
      </c>
      <c r="T3387" s="1">
        <v>1.0105484E8</v>
      </c>
      <c r="W3387" s="1" t="s">
        <v>456</v>
      </c>
      <c r="X3387" s="1" t="s">
        <v>1016</v>
      </c>
    </row>
    <row r="3388">
      <c r="A3388" s="1" t="s">
        <v>9949</v>
      </c>
      <c r="B3388" s="1" t="s">
        <v>521</v>
      </c>
      <c r="C3388" s="1" t="s">
        <v>9950</v>
      </c>
      <c r="D3388" s="1" t="s">
        <v>79</v>
      </c>
      <c r="E3388" s="1" t="s">
        <v>29</v>
      </c>
      <c r="F3388" s="5">
        <v>250000.0</v>
      </c>
      <c r="G3388" s="1" t="s">
        <v>7016</v>
      </c>
      <c r="H3388" s="4">
        <v>44481.0</v>
      </c>
      <c r="I3388" s="1" t="s">
        <v>941</v>
      </c>
      <c r="K3388" s="1">
        <v>0.0</v>
      </c>
      <c r="L3388" s="1" t="s">
        <v>319</v>
      </c>
      <c r="M3388" s="1" t="str">
        <f>VLOOKUP(L3388,'Copy of PMD Workday Constants -'!B3387:W4073,22,false)</f>
        <v>#N/A</v>
      </c>
      <c r="N3388" s="1" t="s">
        <v>32</v>
      </c>
      <c r="O3388" s="1" t="s">
        <v>33</v>
      </c>
      <c r="P3388" s="1" t="s">
        <v>82</v>
      </c>
      <c r="Q3388" s="1" t="s">
        <v>82</v>
      </c>
      <c r="R3388" s="1" t="s">
        <v>83</v>
      </c>
      <c r="S3388" s="1" t="s">
        <v>84</v>
      </c>
      <c r="T3388" s="1">
        <v>1.00654705E8</v>
      </c>
      <c r="W3388" s="1" t="s">
        <v>85</v>
      </c>
      <c r="X3388" s="1" t="s">
        <v>319</v>
      </c>
    </row>
    <row r="3389">
      <c r="A3389" s="1" t="s">
        <v>9951</v>
      </c>
      <c r="B3389" s="1" t="s">
        <v>2212</v>
      </c>
      <c r="C3389" s="1" t="s">
        <v>9952</v>
      </c>
      <c r="D3389" s="1" t="s">
        <v>28</v>
      </c>
      <c r="E3389" s="1" t="s">
        <v>29</v>
      </c>
      <c r="F3389" s="5">
        <v>250000.0</v>
      </c>
      <c r="G3389" s="1" t="s">
        <v>7016</v>
      </c>
      <c r="H3389" s="4">
        <v>44837.0</v>
      </c>
      <c r="I3389" s="1" t="s">
        <v>152</v>
      </c>
      <c r="K3389" s="1">
        <v>0.0</v>
      </c>
      <c r="L3389" s="1" t="s">
        <v>6791</v>
      </c>
      <c r="M3389" s="1" t="str">
        <f>VLOOKUP(L3389,'Copy of PMD Workday Constants -'!B3388:W4074,22,false)</f>
        <v>#N/A</v>
      </c>
      <c r="N3389" s="1" t="s">
        <v>32</v>
      </c>
      <c r="O3389" s="1" t="s">
        <v>33</v>
      </c>
      <c r="P3389" s="1" t="s">
        <v>82</v>
      </c>
      <c r="Q3389" s="1" t="s">
        <v>82</v>
      </c>
      <c r="R3389" s="1" t="s">
        <v>83</v>
      </c>
      <c r="S3389" s="1" t="s">
        <v>84</v>
      </c>
      <c r="T3389" s="1">
        <v>1.00594243E8</v>
      </c>
      <c r="W3389" s="1" t="s">
        <v>85</v>
      </c>
      <c r="X3389" s="1" t="s">
        <v>7194</v>
      </c>
    </row>
    <row r="3390">
      <c r="A3390" s="1" t="s">
        <v>9953</v>
      </c>
      <c r="B3390" s="1" t="s">
        <v>4162</v>
      </c>
      <c r="C3390" s="1" t="s">
        <v>9954</v>
      </c>
      <c r="D3390" s="1" t="s">
        <v>51</v>
      </c>
      <c r="E3390" s="1" t="s">
        <v>29</v>
      </c>
      <c r="F3390" s="5">
        <v>250000.0</v>
      </c>
      <c r="G3390" s="1" t="s">
        <v>7016</v>
      </c>
      <c r="H3390" s="4">
        <v>44567.0</v>
      </c>
      <c r="I3390" s="1" t="s">
        <v>152</v>
      </c>
      <c r="K3390" s="1">
        <v>0.0</v>
      </c>
      <c r="L3390" s="1" t="s">
        <v>6578</v>
      </c>
      <c r="M3390" s="1" t="str">
        <f>VLOOKUP(L3390,'Copy of PMD Workday Constants -'!B3389:W4075,22,false)</f>
        <v>#N/A</v>
      </c>
      <c r="N3390" s="1" t="s">
        <v>32</v>
      </c>
      <c r="O3390" s="1" t="s">
        <v>33</v>
      </c>
      <c r="P3390" s="1" t="s">
        <v>222</v>
      </c>
      <c r="Q3390" s="1" t="s">
        <v>222</v>
      </c>
      <c r="R3390" s="1" t="s">
        <v>223</v>
      </c>
      <c r="S3390" s="1" t="s">
        <v>482</v>
      </c>
      <c r="T3390" s="1">
        <v>1.00597339E8</v>
      </c>
      <c r="W3390" s="1" t="s">
        <v>308</v>
      </c>
      <c r="X3390" s="1" t="s">
        <v>6579</v>
      </c>
    </row>
    <row r="3391">
      <c r="A3391" s="1" t="s">
        <v>9955</v>
      </c>
      <c r="B3391" s="1" t="s">
        <v>9956</v>
      </c>
      <c r="C3391" s="1" t="s">
        <v>9957</v>
      </c>
      <c r="D3391" s="1" t="s">
        <v>51</v>
      </c>
      <c r="E3391" s="1" t="s">
        <v>29</v>
      </c>
      <c r="F3391" s="5">
        <v>250000.0</v>
      </c>
      <c r="G3391" s="1" t="s">
        <v>7016</v>
      </c>
      <c r="H3391" s="1" t="s">
        <v>1514</v>
      </c>
      <c r="I3391" s="1" t="s">
        <v>302</v>
      </c>
      <c r="K3391" s="1">
        <v>0.0</v>
      </c>
      <c r="L3391" s="1" t="s">
        <v>2547</v>
      </c>
      <c r="M3391" s="1" t="str">
        <f>VLOOKUP(L3391,'Copy of PMD Workday Constants -'!B3390:W4076,22,false)</f>
        <v>#N/A</v>
      </c>
      <c r="N3391" s="1" t="s">
        <v>32</v>
      </c>
      <c r="O3391" s="1" t="s">
        <v>33</v>
      </c>
      <c r="P3391" s="1" t="s">
        <v>64</v>
      </c>
      <c r="Q3391" s="1" t="s">
        <v>64</v>
      </c>
      <c r="R3391" s="1" t="s">
        <v>65</v>
      </c>
      <c r="S3391" s="1" t="s">
        <v>66</v>
      </c>
      <c r="T3391" s="1">
        <v>1.00592932E8</v>
      </c>
      <c r="W3391" s="1" t="s">
        <v>250</v>
      </c>
      <c r="X3391" s="1" t="s">
        <v>7627</v>
      </c>
    </row>
    <row r="3392">
      <c r="A3392" s="1" t="s">
        <v>9958</v>
      </c>
      <c r="B3392" s="1" t="s">
        <v>3126</v>
      </c>
      <c r="C3392" s="1" t="s">
        <v>9959</v>
      </c>
      <c r="D3392" s="1" t="s">
        <v>51</v>
      </c>
      <c r="E3392" s="1" t="s">
        <v>29</v>
      </c>
      <c r="F3392" s="5">
        <v>250000.0</v>
      </c>
      <c r="G3392" s="1" t="s">
        <v>7016</v>
      </c>
      <c r="H3392" s="1" t="s">
        <v>1785</v>
      </c>
      <c r="I3392" s="1" t="s">
        <v>732</v>
      </c>
      <c r="K3392" s="1">
        <v>0.0</v>
      </c>
      <c r="L3392" s="1" t="s">
        <v>1770</v>
      </c>
      <c r="M3392" s="1" t="str">
        <f>VLOOKUP(L3392,'Copy of PMD Workday Constants -'!B3391:W4077,22,false)</f>
        <v>#N/A</v>
      </c>
      <c r="N3392" s="1" t="s">
        <v>32</v>
      </c>
      <c r="O3392" s="1" t="s">
        <v>33</v>
      </c>
      <c r="P3392" s="1" t="s">
        <v>210</v>
      </c>
      <c r="Q3392" s="1" t="s">
        <v>210</v>
      </c>
      <c r="R3392" s="1" t="s">
        <v>211</v>
      </c>
      <c r="T3392" s="1">
        <v>1.00593918E8</v>
      </c>
      <c r="W3392" s="1" t="s">
        <v>37</v>
      </c>
      <c r="X3392" s="1" t="s">
        <v>7745</v>
      </c>
    </row>
    <row r="3393">
      <c r="A3393" s="1" t="s">
        <v>9960</v>
      </c>
      <c r="B3393" s="1" t="s">
        <v>9961</v>
      </c>
      <c r="C3393" s="1" t="s">
        <v>9962</v>
      </c>
      <c r="D3393" s="1" t="s">
        <v>51</v>
      </c>
      <c r="E3393" s="1" t="s">
        <v>29</v>
      </c>
      <c r="F3393" s="5">
        <v>250000.0</v>
      </c>
      <c r="G3393" s="1" t="s">
        <v>7016</v>
      </c>
      <c r="H3393" s="1" t="s">
        <v>3443</v>
      </c>
      <c r="I3393" s="1" t="s">
        <v>104</v>
      </c>
      <c r="K3393" s="1">
        <v>0.0</v>
      </c>
      <c r="L3393" s="1" t="s">
        <v>249</v>
      </c>
      <c r="M3393" s="1" t="str">
        <f>VLOOKUP(L3393,'Copy of PMD Workday Constants -'!B3392:W4078,22,false)</f>
        <v>#N/A</v>
      </c>
      <c r="N3393" s="1" t="s">
        <v>32</v>
      </c>
      <c r="O3393" s="1" t="s">
        <v>33</v>
      </c>
      <c r="P3393" s="1" t="s">
        <v>112</v>
      </c>
      <c r="Q3393" s="1" t="s">
        <v>112</v>
      </c>
      <c r="R3393" s="1" t="s">
        <v>113</v>
      </c>
      <c r="S3393" s="1" t="s">
        <v>114</v>
      </c>
      <c r="T3393" s="1">
        <v>1.00640433E8</v>
      </c>
      <c r="W3393" s="1" t="s">
        <v>147</v>
      </c>
      <c r="X3393" s="1" t="s">
        <v>3945</v>
      </c>
    </row>
    <row r="3394">
      <c r="A3394" s="1" t="s">
        <v>9963</v>
      </c>
      <c r="B3394" s="1" t="s">
        <v>9964</v>
      </c>
      <c r="C3394" s="1" t="s">
        <v>9965</v>
      </c>
      <c r="D3394" s="1" t="s">
        <v>28</v>
      </c>
      <c r="E3394" s="1" t="s">
        <v>29</v>
      </c>
      <c r="F3394" s="5">
        <v>250000.0</v>
      </c>
      <c r="G3394" s="1" t="s">
        <v>7016</v>
      </c>
      <c r="H3394" s="4">
        <v>44327.0</v>
      </c>
      <c r="I3394" s="1" t="s">
        <v>217</v>
      </c>
      <c r="K3394" s="1">
        <v>0.0</v>
      </c>
      <c r="L3394" s="1" t="s">
        <v>1198</v>
      </c>
      <c r="M3394" s="1" t="str">
        <f>VLOOKUP(L3394,'Copy of PMD Workday Constants -'!B3393:W4079,22,false)</f>
        <v>#N/A</v>
      </c>
      <c r="N3394" s="1" t="s">
        <v>32</v>
      </c>
      <c r="O3394" s="1" t="s">
        <v>33</v>
      </c>
      <c r="P3394" s="1" t="s">
        <v>64</v>
      </c>
      <c r="Q3394" s="1" t="s">
        <v>64</v>
      </c>
      <c r="R3394" s="1" t="s">
        <v>65</v>
      </c>
      <c r="S3394" s="1" t="s">
        <v>90</v>
      </c>
      <c r="T3394" s="1">
        <v>1.01127868E8</v>
      </c>
      <c r="W3394" s="1" t="s">
        <v>308</v>
      </c>
      <c r="X3394" s="1" t="s">
        <v>2197</v>
      </c>
    </row>
    <row r="3395">
      <c r="A3395" s="1" t="s">
        <v>9966</v>
      </c>
      <c r="B3395" s="1" t="s">
        <v>353</v>
      </c>
      <c r="C3395" s="1" t="s">
        <v>9967</v>
      </c>
      <c r="D3395" s="1" t="s">
        <v>28</v>
      </c>
      <c r="E3395" s="1" t="s">
        <v>29</v>
      </c>
      <c r="F3395" s="5">
        <v>250000.0</v>
      </c>
      <c r="G3395" s="1" t="s">
        <v>7016</v>
      </c>
      <c r="H3395" s="4">
        <v>44239.0</v>
      </c>
      <c r="I3395" s="1" t="s">
        <v>104</v>
      </c>
      <c r="K3395" s="1">
        <v>0.0</v>
      </c>
      <c r="L3395" s="1" t="s">
        <v>5313</v>
      </c>
      <c r="M3395" s="1" t="str">
        <f>VLOOKUP(L3395,'Copy of PMD Workday Constants -'!B3394:W4080,22,false)</f>
        <v>#N/A</v>
      </c>
      <c r="N3395" s="1" t="s">
        <v>32</v>
      </c>
      <c r="O3395" s="1" t="s">
        <v>33</v>
      </c>
      <c r="P3395" s="1" t="s">
        <v>64</v>
      </c>
      <c r="Q3395" s="1" t="s">
        <v>64</v>
      </c>
      <c r="R3395" s="1" t="s">
        <v>65</v>
      </c>
      <c r="S3395" s="1" t="s">
        <v>1496</v>
      </c>
      <c r="T3395" s="1">
        <v>1.00910509E8</v>
      </c>
      <c r="W3395" s="1" t="s">
        <v>258</v>
      </c>
      <c r="X3395" s="1" t="s">
        <v>5313</v>
      </c>
    </row>
    <row r="3396">
      <c r="A3396" s="1" t="s">
        <v>9968</v>
      </c>
      <c r="B3396" s="1" t="s">
        <v>225</v>
      </c>
      <c r="C3396" s="1" t="s">
        <v>9969</v>
      </c>
      <c r="D3396" s="1" t="s">
        <v>28</v>
      </c>
      <c r="E3396" s="1" t="s">
        <v>29</v>
      </c>
      <c r="F3396" s="5">
        <v>250000.0</v>
      </c>
      <c r="G3396" s="1" t="s">
        <v>7016</v>
      </c>
      <c r="H3396" s="4">
        <v>44899.0</v>
      </c>
      <c r="I3396" s="1" t="s">
        <v>1349</v>
      </c>
      <c r="K3396" s="1">
        <v>0.0</v>
      </c>
      <c r="L3396" s="1" t="s">
        <v>7903</v>
      </c>
      <c r="M3396" s="1" t="str">
        <f>VLOOKUP(L3396,'Copy of PMD Workday Constants -'!B3395:W4081,22,false)</f>
        <v>#N/A</v>
      </c>
      <c r="N3396" s="1" t="s">
        <v>32</v>
      </c>
      <c r="O3396" s="1" t="s">
        <v>33</v>
      </c>
      <c r="P3396" s="1" t="s">
        <v>82</v>
      </c>
      <c r="Q3396" s="1" t="s">
        <v>82</v>
      </c>
      <c r="R3396" s="1" t="s">
        <v>83</v>
      </c>
      <c r="S3396" s="1" t="s">
        <v>9970</v>
      </c>
      <c r="T3396" s="1">
        <v>1.00608247E8</v>
      </c>
      <c r="W3396" s="1" t="s">
        <v>85</v>
      </c>
      <c r="X3396" s="1" t="s">
        <v>7904</v>
      </c>
    </row>
    <row r="3397">
      <c r="A3397" s="1" t="s">
        <v>9971</v>
      </c>
      <c r="B3397" s="1" t="s">
        <v>9972</v>
      </c>
      <c r="C3397" s="1" t="s">
        <v>9973</v>
      </c>
      <c r="D3397" s="1" t="s">
        <v>51</v>
      </c>
      <c r="E3397" s="1" t="s">
        <v>29</v>
      </c>
      <c r="F3397" s="5">
        <v>250000.0</v>
      </c>
      <c r="G3397" s="1" t="s">
        <v>7016</v>
      </c>
      <c r="H3397" s="1" t="s">
        <v>1064</v>
      </c>
      <c r="I3397" s="1" t="s">
        <v>1369</v>
      </c>
      <c r="K3397" s="1">
        <v>0.0</v>
      </c>
      <c r="L3397" s="1" t="s">
        <v>5224</v>
      </c>
      <c r="M3397" s="1" t="str">
        <f>VLOOKUP(L3397,'Copy of PMD Workday Constants -'!B3396:W4082,22,false)</f>
        <v>#N/A</v>
      </c>
      <c r="N3397" s="1" t="s">
        <v>32</v>
      </c>
      <c r="O3397" s="1" t="s">
        <v>33</v>
      </c>
      <c r="P3397" s="1" t="s">
        <v>222</v>
      </c>
      <c r="Q3397" s="1" t="s">
        <v>222</v>
      </c>
      <c r="R3397" s="1" t="s">
        <v>223</v>
      </c>
      <c r="S3397" s="1" t="s">
        <v>601</v>
      </c>
      <c r="T3397" s="1">
        <v>1.01093737E8</v>
      </c>
      <c r="W3397" s="1" t="s">
        <v>1801</v>
      </c>
      <c r="X3397" s="1" t="s">
        <v>5224</v>
      </c>
    </row>
    <row r="3398">
      <c r="A3398" s="1" t="s">
        <v>9974</v>
      </c>
      <c r="B3398" s="1" t="s">
        <v>2375</v>
      </c>
      <c r="C3398" s="1" t="s">
        <v>9975</v>
      </c>
      <c r="D3398" s="1" t="s">
        <v>51</v>
      </c>
      <c r="E3398" s="1" t="s">
        <v>29</v>
      </c>
      <c r="F3398" s="5">
        <v>250000.0</v>
      </c>
      <c r="G3398" s="1" t="s">
        <v>7016</v>
      </c>
      <c r="H3398" s="4">
        <v>44238.0</v>
      </c>
      <c r="I3398" s="1" t="s">
        <v>132</v>
      </c>
      <c r="K3398" s="1">
        <v>0.0</v>
      </c>
      <c r="L3398" s="1" t="s">
        <v>4277</v>
      </c>
      <c r="M3398" s="1" t="str">
        <f>VLOOKUP(L3398,'Copy of PMD Workday Constants -'!B3397:W4083,22,false)</f>
        <v>#N/A</v>
      </c>
      <c r="N3398" s="1" t="s">
        <v>32</v>
      </c>
      <c r="O3398" s="1" t="s">
        <v>33</v>
      </c>
      <c r="P3398" s="1" t="s">
        <v>173</v>
      </c>
      <c r="Q3398" s="1" t="s">
        <v>173</v>
      </c>
      <c r="R3398" s="1" t="s">
        <v>174</v>
      </c>
      <c r="S3398" s="1" t="s">
        <v>297</v>
      </c>
      <c r="T3398" s="1">
        <v>1.00650304E8</v>
      </c>
      <c r="W3398" s="1" t="s">
        <v>258</v>
      </c>
      <c r="X3398" s="1" t="s">
        <v>3462</v>
      </c>
    </row>
    <row r="3399">
      <c r="A3399" s="1" t="s">
        <v>9976</v>
      </c>
      <c r="B3399" s="1" t="s">
        <v>9246</v>
      </c>
      <c r="C3399" s="1" t="s">
        <v>9977</v>
      </c>
      <c r="D3399" s="1" t="s">
        <v>51</v>
      </c>
      <c r="E3399" s="1" t="s">
        <v>29</v>
      </c>
      <c r="F3399" s="5">
        <v>250000.0</v>
      </c>
      <c r="G3399" s="1" t="s">
        <v>7016</v>
      </c>
      <c r="H3399" s="1" t="s">
        <v>785</v>
      </c>
      <c r="I3399" s="1" t="s">
        <v>104</v>
      </c>
      <c r="K3399" s="1">
        <v>0.0</v>
      </c>
      <c r="L3399" s="1" t="s">
        <v>9978</v>
      </c>
      <c r="M3399" s="1" t="str">
        <f>VLOOKUP(L3399,'Copy of PMD Workday Constants -'!B3398:W4084,22,false)</f>
        <v>#N/A</v>
      </c>
      <c r="N3399" s="1" t="s">
        <v>32</v>
      </c>
      <c r="O3399" s="1" t="s">
        <v>33</v>
      </c>
      <c r="P3399" s="1" t="s">
        <v>54</v>
      </c>
      <c r="Q3399" s="1" t="s">
        <v>54</v>
      </c>
      <c r="R3399" s="1" t="s">
        <v>55</v>
      </c>
      <c r="S3399" s="1" t="s">
        <v>654</v>
      </c>
      <c r="T3399" s="1">
        <v>1.00592561E8</v>
      </c>
      <c r="W3399" s="1" t="s">
        <v>56</v>
      </c>
      <c r="X3399" s="1" t="s">
        <v>9795</v>
      </c>
    </row>
    <row r="3400">
      <c r="A3400" s="1" t="s">
        <v>9979</v>
      </c>
      <c r="B3400" s="1" t="s">
        <v>9246</v>
      </c>
      <c r="C3400" s="1" t="s">
        <v>9980</v>
      </c>
      <c r="D3400" s="1" t="s">
        <v>51</v>
      </c>
      <c r="E3400" s="1" t="s">
        <v>29</v>
      </c>
      <c r="F3400" s="5">
        <v>250000.0</v>
      </c>
      <c r="G3400" s="1" t="s">
        <v>7016</v>
      </c>
      <c r="H3400" s="1" t="s">
        <v>785</v>
      </c>
      <c r="I3400" s="1" t="s">
        <v>104</v>
      </c>
      <c r="K3400" s="1">
        <v>0.0</v>
      </c>
      <c r="L3400" s="1" t="s">
        <v>9978</v>
      </c>
      <c r="M3400" s="1" t="str">
        <f>VLOOKUP(L3400,'Copy of PMD Workday Constants -'!B3399:W4085,22,false)</f>
        <v>#N/A</v>
      </c>
      <c r="N3400" s="1" t="s">
        <v>32</v>
      </c>
      <c r="O3400" s="1" t="s">
        <v>33</v>
      </c>
      <c r="P3400" s="1" t="s">
        <v>54</v>
      </c>
      <c r="Q3400" s="1" t="s">
        <v>54</v>
      </c>
      <c r="R3400" s="1" t="s">
        <v>55</v>
      </c>
      <c r="S3400" s="1" t="s">
        <v>654</v>
      </c>
      <c r="T3400" s="1">
        <v>1.00592561E8</v>
      </c>
      <c r="W3400" s="1" t="s">
        <v>56</v>
      </c>
      <c r="X3400" s="1" t="s">
        <v>9795</v>
      </c>
    </row>
    <row r="3401">
      <c r="A3401" s="1" t="s">
        <v>9981</v>
      </c>
      <c r="B3401" s="1" t="s">
        <v>3989</v>
      </c>
      <c r="C3401" s="1" t="s">
        <v>9982</v>
      </c>
      <c r="D3401" s="1" t="s">
        <v>51</v>
      </c>
      <c r="E3401" s="1" t="s">
        <v>29</v>
      </c>
      <c r="F3401" s="5">
        <v>250000.0</v>
      </c>
      <c r="G3401" s="1" t="s">
        <v>7016</v>
      </c>
      <c r="H3401" s="4">
        <v>44686.0</v>
      </c>
      <c r="I3401" s="1" t="s">
        <v>1746</v>
      </c>
      <c r="K3401" s="1">
        <v>0.0</v>
      </c>
      <c r="L3401" s="1" t="s">
        <v>1505</v>
      </c>
      <c r="M3401" s="1" t="str">
        <f>VLOOKUP(L3401,'Copy of PMD Workday Constants -'!B3400:W4086,22,false)</f>
        <v>#N/A</v>
      </c>
      <c r="N3401" s="1" t="s">
        <v>32</v>
      </c>
      <c r="O3401" s="1" t="s">
        <v>33</v>
      </c>
      <c r="P3401" s="1" t="s">
        <v>112</v>
      </c>
      <c r="Q3401" s="1" t="s">
        <v>112</v>
      </c>
      <c r="R3401" s="1" t="s">
        <v>113</v>
      </c>
      <c r="S3401" s="1" t="s">
        <v>455</v>
      </c>
      <c r="T3401" s="1">
        <v>1.00651554E8</v>
      </c>
      <c r="W3401" s="1" t="s">
        <v>456</v>
      </c>
      <c r="X3401" s="1" t="s">
        <v>977</v>
      </c>
    </row>
    <row r="3402">
      <c r="A3402" s="1" t="s">
        <v>9983</v>
      </c>
      <c r="B3402" s="1" t="s">
        <v>623</v>
      </c>
      <c r="C3402" s="1" t="s">
        <v>9984</v>
      </c>
      <c r="D3402" s="1" t="s">
        <v>28</v>
      </c>
      <c r="E3402" s="1" t="s">
        <v>29</v>
      </c>
      <c r="F3402" s="5">
        <v>250000.0</v>
      </c>
      <c r="G3402" s="1" t="s">
        <v>7016</v>
      </c>
      <c r="H3402" s="4">
        <v>44258.0</v>
      </c>
      <c r="I3402" s="1" t="s">
        <v>152</v>
      </c>
      <c r="K3402" s="1">
        <v>0.0</v>
      </c>
      <c r="L3402" s="1" t="s">
        <v>1036</v>
      </c>
      <c r="M3402" s="1" t="str">
        <f>VLOOKUP(L3402,'Copy of PMD Workday Constants -'!B3401:W4087,22,false)</f>
        <v>#N/A</v>
      </c>
      <c r="N3402" s="1" t="s">
        <v>32</v>
      </c>
      <c r="O3402" s="1" t="s">
        <v>33</v>
      </c>
      <c r="P3402" s="1" t="s">
        <v>82</v>
      </c>
      <c r="Q3402" s="1" t="s">
        <v>82</v>
      </c>
      <c r="R3402" s="1" t="s">
        <v>83</v>
      </c>
      <c r="S3402" s="1" t="s">
        <v>180</v>
      </c>
      <c r="T3402" s="1">
        <v>1.0090037E8</v>
      </c>
      <c r="W3402" s="1" t="s">
        <v>85</v>
      </c>
      <c r="X3402" s="1" t="s">
        <v>1036</v>
      </c>
    </row>
    <row r="3403">
      <c r="A3403" s="1" t="s">
        <v>9985</v>
      </c>
      <c r="B3403" s="1" t="s">
        <v>1163</v>
      </c>
      <c r="C3403" s="1" t="s">
        <v>9986</v>
      </c>
      <c r="D3403" s="1" t="s">
        <v>28</v>
      </c>
      <c r="E3403" s="1" t="s">
        <v>29</v>
      </c>
      <c r="F3403" s="5">
        <v>250000.0</v>
      </c>
      <c r="G3403" s="1" t="s">
        <v>7016</v>
      </c>
      <c r="H3403" s="4">
        <v>44870.0</v>
      </c>
      <c r="I3403" s="4">
        <v>44927.0</v>
      </c>
      <c r="K3403" s="1">
        <v>0.0</v>
      </c>
      <c r="L3403" s="1" t="s">
        <v>9987</v>
      </c>
      <c r="M3403" s="1" t="str">
        <f>VLOOKUP(L3403,'Copy of PMD Workday Constants -'!B3402:W4088,22,false)</f>
        <v>#N/A</v>
      </c>
      <c r="N3403" s="1" t="s">
        <v>32</v>
      </c>
      <c r="O3403" s="1" t="s">
        <v>33</v>
      </c>
      <c r="P3403" s="1" t="s">
        <v>64</v>
      </c>
      <c r="Q3403" s="1" t="s">
        <v>64</v>
      </c>
      <c r="R3403" s="1" t="s">
        <v>65</v>
      </c>
      <c r="S3403" s="1" t="s">
        <v>1336</v>
      </c>
      <c r="T3403" s="1">
        <v>1.01211126E8</v>
      </c>
      <c r="W3403" s="1" t="s">
        <v>147</v>
      </c>
      <c r="X3403" s="1" t="s">
        <v>9987</v>
      </c>
    </row>
    <row r="3404">
      <c r="A3404" s="1" t="s">
        <v>9988</v>
      </c>
      <c r="B3404" s="1" t="s">
        <v>5151</v>
      </c>
      <c r="C3404" s="1" t="s">
        <v>7579</v>
      </c>
      <c r="D3404" s="1" t="s">
        <v>28</v>
      </c>
      <c r="E3404" s="1" t="s">
        <v>29</v>
      </c>
      <c r="F3404" s="5">
        <v>250000.0</v>
      </c>
      <c r="G3404" s="1" t="s">
        <v>7016</v>
      </c>
      <c r="H3404" s="4">
        <v>44748.0</v>
      </c>
      <c r="I3404" s="4">
        <v>44572.0</v>
      </c>
      <c r="K3404" s="1">
        <v>0.0</v>
      </c>
      <c r="L3404" s="1" t="s">
        <v>6839</v>
      </c>
      <c r="M3404" s="1" t="str">
        <f>VLOOKUP(L3404,'Copy of PMD Workday Constants -'!B3403:W4089,22,false)</f>
        <v>#N/A</v>
      </c>
      <c r="N3404" s="1" t="s">
        <v>32</v>
      </c>
      <c r="O3404" s="1" t="s">
        <v>33</v>
      </c>
      <c r="P3404" s="1" t="s">
        <v>222</v>
      </c>
      <c r="Q3404" s="1" t="s">
        <v>222</v>
      </c>
      <c r="R3404" s="1" t="s">
        <v>223</v>
      </c>
      <c r="T3404" s="1">
        <v>1.00613669E8</v>
      </c>
      <c r="W3404" s="1" t="s">
        <v>947</v>
      </c>
      <c r="X3404" s="1" t="s">
        <v>5153</v>
      </c>
    </row>
    <row r="3405">
      <c r="A3405" s="1" t="s">
        <v>9989</v>
      </c>
      <c r="B3405" s="1" t="s">
        <v>530</v>
      </c>
      <c r="C3405" s="1" t="s">
        <v>9990</v>
      </c>
      <c r="D3405" s="1" t="s">
        <v>51</v>
      </c>
      <c r="E3405" s="1" t="s">
        <v>29</v>
      </c>
      <c r="F3405" s="5">
        <v>250000.0</v>
      </c>
      <c r="G3405" s="1" t="s">
        <v>7016</v>
      </c>
      <c r="H3405" s="4">
        <v>44110.0</v>
      </c>
      <c r="I3405" s="1" t="s">
        <v>302</v>
      </c>
      <c r="J3405" s="6">
        <v>44053.938888888886</v>
      </c>
      <c r="K3405" s="1">
        <v>0.0</v>
      </c>
      <c r="L3405" s="1" t="s">
        <v>3848</v>
      </c>
      <c r="M3405" s="1" t="str">
        <f>VLOOKUP(L3405,'Copy of PMD Workday Constants -'!B3404:W4090,22,false)</f>
        <v>#N/A</v>
      </c>
      <c r="N3405" s="1" t="s">
        <v>32</v>
      </c>
      <c r="O3405" s="1" t="s">
        <v>33</v>
      </c>
      <c r="P3405" s="1" t="s">
        <v>173</v>
      </c>
      <c r="Q3405" s="1" t="s">
        <v>173</v>
      </c>
      <c r="R3405" s="1" t="s">
        <v>174</v>
      </c>
      <c r="S3405" s="1" t="s">
        <v>612</v>
      </c>
      <c r="T3405" s="1">
        <v>1.00654914E8</v>
      </c>
      <c r="W3405" s="1" t="s">
        <v>533</v>
      </c>
      <c r="X3405" s="1" t="s">
        <v>4022</v>
      </c>
    </row>
    <row r="3406">
      <c r="A3406" s="1" t="s">
        <v>9991</v>
      </c>
      <c r="B3406" s="1" t="s">
        <v>4467</v>
      </c>
      <c r="C3406" s="1" t="s">
        <v>9992</v>
      </c>
      <c r="D3406" s="1" t="s">
        <v>28</v>
      </c>
      <c r="E3406" s="1" t="s">
        <v>29</v>
      </c>
      <c r="F3406" s="5">
        <v>250000.0</v>
      </c>
      <c r="G3406" s="1" t="s">
        <v>7016</v>
      </c>
      <c r="H3406" s="1" t="s">
        <v>1650</v>
      </c>
      <c r="I3406" s="1" t="s">
        <v>80</v>
      </c>
      <c r="K3406" s="1">
        <v>0.0</v>
      </c>
      <c r="L3406" s="1" t="s">
        <v>63</v>
      </c>
      <c r="M3406" s="1" t="str">
        <f>VLOOKUP(L3406,'Copy of PMD Workday Constants -'!B3405:W4091,22,false)</f>
        <v>#N/A</v>
      </c>
      <c r="N3406" s="1" t="s">
        <v>32</v>
      </c>
      <c r="O3406" s="1" t="s">
        <v>33</v>
      </c>
      <c r="P3406" s="1" t="s">
        <v>64</v>
      </c>
      <c r="Q3406" s="1" t="s">
        <v>64</v>
      </c>
      <c r="R3406" s="1" t="s">
        <v>65</v>
      </c>
      <c r="S3406" s="1" t="s">
        <v>126</v>
      </c>
      <c r="T3406" s="1">
        <v>1.01059432E8</v>
      </c>
      <c r="W3406" s="1" t="s">
        <v>308</v>
      </c>
      <c r="X3406" s="1" t="s">
        <v>2197</v>
      </c>
    </row>
    <row r="3407">
      <c r="A3407" s="1" t="s">
        <v>9993</v>
      </c>
      <c r="B3407" s="1" t="s">
        <v>2549</v>
      </c>
      <c r="C3407" s="1" t="s">
        <v>9994</v>
      </c>
      <c r="D3407" s="1" t="s">
        <v>28</v>
      </c>
      <c r="E3407" s="1" t="s">
        <v>29</v>
      </c>
      <c r="F3407" s="5">
        <v>250000.0</v>
      </c>
      <c r="G3407" s="1" t="s">
        <v>7016</v>
      </c>
      <c r="H3407" s="1" t="s">
        <v>273</v>
      </c>
      <c r="I3407" s="1" t="s">
        <v>302</v>
      </c>
      <c r="K3407" s="1">
        <v>0.0</v>
      </c>
      <c r="L3407" s="1" t="s">
        <v>1549</v>
      </c>
      <c r="M3407" s="1" t="str">
        <f>VLOOKUP(L3407,'Copy of PMD Workday Constants -'!B3406:W4092,22,false)</f>
        <v>#N/A</v>
      </c>
      <c r="N3407" s="1" t="s">
        <v>32</v>
      </c>
      <c r="O3407" s="1" t="s">
        <v>33</v>
      </c>
      <c r="P3407" s="1" t="s">
        <v>173</v>
      </c>
      <c r="Q3407" s="1" t="s">
        <v>173</v>
      </c>
      <c r="R3407" s="1" t="s">
        <v>174</v>
      </c>
      <c r="S3407" s="1" t="s">
        <v>612</v>
      </c>
      <c r="T3407" s="1">
        <v>1.00646908E8</v>
      </c>
      <c r="W3407" s="1" t="s">
        <v>1303</v>
      </c>
      <c r="X3407" s="1" t="s">
        <v>3795</v>
      </c>
    </row>
    <row r="3408">
      <c r="A3408" s="1" t="s">
        <v>9995</v>
      </c>
      <c r="B3408" s="1" t="s">
        <v>859</v>
      </c>
      <c r="C3408" s="1" t="s">
        <v>9996</v>
      </c>
      <c r="D3408" s="1" t="s">
        <v>28</v>
      </c>
      <c r="E3408" s="1" t="s">
        <v>29</v>
      </c>
      <c r="F3408" s="5">
        <v>250000.0</v>
      </c>
      <c r="G3408" s="1" t="s">
        <v>7016</v>
      </c>
      <c r="H3408" s="4">
        <v>44870.0</v>
      </c>
      <c r="I3408" s="4">
        <v>44927.0</v>
      </c>
      <c r="K3408" s="1">
        <v>0.0</v>
      </c>
      <c r="L3408" s="1" t="s">
        <v>9987</v>
      </c>
      <c r="M3408" s="1" t="str">
        <f>VLOOKUP(L3408,'Copy of PMD Workday Constants -'!B3407:W4093,22,false)</f>
        <v>#N/A</v>
      </c>
      <c r="N3408" s="1" t="s">
        <v>32</v>
      </c>
      <c r="O3408" s="1" t="s">
        <v>33</v>
      </c>
      <c r="P3408" s="1" t="s">
        <v>64</v>
      </c>
      <c r="Q3408" s="1" t="s">
        <v>64</v>
      </c>
      <c r="R3408" s="1" t="s">
        <v>65</v>
      </c>
      <c r="S3408" s="1" t="s">
        <v>1336</v>
      </c>
      <c r="T3408" s="1">
        <v>1.01211126E8</v>
      </c>
      <c r="X3408" s="1" t="s">
        <v>9987</v>
      </c>
    </row>
    <row r="3409">
      <c r="A3409" s="1" t="s">
        <v>9997</v>
      </c>
      <c r="B3409" s="1" t="s">
        <v>913</v>
      </c>
      <c r="C3409" s="1" t="s">
        <v>9998</v>
      </c>
      <c r="D3409" s="1" t="s">
        <v>103</v>
      </c>
      <c r="E3409" s="1" t="s">
        <v>29</v>
      </c>
      <c r="F3409" s="5">
        <v>250000.0</v>
      </c>
      <c r="G3409" s="1" t="s">
        <v>7016</v>
      </c>
      <c r="H3409" s="4">
        <v>44866.0</v>
      </c>
      <c r="I3409" s="1" t="s">
        <v>152</v>
      </c>
      <c r="K3409" s="1">
        <v>0.0</v>
      </c>
      <c r="L3409" s="1" t="s">
        <v>934</v>
      </c>
      <c r="M3409" s="1" t="str">
        <f>VLOOKUP(L3409,'Copy of PMD Workday Constants -'!B3408:W4094,22,false)</f>
        <v>#N/A</v>
      </c>
      <c r="N3409" s="1" t="s">
        <v>32</v>
      </c>
      <c r="O3409" s="1" t="s">
        <v>33</v>
      </c>
      <c r="P3409" s="1" t="s">
        <v>173</v>
      </c>
      <c r="Q3409" s="1" t="s">
        <v>173</v>
      </c>
      <c r="R3409" s="1" t="s">
        <v>174</v>
      </c>
      <c r="S3409" s="1" t="s">
        <v>153</v>
      </c>
      <c r="T3409" s="1">
        <v>1.00653269E8</v>
      </c>
      <c r="W3409" s="1" t="s">
        <v>85</v>
      </c>
      <c r="X3409" s="1" t="s">
        <v>9999</v>
      </c>
    </row>
    <row r="3410">
      <c r="A3410" s="1" t="s">
        <v>10000</v>
      </c>
      <c r="B3410" s="1" t="s">
        <v>10001</v>
      </c>
      <c r="C3410" s="1" t="s">
        <v>10002</v>
      </c>
      <c r="D3410" s="1" t="s">
        <v>79</v>
      </c>
      <c r="E3410" s="1" t="s">
        <v>29</v>
      </c>
      <c r="F3410" s="5">
        <v>250000.0</v>
      </c>
      <c r="G3410" s="1" t="s">
        <v>7016</v>
      </c>
      <c r="H3410" s="4">
        <v>44870.0</v>
      </c>
      <c r="I3410" s="1" t="s">
        <v>526</v>
      </c>
      <c r="K3410" s="1">
        <v>0.0</v>
      </c>
      <c r="L3410" s="1" t="s">
        <v>5224</v>
      </c>
      <c r="M3410" s="1" t="str">
        <f>VLOOKUP(L3410,'Copy of PMD Workday Constants -'!B3409:W4095,22,false)</f>
        <v>#N/A</v>
      </c>
      <c r="N3410" s="1" t="s">
        <v>32</v>
      </c>
      <c r="O3410" s="1" t="s">
        <v>33</v>
      </c>
      <c r="P3410" s="1" t="s">
        <v>222</v>
      </c>
      <c r="Q3410" s="1" t="s">
        <v>222</v>
      </c>
      <c r="R3410" s="1" t="s">
        <v>223</v>
      </c>
      <c r="T3410" s="1">
        <v>1.01093737E8</v>
      </c>
      <c r="W3410" s="1" t="s">
        <v>147</v>
      </c>
      <c r="X3410" s="1" t="s">
        <v>4194</v>
      </c>
    </row>
    <row r="3411">
      <c r="A3411" s="1" t="s">
        <v>10003</v>
      </c>
      <c r="B3411" s="1" t="s">
        <v>40</v>
      </c>
      <c r="C3411" s="1" t="s">
        <v>10004</v>
      </c>
      <c r="D3411" s="1" t="s">
        <v>28</v>
      </c>
      <c r="E3411" s="1" t="s">
        <v>29</v>
      </c>
      <c r="F3411" s="5">
        <v>250000.0</v>
      </c>
      <c r="G3411" s="1" t="s">
        <v>7016</v>
      </c>
      <c r="H3411" s="4">
        <v>44686.0</v>
      </c>
      <c r="I3411" s="1" t="s">
        <v>302</v>
      </c>
      <c r="K3411" s="1">
        <v>0.0</v>
      </c>
      <c r="L3411" s="1" t="s">
        <v>6847</v>
      </c>
      <c r="M3411" s="1" t="str">
        <f>VLOOKUP(L3411,'Copy of PMD Workday Constants -'!B3410:W4096,22,false)</f>
        <v>#N/A</v>
      </c>
      <c r="N3411" s="1" t="s">
        <v>32</v>
      </c>
      <c r="O3411" s="1" t="s">
        <v>33</v>
      </c>
      <c r="P3411" s="1" t="s">
        <v>54</v>
      </c>
      <c r="Q3411" s="1" t="s">
        <v>54</v>
      </c>
      <c r="R3411" s="1" t="s">
        <v>55</v>
      </c>
      <c r="T3411" s="1">
        <v>1.01186492E8</v>
      </c>
      <c r="U3411" s="1" t="s">
        <v>6848</v>
      </c>
      <c r="V3411" s="1" t="s">
        <v>46</v>
      </c>
      <c r="W3411" s="1" t="s">
        <v>47</v>
      </c>
      <c r="X3411" s="1" t="s">
        <v>6849</v>
      </c>
    </row>
    <row r="3412">
      <c r="A3412" s="1" t="s">
        <v>10005</v>
      </c>
      <c r="B3412" s="1" t="s">
        <v>1184</v>
      </c>
      <c r="C3412" s="1" t="s">
        <v>10006</v>
      </c>
      <c r="D3412" s="1" t="s">
        <v>28</v>
      </c>
      <c r="E3412" s="1" t="s">
        <v>29</v>
      </c>
      <c r="F3412" s="5">
        <v>250000.0</v>
      </c>
      <c r="G3412" s="1" t="s">
        <v>7016</v>
      </c>
      <c r="H3412" s="4">
        <v>44870.0</v>
      </c>
      <c r="I3412" s="4">
        <v>44569.0</v>
      </c>
      <c r="K3412" s="1">
        <v>0.0</v>
      </c>
      <c r="L3412" s="1" t="s">
        <v>1188</v>
      </c>
      <c r="M3412" s="1" t="str">
        <f>VLOOKUP(L3412,'Copy of PMD Workday Constants -'!B3411:W4097,22,false)</f>
        <v>#N/A</v>
      </c>
      <c r="N3412" s="1" t="s">
        <v>32</v>
      </c>
      <c r="O3412" s="1" t="s">
        <v>33</v>
      </c>
      <c r="P3412" s="1" t="s">
        <v>64</v>
      </c>
      <c r="Q3412" s="1" t="s">
        <v>64</v>
      </c>
      <c r="R3412" s="1" t="s">
        <v>65</v>
      </c>
      <c r="T3412" s="1">
        <v>1.00968114E8</v>
      </c>
      <c r="W3412" s="1" t="s">
        <v>56</v>
      </c>
      <c r="X3412" s="1" t="s">
        <v>1188</v>
      </c>
    </row>
    <row r="3413">
      <c r="A3413" s="1" t="s">
        <v>10007</v>
      </c>
      <c r="B3413" s="1" t="s">
        <v>489</v>
      </c>
      <c r="C3413" s="1" t="s">
        <v>10008</v>
      </c>
      <c r="D3413" s="1" t="s">
        <v>51</v>
      </c>
      <c r="E3413" s="1" t="s">
        <v>29</v>
      </c>
      <c r="F3413" s="5">
        <v>250000.0</v>
      </c>
      <c r="G3413" s="1" t="s">
        <v>7016</v>
      </c>
      <c r="H3413" s="4">
        <v>44686.0</v>
      </c>
      <c r="I3413" s="1" t="s">
        <v>152</v>
      </c>
      <c r="K3413" s="1">
        <v>0.0</v>
      </c>
      <c r="L3413" s="1" t="s">
        <v>1039</v>
      </c>
      <c r="M3413" s="1" t="str">
        <f>VLOOKUP(L3413,'Copy of PMD Workday Constants -'!B3412:W4098,22,false)</f>
        <v>#N/A</v>
      </c>
      <c r="N3413" s="1" t="s">
        <v>32</v>
      </c>
      <c r="O3413" s="1" t="s">
        <v>33</v>
      </c>
      <c r="P3413" s="1" t="s">
        <v>112</v>
      </c>
      <c r="Q3413" s="1" t="s">
        <v>112</v>
      </c>
      <c r="R3413" s="1" t="s">
        <v>113</v>
      </c>
      <c r="S3413" s="1" t="s">
        <v>134</v>
      </c>
      <c r="T3413" s="1">
        <v>1.00633489E8</v>
      </c>
      <c r="W3413" s="1" t="s">
        <v>493</v>
      </c>
      <c r="X3413" s="1" t="s">
        <v>494</v>
      </c>
    </row>
    <row r="3414">
      <c r="A3414" s="1" t="s">
        <v>10009</v>
      </c>
      <c r="B3414" s="1" t="s">
        <v>489</v>
      </c>
      <c r="C3414" s="1" t="s">
        <v>10010</v>
      </c>
      <c r="D3414" s="1" t="s">
        <v>28</v>
      </c>
      <c r="E3414" s="1" t="s">
        <v>29</v>
      </c>
      <c r="F3414" s="5">
        <v>250000.0</v>
      </c>
      <c r="G3414" s="1" t="s">
        <v>7016</v>
      </c>
      <c r="H3414" s="4">
        <v>44686.0</v>
      </c>
      <c r="I3414" s="1" t="s">
        <v>302</v>
      </c>
      <c r="K3414" s="1">
        <v>0.0</v>
      </c>
      <c r="L3414" s="1" t="s">
        <v>1039</v>
      </c>
      <c r="M3414" s="1" t="str">
        <f>VLOOKUP(L3414,'Copy of PMD Workday Constants -'!B3413:W4099,22,false)</f>
        <v>#N/A</v>
      </c>
      <c r="N3414" s="1" t="s">
        <v>32</v>
      </c>
      <c r="O3414" s="1" t="s">
        <v>33</v>
      </c>
      <c r="P3414" s="1" t="s">
        <v>112</v>
      </c>
      <c r="Q3414" s="1" t="s">
        <v>112</v>
      </c>
      <c r="R3414" s="1" t="s">
        <v>113</v>
      </c>
      <c r="S3414" s="1" t="s">
        <v>134</v>
      </c>
      <c r="T3414" s="1">
        <v>1.00633489E8</v>
      </c>
      <c r="W3414" s="1" t="s">
        <v>493</v>
      </c>
      <c r="X3414" s="1" t="s">
        <v>494</v>
      </c>
    </row>
    <row r="3415">
      <c r="A3415" s="1" t="s">
        <v>10011</v>
      </c>
      <c r="B3415" s="1" t="s">
        <v>9072</v>
      </c>
      <c r="C3415" s="1" t="s">
        <v>10012</v>
      </c>
      <c r="D3415" s="1" t="s">
        <v>103</v>
      </c>
      <c r="E3415" s="1" t="s">
        <v>29</v>
      </c>
      <c r="F3415" s="5">
        <v>250000.0</v>
      </c>
      <c r="G3415" s="1" t="s">
        <v>7016</v>
      </c>
      <c r="H3415" s="1" t="s">
        <v>795</v>
      </c>
      <c r="I3415" s="1" t="s">
        <v>732</v>
      </c>
      <c r="K3415" s="1">
        <v>0.0</v>
      </c>
      <c r="L3415" s="1" t="s">
        <v>209</v>
      </c>
      <c r="M3415" s="1" t="str">
        <f>VLOOKUP(L3415,'Copy of PMD Workday Constants -'!B3414:W4100,22,false)</f>
        <v>#N/A</v>
      </c>
      <c r="N3415" s="1" t="s">
        <v>32</v>
      </c>
      <c r="O3415" s="1" t="s">
        <v>33</v>
      </c>
      <c r="P3415" s="1" t="s">
        <v>210</v>
      </c>
      <c r="Q3415" s="1" t="s">
        <v>210</v>
      </c>
      <c r="R3415" s="1" t="s">
        <v>211</v>
      </c>
      <c r="S3415" s="1" t="s">
        <v>212</v>
      </c>
      <c r="T3415" s="1">
        <v>1.00628186E8</v>
      </c>
      <c r="W3415" s="1" t="s">
        <v>56</v>
      </c>
      <c r="X3415" s="1" t="s">
        <v>10013</v>
      </c>
    </row>
    <row r="3416">
      <c r="A3416" s="1" t="s">
        <v>10014</v>
      </c>
      <c r="B3416" s="1" t="s">
        <v>3270</v>
      </c>
      <c r="C3416" s="1" t="s">
        <v>10015</v>
      </c>
      <c r="D3416" s="1" t="s">
        <v>51</v>
      </c>
      <c r="E3416" s="1" t="s">
        <v>29</v>
      </c>
      <c r="F3416" s="5">
        <v>250000.0</v>
      </c>
      <c r="G3416" s="1" t="s">
        <v>7016</v>
      </c>
      <c r="H3416" s="4">
        <v>44866.0</v>
      </c>
      <c r="I3416" s="1" t="s">
        <v>152</v>
      </c>
      <c r="K3416" s="1">
        <v>0.0</v>
      </c>
      <c r="L3416" s="1" t="s">
        <v>1278</v>
      </c>
      <c r="M3416" s="1" t="str">
        <f>VLOOKUP(L3416,'Copy of PMD Workday Constants -'!B3415:W4101,22,false)</f>
        <v>#N/A</v>
      </c>
      <c r="N3416" s="1" t="s">
        <v>32</v>
      </c>
      <c r="O3416" s="1" t="s">
        <v>33</v>
      </c>
      <c r="P3416" s="1" t="s">
        <v>112</v>
      </c>
      <c r="Q3416" s="1" t="s">
        <v>112</v>
      </c>
      <c r="R3416" s="1" t="s">
        <v>113</v>
      </c>
      <c r="T3416" s="1">
        <v>1.00626753E8</v>
      </c>
      <c r="W3416" s="1" t="s">
        <v>74</v>
      </c>
      <c r="X3416" s="1" t="s">
        <v>1278</v>
      </c>
    </row>
    <row r="3417">
      <c r="A3417" s="1" t="s">
        <v>10016</v>
      </c>
      <c r="B3417" s="1" t="s">
        <v>996</v>
      </c>
      <c r="C3417" s="1" t="s">
        <v>10017</v>
      </c>
      <c r="D3417" s="1" t="s">
        <v>28</v>
      </c>
      <c r="E3417" s="1" t="s">
        <v>29</v>
      </c>
      <c r="F3417" s="5">
        <v>250000.0</v>
      </c>
      <c r="G3417" s="1" t="s">
        <v>7016</v>
      </c>
      <c r="H3417" s="1" t="s">
        <v>10018</v>
      </c>
      <c r="I3417" s="1" t="s">
        <v>1281</v>
      </c>
      <c r="K3417" s="1">
        <v>0.0</v>
      </c>
      <c r="L3417" s="1" t="s">
        <v>1413</v>
      </c>
      <c r="M3417" s="1" t="str">
        <f>VLOOKUP(L3417,'Copy of PMD Workday Constants -'!B3416:W4102,22,false)</f>
        <v>#N/A</v>
      </c>
      <c r="N3417" s="1" t="s">
        <v>32</v>
      </c>
      <c r="O3417" s="1" t="s">
        <v>33</v>
      </c>
      <c r="P3417" s="1" t="s">
        <v>34</v>
      </c>
      <c r="Q3417" s="1" t="s">
        <v>34</v>
      </c>
      <c r="R3417" s="1" t="s">
        <v>35</v>
      </c>
      <c r="S3417" s="1" t="s">
        <v>126</v>
      </c>
      <c r="T3417" s="1">
        <v>1.00643044E8</v>
      </c>
      <c r="W3417" s="1" t="s">
        <v>391</v>
      </c>
      <c r="X3417" s="1" t="s">
        <v>1413</v>
      </c>
    </row>
    <row r="3418">
      <c r="A3418" s="1" t="s">
        <v>10019</v>
      </c>
      <c r="B3418" s="1" t="s">
        <v>10020</v>
      </c>
      <c r="C3418" s="1" t="s">
        <v>10021</v>
      </c>
      <c r="D3418" s="1" t="s">
        <v>51</v>
      </c>
      <c r="E3418" s="1" t="s">
        <v>29</v>
      </c>
      <c r="F3418" s="5">
        <v>250000.0</v>
      </c>
      <c r="G3418" s="1" t="s">
        <v>7016</v>
      </c>
      <c r="H3418" s="4">
        <v>44870.0</v>
      </c>
      <c r="I3418" s="1" t="s">
        <v>80</v>
      </c>
      <c r="K3418" s="1">
        <v>0.0</v>
      </c>
      <c r="L3418" s="1" t="s">
        <v>7227</v>
      </c>
      <c r="M3418" s="1" t="str">
        <f>VLOOKUP(L3418,'Copy of PMD Workday Constants -'!B3417:W4103,22,false)</f>
        <v>#N/A</v>
      </c>
      <c r="N3418" s="1" t="s">
        <v>32</v>
      </c>
      <c r="O3418" s="1" t="s">
        <v>33</v>
      </c>
      <c r="P3418" s="1" t="s">
        <v>222</v>
      </c>
      <c r="Q3418" s="1" t="s">
        <v>222</v>
      </c>
      <c r="R3418" s="1" t="s">
        <v>223</v>
      </c>
      <c r="T3418" s="1">
        <v>1.01120172E8</v>
      </c>
      <c r="W3418" s="1" t="s">
        <v>250</v>
      </c>
      <c r="X3418" s="1" t="s">
        <v>7227</v>
      </c>
    </row>
    <row r="3419">
      <c r="A3419" s="1" t="s">
        <v>10022</v>
      </c>
      <c r="B3419" s="1" t="s">
        <v>2236</v>
      </c>
      <c r="C3419" s="1" t="s">
        <v>10023</v>
      </c>
      <c r="D3419" s="1" t="s">
        <v>51</v>
      </c>
      <c r="E3419" s="1" t="s">
        <v>29</v>
      </c>
      <c r="F3419" s="5">
        <v>250000.0</v>
      </c>
      <c r="G3419" s="1" t="s">
        <v>7016</v>
      </c>
      <c r="H3419" s="4">
        <v>44809.0</v>
      </c>
      <c r="I3419" s="1" t="s">
        <v>104</v>
      </c>
      <c r="K3419" s="1">
        <v>0.0</v>
      </c>
      <c r="L3419" s="1" t="s">
        <v>255</v>
      </c>
      <c r="M3419" s="1" t="str">
        <f>VLOOKUP(L3419,'Copy of PMD Workday Constants -'!B3418:W4104,22,false)</f>
        <v>#N/A</v>
      </c>
      <c r="N3419" s="1" t="s">
        <v>32</v>
      </c>
      <c r="O3419" s="1" t="s">
        <v>33</v>
      </c>
      <c r="P3419" s="1" t="s">
        <v>112</v>
      </c>
      <c r="Q3419" s="1" t="s">
        <v>112</v>
      </c>
      <c r="R3419" s="1" t="s">
        <v>113</v>
      </c>
      <c r="S3419" s="1" t="s">
        <v>256</v>
      </c>
      <c r="T3419" s="1">
        <v>1.00659114E8</v>
      </c>
      <c r="W3419" s="1" t="s">
        <v>258</v>
      </c>
      <c r="X3419" s="1" t="s">
        <v>2238</v>
      </c>
    </row>
    <row r="3420">
      <c r="A3420" s="1" t="s">
        <v>10024</v>
      </c>
      <c r="B3420" s="1" t="s">
        <v>1817</v>
      </c>
      <c r="C3420" s="1" t="s">
        <v>10025</v>
      </c>
      <c r="D3420" s="1" t="s">
        <v>51</v>
      </c>
      <c r="E3420" s="1" t="s">
        <v>29</v>
      </c>
      <c r="F3420" s="5">
        <v>250000.0</v>
      </c>
      <c r="G3420" s="1" t="s">
        <v>7016</v>
      </c>
      <c r="H3420" s="4">
        <v>44533.0</v>
      </c>
      <c r="I3420" s="1" t="s">
        <v>302</v>
      </c>
      <c r="J3420" s="1" t="s">
        <v>10026</v>
      </c>
      <c r="K3420" s="1">
        <v>0.0</v>
      </c>
      <c r="L3420" s="1" t="s">
        <v>3917</v>
      </c>
      <c r="M3420" s="1" t="str">
        <f>VLOOKUP(L3420,'Copy of PMD Workday Constants -'!B3419:W4105,22,false)</f>
        <v>#N/A</v>
      </c>
      <c r="N3420" s="1" t="s">
        <v>32</v>
      </c>
      <c r="O3420" s="1" t="s">
        <v>33</v>
      </c>
      <c r="P3420" s="1" t="s">
        <v>82</v>
      </c>
      <c r="Q3420" s="1" t="s">
        <v>82</v>
      </c>
      <c r="R3420" s="1" t="s">
        <v>83</v>
      </c>
      <c r="S3420" s="1" t="s">
        <v>180</v>
      </c>
      <c r="T3420" s="1">
        <v>1.00611547E8</v>
      </c>
      <c r="W3420" s="1" t="s">
        <v>85</v>
      </c>
      <c r="X3420" s="1" t="s">
        <v>3917</v>
      </c>
    </row>
    <row r="3421">
      <c r="A3421" s="1" t="s">
        <v>10027</v>
      </c>
      <c r="B3421" s="1" t="s">
        <v>1112</v>
      </c>
      <c r="C3421" s="1" t="s">
        <v>10028</v>
      </c>
      <c r="D3421" s="1" t="s">
        <v>28</v>
      </c>
      <c r="E3421" s="1" t="s">
        <v>29</v>
      </c>
      <c r="F3421" s="5">
        <v>250000.0</v>
      </c>
      <c r="G3421" s="1" t="s">
        <v>7016</v>
      </c>
      <c r="H3421" s="1" t="s">
        <v>10029</v>
      </c>
      <c r="I3421" s="1" t="s">
        <v>152</v>
      </c>
      <c r="K3421" s="1">
        <v>0.0</v>
      </c>
      <c r="L3421" s="1" t="s">
        <v>53</v>
      </c>
      <c r="M3421" s="1" t="str">
        <f>VLOOKUP(L3421,'Copy of PMD Workday Constants -'!B3420:W4106,22,false)</f>
        <v>#N/A</v>
      </c>
      <c r="N3421" s="1" t="s">
        <v>32</v>
      </c>
      <c r="O3421" s="1" t="s">
        <v>33</v>
      </c>
      <c r="P3421" s="1" t="s">
        <v>54</v>
      </c>
      <c r="Q3421" s="1" t="s">
        <v>54</v>
      </c>
      <c r="R3421" s="1" t="s">
        <v>55</v>
      </c>
      <c r="S3421" s="1" t="s">
        <v>654</v>
      </c>
      <c r="T3421" s="1">
        <v>1.00690767E8</v>
      </c>
      <c r="W3421" s="1" t="s">
        <v>56</v>
      </c>
      <c r="X3421" s="1" t="s">
        <v>1266</v>
      </c>
    </row>
    <row r="3422">
      <c r="A3422" s="1" t="s">
        <v>10030</v>
      </c>
      <c r="B3422" s="1" t="s">
        <v>1373</v>
      </c>
      <c r="C3422" s="1" t="s">
        <v>10031</v>
      </c>
      <c r="D3422" s="1" t="s">
        <v>79</v>
      </c>
      <c r="E3422" s="1" t="s">
        <v>29</v>
      </c>
      <c r="F3422" s="5">
        <v>250000.0</v>
      </c>
      <c r="G3422" s="1" t="s">
        <v>7016</v>
      </c>
      <c r="H3422" s="4">
        <v>44686.0</v>
      </c>
      <c r="I3422" s="4">
        <v>44809.0</v>
      </c>
      <c r="K3422" s="1">
        <v>0.0</v>
      </c>
      <c r="L3422" s="1" t="s">
        <v>4699</v>
      </c>
      <c r="M3422" s="1" t="str">
        <f>VLOOKUP(L3422,'Copy of PMD Workday Constants -'!B3421:W4107,22,false)</f>
        <v>#N/A</v>
      </c>
      <c r="N3422" s="1" t="s">
        <v>32</v>
      </c>
      <c r="O3422" s="1" t="s">
        <v>33</v>
      </c>
      <c r="P3422" s="1" t="s">
        <v>222</v>
      </c>
      <c r="Q3422" s="1" t="s">
        <v>222</v>
      </c>
      <c r="R3422" s="1" t="s">
        <v>223</v>
      </c>
      <c r="S3422" s="1" t="s">
        <v>646</v>
      </c>
      <c r="T3422" s="1">
        <v>1.00986592E8</v>
      </c>
      <c r="W3422" s="1" t="s">
        <v>74</v>
      </c>
      <c r="X3422" s="1" t="s">
        <v>4822</v>
      </c>
    </row>
    <row r="3423">
      <c r="A3423" s="1" t="s">
        <v>10032</v>
      </c>
      <c r="B3423" s="1" t="s">
        <v>129</v>
      </c>
      <c r="C3423" s="1" t="s">
        <v>10033</v>
      </c>
      <c r="D3423" s="1" t="s">
        <v>51</v>
      </c>
      <c r="E3423" s="1" t="s">
        <v>29</v>
      </c>
      <c r="F3423" s="5">
        <v>250000.0</v>
      </c>
      <c r="G3423" s="1" t="s">
        <v>7016</v>
      </c>
      <c r="H3423" s="4">
        <v>44327.0</v>
      </c>
      <c r="I3423" s="1" t="s">
        <v>301</v>
      </c>
      <c r="K3423" s="1">
        <v>0.0</v>
      </c>
      <c r="L3423" s="1" t="s">
        <v>2093</v>
      </c>
      <c r="M3423" s="1" t="str">
        <f>VLOOKUP(L3423,'Copy of PMD Workday Constants -'!B3422:W4108,22,false)</f>
        <v>#N/A</v>
      </c>
      <c r="N3423" s="1" t="s">
        <v>32</v>
      </c>
      <c r="O3423" s="1" t="s">
        <v>33</v>
      </c>
      <c r="P3423" s="1" t="s">
        <v>222</v>
      </c>
      <c r="Q3423" s="1" t="s">
        <v>222</v>
      </c>
      <c r="R3423" s="1" t="s">
        <v>223</v>
      </c>
      <c r="S3423" s="1" t="s">
        <v>646</v>
      </c>
      <c r="T3423" s="1">
        <v>1.00612055E8</v>
      </c>
      <c r="W3423" s="1" t="s">
        <v>74</v>
      </c>
      <c r="X3423" s="1" t="s">
        <v>2093</v>
      </c>
    </row>
    <row r="3424">
      <c r="A3424" s="1" t="s">
        <v>10034</v>
      </c>
      <c r="B3424" s="1" t="s">
        <v>317</v>
      </c>
      <c r="C3424" s="1" t="s">
        <v>10035</v>
      </c>
      <c r="D3424" s="1" t="s">
        <v>51</v>
      </c>
      <c r="E3424" s="1" t="s">
        <v>29</v>
      </c>
      <c r="F3424" s="5">
        <v>250000.0</v>
      </c>
      <c r="G3424" s="1" t="s">
        <v>7016</v>
      </c>
      <c r="H3424" s="1" t="s">
        <v>3574</v>
      </c>
      <c r="I3424" s="1" t="s">
        <v>80</v>
      </c>
      <c r="K3424" s="1">
        <v>0.0</v>
      </c>
      <c r="L3424" s="1" t="s">
        <v>1697</v>
      </c>
      <c r="M3424" s="1" t="str">
        <f>VLOOKUP(L3424,'Copy of PMD Workday Constants -'!B3423:W4109,22,false)</f>
        <v>#N/A</v>
      </c>
      <c r="N3424" s="1" t="s">
        <v>32</v>
      </c>
      <c r="O3424" s="1" t="s">
        <v>33</v>
      </c>
      <c r="P3424" s="1" t="s">
        <v>82</v>
      </c>
      <c r="Q3424" s="1" t="s">
        <v>82</v>
      </c>
      <c r="R3424" s="1" t="s">
        <v>83</v>
      </c>
      <c r="S3424" s="1" t="s">
        <v>84</v>
      </c>
      <c r="T3424" s="1">
        <v>1.00589728E8</v>
      </c>
      <c r="W3424" s="1" t="s">
        <v>85</v>
      </c>
      <c r="X3424" s="1" t="s">
        <v>1697</v>
      </c>
    </row>
    <row r="3425">
      <c r="A3425" s="1" t="s">
        <v>10036</v>
      </c>
      <c r="B3425" s="1" t="s">
        <v>10037</v>
      </c>
      <c r="C3425" s="1" t="s">
        <v>10038</v>
      </c>
      <c r="D3425" s="1" t="s">
        <v>28</v>
      </c>
      <c r="E3425" s="1" t="s">
        <v>29</v>
      </c>
      <c r="F3425" s="5">
        <v>250000.0</v>
      </c>
      <c r="G3425" s="1" t="s">
        <v>7016</v>
      </c>
      <c r="H3425" s="4">
        <v>44686.0</v>
      </c>
      <c r="I3425" s="4">
        <v>44751.0</v>
      </c>
      <c r="K3425" s="1">
        <v>0.0</v>
      </c>
      <c r="L3425" s="1" t="s">
        <v>3476</v>
      </c>
      <c r="M3425" s="1" t="str">
        <f>VLOOKUP(L3425,'Copy of PMD Workday Constants -'!B3424:W4110,22,false)</f>
        <v>#N/A</v>
      </c>
      <c r="N3425" s="1" t="s">
        <v>32</v>
      </c>
      <c r="O3425" s="1" t="s">
        <v>33</v>
      </c>
      <c r="P3425" s="1" t="s">
        <v>112</v>
      </c>
      <c r="Q3425" s="1" t="s">
        <v>112</v>
      </c>
      <c r="R3425" s="1" t="s">
        <v>113</v>
      </c>
      <c r="S3425" s="1" t="s">
        <v>114</v>
      </c>
      <c r="T3425" s="1">
        <v>1.00702554E8</v>
      </c>
      <c r="W3425" s="1" t="s">
        <v>1303</v>
      </c>
      <c r="X3425" s="1" t="s">
        <v>3476</v>
      </c>
    </row>
    <row r="3426">
      <c r="A3426" s="1" t="s">
        <v>10039</v>
      </c>
      <c r="B3426" s="1" t="s">
        <v>1154</v>
      </c>
      <c r="C3426" s="1" t="s">
        <v>10040</v>
      </c>
      <c r="D3426" s="1" t="s">
        <v>28</v>
      </c>
      <c r="E3426" s="1" t="s">
        <v>29</v>
      </c>
      <c r="F3426" s="5">
        <v>250000.0</v>
      </c>
      <c r="G3426" s="1" t="s">
        <v>7016</v>
      </c>
      <c r="H3426" s="4">
        <v>44840.0</v>
      </c>
      <c r="I3426" s="1" t="s">
        <v>264</v>
      </c>
      <c r="K3426" s="1">
        <v>0.0</v>
      </c>
      <c r="L3426" s="1" t="s">
        <v>1151</v>
      </c>
      <c r="M3426" s="1" t="str">
        <f>VLOOKUP(L3426,'Copy of PMD Workday Constants -'!B3425:W4111,22,false)</f>
        <v>#N/A</v>
      </c>
      <c r="N3426" s="1" t="s">
        <v>32</v>
      </c>
      <c r="O3426" s="1" t="s">
        <v>33</v>
      </c>
      <c r="P3426" s="1" t="s">
        <v>173</v>
      </c>
      <c r="Q3426" s="1" t="s">
        <v>173</v>
      </c>
      <c r="R3426" s="1" t="s">
        <v>174</v>
      </c>
      <c r="S3426" s="1" t="s">
        <v>612</v>
      </c>
      <c r="T3426" s="1">
        <v>1.00654991E8</v>
      </c>
      <c r="W3426" s="1" t="s">
        <v>947</v>
      </c>
      <c r="X3426" s="1" t="s">
        <v>4072</v>
      </c>
    </row>
    <row r="3427">
      <c r="A3427" s="1" t="s">
        <v>10041</v>
      </c>
      <c r="B3427" s="1" t="s">
        <v>4467</v>
      </c>
      <c r="C3427" s="1" t="s">
        <v>10042</v>
      </c>
      <c r="D3427" s="1" t="s">
        <v>28</v>
      </c>
      <c r="E3427" s="1" t="s">
        <v>29</v>
      </c>
      <c r="F3427" s="5">
        <v>250000.0</v>
      </c>
      <c r="G3427" s="1" t="s">
        <v>7016</v>
      </c>
      <c r="H3427" s="1" t="s">
        <v>1650</v>
      </c>
      <c r="I3427" s="1" t="s">
        <v>80</v>
      </c>
      <c r="K3427" s="1">
        <v>0.0</v>
      </c>
      <c r="L3427" s="1" t="s">
        <v>1198</v>
      </c>
      <c r="M3427" s="1" t="str">
        <f>VLOOKUP(L3427,'Copy of PMD Workday Constants -'!B3426:W4112,22,false)</f>
        <v>#N/A</v>
      </c>
      <c r="N3427" s="1" t="s">
        <v>32</v>
      </c>
      <c r="O3427" s="1" t="s">
        <v>33</v>
      </c>
      <c r="P3427" s="1" t="s">
        <v>64</v>
      </c>
      <c r="Q3427" s="1" t="s">
        <v>64</v>
      </c>
      <c r="R3427" s="1" t="s">
        <v>65</v>
      </c>
      <c r="T3427" s="1">
        <v>1.01127868E8</v>
      </c>
      <c r="W3427" s="1" t="s">
        <v>308</v>
      </c>
      <c r="X3427" s="1" t="s">
        <v>2197</v>
      </c>
    </row>
    <row r="3428">
      <c r="A3428" s="1" t="s">
        <v>10043</v>
      </c>
      <c r="B3428" s="1" t="s">
        <v>9050</v>
      </c>
      <c r="C3428" s="1" t="s">
        <v>10044</v>
      </c>
      <c r="D3428" s="1" t="s">
        <v>28</v>
      </c>
      <c r="E3428" s="1" t="s">
        <v>29</v>
      </c>
      <c r="F3428" s="5">
        <v>250000.0</v>
      </c>
      <c r="G3428" s="1" t="s">
        <v>7016</v>
      </c>
      <c r="H3428" s="1" t="s">
        <v>698</v>
      </c>
      <c r="I3428" s="1" t="s">
        <v>10045</v>
      </c>
      <c r="K3428" s="1">
        <v>0.0</v>
      </c>
      <c r="L3428" s="1" t="s">
        <v>10046</v>
      </c>
      <c r="M3428" s="1" t="str">
        <f>VLOOKUP(L3428,'Copy of PMD Workday Constants -'!B3427:W4113,22,false)</f>
        <v>#N/A</v>
      </c>
      <c r="N3428" s="1" t="s">
        <v>32</v>
      </c>
      <c r="O3428" s="1" t="s">
        <v>33</v>
      </c>
      <c r="P3428" s="1" t="s">
        <v>82</v>
      </c>
      <c r="Q3428" s="1" t="s">
        <v>82</v>
      </c>
      <c r="R3428" s="1" t="s">
        <v>83</v>
      </c>
      <c r="T3428" s="1">
        <v>1.00623906E8</v>
      </c>
      <c r="W3428" s="1" t="s">
        <v>2098</v>
      </c>
      <c r="X3428" s="1" t="s">
        <v>9112</v>
      </c>
    </row>
    <row r="3429">
      <c r="A3429" s="1" t="s">
        <v>10047</v>
      </c>
      <c r="B3429" s="1" t="s">
        <v>6453</v>
      </c>
      <c r="C3429" s="1" t="s">
        <v>10048</v>
      </c>
      <c r="D3429" s="1" t="s">
        <v>28</v>
      </c>
      <c r="E3429" s="1" t="s">
        <v>29</v>
      </c>
      <c r="F3429" s="5">
        <v>250000.0</v>
      </c>
      <c r="G3429" s="1" t="s">
        <v>7016</v>
      </c>
      <c r="H3429" s="4">
        <v>44418.0</v>
      </c>
      <c r="I3429" s="1" t="s">
        <v>191</v>
      </c>
      <c r="K3429" s="1">
        <v>0.0</v>
      </c>
      <c r="L3429" s="1" t="s">
        <v>2547</v>
      </c>
      <c r="M3429" s="1" t="str">
        <f>VLOOKUP(L3429,'Copy of PMD Workday Constants -'!B3428:W4114,22,false)</f>
        <v>#N/A</v>
      </c>
      <c r="N3429" s="1" t="s">
        <v>32</v>
      </c>
      <c r="O3429" s="1" t="s">
        <v>33</v>
      </c>
      <c r="P3429" s="1" t="s">
        <v>64</v>
      </c>
      <c r="Q3429" s="1" t="s">
        <v>64</v>
      </c>
      <c r="R3429" s="1" t="s">
        <v>65</v>
      </c>
      <c r="S3429" s="1" t="s">
        <v>185</v>
      </c>
      <c r="T3429" s="1">
        <v>1.00592932E8</v>
      </c>
      <c r="W3429" s="1" t="s">
        <v>250</v>
      </c>
      <c r="X3429" s="1" t="s">
        <v>2547</v>
      </c>
    </row>
    <row r="3430">
      <c r="A3430" s="1" t="s">
        <v>10049</v>
      </c>
      <c r="B3430" s="1" t="s">
        <v>1305</v>
      </c>
      <c r="C3430" s="1" t="s">
        <v>10050</v>
      </c>
      <c r="D3430" s="1" t="s">
        <v>28</v>
      </c>
      <c r="E3430" s="1" t="s">
        <v>29</v>
      </c>
      <c r="F3430" s="5">
        <v>250000.0</v>
      </c>
      <c r="G3430" s="1" t="s">
        <v>7016</v>
      </c>
      <c r="H3430" s="4">
        <v>44868.0</v>
      </c>
      <c r="I3430" s="1" t="s">
        <v>400</v>
      </c>
      <c r="K3430" s="1">
        <v>0.0</v>
      </c>
      <c r="L3430" s="1" t="s">
        <v>582</v>
      </c>
      <c r="M3430" s="1" t="str">
        <f>VLOOKUP(L3430,'Copy of PMD Workday Constants -'!B3429:W4115,22,false)</f>
        <v>#N/A</v>
      </c>
      <c r="N3430" s="1" t="s">
        <v>32</v>
      </c>
      <c r="O3430" s="1" t="s">
        <v>33</v>
      </c>
      <c r="P3430" s="1" t="s">
        <v>82</v>
      </c>
      <c r="Q3430" s="1" t="s">
        <v>82</v>
      </c>
      <c r="R3430" s="1" t="s">
        <v>83</v>
      </c>
      <c r="S3430" s="1" t="s">
        <v>583</v>
      </c>
      <c r="T3430" s="1">
        <v>1.00869732E8</v>
      </c>
      <c r="W3430" s="1" t="s">
        <v>456</v>
      </c>
      <c r="X3430" s="1" t="s">
        <v>1781</v>
      </c>
    </row>
    <row r="3431">
      <c r="A3431" s="1" t="s">
        <v>10051</v>
      </c>
      <c r="B3431" s="1" t="s">
        <v>2079</v>
      </c>
      <c r="C3431" s="1" t="s">
        <v>10052</v>
      </c>
      <c r="D3431" s="1" t="s">
        <v>28</v>
      </c>
      <c r="E3431" s="1" t="s">
        <v>29</v>
      </c>
      <c r="F3431" s="5">
        <v>250000.0</v>
      </c>
      <c r="G3431" s="1" t="s">
        <v>7016</v>
      </c>
      <c r="H3431" s="1" t="s">
        <v>3513</v>
      </c>
      <c r="I3431" s="1" t="s">
        <v>132</v>
      </c>
      <c r="K3431" s="1">
        <v>0.0</v>
      </c>
      <c r="L3431" s="1" t="s">
        <v>146</v>
      </c>
      <c r="M3431" s="1" t="str">
        <f>VLOOKUP(L3431,'Copy of PMD Workday Constants -'!B3430:W4116,22,false)</f>
        <v>#N/A</v>
      </c>
      <c r="N3431" s="1" t="s">
        <v>32</v>
      </c>
      <c r="O3431" s="1" t="s">
        <v>33</v>
      </c>
      <c r="P3431" s="1" t="s">
        <v>64</v>
      </c>
      <c r="Q3431" s="1" t="s">
        <v>64</v>
      </c>
      <c r="R3431" s="1" t="s">
        <v>65</v>
      </c>
      <c r="T3431" s="1">
        <v>1.00651441E8</v>
      </c>
      <c r="W3431" s="1" t="s">
        <v>258</v>
      </c>
      <c r="X3431" s="1" t="s">
        <v>3905</v>
      </c>
    </row>
    <row r="3432">
      <c r="A3432" s="1" t="s">
        <v>10053</v>
      </c>
      <c r="B3432" s="1" t="s">
        <v>5784</v>
      </c>
      <c r="C3432" s="1" t="s">
        <v>10054</v>
      </c>
      <c r="D3432" s="1" t="s">
        <v>103</v>
      </c>
      <c r="E3432" s="1" t="s">
        <v>29</v>
      </c>
      <c r="F3432" s="5">
        <v>250000.0</v>
      </c>
      <c r="G3432" s="1" t="s">
        <v>7016</v>
      </c>
      <c r="H3432" s="1" t="s">
        <v>2484</v>
      </c>
      <c r="I3432" s="1" t="s">
        <v>104</v>
      </c>
      <c r="K3432" s="1">
        <v>0.0</v>
      </c>
      <c r="L3432" s="1" t="s">
        <v>1396</v>
      </c>
      <c r="M3432" s="1" t="str">
        <f>VLOOKUP(L3432,'Copy of PMD Workday Constants -'!B3431:W4117,22,false)</f>
        <v>#N/A</v>
      </c>
      <c r="N3432" s="1" t="s">
        <v>32</v>
      </c>
      <c r="O3432" s="1" t="s">
        <v>33</v>
      </c>
      <c r="P3432" s="1" t="s">
        <v>222</v>
      </c>
      <c r="Q3432" s="1" t="s">
        <v>222</v>
      </c>
      <c r="R3432" s="1" t="s">
        <v>223</v>
      </c>
      <c r="S3432" s="1" t="s">
        <v>646</v>
      </c>
      <c r="T3432" s="1">
        <v>1.00609118E8</v>
      </c>
      <c r="W3432" s="1" t="s">
        <v>456</v>
      </c>
      <c r="X3432" s="1" t="s">
        <v>1396</v>
      </c>
    </row>
    <row r="3433">
      <c r="A3433" s="1" t="s">
        <v>10055</v>
      </c>
      <c r="B3433" s="1" t="s">
        <v>10001</v>
      </c>
      <c r="C3433" s="1" t="s">
        <v>10056</v>
      </c>
      <c r="D3433" s="1" t="s">
        <v>28</v>
      </c>
      <c r="E3433" s="1" t="s">
        <v>29</v>
      </c>
      <c r="F3433" s="5">
        <v>250000.0</v>
      </c>
      <c r="G3433" s="1" t="s">
        <v>7016</v>
      </c>
      <c r="H3433" s="4">
        <v>44713.0</v>
      </c>
      <c r="I3433" s="1" t="s">
        <v>414</v>
      </c>
      <c r="K3433" s="1">
        <v>0.0</v>
      </c>
      <c r="L3433" s="1" t="s">
        <v>5224</v>
      </c>
      <c r="M3433" s="1" t="str">
        <f>VLOOKUP(L3433,'Copy of PMD Workday Constants -'!B3432:W4118,22,false)</f>
        <v>#N/A</v>
      </c>
      <c r="N3433" s="1" t="s">
        <v>32</v>
      </c>
      <c r="O3433" s="1" t="s">
        <v>33</v>
      </c>
      <c r="P3433" s="1" t="s">
        <v>222</v>
      </c>
      <c r="Q3433" s="1" t="s">
        <v>222</v>
      </c>
      <c r="R3433" s="1" t="s">
        <v>223</v>
      </c>
      <c r="S3433" s="1" t="s">
        <v>601</v>
      </c>
      <c r="T3433" s="1">
        <v>1.01093737E8</v>
      </c>
      <c r="W3433" s="1" t="s">
        <v>147</v>
      </c>
      <c r="X3433" s="1" t="s">
        <v>5224</v>
      </c>
    </row>
    <row r="3434">
      <c r="A3434" s="1" t="s">
        <v>10057</v>
      </c>
      <c r="B3434" s="1" t="s">
        <v>580</v>
      </c>
      <c r="C3434" s="1" t="s">
        <v>10058</v>
      </c>
      <c r="D3434" s="1" t="s">
        <v>28</v>
      </c>
      <c r="E3434" s="1" t="s">
        <v>29</v>
      </c>
      <c r="F3434" s="5">
        <v>250000.0</v>
      </c>
      <c r="G3434" s="1" t="s">
        <v>7016</v>
      </c>
      <c r="H3434" s="4">
        <v>44868.0</v>
      </c>
      <c r="I3434" s="1" t="s">
        <v>406</v>
      </c>
      <c r="K3434" s="1">
        <v>0.0</v>
      </c>
      <c r="L3434" s="1" t="s">
        <v>582</v>
      </c>
      <c r="M3434" s="1" t="str">
        <f>VLOOKUP(L3434,'Copy of PMD Workday Constants -'!B3433:W4119,22,false)</f>
        <v>#N/A</v>
      </c>
      <c r="N3434" s="1" t="s">
        <v>32</v>
      </c>
      <c r="O3434" s="1" t="s">
        <v>33</v>
      </c>
      <c r="P3434" s="1" t="s">
        <v>82</v>
      </c>
      <c r="Q3434" s="1" t="s">
        <v>82</v>
      </c>
      <c r="R3434" s="1" t="s">
        <v>83</v>
      </c>
      <c r="S3434" s="1" t="s">
        <v>583</v>
      </c>
      <c r="T3434" s="1">
        <v>1.00869732E8</v>
      </c>
      <c r="W3434" s="1" t="s">
        <v>456</v>
      </c>
      <c r="X3434" s="1" t="s">
        <v>1781</v>
      </c>
    </row>
    <row r="3435">
      <c r="A3435" s="1" t="s">
        <v>10059</v>
      </c>
      <c r="B3435" s="1" t="s">
        <v>1483</v>
      </c>
      <c r="C3435" s="1" t="s">
        <v>10050</v>
      </c>
      <c r="D3435" s="1" t="s">
        <v>51</v>
      </c>
      <c r="E3435" s="1" t="s">
        <v>29</v>
      </c>
      <c r="F3435" s="5">
        <v>250000.0</v>
      </c>
      <c r="G3435" s="1" t="s">
        <v>7016</v>
      </c>
      <c r="H3435" s="4">
        <v>44868.0</v>
      </c>
      <c r="I3435" s="1" t="s">
        <v>1533</v>
      </c>
      <c r="K3435" s="1">
        <v>0.0</v>
      </c>
      <c r="L3435" s="1" t="s">
        <v>582</v>
      </c>
      <c r="M3435" s="1" t="str">
        <f>VLOOKUP(L3435,'Copy of PMD Workday Constants -'!B3434:W4120,22,false)</f>
        <v>#N/A</v>
      </c>
      <c r="N3435" s="1" t="s">
        <v>32</v>
      </c>
      <c r="O3435" s="1" t="s">
        <v>33</v>
      </c>
      <c r="P3435" s="1" t="s">
        <v>82</v>
      </c>
      <c r="Q3435" s="1" t="s">
        <v>82</v>
      </c>
      <c r="R3435" s="1" t="s">
        <v>83</v>
      </c>
      <c r="S3435" s="1" t="s">
        <v>583</v>
      </c>
      <c r="T3435" s="1">
        <v>1.00869732E8</v>
      </c>
      <c r="W3435" s="1" t="s">
        <v>456</v>
      </c>
      <c r="X3435" s="1" t="s">
        <v>1781</v>
      </c>
    </row>
    <row r="3436">
      <c r="A3436" s="1" t="s">
        <v>10060</v>
      </c>
      <c r="B3436" s="1" t="s">
        <v>1703</v>
      </c>
      <c r="C3436" s="1" t="s">
        <v>10050</v>
      </c>
      <c r="D3436" s="1" t="s">
        <v>28</v>
      </c>
      <c r="E3436" s="1" t="s">
        <v>29</v>
      </c>
      <c r="F3436" s="5">
        <v>250000.0</v>
      </c>
      <c r="G3436" s="1" t="s">
        <v>7016</v>
      </c>
      <c r="H3436" s="4">
        <v>44868.0</v>
      </c>
      <c r="I3436" s="1" t="s">
        <v>43</v>
      </c>
      <c r="K3436" s="1">
        <v>0.0</v>
      </c>
      <c r="L3436" s="1" t="s">
        <v>582</v>
      </c>
      <c r="M3436" s="1" t="str">
        <f>VLOOKUP(L3436,'Copy of PMD Workday Constants -'!B3435:W4121,22,false)</f>
        <v>#N/A</v>
      </c>
      <c r="N3436" s="1" t="s">
        <v>32</v>
      </c>
      <c r="O3436" s="1" t="s">
        <v>33</v>
      </c>
      <c r="P3436" s="1" t="s">
        <v>82</v>
      </c>
      <c r="Q3436" s="1" t="s">
        <v>82</v>
      </c>
      <c r="R3436" s="1" t="s">
        <v>83</v>
      </c>
      <c r="S3436" s="1" t="s">
        <v>583</v>
      </c>
      <c r="T3436" s="1">
        <v>1.00869732E8</v>
      </c>
      <c r="W3436" s="1" t="s">
        <v>456</v>
      </c>
      <c r="X3436" s="1" t="s">
        <v>1781</v>
      </c>
    </row>
    <row r="3437">
      <c r="A3437" s="1" t="s">
        <v>10061</v>
      </c>
      <c r="B3437" s="1" t="s">
        <v>2257</v>
      </c>
      <c r="C3437" s="1" t="s">
        <v>10050</v>
      </c>
      <c r="D3437" s="1" t="s">
        <v>28</v>
      </c>
      <c r="E3437" s="1" t="s">
        <v>29</v>
      </c>
      <c r="F3437" s="5">
        <v>250000.0</v>
      </c>
      <c r="G3437" s="1" t="s">
        <v>7016</v>
      </c>
      <c r="H3437" s="4">
        <v>44868.0</v>
      </c>
      <c r="I3437" s="1" t="s">
        <v>166</v>
      </c>
      <c r="K3437" s="1">
        <v>0.0</v>
      </c>
      <c r="L3437" s="1" t="s">
        <v>582</v>
      </c>
      <c r="M3437" s="1" t="str">
        <f>VLOOKUP(L3437,'Copy of PMD Workday Constants -'!B3436:W4122,22,false)</f>
        <v>#N/A</v>
      </c>
      <c r="N3437" s="1" t="s">
        <v>32</v>
      </c>
      <c r="O3437" s="1" t="s">
        <v>33</v>
      </c>
      <c r="P3437" s="1" t="s">
        <v>82</v>
      </c>
      <c r="Q3437" s="1" t="s">
        <v>82</v>
      </c>
      <c r="R3437" s="1" t="s">
        <v>83</v>
      </c>
      <c r="S3437" s="1" t="s">
        <v>583</v>
      </c>
      <c r="T3437" s="1">
        <v>1.00869732E8</v>
      </c>
      <c r="W3437" s="1" t="s">
        <v>456</v>
      </c>
      <c r="X3437" s="1" t="s">
        <v>1781</v>
      </c>
    </row>
    <row r="3438">
      <c r="A3438" s="1" t="s">
        <v>10062</v>
      </c>
      <c r="B3438" s="1" t="s">
        <v>2254</v>
      </c>
      <c r="C3438" s="1" t="s">
        <v>10050</v>
      </c>
      <c r="D3438" s="1" t="s">
        <v>28</v>
      </c>
      <c r="E3438" s="1" t="s">
        <v>29</v>
      </c>
      <c r="F3438" s="5">
        <v>250000.0</v>
      </c>
      <c r="G3438" s="1" t="s">
        <v>7016</v>
      </c>
      <c r="H3438" s="4">
        <v>44868.0</v>
      </c>
      <c r="I3438" s="1" t="s">
        <v>264</v>
      </c>
      <c r="K3438" s="1">
        <v>0.0</v>
      </c>
      <c r="L3438" s="1" t="s">
        <v>582</v>
      </c>
      <c r="M3438" s="1" t="str">
        <f>VLOOKUP(L3438,'Copy of PMD Workday Constants -'!B3437:W4123,22,false)</f>
        <v>#N/A</v>
      </c>
      <c r="N3438" s="1" t="s">
        <v>32</v>
      </c>
      <c r="O3438" s="1" t="s">
        <v>33</v>
      </c>
      <c r="P3438" s="1" t="s">
        <v>82</v>
      </c>
      <c r="Q3438" s="1" t="s">
        <v>82</v>
      </c>
      <c r="R3438" s="1" t="s">
        <v>83</v>
      </c>
      <c r="S3438" s="1" t="s">
        <v>583</v>
      </c>
      <c r="T3438" s="1">
        <v>1.00869732E8</v>
      </c>
      <c r="W3438" s="1" t="s">
        <v>456</v>
      </c>
      <c r="X3438" s="1" t="s">
        <v>1781</v>
      </c>
    </row>
    <row r="3439">
      <c r="A3439" s="1" t="s">
        <v>10063</v>
      </c>
      <c r="B3439" s="1" t="s">
        <v>7729</v>
      </c>
      <c r="C3439" s="1" t="s">
        <v>10064</v>
      </c>
      <c r="D3439" s="1" t="s">
        <v>28</v>
      </c>
      <c r="E3439" s="1" t="s">
        <v>29</v>
      </c>
      <c r="F3439" s="5">
        <v>250000.0</v>
      </c>
      <c r="G3439" s="1" t="s">
        <v>7016</v>
      </c>
      <c r="H3439" s="1" t="s">
        <v>1005</v>
      </c>
      <c r="I3439" s="1" t="s">
        <v>406</v>
      </c>
      <c r="K3439" s="1">
        <v>0.0</v>
      </c>
      <c r="L3439" s="1" t="s">
        <v>63</v>
      </c>
      <c r="M3439" s="1" t="str">
        <f>VLOOKUP(L3439,'Copy of PMD Workday Constants -'!B3438:W4124,22,false)</f>
        <v>#N/A</v>
      </c>
      <c r="N3439" s="1" t="s">
        <v>32</v>
      </c>
      <c r="O3439" s="1" t="s">
        <v>33</v>
      </c>
      <c r="P3439" s="1" t="s">
        <v>64</v>
      </c>
      <c r="Q3439" s="1" t="s">
        <v>64</v>
      </c>
      <c r="R3439" s="1" t="s">
        <v>65</v>
      </c>
      <c r="S3439" s="1" t="s">
        <v>66</v>
      </c>
      <c r="T3439" s="1">
        <v>1.01059432E8</v>
      </c>
      <c r="W3439" s="1" t="s">
        <v>308</v>
      </c>
      <c r="X3439" s="1" t="s">
        <v>2197</v>
      </c>
    </row>
    <row r="3440">
      <c r="A3440" s="1" t="s">
        <v>10065</v>
      </c>
      <c r="B3440" s="1" t="s">
        <v>973</v>
      </c>
      <c r="C3440" s="1" t="s">
        <v>10066</v>
      </c>
      <c r="D3440" s="1" t="s">
        <v>28</v>
      </c>
      <c r="E3440" s="1" t="s">
        <v>29</v>
      </c>
      <c r="F3440" s="5">
        <v>250000.0</v>
      </c>
      <c r="G3440" s="1" t="s">
        <v>7016</v>
      </c>
      <c r="H3440" s="1" t="s">
        <v>170</v>
      </c>
      <c r="I3440" s="1" t="s">
        <v>526</v>
      </c>
      <c r="K3440" s="1">
        <v>0.0</v>
      </c>
      <c r="L3440" s="1" t="s">
        <v>2762</v>
      </c>
      <c r="M3440" s="1" t="str">
        <f>VLOOKUP(L3440,'Copy of PMD Workday Constants -'!B3439:W4125,22,false)</f>
        <v>#N/A</v>
      </c>
      <c r="N3440" s="1" t="s">
        <v>32</v>
      </c>
      <c r="O3440" s="1" t="s">
        <v>33</v>
      </c>
      <c r="P3440" s="1" t="s">
        <v>82</v>
      </c>
      <c r="Q3440" s="1" t="s">
        <v>82</v>
      </c>
      <c r="R3440" s="1" t="s">
        <v>83</v>
      </c>
      <c r="T3440" s="1">
        <v>1.00637221E8</v>
      </c>
      <c r="W3440" s="1" t="s">
        <v>456</v>
      </c>
      <c r="X3440" s="1" t="s">
        <v>5517</v>
      </c>
    </row>
    <row r="3441">
      <c r="A3441" s="1" t="s">
        <v>10067</v>
      </c>
      <c r="B3441" s="1" t="s">
        <v>507</v>
      </c>
      <c r="C3441" s="1" t="s">
        <v>10068</v>
      </c>
      <c r="D3441" s="1" t="s">
        <v>28</v>
      </c>
      <c r="E3441" s="1" t="s">
        <v>29</v>
      </c>
      <c r="F3441" s="5">
        <v>250000.0</v>
      </c>
      <c r="G3441" s="1" t="s">
        <v>7016</v>
      </c>
      <c r="H3441" s="1" t="s">
        <v>5062</v>
      </c>
      <c r="I3441" s="1" t="s">
        <v>302</v>
      </c>
      <c r="K3441" s="1">
        <v>0.0</v>
      </c>
      <c r="L3441" s="1" t="s">
        <v>983</v>
      </c>
      <c r="M3441" s="1" t="str">
        <f>VLOOKUP(L3441,'Copy of PMD Workday Constants -'!B3440:W4126,22,false)</f>
        <v>#N/A</v>
      </c>
      <c r="N3441" s="1" t="s">
        <v>32</v>
      </c>
      <c r="O3441" s="1" t="s">
        <v>33</v>
      </c>
      <c r="P3441" s="1" t="s">
        <v>112</v>
      </c>
      <c r="Q3441" s="1" t="s">
        <v>112</v>
      </c>
      <c r="R3441" s="1" t="s">
        <v>113</v>
      </c>
      <c r="S3441" s="1" t="s">
        <v>307</v>
      </c>
      <c r="T3441" s="1">
        <v>1.00607644E8</v>
      </c>
      <c r="W3441" s="1" t="s">
        <v>456</v>
      </c>
      <c r="X3441" s="1" t="s">
        <v>983</v>
      </c>
    </row>
    <row r="3442">
      <c r="A3442" s="1" t="s">
        <v>10069</v>
      </c>
      <c r="B3442" s="1" t="s">
        <v>3293</v>
      </c>
      <c r="C3442" s="1" t="s">
        <v>10070</v>
      </c>
      <c r="D3442" s="1" t="s">
        <v>28</v>
      </c>
      <c r="E3442" s="1" t="s">
        <v>29</v>
      </c>
      <c r="F3442" s="5">
        <v>250000.0</v>
      </c>
      <c r="G3442" s="1" t="s">
        <v>7016</v>
      </c>
      <c r="H3442" s="1" t="s">
        <v>727</v>
      </c>
      <c r="I3442" s="1" t="s">
        <v>80</v>
      </c>
      <c r="K3442" s="1">
        <v>0.0</v>
      </c>
      <c r="L3442" s="1" t="s">
        <v>678</v>
      </c>
      <c r="M3442" s="1" t="str">
        <f>VLOOKUP(L3442,'Copy of PMD Workday Constants -'!B3441:W4127,22,false)</f>
        <v>#N/A</v>
      </c>
      <c r="N3442" s="1" t="s">
        <v>32</v>
      </c>
      <c r="O3442" s="1" t="s">
        <v>33</v>
      </c>
      <c r="P3442" s="1" t="s">
        <v>210</v>
      </c>
      <c r="Q3442" s="1" t="s">
        <v>210</v>
      </c>
      <c r="R3442" s="1" t="s">
        <v>211</v>
      </c>
      <c r="S3442" s="1" t="s">
        <v>416</v>
      </c>
      <c r="T3442" s="1">
        <v>1.00609073E8</v>
      </c>
      <c r="W3442" s="1" t="s">
        <v>56</v>
      </c>
      <c r="X3442" s="1" t="s">
        <v>678</v>
      </c>
    </row>
    <row r="3443">
      <c r="A3443" s="1" t="s">
        <v>10071</v>
      </c>
      <c r="B3443" s="1" t="s">
        <v>10072</v>
      </c>
      <c r="C3443" s="1" t="s">
        <v>10073</v>
      </c>
      <c r="D3443" s="1" t="s">
        <v>51</v>
      </c>
      <c r="E3443" s="1" t="s">
        <v>29</v>
      </c>
      <c r="F3443" s="5">
        <v>250000.0</v>
      </c>
      <c r="G3443" s="1" t="s">
        <v>7016</v>
      </c>
      <c r="H3443" s="4">
        <v>44625.0</v>
      </c>
      <c r="I3443" s="1" t="s">
        <v>302</v>
      </c>
      <c r="K3443" s="1">
        <v>0.0</v>
      </c>
      <c r="L3443" s="1" t="s">
        <v>8418</v>
      </c>
      <c r="M3443" s="1" t="str">
        <f>VLOOKUP(L3443,'Copy of PMD Workday Constants -'!B3442:W4128,22,false)</f>
        <v>#N/A</v>
      </c>
      <c r="N3443" s="1" t="s">
        <v>32</v>
      </c>
      <c r="O3443" s="1" t="s">
        <v>33</v>
      </c>
      <c r="P3443" s="1" t="s">
        <v>64</v>
      </c>
      <c r="Q3443" s="1" t="s">
        <v>64</v>
      </c>
      <c r="R3443" s="1" t="s">
        <v>65</v>
      </c>
      <c r="S3443" s="1" t="s">
        <v>66</v>
      </c>
      <c r="T3443" s="1">
        <v>1.01238292E8</v>
      </c>
      <c r="W3443" s="1" t="s">
        <v>140</v>
      </c>
      <c r="X3443" s="1" t="s">
        <v>8418</v>
      </c>
    </row>
    <row r="3444">
      <c r="A3444" s="1" t="s">
        <v>10074</v>
      </c>
      <c r="B3444" s="1" t="s">
        <v>324</v>
      </c>
      <c r="C3444" s="1" t="s">
        <v>10075</v>
      </c>
      <c r="D3444" s="1" t="s">
        <v>28</v>
      </c>
      <c r="E3444" s="1" t="s">
        <v>29</v>
      </c>
      <c r="F3444" s="5">
        <v>250000.0</v>
      </c>
      <c r="G3444" s="1" t="s">
        <v>7016</v>
      </c>
      <c r="H3444" s="4">
        <v>44656.0</v>
      </c>
      <c r="I3444" s="1" t="s">
        <v>191</v>
      </c>
      <c r="K3444" s="1">
        <v>0.0</v>
      </c>
      <c r="L3444" s="1" t="s">
        <v>327</v>
      </c>
      <c r="M3444" s="1" t="str">
        <f>VLOOKUP(L3444,'Copy of PMD Workday Constants -'!B3443:W4129,22,false)</f>
        <v>#N/A</v>
      </c>
      <c r="N3444" s="1" t="s">
        <v>32</v>
      </c>
      <c r="O3444" s="1" t="s">
        <v>33</v>
      </c>
      <c r="P3444" s="1" t="s">
        <v>112</v>
      </c>
      <c r="Q3444" s="1" t="s">
        <v>112</v>
      </c>
      <c r="R3444" s="1" t="s">
        <v>113</v>
      </c>
      <c r="T3444" s="1">
        <v>1.00646485E8</v>
      </c>
      <c r="W3444" s="1" t="s">
        <v>56</v>
      </c>
      <c r="X3444" s="1" t="s">
        <v>2453</v>
      </c>
    </row>
    <row r="3445">
      <c r="A3445" s="1" t="s">
        <v>10076</v>
      </c>
      <c r="B3445" s="1" t="s">
        <v>3708</v>
      </c>
      <c r="C3445" s="1" t="s">
        <v>10077</v>
      </c>
      <c r="D3445" s="1" t="s">
        <v>28</v>
      </c>
      <c r="E3445" s="1" t="s">
        <v>29</v>
      </c>
      <c r="F3445" s="5">
        <v>250000.0</v>
      </c>
      <c r="G3445" s="1" t="s">
        <v>7016</v>
      </c>
      <c r="H3445" s="4">
        <v>44563.0</v>
      </c>
      <c r="I3445" s="4">
        <v>44568.0</v>
      </c>
      <c r="K3445" s="1">
        <v>0.0</v>
      </c>
      <c r="L3445" s="1" t="s">
        <v>491</v>
      </c>
      <c r="M3445" s="1" t="str">
        <f>VLOOKUP(L3445,'Copy of PMD Workday Constants -'!B3444:W4130,22,false)</f>
        <v>#N/A</v>
      </c>
      <c r="N3445" s="1" t="s">
        <v>32</v>
      </c>
      <c r="O3445" s="1" t="s">
        <v>33</v>
      </c>
      <c r="P3445" s="1" t="s">
        <v>112</v>
      </c>
      <c r="Q3445" s="1" t="s">
        <v>112</v>
      </c>
      <c r="R3445" s="1" t="s">
        <v>113</v>
      </c>
      <c r="S3445" s="1" t="s">
        <v>1336</v>
      </c>
      <c r="T3445" s="1">
        <v>1.00623914E8</v>
      </c>
      <c r="W3445" s="1" t="s">
        <v>91</v>
      </c>
      <c r="X3445" s="1" t="s">
        <v>1337</v>
      </c>
    </row>
    <row r="3446">
      <c r="A3446" s="1" t="s">
        <v>10078</v>
      </c>
      <c r="B3446" s="1" t="s">
        <v>10079</v>
      </c>
      <c r="C3446" s="1" t="s">
        <v>10077</v>
      </c>
      <c r="D3446" s="1" t="s">
        <v>28</v>
      </c>
      <c r="E3446" s="1" t="s">
        <v>29</v>
      </c>
      <c r="F3446" s="5">
        <v>250000.0</v>
      </c>
      <c r="G3446" s="1" t="s">
        <v>7016</v>
      </c>
      <c r="H3446" s="4">
        <v>44563.0</v>
      </c>
      <c r="I3446" s="4">
        <v>44568.0</v>
      </c>
      <c r="K3446" s="1">
        <v>0.0</v>
      </c>
      <c r="L3446" s="1" t="s">
        <v>491</v>
      </c>
      <c r="M3446" s="1" t="str">
        <f>VLOOKUP(L3446,'Copy of PMD Workday Constants -'!B3445:W4131,22,false)</f>
        <v>#N/A</v>
      </c>
      <c r="N3446" s="1" t="s">
        <v>32</v>
      </c>
      <c r="O3446" s="1" t="s">
        <v>33</v>
      </c>
      <c r="P3446" s="1" t="s">
        <v>112</v>
      </c>
      <c r="Q3446" s="1" t="s">
        <v>112</v>
      </c>
      <c r="R3446" s="1" t="s">
        <v>113</v>
      </c>
      <c r="S3446" s="1" t="s">
        <v>1336</v>
      </c>
      <c r="T3446" s="1">
        <v>1.00623914E8</v>
      </c>
      <c r="W3446" s="1" t="s">
        <v>91</v>
      </c>
      <c r="X3446" s="1" t="s">
        <v>1337</v>
      </c>
    </row>
    <row r="3447">
      <c r="A3447" s="1" t="s">
        <v>10080</v>
      </c>
      <c r="B3447" s="1" t="s">
        <v>10081</v>
      </c>
      <c r="C3447" s="1" t="s">
        <v>10082</v>
      </c>
      <c r="D3447" s="1" t="s">
        <v>51</v>
      </c>
      <c r="E3447" s="1" t="s">
        <v>29</v>
      </c>
      <c r="F3447" s="5">
        <v>250000.0</v>
      </c>
      <c r="G3447" s="1" t="s">
        <v>7016</v>
      </c>
      <c r="H3447" s="4">
        <v>44509.0</v>
      </c>
      <c r="I3447" s="4">
        <v>44658.0</v>
      </c>
      <c r="K3447" s="1">
        <v>0.0</v>
      </c>
      <c r="L3447" s="1" t="s">
        <v>3480</v>
      </c>
      <c r="M3447" s="1" t="str">
        <f>VLOOKUP(L3447,'Copy of PMD Workday Constants -'!B3446:W4132,22,false)</f>
        <v>#N/A</v>
      </c>
      <c r="N3447" s="1" t="s">
        <v>32</v>
      </c>
      <c r="O3447" s="1" t="s">
        <v>33</v>
      </c>
      <c r="P3447" s="1" t="s">
        <v>112</v>
      </c>
      <c r="Q3447" s="1" t="s">
        <v>112</v>
      </c>
      <c r="R3447" s="1" t="s">
        <v>113</v>
      </c>
      <c r="S3447" s="1" t="s">
        <v>307</v>
      </c>
      <c r="T3447" s="1">
        <v>1.00628223E8</v>
      </c>
      <c r="W3447" s="1" t="s">
        <v>391</v>
      </c>
      <c r="X3447" s="1" t="s">
        <v>10083</v>
      </c>
    </row>
    <row r="3448">
      <c r="A3448" s="1" t="s">
        <v>10084</v>
      </c>
      <c r="B3448" s="1" t="s">
        <v>2263</v>
      </c>
      <c r="C3448" s="1" t="s">
        <v>2265</v>
      </c>
      <c r="D3448" s="1" t="s">
        <v>28</v>
      </c>
      <c r="E3448" s="1" t="s">
        <v>29</v>
      </c>
      <c r="F3448" s="5">
        <v>250000.0</v>
      </c>
      <c r="G3448" s="1" t="s">
        <v>7016</v>
      </c>
      <c r="H3448" s="4">
        <v>44383.0</v>
      </c>
      <c r="I3448" s="1" t="s">
        <v>302</v>
      </c>
      <c r="K3448" s="1">
        <v>0.0</v>
      </c>
      <c r="L3448" s="1" t="s">
        <v>1075</v>
      </c>
      <c r="M3448" s="1" t="str">
        <f>VLOOKUP(L3448,'Copy of PMD Workday Constants -'!B3447:W4133,22,false)</f>
        <v>#N/A</v>
      </c>
      <c r="N3448" s="1" t="s">
        <v>32</v>
      </c>
      <c r="O3448" s="1" t="s">
        <v>33</v>
      </c>
      <c r="P3448" s="1" t="s">
        <v>34</v>
      </c>
      <c r="Q3448" s="1" t="s">
        <v>34</v>
      </c>
      <c r="R3448" s="1" t="s">
        <v>35</v>
      </c>
      <c r="S3448" s="1" t="s">
        <v>36</v>
      </c>
      <c r="T3448" s="1">
        <v>1.00601386E8</v>
      </c>
      <c r="V3448" s="1" t="s">
        <v>67</v>
      </c>
      <c r="W3448" s="1" t="s">
        <v>91</v>
      </c>
      <c r="X3448" s="1" t="s">
        <v>1075</v>
      </c>
    </row>
    <row r="3449">
      <c r="A3449" s="1" t="s">
        <v>10085</v>
      </c>
      <c r="B3449" s="1" t="s">
        <v>1713</v>
      </c>
      <c r="C3449" s="1" t="s">
        <v>10077</v>
      </c>
      <c r="D3449" s="1" t="s">
        <v>28</v>
      </c>
      <c r="E3449" s="1" t="s">
        <v>29</v>
      </c>
      <c r="F3449" s="5">
        <v>250000.0</v>
      </c>
      <c r="G3449" s="1" t="s">
        <v>7016</v>
      </c>
      <c r="H3449" s="4">
        <v>44563.0</v>
      </c>
      <c r="I3449" s="4">
        <v>44568.0</v>
      </c>
      <c r="K3449" s="1">
        <v>0.0</v>
      </c>
      <c r="L3449" s="1" t="s">
        <v>491</v>
      </c>
      <c r="M3449" s="1" t="str">
        <f>VLOOKUP(L3449,'Copy of PMD Workday Constants -'!B3448:W4134,22,false)</f>
        <v>#N/A</v>
      </c>
      <c r="N3449" s="1" t="s">
        <v>32</v>
      </c>
      <c r="O3449" s="1" t="s">
        <v>33</v>
      </c>
      <c r="P3449" s="1" t="s">
        <v>112</v>
      </c>
      <c r="Q3449" s="1" t="s">
        <v>112</v>
      </c>
      <c r="R3449" s="1" t="s">
        <v>113</v>
      </c>
      <c r="S3449" s="1" t="s">
        <v>1336</v>
      </c>
      <c r="T3449" s="1">
        <v>1.00623914E8</v>
      </c>
      <c r="W3449" s="1" t="s">
        <v>91</v>
      </c>
      <c r="X3449" s="1" t="s">
        <v>1337</v>
      </c>
    </row>
    <row r="3450">
      <c r="A3450" s="1" t="s">
        <v>10086</v>
      </c>
      <c r="B3450" s="1" t="s">
        <v>485</v>
      </c>
      <c r="C3450" s="1" t="s">
        <v>10087</v>
      </c>
      <c r="D3450" s="1" t="s">
        <v>51</v>
      </c>
      <c r="E3450" s="1" t="s">
        <v>29</v>
      </c>
      <c r="F3450" s="5">
        <v>250000.0</v>
      </c>
      <c r="G3450" s="1" t="s">
        <v>7016</v>
      </c>
      <c r="H3450" s="4">
        <v>44777.0</v>
      </c>
      <c r="I3450" s="1" t="s">
        <v>80</v>
      </c>
      <c r="K3450" s="1">
        <v>0.0</v>
      </c>
      <c r="L3450" s="1" t="s">
        <v>4323</v>
      </c>
      <c r="M3450" s="1" t="str">
        <f>VLOOKUP(L3450,'Copy of PMD Workday Constants -'!B3449:W4135,22,false)</f>
        <v>#N/A</v>
      </c>
      <c r="N3450" s="1" t="s">
        <v>32</v>
      </c>
      <c r="O3450" s="1" t="s">
        <v>33</v>
      </c>
      <c r="P3450" s="1" t="s">
        <v>112</v>
      </c>
      <c r="Q3450" s="1" t="s">
        <v>112</v>
      </c>
      <c r="R3450" s="1" t="s">
        <v>113</v>
      </c>
      <c r="S3450" s="1" t="s">
        <v>114</v>
      </c>
      <c r="T3450" s="1">
        <v>1.0062141E8</v>
      </c>
      <c r="W3450" s="1" t="s">
        <v>1303</v>
      </c>
      <c r="X3450" s="1" t="s">
        <v>2616</v>
      </c>
    </row>
    <row r="3451">
      <c r="A3451" s="1" t="s">
        <v>10088</v>
      </c>
      <c r="B3451" s="1" t="s">
        <v>3711</v>
      </c>
      <c r="C3451" s="1" t="s">
        <v>10077</v>
      </c>
      <c r="D3451" s="1" t="s">
        <v>28</v>
      </c>
      <c r="E3451" s="1" t="s">
        <v>29</v>
      </c>
      <c r="F3451" s="5">
        <v>250000.0</v>
      </c>
      <c r="G3451" s="1" t="s">
        <v>7016</v>
      </c>
      <c r="H3451" s="4">
        <v>44563.0</v>
      </c>
      <c r="I3451" s="4">
        <v>44568.0</v>
      </c>
      <c r="K3451" s="1">
        <v>0.0</v>
      </c>
      <c r="L3451" s="1" t="s">
        <v>491</v>
      </c>
      <c r="M3451" s="1" t="str">
        <f>VLOOKUP(L3451,'Copy of PMD Workday Constants -'!B3450:W4136,22,false)</f>
        <v>#N/A</v>
      </c>
      <c r="N3451" s="1" t="s">
        <v>32</v>
      </c>
      <c r="O3451" s="1" t="s">
        <v>33</v>
      </c>
      <c r="P3451" s="1" t="s">
        <v>112</v>
      </c>
      <c r="Q3451" s="1" t="s">
        <v>112</v>
      </c>
      <c r="R3451" s="1" t="s">
        <v>113</v>
      </c>
      <c r="S3451" s="1" t="s">
        <v>1336</v>
      </c>
      <c r="T3451" s="1">
        <v>1.00623914E8</v>
      </c>
      <c r="W3451" s="1" t="s">
        <v>91</v>
      </c>
      <c r="X3451" s="1" t="s">
        <v>1337</v>
      </c>
    </row>
    <row r="3452">
      <c r="A3452" s="1" t="s">
        <v>10089</v>
      </c>
      <c r="B3452" s="1" t="s">
        <v>149</v>
      </c>
      <c r="C3452" s="1" t="s">
        <v>10090</v>
      </c>
      <c r="D3452" s="1" t="s">
        <v>28</v>
      </c>
      <c r="E3452" s="1" t="s">
        <v>29</v>
      </c>
      <c r="F3452" s="5">
        <v>250000.0</v>
      </c>
      <c r="G3452" s="1" t="s">
        <v>7016</v>
      </c>
      <c r="H3452" s="4">
        <v>44563.0</v>
      </c>
      <c r="I3452" s="4">
        <v>44568.0</v>
      </c>
      <c r="K3452" s="1">
        <v>0.0</v>
      </c>
      <c r="L3452" s="1" t="s">
        <v>1587</v>
      </c>
      <c r="M3452" s="1" t="str">
        <f>VLOOKUP(L3452,'Copy of PMD Workday Constants -'!B3451:W4137,22,false)</f>
        <v>#N/A</v>
      </c>
      <c r="N3452" s="1" t="s">
        <v>32</v>
      </c>
      <c r="O3452" s="1" t="s">
        <v>33</v>
      </c>
      <c r="P3452" s="1" t="s">
        <v>64</v>
      </c>
      <c r="Q3452" s="1" t="s">
        <v>64</v>
      </c>
      <c r="R3452" s="1" t="s">
        <v>65</v>
      </c>
      <c r="S3452" s="1" t="s">
        <v>1336</v>
      </c>
      <c r="T3452" s="1">
        <v>1.01141441E8</v>
      </c>
      <c r="W3452" s="1" t="s">
        <v>91</v>
      </c>
      <c r="X3452" s="1" t="s">
        <v>1337</v>
      </c>
    </row>
    <row r="3453">
      <c r="A3453" s="1" t="s">
        <v>10091</v>
      </c>
      <c r="B3453" s="1" t="s">
        <v>324</v>
      </c>
      <c r="C3453" s="1" t="s">
        <v>10092</v>
      </c>
      <c r="D3453" s="1" t="s">
        <v>28</v>
      </c>
      <c r="E3453" s="1" t="s">
        <v>29</v>
      </c>
      <c r="F3453" s="5">
        <v>250000.0</v>
      </c>
      <c r="G3453" s="1" t="s">
        <v>7016</v>
      </c>
      <c r="H3453" s="4">
        <v>44656.0</v>
      </c>
      <c r="I3453" s="1" t="s">
        <v>191</v>
      </c>
      <c r="K3453" s="1">
        <v>0.0</v>
      </c>
      <c r="L3453" s="1" t="s">
        <v>327</v>
      </c>
      <c r="M3453" s="1" t="str">
        <f>VLOOKUP(L3453,'Copy of PMD Workday Constants -'!B3452:W4138,22,false)</f>
        <v>#N/A</v>
      </c>
      <c r="N3453" s="1" t="s">
        <v>32</v>
      </c>
      <c r="O3453" s="1" t="s">
        <v>33</v>
      </c>
      <c r="P3453" s="1" t="s">
        <v>112</v>
      </c>
      <c r="Q3453" s="1" t="s">
        <v>112</v>
      </c>
      <c r="R3453" s="1" t="s">
        <v>113</v>
      </c>
      <c r="T3453" s="1">
        <v>1.00646485E8</v>
      </c>
      <c r="W3453" s="1" t="s">
        <v>56</v>
      </c>
      <c r="X3453" s="1" t="s">
        <v>2453</v>
      </c>
    </row>
    <row r="3454">
      <c r="A3454" s="1" t="s">
        <v>10093</v>
      </c>
      <c r="B3454" s="1" t="s">
        <v>4114</v>
      </c>
      <c r="C3454" s="1" t="s">
        <v>10094</v>
      </c>
      <c r="D3454" s="1" t="s">
        <v>28</v>
      </c>
      <c r="E3454" s="1" t="s">
        <v>29</v>
      </c>
      <c r="F3454" s="5">
        <v>250000.0</v>
      </c>
      <c r="G3454" s="1" t="s">
        <v>7016</v>
      </c>
      <c r="H3454" s="4">
        <v>44563.0</v>
      </c>
      <c r="I3454" s="4">
        <v>44568.0</v>
      </c>
      <c r="K3454" s="1">
        <v>0.0</v>
      </c>
      <c r="L3454" s="1" t="s">
        <v>491</v>
      </c>
      <c r="M3454" s="1" t="str">
        <f>VLOOKUP(L3454,'Copy of PMD Workday Constants -'!B3453:W4139,22,false)</f>
        <v>#N/A</v>
      </c>
      <c r="N3454" s="1" t="s">
        <v>32</v>
      </c>
      <c r="O3454" s="1" t="s">
        <v>33</v>
      </c>
      <c r="P3454" s="1" t="s">
        <v>112</v>
      </c>
      <c r="Q3454" s="1" t="s">
        <v>112</v>
      </c>
      <c r="R3454" s="1" t="s">
        <v>113</v>
      </c>
      <c r="S3454" s="1" t="s">
        <v>1336</v>
      </c>
      <c r="T3454" s="1">
        <v>1.00623914E8</v>
      </c>
      <c r="W3454" s="1" t="s">
        <v>91</v>
      </c>
      <c r="X3454" s="1" t="s">
        <v>1337</v>
      </c>
    </row>
    <row r="3455">
      <c r="A3455" s="1" t="s">
        <v>10095</v>
      </c>
      <c r="B3455" s="1" t="s">
        <v>5096</v>
      </c>
      <c r="C3455" s="1" t="s">
        <v>10096</v>
      </c>
      <c r="D3455" s="1" t="s">
        <v>103</v>
      </c>
      <c r="E3455" s="1" t="s">
        <v>29</v>
      </c>
      <c r="F3455" s="5">
        <v>250000.0</v>
      </c>
      <c r="G3455" s="1" t="s">
        <v>7016</v>
      </c>
      <c r="H3455" s="4">
        <v>44656.0</v>
      </c>
      <c r="I3455" s="1" t="s">
        <v>191</v>
      </c>
      <c r="K3455" s="1">
        <v>0.0</v>
      </c>
      <c r="L3455" s="1" t="s">
        <v>481</v>
      </c>
      <c r="M3455" s="1" t="str">
        <f>VLOOKUP(L3455,'Copy of PMD Workday Constants -'!B3454:W4140,22,false)</f>
        <v>#N/A</v>
      </c>
      <c r="N3455" s="1" t="s">
        <v>32</v>
      </c>
      <c r="O3455" s="1" t="s">
        <v>33</v>
      </c>
      <c r="P3455" s="1" t="s">
        <v>222</v>
      </c>
      <c r="Q3455" s="1" t="s">
        <v>222</v>
      </c>
      <c r="R3455" s="1" t="s">
        <v>223</v>
      </c>
      <c r="S3455" s="1" t="s">
        <v>482</v>
      </c>
      <c r="T3455" s="1">
        <v>1.00654864E8</v>
      </c>
      <c r="W3455" s="1" t="s">
        <v>147</v>
      </c>
      <c r="X3455" s="1" t="s">
        <v>10097</v>
      </c>
    </row>
    <row r="3456">
      <c r="A3456" s="1" t="s">
        <v>10098</v>
      </c>
      <c r="B3456" s="1" t="s">
        <v>324</v>
      </c>
      <c r="C3456" s="1" t="s">
        <v>10099</v>
      </c>
      <c r="D3456" s="1" t="s">
        <v>28</v>
      </c>
      <c r="E3456" s="1" t="s">
        <v>29</v>
      </c>
      <c r="F3456" s="5">
        <v>250000.0</v>
      </c>
      <c r="G3456" s="1" t="s">
        <v>7016</v>
      </c>
      <c r="H3456" s="1" t="s">
        <v>5928</v>
      </c>
      <c r="I3456" s="1" t="s">
        <v>43</v>
      </c>
      <c r="K3456" s="1">
        <v>0.0</v>
      </c>
      <c r="L3456" s="1" t="s">
        <v>5335</v>
      </c>
      <c r="M3456" s="1" t="str">
        <f>VLOOKUP(L3456,'Copy of PMD Workday Constants -'!B3455:W4141,22,false)</f>
        <v>#N/A</v>
      </c>
      <c r="N3456" s="1" t="s">
        <v>32</v>
      </c>
      <c r="O3456" s="1" t="s">
        <v>33</v>
      </c>
      <c r="P3456" s="1" t="s">
        <v>64</v>
      </c>
      <c r="Q3456" s="1" t="s">
        <v>64</v>
      </c>
      <c r="R3456" s="1" t="s">
        <v>65</v>
      </c>
      <c r="S3456" s="1" t="s">
        <v>1313</v>
      </c>
      <c r="T3456" s="1">
        <v>1.00649463E8</v>
      </c>
      <c r="W3456" s="1" t="s">
        <v>56</v>
      </c>
      <c r="X3456" s="1" t="s">
        <v>5336</v>
      </c>
    </row>
    <row r="3457">
      <c r="A3457" s="1" t="s">
        <v>10100</v>
      </c>
      <c r="B3457" s="1" t="s">
        <v>973</v>
      </c>
      <c r="C3457" s="1" t="s">
        <v>10101</v>
      </c>
      <c r="D3457" s="1" t="s">
        <v>51</v>
      </c>
      <c r="E3457" s="1" t="s">
        <v>29</v>
      </c>
      <c r="F3457" s="5">
        <v>250000.0</v>
      </c>
      <c r="G3457" s="1" t="s">
        <v>7016</v>
      </c>
      <c r="H3457" s="4">
        <v>44682.0</v>
      </c>
      <c r="I3457" s="1" t="s">
        <v>732</v>
      </c>
      <c r="K3457" s="1">
        <v>0.0</v>
      </c>
      <c r="L3457" s="1" t="s">
        <v>3499</v>
      </c>
      <c r="M3457" s="1" t="str">
        <f>VLOOKUP(L3457,'Copy of PMD Workday Constants -'!B3456:W4142,22,false)</f>
        <v>#N/A</v>
      </c>
      <c r="N3457" s="1" t="s">
        <v>32</v>
      </c>
      <c r="O3457" s="1" t="s">
        <v>33</v>
      </c>
      <c r="P3457" s="1" t="s">
        <v>222</v>
      </c>
      <c r="Q3457" s="1" t="s">
        <v>222</v>
      </c>
      <c r="R3457" s="1" t="s">
        <v>223</v>
      </c>
      <c r="S3457" s="1" t="s">
        <v>646</v>
      </c>
      <c r="T3457" s="1">
        <v>1.00662113E8</v>
      </c>
      <c r="W3457" s="1" t="s">
        <v>456</v>
      </c>
      <c r="X3457" s="1" t="s">
        <v>3499</v>
      </c>
    </row>
    <row r="3458">
      <c r="A3458" s="1" t="s">
        <v>10102</v>
      </c>
      <c r="B3458" s="1" t="s">
        <v>3489</v>
      </c>
      <c r="C3458" s="1" t="s">
        <v>10103</v>
      </c>
      <c r="D3458" s="1" t="s">
        <v>28</v>
      </c>
      <c r="E3458" s="1" t="s">
        <v>29</v>
      </c>
      <c r="F3458" s="5">
        <v>250000.0</v>
      </c>
      <c r="G3458" s="1" t="s">
        <v>7016</v>
      </c>
      <c r="H3458" s="4">
        <v>44327.0</v>
      </c>
      <c r="I3458" s="1" t="s">
        <v>152</v>
      </c>
      <c r="K3458" s="1">
        <v>0.0</v>
      </c>
      <c r="L3458" s="1" t="s">
        <v>2310</v>
      </c>
      <c r="M3458" s="1" t="str">
        <f>VLOOKUP(L3458,'Copy of PMD Workday Constants -'!B3457:W4143,22,false)</f>
        <v>#N/A</v>
      </c>
      <c r="N3458" s="1" t="s">
        <v>32</v>
      </c>
      <c r="O3458" s="1" t="s">
        <v>33</v>
      </c>
      <c r="P3458" s="1" t="s">
        <v>82</v>
      </c>
      <c r="Q3458" s="1" t="s">
        <v>82</v>
      </c>
      <c r="R3458" s="1" t="s">
        <v>83</v>
      </c>
      <c r="S3458" s="1" t="s">
        <v>180</v>
      </c>
      <c r="T3458" s="1">
        <v>1.01078216E8</v>
      </c>
      <c r="W3458" s="1" t="s">
        <v>85</v>
      </c>
      <c r="X3458" s="1" t="s">
        <v>2310</v>
      </c>
    </row>
    <row r="3459">
      <c r="A3459" s="1" t="s">
        <v>10104</v>
      </c>
      <c r="B3459" s="1" t="s">
        <v>5822</v>
      </c>
      <c r="C3459" s="1" t="s">
        <v>10105</v>
      </c>
      <c r="D3459" s="1" t="s">
        <v>28</v>
      </c>
      <c r="E3459" s="1" t="s">
        <v>29</v>
      </c>
      <c r="F3459" s="5">
        <v>250000.0</v>
      </c>
      <c r="G3459" s="1" t="s">
        <v>7016</v>
      </c>
      <c r="H3459" s="1" t="s">
        <v>10106</v>
      </c>
      <c r="I3459" s="1" t="s">
        <v>302</v>
      </c>
      <c r="K3459" s="1">
        <v>0.0</v>
      </c>
      <c r="L3459" s="1" t="s">
        <v>1282</v>
      </c>
      <c r="M3459" s="1" t="str">
        <f>VLOOKUP(L3459,'Copy of PMD Workday Constants -'!B3458:W4144,22,false)</f>
        <v>#N/A</v>
      </c>
      <c r="N3459" s="1" t="s">
        <v>32</v>
      </c>
      <c r="O3459" s="1" t="s">
        <v>33</v>
      </c>
      <c r="P3459" s="1" t="s">
        <v>34</v>
      </c>
      <c r="Q3459" s="1" t="s">
        <v>34</v>
      </c>
      <c r="R3459" s="1" t="s">
        <v>35</v>
      </c>
      <c r="S3459" s="1" t="s">
        <v>1166</v>
      </c>
      <c r="T3459" s="1">
        <v>1.006096E8</v>
      </c>
      <c r="W3459" s="1" t="s">
        <v>456</v>
      </c>
      <c r="X3459" s="1" t="s">
        <v>1282</v>
      </c>
    </row>
    <row r="3460">
      <c r="A3460" s="1" t="s">
        <v>10107</v>
      </c>
      <c r="B3460" s="1" t="s">
        <v>2254</v>
      </c>
      <c r="C3460" s="1" t="s">
        <v>10108</v>
      </c>
      <c r="D3460" s="1" t="s">
        <v>28</v>
      </c>
      <c r="E3460" s="1" t="s">
        <v>29</v>
      </c>
      <c r="F3460" s="5">
        <v>250000.0</v>
      </c>
      <c r="G3460" s="1" t="s">
        <v>7016</v>
      </c>
      <c r="H3460" s="1" t="s">
        <v>10106</v>
      </c>
      <c r="I3460" s="1" t="s">
        <v>302</v>
      </c>
      <c r="K3460" s="1">
        <v>0.0</v>
      </c>
      <c r="L3460" s="1" t="s">
        <v>1282</v>
      </c>
      <c r="M3460" s="1" t="str">
        <f>VLOOKUP(L3460,'Copy of PMD Workday Constants -'!B3459:W4145,22,false)</f>
        <v>#N/A</v>
      </c>
      <c r="N3460" s="1" t="s">
        <v>32</v>
      </c>
      <c r="O3460" s="1" t="s">
        <v>33</v>
      </c>
      <c r="P3460" s="1" t="s">
        <v>34</v>
      </c>
      <c r="Q3460" s="1" t="s">
        <v>34</v>
      </c>
      <c r="R3460" s="1" t="s">
        <v>35</v>
      </c>
      <c r="S3460" s="1" t="s">
        <v>1166</v>
      </c>
      <c r="T3460" s="1">
        <v>1.006096E8</v>
      </c>
      <c r="W3460" s="1" t="s">
        <v>456</v>
      </c>
      <c r="X3460" s="1" t="s">
        <v>1282</v>
      </c>
    </row>
    <row r="3461">
      <c r="A3461" s="1" t="s">
        <v>10109</v>
      </c>
      <c r="B3461" s="1" t="s">
        <v>507</v>
      </c>
      <c r="C3461" s="1" t="s">
        <v>10110</v>
      </c>
      <c r="D3461" s="1" t="s">
        <v>28</v>
      </c>
      <c r="E3461" s="1" t="s">
        <v>29</v>
      </c>
      <c r="F3461" s="5">
        <v>250000.0</v>
      </c>
      <c r="G3461" s="1" t="s">
        <v>7016</v>
      </c>
      <c r="H3461" s="1" t="s">
        <v>10106</v>
      </c>
      <c r="I3461" s="1" t="s">
        <v>302</v>
      </c>
      <c r="K3461" s="1">
        <v>0.0</v>
      </c>
      <c r="L3461" s="1" t="s">
        <v>1282</v>
      </c>
      <c r="M3461" s="1" t="str">
        <f>VLOOKUP(L3461,'Copy of PMD Workday Constants -'!B3460:W4146,22,false)</f>
        <v>#N/A</v>
      </c>
      <c r="N3461" s="1" t="s">
        <v>32</v>
      </c>
      <c r="O3461" s="1" t="s">
        <v>33</v>
      </c>
      <c r="P3461" s="1" t="s">
        <v>34</v>
      </c>
      <c r="Q3461" s="1" t="s">
        <v>34</v>
      </c>
      <c r="R3461" s="1" t="s">
        <v>35</v>
      </c>
      <c r="S3461" s="1" t="s">
        <v>1166</v>
      </c>
      <c r="T3461" s="1">
        <v>1.006096E8</v>
      </c>
      <c r="W3461" s="1" t="s">
        <v>456</v>
      </c>
      <c r="X3461" s="1" t="s">
        <v>1282</v>
      </c>
    </row>
    <row r="3462">
      <c r="A3462" s="1" t="s">
        <v>10111</v>
      </c>
      <c r="B3462" s="1" t="s">
        <v>1387</v>
      </c>
      <c r="C3462" s="1" t="s">
        <v>10112</v>
      </c>
      <c r="D3462" s="1" t="s">
        <v>28</v>
      </c>
      <c r="E3462" s="1" t="s">
        <v>29</v>
      </c>
      <c r="F3462" s="5">
        <v>250000.0</v>
      </c>
      <c r="G3462" s="1" t="s">
        <v>7016</v>
      </c>
      <c r="H3462" s="1" t="s">
        <v>2826</v>
      </c>
      <c r="I3462" s="4">
        <v>44692.0</v>
      </c>
      <c r="K3462" s="1">
        <v>0.0</v>
      </c>
      <c r="L3462" s="1" t="s">
        <v>1389</v>
      </c>
      <c r="M3462" s="1" t="str">
        <f>VLOOKUP(L3462,'Copy of PMD Workday Constants -'!B3461:W4147,22,false)</f>
        <v>#N/A</v>
      </c>
      <c r="N3462" s="1" t="s">
        <v>32</v>
      </c>
      <c r="O3462" s="1" t="s">
        <v>33</v>
      </c>
      <c r="P3462" s="1" t="s">
        <v>64</v>
      </c>
      <c r="Q3462" s="1" t="s">
        <v>64</v>
      </c>
      <c r="R3462" s="1" t="s">
        <v>65</v>
      </c>
      <c r="T3462" s="1">
        <v>1.00610014E8</v>
      </c>
      <c r="W3462" s="1" t="s">
        <v>91</v>
      </c>
      <c r="X3462" s="1" t="s">
        <v>127</v>
      </c>
    </row>
    <row r="3463">
      <c r="A3463" s="1" t="s">
        <v>10113</v>
      </c>
      <c r="B3463" s="1" t="s">
        <v>3989</v>
      </c>
      <c r="C3463" s="1" t="s">
        <v>10114</v>
      </c>
      <c r="D3463" s="1" t="s">
        <v>28</v>
      </c>
      <c r="E3463" s="1" t="s">
        <v>29</v>
      </c>
      <c r="F3463" s="5">
        <v>250000.0</v>
      </c>
      <c r="G3463" s="1" t="s">
        <v>7016</v>
      </c>
      <c r="H3463" s="4">
        <v>43902.0</v>
      </c>
      <c r="I3463" s="1" t="s">
        <v>302</v>
      </c>
      <c r="K3463" s="1">
        <v>0.0</v>
      </c>
      <c r="L3463" s="1" t="s">
        <v>1282</v>
      </c>
      <c r="M3463" s="1" t="str">
        <f>VLOOKUP(L3463,'Copy of PMD Workday Constants -'!B3462:W4148,22,false)</f>
        <v>#N/A</v>
      </c>
      <c r="N3463" s="1" t="s">
        <v>32</v>
      </c>
      <c r="O3463" s="1" t="s">
        <v>33</v>
      </c>
      <c r="P3463" s="1" t="s">
        <v>34</v>
      </c>
      <c r="Q3463" s="1" t="s">
        <v>34</v>
      </c>
      <c r="R3463" s="1" t="s">
        <v>35</v>
      </c>
      <c r="S3463" s="1" t="s">
        <v>1166</v>
      </c>
      <c r="T3463" s="1">
        <v>1.006096E8</v>
      </c>
      <c r="W3463" s="1" t="s">
        <v>533</v>
      </c>
      <c r="X3463" s="1" t="s">
        <v>1282</v>
      </c>
    </row>
    <row r="3464">
      <c r="A3464" s="1" t="s">
        <v>10115</v>
      </c>
      <c r="B3464" s="1" t="s">
        <v>10116</v>
      </c>
      <c r="C3464" s="1" t="s">
        <v>10117</v>
      </c>
      <c r="D3464" s="1" t="s">
        <v>103</v>
      </c>
      <c r="E3464" s="1" t="s">
        <v>29</v>
      </c>
      <c r="F3464" s="5">
        <v>250000.0</v>
      </c>
      <c r="G3464" s="1" t="s">
        <v>7016</v>
      </c>
      <c r="H3464" s="4">
        <v>44623.0</v>
      </c>
      <c r="I3464" s="1" t="s">
        <v>104</v>
      </c>
      <c r="K3464" s="1">
        <v>0.0</v>
      </c>
      <c r="L3464" s="1" t="s">
        <v>6557</v>
      </c>
      <c r="M3464" s="1" t="str">
        <f>VLOOKUP(L3464,'Copy of PMD Workday Constants -'!B3463:W4149,22,false)</f>
        <v>#N/A</v>
      </c>
      <c r="N3464" s="1" t="s">
        <v>32</v>
      </c>
      <c r="O3464" s="1" t="s">
        <v>33</v>
      </c>
      <c r="P3464" s="1" t="s">
        <v>82</v>
      </c>
      <c r="Q3464" s="1" t="s">
        <v>82</v>
      </c>
      <c r="R3464" s="1" t="s">
        <v>83</v>
      </c>
      <c r="S3464" s="1" t="s">
        <v>180</v>
      </c>
      <c r="T3464" s="1">
        <v>1.01152256E8</v>
      </c>
      <c r="W3464" s="1" t="s">
        <v>74</v>
      </c>
      <c r="X3464" s="1" t="s">
        <v>6557</v>
      </c>
    </row>
    <row r="3465">
      <c r="A3465" s="1" t="s">
        <v>10118</v>
      </c>
      <c r="B3465" s="1" t="s">
        <v>10119</v>
      </c>
      <c r="C3465" s="1" t="s">
        <v>10120</v>
      </c>
      <c r="D3465" s="1" t="s">
        <v>28</v>
      </c>
      <c r="E3465" s="1" t="s">
        <v>29</v>
      </c>
      <c r="F3465" s="5">
        <v>250000.0</v>
      </c>
      <c r="G3465" s="1" t="s">
        <v>7016</v>
      </c>
      <c r="H3465" s="1" t="s">
        <v>243</v>
      </c>
      <c r="I3465" s="1" t="s">
        <v>104</v>
      </c>
      <c r="K3465" s="1">
        <v>0.0</v>
      </c>
      <c r="L3465" s="1" t="s">
        <v>10121</v>
      </c>
      <c r="M3465" s="1" t="str">
        <f>VLOOKUP(L3465,'Copy of PMD Workday Constants -'!B3464:W4150,22,false)</f>
        <v>#N/A</v>
      </c>
      <c r="N3465" s="1" t="s">
        <v>32</v>
      </c>
      <c r="O3465" s="1" t="s">
        <v>33</v>
      </c>
      <c r="P3465" s="1" t="s">
        <v>64</v>
      </c>
      <c r="Q3465" s="1" t="s">
        <v>64</v>
      </c>
      <c r="R3465" s="1" t="s">
        <v>65</v>
      </c>
      <c r="S3465" s="1" t="s">
        <v>66</v>
      </c>
      <c r="T3465" s="1">
        <v>1.00892374E8</v>
      </c>
      <c r="W3465" s="1" t="s">
        <v>140</v>
      </c>
      <c r="X3465" s="1" t="s">
        <v>10121</v>
      </c>
    </row>
    <row r="3466">
      <c r="A3466" s="1" t="s">
        <v>10122</v>
      </c>
      <c r="B3466" s="1" t="s">
        <v>1596</v>
      </c>
      <c r="C3466" s="1" t="s">
        <v>10123</v>
      </c>
      <c r="D3466" s="1" t="s">
        <v>28</v>
      </c>
      <c r="E3466" s="1" t="s">
        <v>29</v>
      </c>
      <c r="F3466" s="5">
        <v>250000.0</v>
      </c>
      <c r="G3466" s="1" t="s">
        <v>7016</v>
      </c>
      <c r="H3466" s="1" t="s">
        <v>1598</v>
      </c>
      <c r="I3466" s="4">
        <v>44571.0</v>
      </c>
      <c r="K3466" s="1">
        <v>0.0</v>
      </c>
      <c r="L3466" s="1" t="s">
        <v>5650</v>
      </c>
      <c r="M3466" s="1" t="str">
        <f>VLOOKUP(L3466,'Copy of PMD Workday Constants -'!B3465:W4151,22,false)</f>
        <v>#N/A</v>
      </c>
      <c r="N3466" s="1" t="s">
        <v>32</v>
      </c>
      <c r="O3466" s="1" t="s">
        <v>33</v>
      </c>
      <c r="P3466" s="1" t="s">
        <v>34</v>
      </c>
      <c r="Q3466" s="1" t="s">
        <v>34</v>
      </c>
      <c r="R3466" s="1" t="s">
        <v>35</v>
      </c>
      <c r="S3466" s="1" t="s">
        <v>66</v>
      </c>
      <c r="T3466" s="1">
        <v>1.00597272E8</v>
      </c>
      <c r="W3466" s="1" t="s">
        <v>391</v>
      </c>
      <c r="X3466" s="1" t="s">
        <v>1600</v>
      </c>
    </row>
    <row r="3467">
      <c r="A3467" s="1" t="s">
        <v>10124</v>
      </c>
      <c r="B3467" s="1" t="s">
        <v>3257</v>
      </c>
      <c r="C3467" s="1" t="s">
        <v>10125</v>
      </c>
      <c r="D3467" s="1" t="s">
        <v>28</v>
      </c>
      <c r="E3467" s="1" t="s">
        <v>29</v>
      </c>
      <c r="F3467" s="5">
        <v>250000.0</v>
      </c>
      <c r="G3467" s="1" t="s">
        <v>7016</v>
      </c>
      <c r="H3467" s="1" t="s">
        <v>243</v>
      </c>
      <c r="I3467" s="1" t="s">
        <v>104</v>
      </c>
      <c r="K3467" s="1">
        <v>0.0</v>
      </c>
      <c r="L3467" s="1" t="s">
        <v>3345</v>
      </c>
      <c r="M3467" s="1" t="str">
        <f>VLOOKUP(L3467,'Copy of PMD Workday Constants -'!B3466:W4152,22,false)</f>
        <v>#N/A</v>
      </c>
      <c r="N3467" s="1" t="s">
        <v>32</v>
      </c>
      <c r="O3467" s="1" t="s">
        <v>33</v>
      </c>
      <c r="P3467" s="1" t="s">
        <v>64</v>
      </c>
      <c r="Q3467" s="1" t="s">
        <v>64</v>
      </c>
      <c r="R3467" s="1" t="s">
        <v>65</v>
      </c>
      <c r="S3467" s="1" t="s">
        <v>791</v>
      </c>
      <c r="T3467" s="1">
        <v>1.0105484E8</v>
      </c>
      <c r="W3467" s="1" t="s">
        <v>456</v>
      </c>
      <c r="X3467" s="1" t="s">
        <v>10126</v>
      </c>
    </row>
    <row r="3468">
      <c r="A3468" s="1" t="s">
        <v>10127</v>
      </c>
      <c r="B3468" s="1" t="s">
        <v>143</v>
      </c>
      <c r="C3468" s="1" t="s">
        <v>10128</v>
      </c>
      <c r="D3468" s="1" t="s">
        <v>103</v>
      </c>
      <c r="E3468" s="1" t="s">
        <v>29</v>
      </c>
      <c r="F3468" s="5">
        <v>250000.0</v>
      </c>
      <c r="G3468" s="1" t="s">
        <v>7016</v>
      </c>
      <c r="H3468" s="4">
        <v>44748.0</v>
      </c>
      <c r="I3468" s="4">
        <v>44568.0</v>
      </c>
      <c r="K3468" s="1">
        <v>0.0</v>
      </c>
      <c r="L3468" s="1" t="s">
        <v>4937</v>
      </c>
      <c r="M3468" s="1" t="str">
        <f>VLOOKUP(L3468,'Copy of PMD Workday Constants -'!B3467:W4153,22,false)</f>
        <v>#N/A</v>
      </c>
      <c r="N3468" s="1" t="s">
        <v>32</v>
      </c>
      <c r="O3468" s="1" t="s">
        <v>33</v>
      </c>
      <c r="P3468" s="1" t="s">
        <v>34</v>
      </c>
      <c r="Q3468" s="1" t="s">
        <v>34</v>
      </c>
      <c r="R3468" s="1" t="s">
        <v>35</v>
      </c>
      <c r="S3468" s="1" t="s">
        <v>1336</v>
      </c>
      <c r="T3468" s="1">
        <v>1.00644939E8</v>
      </c>
      <c r="W3468" s="1" t="s">
        <v>147</v>
      </c>
      <c r="X3468" s="1" t="s">
        <v>4392</v>
      </c>
    </row>
    <row r="3469">
      <c r="A3469" s="1" t="s">
        <v>10129</v>
      </c>
      <c r="B3469" s="1" t="s">
        <v>10130</v>
      </c>
      <c r="C3469" s="1" t="s">
        <v>10131</v>
      </c>
      <c r="D3469" s="1" t="s">
        <v>51</v>
      </c>
      <c r="E3469" s="1" t="s">
        <v>29</v>
      </c>
      <c r="F3469" s="5">
        <v>250000.0</v>
      </c>
      <c r="G3469" s="1" t="s">
        <v>7016</v>
      </c>
      <c r="H3469" s="4">
        <v>44748.0</v>
      </c>
      <c r="I3469" s="1" t="s">
        <v>104</v>
      </c>
      <c r="K3469" s="1">
        <v>0.0</v>
      </c>
      <c r="L3469" s="1" t="s">
        <v>1591</v>
      </c>
      <c r="M3469" s="1" t="str">
        <f>VLOOKUP(L3469,'Copy of PMD Workday Constants -'!B3468:W4154,22,false)</f>
        <v>#N/A</v>
      </c>
      <c r="N3469" s="1" t="s">
        <v>32</v>
      </c>
      <c r="O3469" s="1" t="s">
        <v>33</v>
      </c>
      <c r="P3469" s="1" t="s">
        <v>34</v>
      </c>
      <c r="Q3469" s="1" t="s">
        <v>34</v>
      </c>
      <c r="R3469" s="1" t="s">
        <v>35</v>
      </c>
      <c r="T3469" s="1">
        <v>1.00587799E8</v>
      </c>
      <c r="W3469" s="1" t="s">
        <v>147</v>
      </c>
      <c r="X3469" s="1" t="s">
        <v>3940</v>
      </c>
    </row>
    <row r="3470">
      <c r="A3470" s="1" t="s">
        <v>10132</v>
      </c>
      <c r="B3470" s="1" t="s">
        <v>10133</v>
      </c>
      <c r="C3470" s="1" t="s">
        <v>10134</v>
      </c>
      <c r="D3470" s="1" t="s">
        <v>51</v>
      </c>
      <c r="E3470" s="1" t="s">
        <v>29</v>
      </c>
      <c r="F3470" s="5">
        <v>250000.0</v>
      </c>
      <c r="G3470" s="1" t="s">
        <v>7016</v>
      </c>
      <c r="H3470" s="1" t="s">
        <v>1553</v>
      </c>
      <c r="I3470" s="1" t="s">
        <v>10135</v>
      </c>
      <c r="K3470" s="1">
        <v>0.0</v>
      </c>
      <c r="L3470" s="1" t="s">
        <v>2472</v>
      </c>
      <c r="M3470" s="1" t="str">
        <f>VLOOKUP(L3470,'Copy of PMD Workday Constants -'!B3469:W4155,22,false)</f>
        <v>#N/A</v>
      </c>
      <c r="N3470" s="1" t="s">
        <v>32</v>
      </c>
      <c r="O3470" s="1" t="s">
        <v>33</v>
      </c>
      <c r="P3470" s="1" t="s">
        <v>222</v>
      </c>
      <c r="Q3470" s="1" t="s">
        <v>222</v>
      </c>
      <c r="R3470" s="1" t="s">
        <v>223</v>
      </c>
      <c r="S3470" s="1" t="s">
        <v>646</v>
      </c>
      <c r="T3470" s="1">
        <v>1.00892076E8</v>
      </c>
      <c r="U3470" s="1" t="s">
        <v>10134</v>
      </c>
      <c r="V3470" s="1" t="s">
        <v>346</v>
      </c>
      <c r="X3470" s="1" t="s">
        <v>10136</v>
      </c>
    </row>
    <row r="3471">
      <c r="A3471" s="1" t="s">
        <v>10137</v>
      </c>
      <c r="B3471" s="1" t="s">
        <v>10138</v>
      </c>
      <c r="C3471" s="1" t="s">
        <v>10139</v>
      </c>
      <c r="D3471" s="1" t="s">
        <v>51</v>
      </c>
      <c r="E3471" s="1" t="s">
        <v>29</v>
      </c>
      <c r="F3471" s="5">
        <v>250000.0</v>
      </c>
      <c r="G3471" s="1" t="s">
        <v>7016</v>
      </c>
      <c r="H3471" s="1" t="s">
        <v>434</v>
      </c>
      <c r="I3471" s="1" t="s">
        <v>104</v>
      </c>
      <c r="K3471" s="1">
        <v>0.0</v>
      </c>
      <c r="L3471" s="1" t="s">
        <v>4031</v>
      </c>
      <c r="M3471" s="1" t="str">
        <f>VLOOKUP(L3471,'Copy of PMD Workday Constants -'!B3470:W4156,22,false)</f>
        <v>#N/A</v>
      </c>
      <c r="N3471" s="1" t="s">
        <v>32</v>
      </c>
      <c r="O3471" s="1" t="s">
        <v>33</v>
      </c>
      <c r="P3471" s="1" t="s">
        <v>34</v>
      </c>
      <c r="Q3471" s="1" t="s">
        <v>34</v>
      </c>
      <c r="R3471" s="1" t="s">
        <v>35</v>
      </c>
      <c r="S3471" s="1" t="s">
        <v>1166</v>
      </c>
      <c r="T3471" s="1">
        <v>1.00581763E8</v>
      </c>
      <c r="W3471" s="1" t="s">
        <v>456</v>
      </c>
      <c r="X3471" s="1" t="s">
        <v>10140</v>
      </c>
    </row>
    <row r="3472">
      <c r="A3472" s="1" t="s">
        <v>10141</v>
      </c>
      <c r="B3472" s="1" t="s">
        <v>7833</v>
      </c>
      <c r="C3472" s="1" t="s">
        <v>10142</v>
      </c>
      <c r="D3472" s="1" t="s">
        <v>28</v>
      </c>
      <c r="E3472" s="1" t="s">
        <v>29</v>
      </c>
      <c r="F3472" s="5">
        <v>250000.0</v>
      </c>
      <c r="G3472" s="1" t="s">
        <v>7016</v>
      </c>
      <c r="H3472" s="1" t="s">
        <v>1055</v>
      </c>
      <c r="I3472" s="1" t="s">
        <v>302</v>
      </c>
      <c r="K3472" s="1">
        <v>0.0</v>
      </c>
      <c r="L3472" s="1" t="s">
        <v>255</v>
      </c>
      <c r="M3472" s="1" t="str">
        <f>VLOOKUP(L3472,'Copy of PMD Workday Constants -'!B3471:W4157,22,false)</f>
        <v>#N/A</v>
      </c>
      <c r="N3472" s="1" t="s">
        <v>32</v>
      </c>
      <c r="O3472" s="1" t="s">
        <v>33</v>
      </c>
      <c r="P3472" s="1" t="s">
        <v>112</v>
      </c>
      <c r="Q3472" s="1" t="s">
        <v>112</v>
      </c>
      <c r="R3472" s="1" t="s">
        <v>113</v>
      </c>
      <c r="S3472" s="1" t="s">
        <v>256</v>
      </c>
      <c r="T3472" s="1">
        <v>1.00659114E8</v>
      </c>
      <c r="W3472" s="1" t="s">
        <v>258</v>
      </c>
      <c r="X3472" s="1" t="s">
        <v>9537</v>
      </c>
    </row>
    <row r="3473">
      <c r="A3473" s="1" t="s">
        <v>10143</v>
      </c>
      <c r="B3473" s="1" t="s">
        <v>913</v>
      </c>
      <c r="C3473" s="1" t="s">
        <v>10144</v>
      </c>
      <c r="D3473" s="1" t="s">
        <v>28</v>
      </c>
      <c r="E3473" s="1" t="s">
        <v>29</v>
      </c>
      <c r="F3473" s="5">
        <v>250000.0</v>
      </c>
      <c r="G3473" s="1" t="s">
        <v>7016</v>
      </c>
      <c r="H3473" s="4">
        <v>44808.0</v>
      </c>
      <c r="I3473" s="1" t="s">
        <v>80</v>
      </c>
      <c r="K3473" s="1">
        <v>0.0</v>
      </c>
      <c r="L3473" s="1" t="s">
        <v>915</v>
      </c>
      <c r="M3473" s="1" t="str">
        <f>VLOOKUP(L3473,'Copy of PMD Workday Constants -'!B3472:W4158,22,false)</f>
        <v>#N/A</v>
      </c>
      <c r="N3473" s="1" t="s">
        <v>32</v>
      </c>
      <c r="O3473" s="1" t="s">
        <v>33</v>
      </c>
      <c r="P3473" s="1" t="s">
        <v>112</v>
      </c>
      <c r="Q3473" s="1" t="s">
        <v>112</v>
      </c>
      <c r="R3473" s="1" t="s">
        <v>113</v>
      </c>
      <c r="S3473" s="1" t="s">
        <v>84</v>
      </c>
      <c r="T3473" s="1">
        <v>1.00592304E8</v>
      </c>
      <c r="W3473" s="1" t="s">
        <v>85</v>
      </c>
      <c r="X3473" s="1" t="s">
        <v>916</v>
      </c>
    </row>
    <row r="3474">
      <c r="A3474" s="1" t="s">
        <v>10145</v>
      </c>
      <c r="B3474" s="1" t="s">
        <v>324</v>
      </c>
      <c r="C3474" s="1" t="s">
        <v>10146</v>
      </c>
      <c r="D3474" s="1" t="s">
        <v>51</v>
      </c>
      <c r="E3474" s="1" t="s">
        <v>29</v>
      </c>
      <c r="F3474" s="5">
        <v>250000.0</v>
      </c>
      <c r="G3474" s="1" t="s">
        <v>7016</v>
      </c>
      <c r="H3474" s="1" t="s">
        <v>460</v>
      </c>
      <c r="I3474" s="1" t="s">
        <v>3052</v>
      </c>
      <c r="K3474" s="1">
        <v>0.0</v>
      </c>
      <c r="L3474" s="1" t="s">
        <v>3975</v>
      </c>
      <c r="M3474" s="1" t="str">
        <f>VLOOKUP(L3474,'Copy of PMD Workday Constants -'!B3473:W4159,22,false)</f>
        <v>#N/A</v>
      </c>
      <c r="N3474" s="1" t="s">
        <v>32</v>
      </c>
      <c r="O3474" s="1" t="s">
        <v>33</v>
      </c>
      <c r="P3474" s="1" t="s">
        <v>210</v>
      </c>
      <c r="Q3474" s="1" t="s">
        <v>210</v>
      </c>
      <c r="R3474" s="1" t="s">
        <v>211</v>
      </c>
      <c r="S3474" s="1" t="s">
        <v>212</v>
      </c>
      <c r="T3474" s="1">
        <v>1.00623535E8</v>
      </c>
      <c r="W3474" s="1" t="s">
        <v>56</v>
      </c>
      <c r="X3474" s="1" t="s">
        <v>3975</v>
      </c>
    </row>
    <row r="3475">
      <c r="A3475" s="1" t="s">
        <v>10147</v>
      </c>
      <c r="B3475" s="1" t="s">
        <v>1968</v>
      </c>
      <c r="C3475" s="1" t="s">
        <v>10148</v>
      </c>
      <c r="D3475" s="1" t="s">
        <v>51</v>
      </c>
      <c r="E3475" s="1" t="s">
        <v>29</v>
      </c>
      <c r="F3475" s="5">
        <v>250000.0</v>
      </c>
      <c r="G3475" s="1" t="s">
        <v>7016</v>
      </c>
      <c r="H3475" s="1" t="s">
        <v>7081</v>
      </c>
      <c r="I3475" s="4">
        <v>44747.0</v>
      </c>
      <c r="K3475" s="1">
        <v>0.0</v>
      </c>
      <c r="L3475" s="1" t="s">
        <v>7062</v>
      </c>
      <c r="M3475" s="1" t="str">
        <f>VLOOKUP(L3475,'Copy of PMD Workday Constants -'!B3474:W4160,22,false)</f>
        <v>#N/A</v>
      </c>
      <c r="N3475" s="1" t="s">
        <v>32</v>
      </c>
      <c r="O3475" s="1" t="s">
        <v>33</v>
      </c>
      <c r="P3475" s="1" t="s">
        <v>222</v>
      </c>
      <c r="Q3475" s="1" t="s">
        <v>222</v>
      </c>
      <c r="R3475" s="1" t="s">
        <v>223</v>
      </c>
      <c r="S3475" s="1" t="s">
        <v>1457</v>
      </c>
      <c r="T3475" s="1">
        <v>1.00614969E8</v>
      </c>
      <c r="W3475" s="1" t="s">
        <v>85</v>
      </c>
      <c r="X3475" s="1" t="s">
        <v>10149</v>
      </c>
    </row>
    <row r="3476">
      <c r="A3476" s="1" t="s">
        <v>10150</v>
      </c>
      <c r="B3476" s="1" t="s">
        <v>10151</v>
      </c>
      <c r="C3476" s="1" t="s">
        <v>10152</v>
      </c>
      <c r="D3476" s="1" t="s">
        <v>28</v>
      </c>
      <c r="E3476" s="1" t="s">
        <v>29</v>
      </c>
      <c r="F3476" s="5">
        <v>250000.0</v>
      </c>
      <c r="G3476" s="1" t="s">
        <v>7016</v>
      </c>
      <c r="H3476" s="1" t="s">
        <v>5552</v>
      </c>
      <c r="I3476" s="1" t="s">
        <v>80</v>
      </c>
      <c r="K3476" s="1">
        <v>0.0</v>
      </c>
      <c r="L3476" s="1" t="s">
        <v>8193</v>
      </c>
      <c r="M3476" s="1" t="str">
        <f>VLOOKUP(L3476,'Copy of PMD Workday Constants -'!B3475:W4161,22,false)</f>
        <v>#N/A</v>
      </c>
      <c r="N3476" s="1" t="s">
        <v>32</v>
      </c>
      <c r="O3476" s="1" t="s">
        <v>33</v>
      </c>
      <c r="P3476" s="1" t="s">
        <v>222</v>
      </c>
      <c r="Q3476" s="1" t="s">
        <v>222</v>
      </c>
      <c r="R3476" s="1" t="s">
        <v>223</v>
      </c>
      <c r="S3476" s="1" t="s">
        <v>482</v>
      </c>
      <c r="T3476" s="1">
        <v>1.00589357E8</v>
      </c>
      <c r="W3476" s="1" t="s">
        <v>115</v>
      </c>
      <c r="X3476" s="1" t="s">
        <v>10153</v>
      </c>
    </row>
    <row r="3477">
      <c r="A3477" s="1" t="s">
        <v>10154</v>
      </c>
      <c r="B3477" s="1" t="s">
        <v>3257</v>
      </c>
      <c r="C3477" s="1" t="s">
        <v>10155</v>
      </c>
      <c r="D3477" s="1" t="s">
        <v>28</v>
      </c>
      <c r="E3477" s="1" t="s">
        <v>29</v>
      </c>
      <c r="F3477" s="5">
        <v>250000.0</v>
      </c>
      <c r="G3477" s="1" t="s">
        <v>7016</v>
      </c>
      <c r="H3477" s="4">
        <v>44870.0</v>
      </c>
      <c r="I3477" s="4">
        <v>44927.0</v>
      </c>
      <c r="K3477" s="1">
        <v>0.0</v>
      </c>
      <c r="L3477" s="1" t="s">
        <v>9987</v>
      </c>
      <c r="M3477" s="1" t="str">
        <f>VLOOKUP(L3477,'Copy of PMD Workday Constants -'!B3476:W4162,22,false)</f>
        <v>#N/A</v>
      </c>
      <c r="N3477" s="1" t="s">
        <v>32</v>
      </c>
      <c r="O3477" s="1" t="s">
        <v>33</v>
      </c>
      <c r="P3477" s="1" t="s">
        <v>64</v>
      </c>
      <c r="Q3477" s="1" t="s">
        <v>64</v>
      </c>
      <c r="R3477" s="1" t="s">
        <v>65</v>
      </c>
      <c r="S3477" s="1" t="s">
        <v>1336</v>
      </c>
      <c r="T3477" s="1">
        <v>1.01211126E8</v>
      </c>
      <c r="W3477" s="1" t="s">
        <v>456</v>
      </c>
      <c r="X3477" s="1" t="s">
        <v>9987</v>
      </c>
    </row>
    <row r="3478">
      <c r="A3478" s="1" t="s">
        <v>10156</v>
      </c>
      <c r="B3478" s="1" t="s">
        <v>3989</v>
      </c>
      <c r="C3478" s="1" t="s">
        <v>10157</v>
      </c>
      <c r="D3478" s="1" t="s">
        <v>28</v>
      </c>
      <c r="E3478" s="1" t="s">
        <v>29</v>
      </c>
      <c r="F3478" s="5">
        <v>250000.0</v>
      </c>
      <c r="G3478" s="1" t="s">
        <v>7016</v>
      </c>
      <c r="H3478" s="4">
        <v>44686.0</v>
      </c>
      <c r="I3478" s="1" t="s">
        <v>1327</v>
      </c>
      <c r="K3478" s="1">
        <v>0.0</v>
      </c>
      <c r="L3478" s="1" t="s">
        <v>5415</v>
      </c>
      <c r="M3478" s="1" t="str">
        <f>VLOOKUP(L3478,'Copy of PMD Workday Constants -'!B3477:W4163,22,false)</f>
        <v>#N/A</v>
      </c>
      <c r="N3478" s="1" t="s">
        <v>32</v>
      </c>
      <c r="O3478" s="1" t="s">
        <v>33</v>
      </c>
      <c r="P3478" s="1" t="s">
        <v>222</v>
      </c>
      <c r="Q3478" s="1" t="s">
        <v>222</v>
      </c>
      <c r="R3478" s="1" t="s">
        <v>223</v>
      </c>
      <c r="S3478" s="1" t="s">
        <v>601</v>
      </c>
      <c r="T3478" s="1">
        <v>1.00933537E8</v>
      </c>
      <c r="W3478" s="1" t="s">
        <v>456</v>
      </c>
      <c r="X3478" s="1" t="s">
        <v>977</v>
      </c>
    </row>
    <row r="3479">
      <c r="A3479" s="1" t="s">
        <v>10158</v>
      </c>
      <c r="B3479" s="1" t="s">
        <v>1713</v>
      </c>
      <c r="C3479" s="1" t="s">
        <v>10159</v>
      </c>
      <c r="D3479" s="1" t="s">
        <v>51</v>
      </c>
      <c r="E3479" s="1" t="s">
        <v>29</v>
      </c>
      <c r="F3479" s="5">
        <v>250000.0</v>
      </c>
      <c r="G3479" s="1" t="s">
        <v>7016</v>
      </c>
      <c r="H3479" s="1" t="s">
        <v>816</v>
      </c>
      <c r="I3479" s="4">
        <v>44689.0</v>
      </c>
      <c r="K3479" s="1">
        <v>0.0</v>
      </c>
      <c r="L3479" s="1" t="s">
        <v>532</v>
      </c>
      <c r="M3479" s="1" t="str">
        <f>VLOOKUP(L3479,'Copy of PMD Workday Constants -'!B3478:W4164,22,false)</f>
        <v>#N/A</v>
      </c>
      <c r="N3479" s="1" t="s">
        <v>32</v>
      </c>
      <c r="O3479" s="1" t="s">
        <v>33</v>
      </c>
      <c r="P3479" s="1" t="s">
        <v>112</v>
      </c>
      <c r="Q3479" s="1" t="s">
        <v>112</v>
      </c>
      <c r="R3479" s="1" t="s">
        <v>113</v>
      </c>
      <c r="S3479" s="1" t="s">
        <v>204</v>
      </c>
      <c r="T3479" s="1">
        <v>1.00646702E8</v>
      </c>
      <c r="W3479" s="1" t="s">
        <v>91</v>
      </c>
      <c r="X3479" s="1" t="s">
        <v>1879</v>
      </c>
    </row>
    <row r="3480">
      <c r="A3480" s="1" t="s">
        <v>10160</v>
      </c>
      <c r="B3480" s="1" t="s">
        <v>7915</v>
      </c>
      <c r="C3480" s="1" t="s">
        <v>10161</v>
      </c>
      <c r="D3480" s="1" t="s">
        <v>51</v>
      </c>
      <c r="E3480" s="1" t="s">
        <v>29</v>
      </c>
      <c r="F3480" s="5">
        <v>250000.0</v>
      </c>
      <c r="G3480" s="1" t="s">
        <v>7016</v>
      </c>
      <c r="H3480" s="1" t="s">
        <v>466</v>
      </c>
      <c r="I3480" s="1" t="s">
        <v>810</v>
      </c>
      <c r="K3480" s="1">
        <v>0.0</v>
      </c>
      <c r="L3480" s="1" t="s">
        <v>5017</v>
      </c>
      <c r="M3480" s="1" t="str">
        <f>VLOOKUP(L3480,'Copy of PMD Workday Constants -'!B3479:W4165,22,false)</f>
        <v>#N/A</v>
      </c>
      <c r="N3480" s="1" t="s">
        <v>32</v>
      </c>
      <c r="O3480" s="1" t="s">
        <v>33</v>
      </c>
      <c r="P3480" s="1" t="s">
        <v>210</v>
      </c>
      <c r="Q3480" s="1" t="s">
        <v>210</v>
      </c>
      <c r="R3480" s="1" t="s">
        <v>211</v>
      </c>
      <c r="S3480" s="1" t="s">
        <v>416</v>
      </c>
      <c r="T3480" s="1">
        <v>1.0060792E8</v>
      </c>
      <c r="W3480" s="1" t="s">
        <v>308</v>
      </c>
      <c r="X3480" s="1" t="s">
        <v>10162</v>
      </c>
    </row>
    <row r="3481">
      <c r="A3481" s="1" t="s">
        <v>10163</v>
      </c>
      <c r="B3481" s="1" t="s">
        <v>6183</v>
      </c>
      <c r="C3481" s="1" t="s">
        <v>10164</v>
      </c>
      <c r="D3481" s="1" t="s">
        <v>28</v>
      </c>
      <c r="E3481" s="1" t="s">
        <v>29</v>
      </c>
      <c r="F3481" s="5">
        <v>250000.0</v>
      </c>
      <c r="G3481" s="1" t="s">
        <v>7016</v>
      </c>
      <c r="H3481" s="4">
        <v>44478.0</v>
      </c>
      <c r="I3481" s="1" t="s">
        <v>132</v>
      </c>
      <c r="K3481" s="1">
        <v>0.0</v>
      </c>
      <c r="L3481" s="1" t="s">
        <v>1549</v>
      </c>
      <c r="M3481" s="1" t="str">
        <f>VLOOKUP(L3481,'Copy of PMD Workday Constants -'!B3480:W4166,22,false)</f>
        <v>#N/A</v>
      </c>
      <c r="N3481" s="1" t="s">
        <v>32</v>
      </c>
      <c r="O3481" s="1" t="s">
        <v>33</v>
      </c>
      <c r="P3481" s="1" t="s">
        <v>173</v>
      </c>
      <c r="Q3481" s="1" t="s">
        <v>173</v>
      </c>
      <c r="R3481" s="1" t="s">
        <v>174</v>
      </c>
      <c r="S3481" s="1" t="s">
        <v>612</v>
      </c>
      <c r="T3481" s="1">
        <v>1.00646908E8</v>
      </c>
      <c r="W3481" s="1" t="s">
        <v>1303</v>
      </c>
      <c r="X3481" s="1" t="s">
        <v>836</v>
      </c>
    </row>
    <row r="3482">
      <c r="A3482" s="1" t="s">
        <v>10165</v>
      </c>
      <c r="B3482" s="1" t="s">
        <v>4467</v>
      </c>
      <c r="C3482" s="1" t="s">
        <v>10166</v>
      </c>
      <c r="D3482" s="1" t="s">
        <v>28</v>
      </c>
      <c r="E3482" s="1" t="s">
        <v>29</v>
      </c>
      <c r="F3482" s="5">
        <v>250000.0</v>
      </c>
      <c r="G3482" s="1" t="s">
        <v>7016</v>
      </c>
      <c r="H3482" s="1" t="s">
        <v>8514</v>
      </c>
      <c r="I3482" s="1" t="s">
        <v>80</v>
      </c>
      <c r="K3482" s="1">
        <v>0.0</v>
      </c>
      <c r="L3482" s="1" t="s">
        <v>1198</v>
      </c>
      <c r="M3482" s="1" t="str">
        <f>VLOOKUP(L3482,'Copy of PMD Workday Constants -'!B3481:W4167,22,false)</f>
        <v>#N/A</v>
      </c>
      <c r="N3482" s="1" t="s">
        <v>32</v>
      </c>
      <c r="O3482" s="1" t="s">
        <v>33</v>
      </c>
      <c r="P3482" s="1" t="s">
        <v>64</v>
      </c>
      <c r="Q3482" s="1" t="s">
        <v>64</v>
      </c>
      <c r="R3482" s="1" t="s">
        <v>65</v>
      </c>
      <c r="T3482" s="1">
        <v>1.01127868E8</v>
      </c>
      <c r="W3482" s="1" t="s">
        <v>308</v>
      </c>
      <c r="X3482" s="1" t="s">
        <v>2197</v>
      </c>
    </row>
    <row r="3483">
      <c r="A3483" s="1" t="s">
        <v>10167</v>
      </c>
      <c r="B3483" s="1" t="s">
        <v>1373</v>
      </c>
      <c r="C3483" s="1" t="s">
        <v>10168</v>
      </c>
      <c r="D3483" s="1" t="s">
        <v>103</v>
      </c>
      <c r="E3483" s="1" t="s">
        <v>29</v>
      </c>
      <c r="F3483" s="5">
        <v>250000.0</v>
      </c>
      <c r="G3483" s="1" t="s">
        <v>7016</v>
      </c>
      <c r="H3483" s="4">
        <v>44867.0</v>
      </c>
      <c r="I3483" s="4">
        <v>44626.0</v>
      </c>
      <c r="K3483" s="1">
        <v>0.0</v>
      </c>
      <c r="L3483" s="1" t="s">
        <v>2477</v>
      </c>
      <c r="M3483" s="1" t="str">
        <f>VLOOKUP(L3483,'Copy of PMD Workday Constants -'!B3482:W4168,22,false)</f>
        <v>#N/A</v>
      </c>
      <c r="N3483" s="1" t="s">
        <v>32</v>
      </c>
      <c r="O3483" s="1" t="s">
        <v>33</v>
      </c>
      <c r="P3483" s="1" t="s">
        <v>112</v>
      </c>
      <c r="Q3483" s="1" t="s">
        <v>112</v>
      </c>
      <c r="R3483" s="1" t="s">
        <v>113</v>
      </c>
      <c r="S3483" s="1" t="s">
        <v>134</v>
      </c>
      <c r="T3483" s="1">
        <v>1.00660092E8</v>
      </c>
      <c r="W3483" s="1" t="s">
        <v>74</v>
      </c>
      <c r="X3483" s="1" t="s">
        <v>2477</v>
      </c>
    </row>
    <row r="3484">
      <c r="A3484" s="1" t="s">
        <v>10169</v>
      </c>
      <c r="B3484" s="1" t="s">
        <v>863</v>
      </c>
      <c r="C3484" s="1" t="s">
        <v>10170</v>
      </c>
      <c r="D3484" s="1" t="s">
        <v>28</v>
      </c>
      <c r="E3484" s="1" t="s">
        <v>29</v>
      </c>
      <c r="F3484" s="5">
        <v>250000.0</v>
      </c>
      <c r="G3484" s="1" t="s">
        <v>7016</v>
      </c>
      <c r="H3484" s="1" t="s">
        <v>3496</v>
      </c>
      <c r="I3484" s="1" t="s">
        <v>104</v>
      </c>
      <c r="J3484" s="6">
        <v>44809.85</v>
      </c>
      <c r="K3484" s="1">
        <v>0.0</v>
      </c>
      <c r="L3484" s="1" t="s">
        <v>3623</v>
      </c>
      <c r="M3484" s="1" t="str">
        <f>VLOOKUP(L3484,'Copy of PMD Workday Constants -'!B3483:W4169,22,false)</f>
        <v>#N/A</v>
      </c>
      <c r="N3484" s="1" t="s">
        <v>32</v>
      </c>
      <c r="O3484" s="1" t="s">
        <v>33</v>
      </c>
      <c r="P3484" s="1" t="s">
        <v>82</v>
      </c>
      <c r="Q3484" s="1" t="s">
        <v>82</v>
      </c>
      <c r="R3484" s="1" t="s">
        <v>83</v>
      </c>
      <c r="S3484" s="1" t="s">
        <v>84</v>
      </c>
      <c r="T3484" s="1">
        <v>1.00929557E8</v>
      </c>
      <c r="W3484" s="1" t="s">
        <v>85</v>
      </c>
      <c r="X3484" s="1" t="s">
        <v>10171</v>
      </c>
    </row>
    <row r="3485">
      <c r="A3485" s="1" t="s">
        <v>10172</v>
      </c>
      <c r="B3485" s="1" t="s">
        <v>445</v>
      </c>
      <c r="C3485" s="1" t="s">
        <v>10173</v>
      </c>
      <c r="D3485" s="1" t="s">
        <v>28</v>
      </c>
      <c r="E3485" s="1" t="s">
        <v>29</v>
      </c>
      <c r="F3485" s="5">
        <v>250000.0</v>
      </c>
      <c r="G3485" s="1" t="s">
        <v>7016</v>
      </c>
      <c r="H3485" s="4">
        <v>44297.0</v>
      </c>
      <c r="I3485" s="1" t="s">
        <v>1528</v>
      </c>
      <c r="K3485" s="1">
        <v>0.0</v>
      </c>
      <c r="L3485" s="1" t="s">
        <v>762</v>
      </c>
      <c r="M3485" s="1" t="str">
        <f>VLOOKUP(L3485,'Copy of PMD Workday Constants -'!B3484:W4170,22,false)</f>
        <v>#N/A</v>
      </c>
      <c r="N3485" s="1" t="s">
        <v>32</v>
      </c>
      <c r="O3485" s="1" t="s">
        <v>33</v>
      </c>
      <c r="P3485" s="1" t="s">
        <v>222</v>
      </c>
      <c r="Q3485" s="1" t="s">
        <v>222</v>
      </c>
      <c r="R3485" s="1" t="s">
        <v>223</v>
      </c>
      <c r="S3485" s="1" t="s">
        <v>646</v>
      </c>
      <c r="T3485" s="1">
        <v>1.00619765E8</v>
      </c>
      <c r="W3485" s="1" t="s">
        <v>308</v>
      </c>
      <c r="X3485" s="1" t="s">
        <v>3045</v>
      </c>
    </row>
    <row r="3486">
      <c r="A3486" s="1" t="s">
        <v>10174</v>
      </c>
      <c r="B3486" s="1" t="s">
        <v>7899</v>
      </c>
      <c r="C3486" s="1" t="s">
        <v>10175</v>
      </c>
      <c r="D3486" s="1" t="s">
        <v>103</v>
      </c>
      <c r="E3486" s="1" t="s">
        <v>29</v>
      </c>
      <c r="F3486" s="5">
        <v>250000.0</v>
      </c>
      <c r="G3486" s="1" t="s">
        <v>7016</v>
      </c>
      <c r="H3486" s="1" t="s">
        <v>2318</v>
      </c>
      <c r="I3486" s="1" t="s">
        <v>699</v>
      </c>
      <c r="K3486" s="1">
        <v>0.0</v>
      </c>
      <c r="L3486" s="1" t="s">
        <v>499</v>
      </c>
      <c r="M3486" s="1" t="str">
        <f>VLOOKUP(L3486,'Copy of PMD Workday Constants -'!B3485:W4171,22,false)</f>
        <v>#N/A</v>
      </c>
      <c r="N3486" s="1" t="s">
        <v>32</v>
      </c>
      <c r="O3486" s="1" t="s">
        <v>33</v>
      </c>
      <c r="P3486" s="1" t="s">
        <v>34</v>
      </c>
      <c r="Q3486" s="1" t="s">
        <v>34</v>
      </c>
      <c r="R3486" s="1" t="s">
        <v>35</v>
      </c>
      <c r="T3486" s="1">
        <v>1.00627768E8</v>
      </c>
      <c r="U3486" s="1" t="s">
        <v>10176</v>
      </c>
      <c r="V3486" s="1" t="s">
        <v>187</v>
      </c>
      <c r="W3486" s="1" t="s">
        <v>947</v>
      </c>
      <c r="X3486" s="1" t="s">
        <v>499</v>
      </c>
    </row>
    <row r="3487">
      <c r="A3487" s="1" t="s">
        <v>10177</v>
      </c>
      <c r="B3487" s="1" t="s">
        <v>2257</v>
      </c>
      <c r="C3487" s="1" t="s">
        <v>10178</v>
      </c>
      <c r="D3487" s="1" t="s">
        <v>28</v>
      </c>
      <c r="E3487" s="1" t="s">
        <v>29</v>
      </c>
      <c r="F3487" s="5">
        <v>250000.0</v>
      </c>
      <c r="G3487" s="1" t="s">
        <v>7016</v>
      </c>
      <c r="H3487" s="1" t="s">
        <v>10179</v>
      </c>
      <c r="I3487" s="1" t="s">
        <v>43</v>
      </c>
      <c r="K3487" s="1">
        <v>0.0</v>
      </c>
      <c r="L3487" s="1" t="s">
        <v>1282</v>
      </c>
      <c r="M3487" s="1" t="str">
        <f>VLOOKUP(L3487,'Copy of PMD Workday Constants -'!B3486:W4172,22,false)</f>
        <v>#N/A</v>
      </c>
      <c r="N3487" s="1" t="s">
        <v>32</v>
      </c>
      <c r="O3487" s="1" t="s">
        <v>33</v>
      </c>
      <c r="P3487" s="1" t="s">
        <v>34</v>
      </c>
      <c r="Q3487" s="1" t="s">
        <v>34</v>
      </c>
      <c r="R3487" s="1" t="s">
        <v>35</v>
      </c>
      <c r="S3487" s="1" t="s">
        <v>1166</v>
      </c>
      <c r="T3487" s="1">
        <v>1.006096E8</v>
      </c>
      <c r="W3487" s="1" t="s">
        <v>456</v>
      </c>
      <c r="X3487" s="1" t="s">
        <v>7966</v>
      </c>
    </row>
    <row r="3488">
      <c r="A3488" s="1" t="s">
        <v>10180</v>
      </c>
      <c r="B3488" s="1" t="s">
        <v>10181</v>
      </c>
      <c r="C3488" s="1" t="s">
        <v>10182</v>
      </c>
      <c r="D3488" s="1" t="s">
        <v>51</v>
      </c>
      <c r="E3488" s="1" t="s">
        <v>29</v>
      </c>
      <c r="F3488" s="5">
        <v>250000.0</v>
      </c>
      <c r="G3488" s="1" t="s">
        <v>7016</v>
      </c>
      <c r="H3488" s="4">
        <v>44625.0</v>
      </c>
      <c r="I3488" s="1" t="s">
        <v>132</v>
      </c>
      <c r="K3488" s="1">
        <v>0.0</v>
      </c>
      <c r="L3488" s="1" t="s">
        <v>8418</v>
      </c>
      <c r="M3488" s="1" t="str">
        <f>VLOOKUP(L3488,'Copy of PMD Workday Constants -'!B3487:W4173,22,false)</f>
        <v>#N/A</v>
      </c>
      <c r="N3488" s="1" t="s">
        <v>32</v>
      </c>
      <c r="O3488" s="1" t="s">
        <v>33</v>
      </c>
      <c r="P3488" s="1" t="s">
        <v>64</v>
      </c>
      <c r="Q3488" s="1" t="s">
        <v>64</v>
      </c>
      <c r="R3488" s="1" t="s">
        <v>65</v>
      </c>
      <c r="S3488" s="1" t="s">
        <v>66</v>
      </c>
      <c r="T3488" s="1">
        <v>1.01238292E8</v>
      </c>
      <c r="W3488" s="1" t="s">
        <v>493</v>
      </c>
      <c r="X3488" s="1" t="s">
        <v>8418</v>
      </c>
    </row>
    <row r="3489">
      <c r="A3489" s="1" t="s">
        <v>10183</v>
      </c>
      <c r="B3489" s="1" t="s">
        <v>2257</v>
      </c>
      <c r="C3489" s="1" t="s">
        <v>10184</v>
      </c>
      <c r="D3489" s="1" t="s">
        <v>28</v>
      </c>
      <c r="E3489" s="1" t="s">
        <v>29</v>
      </c>
      <c r="F3489" s="5">
        <v>250000.0</v>
      </c>
      <c r="G3489" s="1" t="s">
        <v>7016</v>
      </c>
      <c r="H3489" s="1" t="s">
        <v>10179</v>
      </c>
      <c r="I3489" s="1" t="s">
        <v>43</v>
      </c>
      <c r="K3489" s="1">
        <v>0.0</v>
      </c>
      <c r="L3489" s="1" t="s">
        <v>1282</v>
      </c>
      <c r="M3489" s="1" t="str">
        <f>VLOOKUP(L3489,'Copy of PMD Workday Constants -'!B3488:W4174,22,false)</f>
        <v>#N/A</v>
      </c>
      <c r="N3489" s="1" t="s">
        <v>32</v>
      </c>
      <c r="O3489" s="1" t="s">
        <v>33</v>
      </c>
      <c r="P3489" s="1" t="s">
        <v>34</v>
      </c>
      <c r="Q3489" s="1" t="s">
        <v>34</v>
      </c>
      <c r="R3489" s="1" t="s">
        <v>35</v>
      </c>
      <c r="S3489" s="1" t="s">
        <v>1166</v>
      </c>
      <c r="T3489" s="1">
        <v>1.006096E8</v>
      </c>
      <c r="W3489" s="1" t="s">
        <v>456</v>
      </c>
      <c r="X3489" s="1" t="s">
        <v>7966</v>
      </c>
    </row>
    <row r="3490">
      <c r="A3490" s="1" t="s">
        <v>10185</v>
      </c>
      <c r="B3490" s="1" t="s">
        <v>1648</v>
      </c>
      <c r="C3490" s="1" t="s">
        <v>10186</v>
      </c>
      <c r="D3490" s="1" t="s">
        <v>28</v>
      </c>
      <c r="E3490" s="1" t="s">
        <v>29</v>
      </c>
      <c r="F3490" s="5">
        <v>250000.0</v>
      </c>
      <c r="G3490" s="1" t="s">
        <v>7016</v>
      </c>
      <c r="H3490" s="4">
        <v>44359.0</v>
      </c>
      <c r="I3490" s="1" t="s">
        <v>80</v>
      </c>
      <c r="K3490" s="1">
        <v>0.0</v>
      </c>
      <c r="L3490" s="1" t="s">
        <v>1700</v>
      </c>
      <c r="M3490" s="1" t="str">
        <f>VLOOKUP(L3490,'Copy of PMD Workday Constants -'!B3489:W4175,22,false)</f>
        <v>#N/A</v>
      </c>
      <c r="N3490" s="1" t="s">
        <v>32</v>
      </c>
      <c r="O3490" s="1" t="s">
        <v>33</v>
      </c>
      <c r="P3490" s="1" t="s">
        <v>112</v>
      </c>
      <c r="Q3490" s="1" t="s">
        <v>112</v>
      </c>
      <c r="R3490" s="1" t="s">
        <v>113</v>
      </c>
      <c r="S3490" s="1" t="s">
        <v>120</v>
      </c>
      <c r="T3490" s="1">
        <v>1.00596555E8</v>
      </c>
      <c r="W3490" s="1" t="s">
        <v>56</v>
      </c>
      <c r="X3490" s="1" t="s">
        <v>3514</v>
      </c>
    </row>
    <row r="3491">
      <c r="A3491" s="1" t="s">
        <v>10187</v>
      </c>
      <c r="B3491" s="1" t="s">
        <v>10188</v>
      </c>
      <c r="C3491" s="1" t="s">
        <v>10189</v>
      </c>
      <c r="D3491" s="1" t="s">
        <v>28</v>
      </c>
      <c r="E3491" s="1" t="s">
        <v>29</v>
      </c>
      <c r="F3491" s="5">
        <v>250000.0</v>
      </c>
      <c r="G3491" s="1" t="s">
        <v>7016</v>
      </c>
      <c r="H3491" s="1" t="s">
        <v>10179</v>
      </c>
      <c r="I3491" s="1" t="s">
        <v>43</v>
      </c>
      <c r="K3491" s="1">
        <v>0.0</v>
      </c>
      <c r="L3491" s="1" t="s">
        <v>1282</v>
      </c>
      <c r="M3491" s="1" t="str">
        <f>VLOOKUP(L3491,'Copy of PMD Workday Constants -'!B3490:W4176,22,false)</f>
        <v>#N/A</v>
      </c>
      <c r="N3491" s="1" t="s">
        <v>32</v>
      </c>
      <c r="O3491" s="1" t="s">
        <v>33</v>
      </c>
      <c r="P3491" s="1" t="s">
        <v>34</v>
      </c>
      <c r="Q3491" s="1" t="s">
        <v>34</v>
      </c>
      <c r="R3491" s="1" t="s">
        <v>35</v>
      </c>
      <c r="S3491" s="1" t="s">
        <v>1166</v>
      </c>
      <c r="T3491" s="1">
        <v>1.006096E8</v>
      </c>
      <c r="W3491" s="1" t="s">
        <v>456</v>
      </c>
      <c r="X3491" s="1" t="s">
        <v>7966</v>
      </c>
    </row>
    <row r="3492">
      <c r="A3492" s="1" t="s">
        <v>10190</v>
      </c>
      <c r="B3492" s="1" t="s">
        <v>1703</v>
      </c>
      <c r="C3492" s="1" t="s">
        <v>10191</v>
      </c>
      <c r="D3492" s="1" t="s">
        <v>28</v>
      </c>
      <c r="E3492" s="1" t="s">
        <v>29</v>
      </c>
      <c r="F3492" s="5">
        <v>250000.0</v>
      </c>
      <c r="G3492" s="1" t="s">
        <v>7016</v>
      </c>
      <c r="H3492" s="1" t="s">
        <v>556</v>
      </c>
      <c r="I3492" s="1" t="s">
        <v>152</v>
      </c>
      <c r="K3492" s="1">
        <v>0.0</v>
      </c>
      <c r="L3492" s="1" t="s">
        <v>2983</v>
      </c>
      <c r="M3492" s="1" t="str">
        <f>VLOOKUP(L3492,'Copy of PMD Workday Constants -'!B3491:W4177,22,false)</f>
        <v>#N/A</v>
      </c>
      <c r="N3492" s="1" t="s">
        <v>32</v>
      </c>
      <c r="O3492" s="1" t="s">
        <v>33</v>
      </c>
      <c r="P3492" s="1" t="s">
        <v>34</v>
      </c>
      <c r="Q3492" s="1" t="s">
        <v>34</v>
      </c>
      <c r="R3492" s="1" t="s">
        <v>35</v>
      </c>
      <c r="T3492" s="1">
        <v>1.00650568E8</v>
      </c>
      <c r="W3492" s="1" t="s">
        <v>456</v>
      </c>
      <c r="X3492" s="1" t="s">
        <v>6144</v>
      </c>
    </row>
    <row r="3493">
      <c r="A3493" s="1" t="s">
        <v>10192</v>
      </c>
      <c r="B3493" s="1" t="s">
        <v>954</v>
      </c>
      <c r="C3493" s="1" t="s">
        <v>10193</v>
      </c>
      <c r="D3493" s="1" t="s">
        <v>28</v>
      </c>
      <c r="E3493" s="1" t="s">
        <v>29</v>
      </c>
      <c r="F3493" s="5">
        <v>250000.0</v>
      </c>
      <c r="G3493" s="1" t="s">
        <v>7016</v>
      </c>
      <c r="H3493" s="1" t="s">
        <v>4063</v>
      </c>
      <c r="I3493" s="1" t="s">
        <v>80</v>
      </c>
      <c r="K3493" s="1">
        <v>0.0</v>
      </c>
      <c r="L3493" s="1" t="s">
        <v>2703</v>
      </c>
      <c r="M3493" s="1" t="str">
        <f>VLOOKUP(L3493,'Copy of PMD Workday Constants -'!B3492:W4178,22,false)</f>
        <v>#N/A</v>
      </c>
      <c r="N3493" s="1" t="s">
        <v>32</v>
      </c>
      <c r="O3493" s="1" t="s">
        <v>33</v>
      </c>
      <c r="P3493" s="1" t="s">
        <v>34</v>
      </c>
      <c r="Q3493" s="1" t="s">
        <v>34</v>
      </c>
      <c r="R3493" s="1" t="s">
        <v>35</v>
      </c>
      <c r="S3493" s="1" t="s">
        <v>383</v>
      </c>
      <c r="T3493" s="1">
        <v>1.00866856E8</v>
      </c>
      <c r="V3493" s="1" t="s">
        <v>67</v>
      </c>
      <c r="W3493" s="1" t="s">
        <v>147</v>
      </c>
      <c r="X3493" s="1" t="s">
        <v>2703</v>
      </c>
    </row>
    <row r="3494">
      <c r="A3494" s="1" t="s">
        <v>10194</v>
      </c>
      <c r="B3494" s="1" t="s">
        <v>10119</v>
      </c>
      <c r="C3494" s="1" t="s">
        <v>10195</v>
      </c>
      <c r="D3494" s="1" t="s">
        <v>28</v>
      </c>
      <c r="E3494" s="1" t="s">
        <v>29</v>
      </c>
      <c r="F3494" s="5">
        <v>250000.0</v>
      </c>
      <c r="G3494" s="1" t="s">
        <v>7016</v>
      </c>
      <c r="H3494" s="1" t="s">
        <v>2855</v>
      </c>
      <c r="I3494" s="4">
        <v>44780.0</v>
      </c>
      <c r="K3494" s="1">
        <v>0.0</v>
      </c>
      <c r="L3494" s="1" t="s">
        <v>10196</v>
      </c>
      <c r="M3494" s="1" t="str">
        <f>VLOOKUP(L3494,'Copy of PMD Workday Constants -'!B3493:W4179,22,false)</f>
        <v>#N/A</v>
      </c>
      <c r="N3494" s="1" t="s">
        <v>32</v>
      </c>
      <c r="O3494" s="1" t="s">
        <v>33</v>
      </c>
      <c r="P3494" s="1" t="s">
        <v>64</v>
      </c>
      <c r="Q3494" s="1" t="s">
        <v>64</v>
      </c>
      <c r="R3494" s="1" t="s">
        <v>65</v>
      </c>
      <c r="S3494" s="1" t="s">
        <v>612</v>
      </c>
      <c r="T3494" s="1">
        <v>1.01215108E8</v>
      </c>
      <c r="W3494" s="1" t="s">
        <v>140</v>
      </c>
      <c r="X3494" s="1" t="s">
        <v>10196</v>
      </c>
    </row>
    <row r="3495">
      <c r="A3495" s="1" t="s">
        <v>10197</v>
      </c>
      <c r="B3495" s="1" t="s">
        <v>954</v>
      </c>
      <c r="C3495" s="1" t="s">
        <v>10198</v>
      </c>
      <c r="D3495" s="1" t="s">
        <v>28</v>
      </c>
      <c r="E3495" s="1" t="s">
        <v>29</v>
      </c>
      <c r="F3495" s="5">
        <v>250000.0</v>
      </c>
      <c r="G3495" s="1" t="s">
        <v>7016</v>
      </c>
      <c r="H3495" s="1" t="s">
        <v>3808</v>
      </c>
      <c r="I3495" s="1" t="s">
        <v>104</v>
      </c>
      <c r="K3495" s="1">
        <v>0.0</v>
      </c>
      <c r="L3495" s="1" t="s">
        <v>956</v>
      </c>
      <c r="M3495" s="1" t="str">
        <f>VLOOKUP(L3495,'Copy of PMD Workday Constants -'!B3494:W4180,22,false)</f>
        <v>#N/A</v>
      </c>
      <c r="N3495" s="1" t="s">
        <v>32</v>
      </c>
      <c r="O3495" s="1" t="s">
        <v>33</v>
      </c>
      <c r="P3495" s="1" t="s">
        <v>173</v>
      </c>
      <c r="Q3495" s="1" t="s">
        <v>173</v>
      </c>
      <c r="R3495" s="1" t="s">
        <v>174</v>
      </c>
      <c r="S3495" s="1" t="s">
        <v>612</v>
      </c>
      <c r="T3495" s="1">
        <v>1.00623421E8</v>
      </c>
      <c r="W3495" s="1" t="s">
        <v>147</v>
      </c>
      <c r="X3495" s="1" t="s">
        <v>3809</v>
      </c>
    </row>
    <row r="3496">
      <c r="A3496" s="1" t="s">
        <v>10199</v>
      </c>
      <c r="B3496" s="1" t="s">
        <v>489</v>
      </c>
      <c r="C3496" s="1" t="s">
        <v>10200</v>
      </c>
      <c r="D3496" s="1" t="s">
        <v>28</v>
      </c>
      <c r="E3496" s="1" t="s">
        <v>29</v>
      </c>
      <c r="F3496" s="5">
        <v>250000.0</v>
      </c>
      <c r="G3496" s="1" t="s">
        <v>7016</v>
      </c>
      <c r="H3496" s="4">
        <v>44717.0</v>
      </c>
      <c r="I3496" s="1" t="s">
        <v>152</v>
      </c>
      <c r="K3496" s="1">
        <v>0.0</v>
      </c>
      <c r="L3496" s="1" t="s">
        <v>639</v>
      </c>
      <c r="M3496" s="1" t="str">
        <f>VLOOKUP(L3496,'Copy of PMD Workday Constants -'!B3495:W4181,22,false)</f>
        <v>#N/A</v>
      </c>
      <c r="N3496" s="1" t="s">
        <v>32</v>
      </c>
      <c r="O3496" s="1" t="s">
        <v>33</v>
      </c>
      <c r="P3496" s="1" t="s">
        <v>222</v>
      </c>
      <c r="Q3496" s="1" t="s">
        <v>222</v>
      </c>
      <c r="R3496" s="1" t="s">
        <v>223</v>
      </c>
      <c r="T3496" s="1">
        <v>1.0089503E8</v>
      </c>
      <c r="W3496" s="1" t="s">
        <v>493</v>
      </c>
      <c r="X3496" s="1" t="s">
        <v>4700</v>
      </c>
    </row>
    <row r="3497">
      <c r="A3497" s="1" t="s">
        <v>10201</v>
      </c>
      <c r="B3497" s="1" t="s">
        <v>9622</v>
      </c>
      <c r="C3497" s="1" t="s">
        <v>10202</v>
      </c>
      <c r="D3497" s="1" t="s">
        <v>51</v>
      </c>
      <c r="E3497" s="1" t="s">
        <v>29</v>
      </c>
      <c r="F3497" s="5">
        <v>250000.0</v>
      </c>
      <c r="G3497" s="1" t="s">
        <v>7016</v>
      </c>
      <c r="H3497" s="1" t="s">
        <v>2142</v>
      </c>
      <c r="I3497" s="1" t="s">
        <v>6105</v>
      </c>
      <c r="K3497" s="1">
        <v>0.0</v>
      </c>
      <c r="L3497" s="1" t="s">
        <v>3476</v>
      </c>
      <c r="M3497" s="1" t="str">
        <f>VLOOKUP(L3497,'Copy of PMD Workday Constants -'!B3496:W4182,22,false)</f>
        <v>#N/A</v>
      </c>
      <c r="N3497" s="1" t="s">
        <v>32</v>
      </c>
      <c r="O3497" s="1" t="s">
        <v>33</v>
      </c>
      <c r="P3497" s="1" t="s">
        <v>112</v>
      </c>
      <c r="Q3497" s="1" t="s">
        <v>112</v>
      </c>
      <c r="R3497" s="1" t="s">
        <v>113</v>
      </c>
      <c r="S3497" s="1" t="s">
        <v>114</v>
      </c>
      <c r="T3497" s="1">
        <v>1.00702554E8</v>
      </c>
      <c r="W3497" s="1" t="s">
        <v>493</v>
      </c>
      <c r="X3497" s="1" t="s">
        <v>3476</v>
      </c>
    </row>
    <row r="3498">
      <c r="A3498" s="1" t="s">
        <v>10203</v>
      </c>
      <c r="B3498" s="1" t="s">
        <v>1204</v>
      </c>
      <c r="C3498" s="1" t="s">
        <v>10204</v>
      </c>
      <c r="D3498" s="1" t="s">
        <v>28</v>
      </c>
      <c r="E3498" s="1" t="s">
        <v>29</v>
      </c>
      <c r="F3498" s="5">
        <v>250000.0</v>
      </c>
      <c r="G3498" s="1" t="s">
        <v>7016</v>
      </c>
      <c r="H3498" s="1" t="s">
        <v>2290</v>
      </c>
      <c r="I3498" s="4">
        <v>44813.0</v>
      </c>
      <c r="K3498" s="1">
        <v>0.0</v>
      </c>
      <c r="L3498" s="1" t="s">
        <v>228</v>
      </c>
      <c r="M3498" s="1" t="str">
        <f>VLOOKUP(L3498,'Copy of PMD Workday Constants -'!B3497:W4183,22,false)</f>
        <v>#N/A</v>
      </c>
      <c r="N3498" s="1" t="s">
        <v>32</v>
      </c>
      <c r="O3498" s="1" t="s">
        <v>33</v>
      </c>
      <c r="P3498" s="1" t="s">
        <v>64</v>
      </c>
      <c r="Q3498" s="1" t="s">
        <v>64</v>
      </c>
      <c r="R3498" s="1" t="s">
        <v>65</v>
      </c>
      <c r="T3498" s="1">
        <v>1.00650619E8</v>
      </c>
      <c r="W3498" s="1" t="s">
        <v>85</v>
      </c>
      <c r="X3498" s="1" t="s">
        <v>228</v>
      </c>
    </row>
    <row r="3499">
      <c r="A3499" s="1" t="s">
        <v>10205</v>
      </c>
      <c r="B3499" s="1" t="s">
        <v>489</v>
      </c>
      <c r="C3499" s="1" t="s">
        <v>10206</v>
      </c>
      <c r="D3499" s="1" t="s">
        <v>28</v>
      </c>
      <c r="E3499" s="1" t="s">
        <v>29</v>
      </c>
      <c r="F3499" s="5">
        <v>250000.0</v>
      </c>
      <c r="G3499" s="1" t="s">
        <v>7016</v>
      </c>
      <c r="H3499" s="4">
        <v>44717.0</v>
      </c>
      <c r="I3499" s="1" t="s">
        <v>152</v>
      </c>
      <c r="K3499" s="1">
        <v>0.0</v>
      </c>
      <c r="L3499" s="1" t="s">
        <v>10207</v>
      </c>
      <c r="M3499" s="1" t="str">
        <f>VLOOKUP(L3499,'Copy of PMD Workday Constants -'!B3498:W4184,22,false)</f>
        <v>#N/A</v>
      </c>
      <c r="N3499" s="1" t="s">
        <v>32</v>
      </c>
      <c r="O3499" s="1" t="s">
        <v>33</v>
      </c>
      <c r="P3499" s="1" t="s">
        <v>222</v>
      </c>
      <c r="Q3499" s="1" t="s">
        <v>222</v>
      </c>
      <c r="R3499" s="1" t="s">
        <v>223</v>
      </c>
      <c r="T3499" s="1">
        <v>1.00612201E8</v>
      </c>
      <c r="W3499" s="1" t="s">
        <v>493</v>
      </c>
      <c r="X3499" s="1" t="s">
        <v>4700</v>
      </c>
    </row>
    <row r="3500">
      <c r="A3500" s="1" t="s">
        <v>10208</v>
      </c>
      <c r="B3500" s="1" t="s">
        <v>859</v>
      </c>
      <c r="C3500" s="1" t="s">
        <v>10209</v>
      </c>
      <c r="D3500" s="1" t="s">
        <v>28</v>
      </c>
      <c r="E3500" s="1" t="s">
        <v>29</v>
      </c>
      <c r="F3500" s="5">
        <v>250000.0</v>
      </c>
      <c r="G3500" s="1" t="s">
        <v>7016</v>
      </c>
      <c r="H3500" s="1" t="s">
        <v>1620</v>
      </c>
      <c r="I3500" s="1" t="s">
        <v>152</v>
      </c>
      <c r="K3500" s="1">
        <v>0.0</v>
      </c>
      <c r="L3500" s="1" t="s">
        <v>2435</v>
      </c>
      <c r="M3500" s="1" t="str">
        <f>VLOOKUP(L3500,'Copy of PMD Workday Constants -'!B3499:W4185,22,false)</f>
        <v>#N/A</v>
      </c>
      <c r="N3500" s="1" t="s">
        <v>32</v>
      </c>
      <c r="O3500" s="1" t="s">
        <v>33</v>
      </c>
      <c r="P3500" s="1" t="s">
        <v>173</v>
      </c>
      <c r="Q3500" s="1" t="s">
        <v>173</v>
      </c>
      <c r="R3500" s="1" t="s">
        <v>174</v>
      </c>
      <c r="S3500" s="1" t="s">
        <v>612</v>
      </c>
      <c r="T3500" s="1">
        <v>1.00634919E8</v>
      </c>
      <c r="W3500" s="1" t="s">
        <v>147</v>
      </c>
      <c r="X3500" s="1" t="s">
        <v>10210</v>
      </c>
    </row>
    <row r="3501">
      <c r="A3501" s="1" t="s">
        <v>10211</v>
      </c>
      <c r="B3501" s="1" t="s">
        <v>631</v>
      </c>
      <c r="C3501" s="1" t="s">
        <v>10077</v>
      </c>
      <c r="D3501" s="1" t="s">
        <v>28</v>
      </c>
      <c r="E3501" s="1" t="s">
        <v>29</v>
      </c>
      <c r="F3501" s="5">
        <v>250000.0</v>
      </c>
      <c r="G3501" s="1" t="s">
        <v>7016</v>
      </c>
      <c r="H3501" s="4">
        <v>44867.0</v>
      </c>
      <c r="I3501" s="1" t="s">
        <v>152</v>
      </c>
      <c r="K3501" s="1">
        <v>0.0</v>
      </c>
      <c r="L3501" s="1" t="s">
        <v>3765</v>
      </c>
      <c r="M3501" s="1" t="str">
        <f>VLOOKUP(L3501,'Copy of PMD Workday Constants -'!B3500:W4186,22,false)</f>
        <v>#N/A</v>
      </c>
      <c r="N3501" s="1" t="s">
        <v>32</v>
      </c>
      <c r="O3501" s="1" t="s">
        <v>33</v>
      </c>
      <c r="P3501" s="1" t="s">
        <v>64</v>
      </c>
      <c r="Q3501" s="1" t="s">
        <v>64</v>
      </c>
      <c r="R3501" s="1" t="s">
        <v>65</v>
      </c>
      <c r="S3501" s="1" t="s">
        <v>1336</v>
      </c>
      <c r="T3501" s="1">
        <v>1.00649472E8</v>
      </c>
      <c r="W3501" s="1" t="s">
        <v>37</v>
      </c>
      <c r="X3501" s="1" t="s">
        <v>1337</v>
      </c>
    </row>
    <row r="3502">
      <c r="A3502" s="1" t="s">
        <v>10212</v>
      </c>
      <c r="B3502" s="1" t="s">
        <v>10213</v>
      </c>
      <c r="C3502" s="1" t="s">
        <v>10214</v>
      </c>
      <c r="D3502" s="1" t="s">
        <v>51</v>
      </c>
      <c r="E3502" s="1" t="s">
        <v>29</v>
      </c>
      <c r="F3502" s="5">
        <v>250000.0</v>
      </c>
      <c r="G3502" s="1" t="s">
        <v>7016</v>
      </c>
      <c r="H3502" s="1" t="s">
        <v>466</v>
      </c>
      <c r="I3502" s="1" t="s">
        <v>810</v>
      </c>
      <c r="K3502" s="1">
        <v>0.0</v>
      </c>
      <c r="L3502" s="1" t="s">
        <v>1249</v>
      </c>
      <c r="M3502" s="1" t="str">
        <f>VLOOKUP(L3502,'Copy of PMD Workday Constants -'!B3501:W4187,22,false)</f>
        <v>#N/A</v>
      </c>
      <c r="N3502" s="1" t="s">
        <v>32</v>
      </c>
      <c r="O3502" s="1" t="s">
        <v>33</v>
      </c>
      <c r="P3502" s="1" t="s">
        <v>222</v>
      </c>
      <c r="Q3502" s="1" t="s">
        <v>222</v>
      </c>
      <c r="R3502" s="1" t="s">
        <v>223</v>
      </c>
      <c r="S3502" s="1" t="s">
        <v>646</v>
      </c>
      <c r="T3502" s="1">
        <v>1.00609871E8</v>
      </c>
      <c r="W3502" s="1" t="s">
        <v>115</v>
      </c>
      <c r="X3502" s="1" t="s">
        <v>1249</v>
      </c>
    </row>
    <row r="3503">
      <c r="A3503" s="1" t="s">
        <v>10215</v>
      </c>
      <c r="B3503" s="1" t="s">
        <v>9622</v>
      </c>
      <c r="C3503" s="1" t="s">
        <v>10216</v>
      </c>
      <c r="D3503" s="1" t="s">
        <v>103</v>
      </c>
      <c r="E3503" s="1" t="s">
        <v>29</v>
      </c>
      <c r="F3503" s="5">
        <v>250000.0</v>
      </c>
      <c r="G3503" s="1" t="s">
        <v>7016</v>
      </c>
      <c r="H3503" s="4">
        <v>44567.0</v>
      </c>
      <c r="I3503" s="1" t="s">
        <v>326</v>
      </c>
      <c r="K3503" s="1">
        <v>0.0</v>
      </c>
      <c r="L3503" s="1" t="s">
        <v>3480</v>
      </c>
      <c r="M3503" s="1" t="str">
        <f>VLOOKUP(L3503,'Copy of PMD Workday Constants -'!B3502:W4188,22,false)</f>
        <v>#N/A</v>
      </c>
      <c r="N3503" s="1" t="s">
        <v>32</v>
      </c>
      <c r="O3503" s="1" t="s">
        <v>33</v>
      </c>
      <c r="P3503" s="1" t="s">
        <v>112</v>
      </c>
      <c r="Q3503" s="1" t="s">
        <v>112</v>
      </c>
      <c r="R3503" s="1" t="s">
        <v>113</v>
      </c>
      <c r="S3503" s="1" t="s">
        <v>134</v>
      </c>
      <c r="T3503" s="1">
        <v>1.00628223E8</v>
      </c>
      <c r="W3503" s="1" t="s">
        <v>493</v>
      </c>
      <c r="X3503" s="1" t="s">
        <v>10083</v>
      </c>
    </row>
    <row r="3504">
      <c r="A3504" s="1" t="s">
        <v>10217</v>
      </c>
      <c r="B3504" s="1" t="s">
        <v>10218</v>
      </c>
      <c r="C3504" s="1" t="s">
        <v>10219</v>
      </c>
      <c r="D3504" s="1" t="s">
        <v>28</v>
      </c>
      <c r="E3504" s="1" t="s">
        <v>29</v>
      </c>
      <c r="F3504" s="5">
        <v>250000.0</v>
      </c>
      <c r="G3504" s="1" t="s">
        <v>7016</v>
      </c>
      <c r="H3504" s="4">
        <v>44567.0</v>
      </c>
      <c r="I3504" s="4">
        <v>44689.0</v>
      </c>
      <c r="K3504" s="1">
        <v>0.0</v>
      </c>
      <c r="L3504" s="1" t="s">
        <v>2081</v>
      </c>
      <c r="M3504" s="1" t="str">
        <f>VLOOKUP(L3504,'Copy of PMD Workday Constants -'!B3503:W4189,22,false)</f>
        <v>#N/A</v>
      </c>
      <c r="N3504" s="1" t="s">
        <v>32</v>
      </c>
      <c r="O3504" s="1" t="s">
        <v>33</v>
      </c>
      <c r="P3504" s="1" t="s">
        <v>34</v>
      </c>
      <c r="Q3504" s="1" t="s">
        <v>34</v>
      </c>
      <c r="R3504" s="1" t="s">
        <v>35</v>
      </c>
      <c r="T3504" s="1">
        <v>1.01215106E8</v>
      </c>
      <c r="W3504" s="1" t="s">
        <v>74</v>
      </c>
      <c r="X3504" s="1" t="s">
        <v>2081</v>
      </c>
    </row>
    <row r="3505">
      <c r="A3505" s="1" t="s">
        <v>10220</v>
      </c>
      <c r="B3505" s="1" t="s">
        <v>485</v>
      </c>
      <c r="C3505" s="1" t="s">
        <v>10221</v>
      </c>
      <c r="D3505" s="1" t="s">
        <v>51</v>
      </c>
      <c r="E3505" s="1" t="s">
        <v>29</v>
      </c>
      <c r="F3505" s="5">
        <v>250000.0</v>
      </c>
      <c r="G3505" s="1" t="s">
        <v>7016</v>
      </c>
      <c r="H3505" s="1" t="s">
        <v>2318</v>
      </c>
      <c r="I3505" s="1" t="s">
        <v>152</v>
      </c>
      <c r="K3505" s="1">
        <v>0.0</v>
      </c>
      <c r="L3505" s="1" t="s">
        <v>448</v>
      </c>
      <c r="M3505" s="1" t="str">
        <f>VLOOKUP(L3505,'Copy of PMD Workday Constants -'!B3504:W4190,22,false)</f>
        <v>#N/A</v>
      </c>
      <c r="N3505" s="1" t="s">
        <v>32</v>
      </c>
      <c r="O3505" s="1" t="s">
        <v>33</v>
      </c>
      <c r="P3505" s="1" t="s">
        <v>112</v>
      </c>
      <c r="Q3505" s="1" t="s">
        <v>112</v>
      </c>
      <c r="R3505" s="1" t="s">
        <v>113</v>
      </c>
      <c r="S3505" s="1" t="s">
        <v>307</v>
      </c>
      <c r="T3505" s="1">
        <v>1.00657929E8</v>
      </c>
      <c r="W3505" s="1" t="s">
        <v>47</v>
      </c>
      <c r="X3505" s="1" t="s">
        <v>7216</v>
      </c>
    </row>
    <row r="3506">
      <c r="A3506" s="1" t="s">
        <v>10222</v>
      </c>
      <c r="B3506" s="1" t="s">
        <v>4820</v>
      </c>
      <c r="C3506" s="1" t="s">
        <v>10223</v>
      </c>
      <c r="D3506" s="1" t="s">
        <v>51</v>
      </c>
      <c r="E3506" s="1" t="s">
        <v>29</v>
      </c>
      <c r="F3506" s="5">
        <v>250000.0</v>
      </c>
      <c r="G3506" s="1" t="s">
        <v>7016</v>
      </c>
      <c r="H3506" s="1" t="s">
        <v>3496</v>
      </c>
      <c r="I3506" s="1" t="s">
        <v>104</v>
      </c>
      <c r="K3506" s="1">
        <v>0.0</v>
      </c>
      <c r="L3506" s="1" t="s">
        <v>5317</v>
      </c>
      <c r="M3506" s="1" t="str">
        <f>VLOOKUP(L3506,'Copy of PMD Workday Constants -'!B3505:W4191,22,false)</f>
        <v>#N/A</v>
      </c>
      <c r="N3506" s="1" t="s">
        <v>32</v>
      </c>
      <c r="O3506" s="1" t="s">
        <v>33</v>
      </c>
      <c r="P3506" s="1" t="s">
        <v>112</v>
      </c>
      <c r="Q3506" s="1" t="s">
        <v>112</v>
      </c>
      <c r="R3506" s="1" t="s">
        <v>113</v>
      </c>
      <c r="T3506" s="1">
        <v>1.00569225E8</v>
      </c>
      <c r="W3506" s="1" t="s">
        <v>74</v>
      </c>
      <c r="X3506" s="1" t="s">
        <v>1811</v>
      </c>
    </row>
    <row r="3507">
      <c r="A3507" s="1" t="s">
        <v>10224</v>
      </c>
      <c r="B3507" s="1" t="s">
        <v>776</v>
      </c>
      <c r="C3507" s="1" t="s">
        <v>10225</v>
      </c>
      <c r="D3507" s="1" t="s">
        <v>51</v>
      </c>
      <c r="E3507" s="1" t="s">
        <v>29</v>
      </c>
      <c r="F3507" s="5">
        <v>250000.0</v>
      </c>
      <c r="G3507" s="1" t="s">
        <v>7016</v>
      </c>
      <c r="H3507" s="1" t="s">
        <v>4413</v>
      </c>
      <c r="I3507" s="1" t="s">
        <v>810</v>
      </c>
      <c r="K3507" s="1">
        <v>0.0</v>
      </c>
      <c r="L3507" s="1" t="s">
        <v>782</v>
      </c>
      <c r="M3507" s="1" t="str">
        <f>VLOOKUP(L3507,'Copy of PMD Workday Constants -'!B3506:W4192,22,false)</f>
        <v>#N/A</v>
      </c>
      <c r="N3507" s="1" t="s">
        <v>32</v>
      </c>
      <c r="O3507" s="1" t="s">
        <v>33</v>
      </c>
      <c r="P3507" s="1" t="s">
        <v>173</v>
      </c>
      <c r="Q3507" s="1" t="s">
        <v>173</v>
      </c>
      <c r="R3507" s="1" t="s">
        <v>174</v>
      </c>
      <c r="T3507" s="1">
        <v>1.00483178E8</v>
      </c>
      <c r="W3507" s="1" t="s">
        <v>74</v>
      </c>
      <c r="X3507" s="1" t="s">
        <v>10226</v>
      </c>
    </row>
    <row r="3508">
      <c r="A3508" s="1" t="s">
        <v>10227</v>
      </c>
      <c r="B3508" s="1" t="s">
        <v>4511</v>
      </c>
      <c r="C3508" s="1" t="s">
        <v>8218</v>
      </c>
      <c r="D3508" s="1" t="s">
        <v>28</v>
      </c>
      <c r="E3508" s="1" t="s">
        <v>29</v>
      </c>
      <c r="F3508" s="5">
        <v>250000.0</v>
      </c>
      <c r="G3508" s="1" t="s">
        <v>7016</v>
      </c>
      <c r="H3508" s="1" t="s">
        <v>6291</v>
      </c>
      <c r="I3508" s="1" t="s">
        <v>10228</v>
      </c>
      <c r="K3508" s="1">
        <v>0.0</v>
      </c>
      <c r="L3508" s="1" t="s">
        <v>3476</v>
      </c>
      <c r="M3508" s="1" t="str">
        <f>VLOOKUP(L3508,'Copy of PMD Workday Constants -'!B3507:W4193,22,false)</f>
        <v>#N/A</v>
      </c>
      <c r="N3508" s="1" t="s">
        <v>32</v>
      </c>
      <c r="O3508" s="1" t="s">
        <v>33</v>
      </c>
      <c r="P3508" s="1" t="s">
        <v>112</v>
      </c>
      <c r="Q3508" s="1" t="s">
        <v>112</v>
      </c>
      <c r="R3508" s="1" t="s">
        <v>113</v>
      </c>
      <c r="S3508" s="1" t="s">
        <v>114</v>
      </c>
      <c r="T3508" s="1">
        <v>1.00702554E8</v>
      </c>
      <c r="W3508" s="1" t="s">
        <v>1303</v>
      </c>
      <c r="X3508" s="1" t="s">
        <v>3476</v>
      </c>
    </row>
    <row r="3509">
      <c r="A3509" s="1" t="s">
        <v>10229</v>
      </c>
      <c r="B3509" s="1" t="s">
        <v>1609</v>
      </c>
      <c r="C3509" s="1" t="s">
        <v>10230</v>
      </c>
      <c r="D3509" s="1" t="s">
        <v>103</v>
      </c>
      <c r="E3509" s="1" t="s">
        <v>29</v>
      </c>
      <c r="F3509" s="5">
        <v>250000.0</v>
      </c>
      <c r="G3509" s="1" t="s">
        <v>7016</v>
      </c>
      <c r="H3509" s="1" t="s">
        <v>10231</v>
      </c>
      <c r="I3509" s="1" t="s">
        <v>2485</v>
      </c>
      <c r="K3509" s="1">
        <v>0.0</v>
      </c>
      <c r="L3509" s="1" t="s">
        <v>2205</v>
      </c>
      <c r="M3509" s="1" t="str">
        <f>VLOOKUP(L3509,'Copy of PMD Workday Constants -'!B3508:W4194,22,false)</f>
        <v>#N/A</v>
      </c>
      <c r="N3509" s="1" t="s">
        <v>32</v>
      </c>
      <c r="O3509" s="1" t="s">
        <v>33</v>
      </c>
      <c r="P3509" s="1" t="s">
        <v>112</v>
      </c>
      <c r="Q3509" s="1" t="s">
        <v>112</v>
      </c>
      <c r="R3509" s="1" t="s">
        <v>113</v>
      </c>
      <c r="S3509" s="1" t="s">
        <v>66</v>
      </c>
      <c r="T3509" s="1">
        <v>1.0059365E8</v>
      </c>
      <c r="W3509" s="1" t="s">
        <v>391</v>
      </c>
      <c r="X3509" s="1" t="s">
        <v>2660</v>
      </c>
    </row>
    <row r="3510">
      <c r="A3510" s="1" t="s">
        <v>10232</v>
      </c>
      <c r="B3510" s="1" t="s">
        <v>3283</v>
      </c>
      <c r="C3510" s="1" t="s">
        <v>10233</v>
      </c>
      <c r="D3510" s="1" t="s">
        <v>103</v>
      </c>
      <c r="E3510" s="1" t="s">
        <v>29</v>
      </c>
      <c r="F3510" s="5">
        <v>250000.0</v>
      </c>
      <c r="G3510" s="1" t="s">
        <v>7016</v>
      </c>
      <c r="H3510" s="4">
        <v>44777.0</v>
      </c>
      <c r="I3510" s="1" t="s">
        <v>104</v>
      </c>
      <c r="K3510" s="1">
        <v>0.0</v>
      </c>
      <c r="L3510" s="1" t="s">
        <v>350</v>
      </c>
      <c r="M3510" s="1" t="str">
        <f>VLOOKUP(L3510,'Copy of PMD Workday Constants -'!B3509:W4195,22,false)</f>
        <v>#N/A</v>
      </c>
      <c r="N3510" s="1" t="s">
        <v>32</v>
      </c>
      <c r="O3510" s="1" t="s">
        <v>33</v>
      </c>
      <c r="P3510" s="1" t="s">
        <v>82</v>
      </c>
      <c r="Q3510" s="1" t="s">
        <v>82</v>
      </c>
      <c r="R3510" s="1" t="s">
        <v>83</v>
      </c>
      <c r="S3510" s="1" t="s">
        <v>180</v>
      </c>
      <c r="T3510" s="1">
        <v>1.00582847E8</v>
      </c>
      <c r="W3510" s="1" t="s">
        <v>85</v>
      </c>
      <c r="X3510" s="1" t="s">
        <v>350</v>
      </c>
    </row>
    <row r="3511">
      <c r="A3511" s="1" t="s">
        <v>10234</v>
      </c>
      <c r="B3511" s="1" t="s">
        <v>1721</v>
      </c>
      <c r="C3511" s="1" t="s">
        <v>10235</v>
      </c>
      <c r="D3511" s="1" t="s">
        <v>51</v>
      </c>
      <c r="E3511" s="1" t="s">
        <v>29</v>
      </c>
      <c r="F3511" s="5">
        <v>250000.0</v>
      </c>
      <c r="G3511" s="1" t="s">
        <v>7016</v>
      </c>
      <c r="H3511" s="4">
        <v>44359.0</v>
      </c>
      <c r="I3511" s="1" t="s">
        <v>104</v>
      </c>
      <c r="K3511" s="1">
        <v>0.0</v>
      </c>
      <c r="L3511" s="1" t="s">
        <v>2343</v>
      </c>
      <c r="M3511" s="1" t="str">
        <f>VLOOKUP(L3511,'Copy of PMD Workday Constants -'!B3510:W4196,22,false)</f>
        <v>#N/A</v>
      </c>
      <c r="N3511" s="1" t="s">
        <v>32</v>
      </c>
      <c r="O3511" s="1" t="s">
        <v>33</v>
      </c>
      <c r="P3511" s="1" t="s">
        <v>222</v>
      </c>
      <c r="Q3511" s="1" t="s">
        <v>222</v>
      </c>
      <c r="R3511" s="1" t="s">
        <v>223</v>
      </c>
      <c r="S3511" s="1" t="s">
        <v>601</v>
      </c>
      <c r="T3511" s="1">
        <v>1.00619128E8</v>
      </c>
      <c r="W3511" s="1" t="s">
        <v>391</v>
      </c>
      <c r="X3511" s="1" t="s">
        <v>718</v>
      </c>
    </row>
    <row r="3512">
      <c r="A3512" s="1" t="s">
        <v>10236</v>
      </c>
      <c r="B3512" s="1" t="s">
        <v>10237</v>
      </c>
      <c r="C3512" s="1" t="s">
        <v>10238</v>
      </c>
      <c r="D3512" s="1" t="s">
        <v>51</v>
      </c>
      <c r="E3512" s="1" t="s">
        <v>29</v>
      </c>
      <c r="F3512" s="5">
        <v>250000.0</v>
      </c>
      <c r="G3512" s="1" t="s">
        <v>7016</v>
      </c>
      <c r="H3512" s="1" t="s">
        <v>363</v>
      </c>
      <c r="I3512" s="4">
        <v>44813.0</v>
      </c>
      <c r="K3512" s="1">
        <v>0.0</v>
      </c>
      <c r="L3512" s="1" t="s">
        <v>2516</v>
      </c>
      <c r="M3512" s="1" t="str">
        <f>VLOOKUP(L3512,'Copy of PMD Workday Constants -'!B3511:W4197,22,false)</f>
        <v>#N/A</v>
      </c>
      <c r="N3512" s="1" t="s">
        <v>32</v>
      </c>
      <c r="O3512" s="1" t="s">
        <v>33</v>
      </c>
      <c r="P3512" s="1" t="s">
        <v>173</v>
      </c>
      <c r="Q3512" s="1" t="s">
        <v>173</v>
      </c>
      <c r="R3512" s="1" t="s">
        <v>174</v>
      </c>
      <c r="S3512" s="1" t="s">
        <v>540</v>
      </c>
      <c r="T3512" s="1">
        <v>1.00690774E8</v>
      </c>
      <c r="W3512" s="1" t="s">
        <v>56</v>
      </c>
      <c r="X3512" s="1" t="s">
        <v>3778</v>
      </c>
    </row>
    <row r="3513">
      <c r="A3513" s="1" t="s">
        <v>10239</v>
      </c>
      <c r="B3513" s="1" t="s">
        <v>5103</v>
      </c>
      <c r="C3513" s="1" t="s">
        <v>10240</v>
      </c>
      <c r="D3513" s="1" t="s">
        <v>51</v>
      </c>
      <c r="E3513" s="1" t="s">
        <v>29</v>
      </c>
      <c r="F3513" s="5">
        <v>250000.0</v>
      </c>
      <c r="G3513" s="1" t="s">
        <v>7016</v>
      </c>
      <c r="H3513" s="4">
        <v>44655.0</v>
      </c>
      <c r="I3513" s="1" t="s">
        <v>302</v>
      </c>
      <c r="K3513" s="1">
        <v>0.0</v>
      </c>
      <c r="L3513" s="1" t="s">
        <v>2214</v>
      </c>
      <c r="M3513" s="1" t="str">
        <f>VLOOKUP(L3513,'Copy of PMD Workday Constants -'!B3512:W4198,22,false)</f>
        <v>#N/A</v>
      </c>
      <c r="N3513" s="1" t="s">
        <v>32</v>
      </c>
      <c r="O3513" s="1" t="s">
        <v>33</v>
      </c>
      <c r="P3513" s="1" t="s">
        <v>82</v>
      </c>
      <c r="Q3513" s="1" t="s">
        <v>82</v>
      </c>
      <c r="R3513" s="1" t="s">
        <v>83</v>
      </c>
      <c r="T3513" s="1">
        <v>1.00588545E8</v>
      </c>
      <c r="W3513" s="1" t="s">
        <v>115</v>
      </c>
      <c r="X3513" s="1" t="s">
        <v>10241</v>
      </c>
    </row>
    <row r="3514">
      <c r="A3514" s="1" t="s">
        <v>10242</v>
      </c>
      <c r="B3514" s="1" t="s">
        <v>7535</v>
      </c>
      <c r="C3514" s="1" t="s">
        <v>10243</v>
      </c>
      <c r="D3514" s="1" t="s">
        <v>28</v>
      </c>
      <c r="E3514" s="1" t="s">
        <v>29</v>
      </c>
      <c r="F3514" s="5">
        <v>250000.0</v>
      </c>
      <c r="G3514" s="1" t="s">
        <v>7016</v>
      </c>
      <c r="H3514" s="1" t="s">
        <v>2855</v>
      </c>
      <c r="I3514" s="1" t="s">
        <v>132</v>
      </c>
      <c r="K3514" s="1">
        <v>0.0</v>
      </c>
      <c r="L3514" s="1" t="s">
        <v>3422</v>
      </c>
      <c r="M3514" s="1" t="str">
        <f>VLOOKUP(L3514,'Copy of PMD Workday Constants -'!B3513:W4199,22,false)</f>
        <v>#N/A</v>
      </c>
      <c r="N3514" s="1" t="s">
        <v>32</v>
      </c>
      <c r="O3514" s="1" t="s">
        <v>33</v>
      </c>
      <c r="P3514" s="1" t="s">
        <v>173</v>
      </c>
      <c r="Q3514" s="1" t="s">
        <v>173</v>
      </c>
      <c r="R3514" s="1" t="s">
        <v>174</v>
      </c>
      <c r="S3514" s="1" t="s">
        <v>612</v>
      </c>
      <c r="T3514" s="1">
        <v>1.01141463E8</v>
      </c>
      <c r="W3514" s="1" t="s">
        <v>74</v>
      </c>
      <c r="X3514" s="1" t="s">
        <v>10244</v>
      </c>
    </row>
    <row r="3515">
      <c r="A3515" s="1" t="s">
        <v>10245</v>
      </c>
      <c r="B3515" s="1" t="s">
        <v>219</v>
      </c>
      <c r="C3515" s="1" t="s">
        <v>10246</v>
      </c>
      <c r="D3515" s="1" t="s">
        <v>28</v>
      </c>
      <c r="E3515" s="1" t="s">
        <v>29</v>
      </c>
      <c r="F3515" s="5">
        <v>250000.0</v>
      </c>
      <c r="G3515" s="1" t="s">
        <v>7016</v>
      </c>
      <c r="H3515" s="4">
        <v>44563.0</v>
      </c>
      <c r="I3515" s="1" t="s">
        <v>80</v>
      </c>
      <c r="K3515" s="1">
        <v>0.0</v>
      </c>
      <c r="L3515" s="1" t="s">
        <v>1587</v>
      </c>
      <c r="M3515" s="1" t="str">
        <f>VLOOKUP(L3515,'Copy of PMD Workday Constants -'!B3514:W4200,22,false)</f>
        <v>#N/A</v>
      </c>
      <c r="N3515" s="1" t="s">
        <v>32</v>
      </c>
      <c r="O3515" s="1" t="s">
        <v>33</v>
      </c>
      <c r="P3515" s="1" t="s">
        <v>64</v>
      </c>
      <c r="Q3515" s="1" t="s">
        <v>64</v>
      </c>
      <c r="R3515" s="1" t="s">
        <v>65</v>
      </c>
      <c r="S3515" s="1" t="s">
        <v>1336</v>
      </c>
      <c r="T3515" s="1">
        <v>1.01141441E8</v>
      </c>
      <c r="W3515" s="1" t="s">
        <v>91</v>
      </c>
      <c r="X3515" s="1" t="s">
        <v>1337</v>
      </c>
    </row>
    <row r="3516">
      <c r="A3516" s="1" t="s">
        <v>10247</v>
      </c>
      <c r="B3516" s="1" t="s">
        <v>863</v>
      </c>
      <c r="C3516" s="1" t="s">
        <v>10248</v>
      </c>
      <c r="D3516" s="1" t="s">
        <v>103</v>
      </c>
      <c r="E3516" s="1" t="s">
        <v>29</v>
      </c>
      <c r="F3516" s="5">
        <v>250000.0</v>
      </c>
      <c r="G3516" s="1" t="s">
        <v>7016</v>
      </c>
      <c r="H3516" s="1" t="s">
        <v>509</v>
      </c>
      <c r="I3516" s="1" t="s">
        <v>132</v>
      </c>
      <c r="K3516" s="1">
        <v>0.0</v>
      </c>
      <c r="L3516" s="1" t="s">
        <v>1697</v>
      </c>
      <c r="M3516" s="1" t="str">
        <f>VLOOKUP(L3516,'Copy of PMD Workday Constants -'!B3515:W4201,22,false)</f>
        <v>#N/A</v>
      </c>
      <c r="N3516" s="1" t="s">
        <v>32</v>
      </c>
      <c r="O3516" s="1" t="s">
        <v>33</v>
      </c>
      <c r="P3516" s="1" t="s">
        <v>82</v>
      </c>
      <c r="Q3516" s="1" t="s">
        <v>82</v>
      </c>
      <c r="R3516" s="1" t="s">
        <v>83</v>
      </c>
      <c r="S3516" s="1" t="s">
        <v>84</v>
      </c>
      <c r="T3516" s="1">
        <v>1.00589728E8</v>
      </c>
      <c r="W3516" s="1" t="s">
        <v>85</v>
      </c>
      <c r="X3516" s="1" t="s">
        <v>10249</v>
      </c>
    </row>
    <row r="3517">
      <c r="A3517" s="1" t="s">
        <v>10250</v>
      </c>
      <c r="B3517" s="1" t="s">
        <v>585</v>
      </c>
      <c r="C3517" s="1" t="s">
        <v>10077</v>
      </c>
      <c r="D3517" s="1" t="s">
        <v>28</v>
      </c>
      <c r="E3517" s="1" t="s">
        <v>29</v>
      </c>
      <c r="F3517" s="5">
        <v>250000.0</v>
      </c>
      <c r="G3517" s="1" t="s">
        <v>7016</v>
      </c>
      <c r="H3517" s="4">
        <v>44563.0</v>
      </c>
      <c r="I3517" s="4">
        <v>44844.0</v>
      </c>
      <c r="K3517" s="1">
        <v>0.0</v>
      </c>
      <c r="L3517" s="1" t="s">
        <v>1389</v>
      </c>
      <c r="M3517" s="1" t="str">
        <f>VLOOKUP(L3517,'Copy of PMD Workday Constants -'!B3516:W4202,22,false)</f>
        <v>#N/A</v>
      </c>
      <c r="N3517" s="1" t="s">
        <v>32</v>
      </c>
      <c r="O3517" s="1" t="s">
        <v>33</v>
      </c>
      <c r="P3517" s="1" t="s">
        <v>64</v>
      </c>
      <c r="Q3517" s="1" t="s">
        <v>64</v>
      </c>
      <c r="R3517" s="1" t="s">
        <v>65</v>
      </c>
      <c r="S3517" s="1" t="s">
        <v>1336</v>
      </c>
      <c r="T3517" s="1">
        <v>1.00610014E8</v>
      </c>
      <c r="W3517" s="1" t="s">
        <v>91</v>
      </c>
      <c r="X3517" s="1" t="s">
        <v>1337</v>
      </c>
    </row>
    <row r="3518">
      <c r="A3518" s="1" t="s">
        <v>10251</v>
      </c>
      <c r="B3518" s="1" t="s">
        <v>3594</v>
      </c>
      <c r="C3518" s="1" t="s">
        <v>10252</v>
      </c>
      <c r="D3518" s="1" t="s">
        <v>28</v>
      </c>
      <c r="E3518" s="1" t="s">
        <v>29</v>
      </c>
      <c r="F3518" s="5">
        <v>250000.0</v>
      </c>
      <c r="G3518" s="1" t="s">
        <v>7016</v>
      </c>
      <c r="H3518" s="1" t="s">
        <v>2062</v>
      </c>
      <c r="I3518" s="1" t="s">
        <v>302</v>
      </c>
      <c r="K3518" s="1">
        <v>0.0</v>
      </c>
      <c r="L3518" s="1" t="s">
        <v>2885</v>
      </c>
      <c r="M3518" s="1" t="str">
        <f>VLOOKUP(L3518,'Copy of PMD Workday Constants -'!B3517:W4203,22,false)</f>
        <v>#N/A</v>
      </c>
      <c r="N3518" s="1" t="s">
        <v>32</v>
      </c>
      <c r="O3518" s="1" t="s">
        <v>33</v>
      </c>
      <c r="P3518" s="1" t="s">
        <v>210</v>
      </c>
      <c r="Q3518" s="1" t="s">
        <v>210</v>
      </c>
      <c r="R3518" s="1" t="s">
        <v>211</v>
      </c>
      <c r="S3518" s="1" t="s">
        <v>416</v>
      </c>
      <c r="T3518" s="1">
        <v>1.00647463E8</v>
      </c>
      <c r="W3518" s="1" t="s">
        <v>56</v>
      </c>
      <c r="X3518" s="1" t="s">
        <v>2885</v>
      </c>
    </row>
    <row r="3519">
      <c r="A3519" s="1" t="s">
        <v>10253</v>
      </c>
      <c r="B3519" s="1" t="s">
        <v>4467</v>
      </c>
      <c r="C3519" s="1" t="s">
        <v>10254</v>
      </c>
      <c r="D3519" s="1" t="s">
        <v>51</v>
      </c>
      <c r="E3519" s="1" t="s">
        <v>29</v>
      </c>
      <c r="F3519" s="5">
        <v>250000.0</v>
      </c>
      <c r="G3519" s="1" t="s">
        <v>7016</v>
      </c>
      <c r="H3519" s="4">
        <v>44511.0</v>
      </c>
      <c r="I3519" s="1" t="s">
        <v>80</v>
      </c>
      <c r="K3519" s="1">
        <v>0.0</v>
      </c>
      <c r="L3519" s="1" t="s">
        <v>63</v>
      </c>
      <c r="M3519" s="1" t="str">
        <f>VLOOKUP(L3519,'Copy of PMD Workday Constants -'!B3518:W4204,22,false)</f>
        <v>#N/A</v>
      </c>
      <c r="N3519" s="1" t="s">
        <v>32</v>
      </c>
      <c r="O3519" s="1" t="s">
        <v>33</v>
      </c>
      <c r="P3519" s="1" t="s">
        <v>64</v>
      </c>
      <c r="Q3519" s="1" t="s">
        <v>64</v>
      </c>
      <c r="R3519" s="1" t="s">
        <v>65</v>
      </c>
      <c r="S3519" s="1" t="s">
        <v>126</v>
      </c>
      <c r="T3519" s="1">
        <v>1.01059432E8</v>
      </c>
      <c r="W3519" s="1" t="s">
        <v>308</v>
      </c>
      <c r="X3519" s="1" t="s">
        <v>2197</v>
      </c>
    </row>
    <row r="3520">
      <c r="A3520" s="1" t="s">
        <v>10255</v>
      </c>
      <c r="B3520" s="1" t="s">
        <v>7805</v>
      </c>
      <c r="C3520" s="1" t="s">
        <v>10256</v>
      </c>
      <c r="D3520" s="1" t="s">
        <v>28</v>
      </c>
      <c r="E3520" s="1" t="s">
        <v>29</v>
      </c>
      <c r="F3520" s="5">
        <v>250000.0</v>
      </c>
      <c r="G3520" s="1" t="s">
        <v>7016</v>
      </c>
      <c r="H3520" s="4">
        <v>44478.0</v>
      </c>
      <c r="I3520" s="1" t="s">
        <v>80</v>
      </c>
      <c r="K3520" s="1">
        <v>0.0</v>
      </c>
      <c r="L3520" s="1" t="s">
        <v>2136</v>
      </c>
      <c r="M3520" s="1" t="str">
        <f>VLOOKUP(L3520,'Copy of PMD Workday Constants -'!B3519:W4205,22,false)</f>
        <v>#N/A</v>
      </c>
      <c r="N3520" s="1" t="s">
        <v>32</v>
      </c>
      <c r="O3520" s="1" t="s">
        <v>33</v>
      </c>
      <c r="P3520" s="1" t="s">
        <v>34</v>
      </c>
      <c r="Q3520" s="1" t="s">
        <v>34</v>
      </c>
      <c r="R3520" s="1" t="s">
        <v>35</v>
      </c>
      <c r="S3520" s="1" t="s">
        <v>126</v>
      </c>
      <c r="T3520" s="1">
        <v>1.00610903E8</v>
      </c>
      <c r="W3520" s="1" t="s">
        <v>339</v>
      </c>
      <c r="X3520" s="1" t="s">
        <v>10257</v>
      </c>
    </row>
    <row r="3521">
      <c r="A3521" s="1" t="s">
        <v>10258</v>
      </c>
      <c r="B3521" s="1" t="s">
        <v>6034</v>
      </c>
      <c r="C3521" s="1" t="s">
        <v>10259</v>
      </c>
      <c r="D3521" s="1" t="s">
        <v>51</v>
      </c>
      <c r="E3521" s="1" t="s">
        <v>29</v>
      </c>
      <c r="F3521" s="5">
        <v>250000.0</v>
      </c>
      <c r="G3521" s="1" t="s">
        <v>7016</v>
      </c>
      <c r="H3521" s="1" t="s">
        <v>2360</v>
      </c>
      <c r="I3521" s="1" t="s">
        <v>104</v>
      </c>
      <c r="K3521" s="1">
        <v>0.0</v>
      </c>
      <c r="L3521" s="1" t="s">
        <v>1611</v>
      </c>
      <c r="M3521" s="1" t="str">
        <f>VLOOKUP(L3521,'Copy of PMD Workday Constants -'!B3520:W4206,22,false)</f>
        <v>#N/A</v>
      </c>
      <c r="N3521" s="1" t="s">
        <v>32</v>
      </c>
      <c r="O3521" s="1" t="s">
        <v>33</v>
      </c>
      <c r="P3521" s="1" t="s">
        <v>34</v>
      </c>
      <c r="Q3521" s="1" t="s">
        <v>34</v>
      </c>
      <c r="R3521" s="1" t="s">
        <v>35</v>
      </c>
      <c r="S3521" s="1" t="s">
        <v>126</v>
      </c>
      <c r="T3521" s="1">
        <v>1.00645852E8</v>
      </c>
      <c r="W3521" s="1" t="s">
        <v>533</v>
      </c>
      <c r="X3521" s="1" t="s">
        <v>6765</v>
      </c>
    </row>
    <row r="3522">
      <c r="A3522" s="1" t="s">
        <v>10260</v>
      </c>
      <c r="B3522" s="1" t="s">
        <v>3448</v>
      </c>
      <c r="C3522" s="1" t="s">
        <v>10261</v>
      </c>
      <c r="D3522" s="1" t="s">
        <v>28</v>
      </c>
      <c r="E3522" s="1" t="s">
        <v>29</v>
      </c>
      <c r="F3522" s="5">
        <v>250000.0</v>
      </c>
      <c r="G3522" s="1" t="s">
        <v>7016</v>
      </c>
      <c r="H3522" s="1" t="s">
        <v>110</v>
      </c>
      <c r="I3522" s="4">
        <v>44568.0</v>
      </c>
      <c r="K3522" s="1">
        <v>0.0</v>
      </c>
      <c r="L3522" s="1" t="s">
        <v>2946</v>
      </c>
      <c r="M3522" s="1" t="str">
        <f>VLOOKUP(L3522,'Copy of PMD Workday Constants -'!B3521:W4207,22,false)</f>
        <v>#N/A</v>
      </c>
      <c r="N3522" s="1" t="s">
        <v>32</v>
      </c>
      <c r="O3522" s="1" t="s">
        <v>33</v>
      </c>
      <c r="P3522" s="1" t="s">
        <v>64</v>
      </c>
      <c r="Q3522" s="1" t="s">
        <v>64</v>
      </c>
      <c r="R3522" s="1" t="s">
        <v>65</v>
      </c>
      <c r="T3522" s="1">
        <v>1.01074419E8</v>
      </c>
      <c r="W3522" s="1" t="s">
        <v>1303</v>
      </c>
      <c r="X3522" s="1" t="s">
        <v>2946</v>
      </c>
    </row>
    <row r="3523">
      <c r="A3523" s="1" t="s">
        <v>10262</v>
      </c>
      <c r="B3523" s="1" t="s">
        <v>7805</v>
      </c>
      <c r="C3523" s="1" t="s">
        <v>10263</v>
      </c>
      <c r="D3523" s="1" t="s">
        <v>28</v>
      </c>
      <c r="E3523" s="1" t="s">
        <v>29</v>
      </c>
      <c r="F3523" s="5">
        <v>250000.0</v>
      </c>
      <c r="G3523" s="1" t="s">
        <v>7016</v>
      </c>
      <c r="H3523" s="4">
        <v>44478.0</v>
      </c>
      <c r="I3523" s="1" t="s">
        <v>104</v>
      </c>
      <c r="K3523" s="1">
        <v>0.0</v>
      </c>
      <c r="L3523" s="1" t="s">
        <v>2136</v>
      </c>
      <c r="M3523" s="1" t="str">
        <f>VLOOKUP(L3523,'Copy of PMD Workday Constants -'!B3522:W4208,22,false)</f>
        <v>#N/A</v>
      </c>
      <c r="N3523" s="1" t="s">
        <v>32</v>
      </c>
      <c r="O3523" s="1" t="s">
        <v>33</v>
      </c>
      <c r="P3523" s="1" t="s">
        <v>34</v>
      </c>
      <c r="Q3523" s="1" t="s">
        <v>34</v>
      </c>
      <c r="R3523" s="1" t="s">
        <v>35</v>
      </c>
      <c r="S3523" s="1" t="s">
        <v>114</v>
      </c>
      <c r="T3523" s="1">
        <v>1.00610903E8</v>
      </c>
      <c r="W3523" s="1" t="s">
        <v>339</v>
      </c>
      <c r="X3523" s="1" t="s">
        <v>10257</v>
      </c>
    </row>
    <row r="3524">
      <c r="A3524" s="1" t="s">
        <v>10264</v>
      </c>
      <c r="B3524" s="1" t="s">
        <v>5515</v>
      </c>
      <c r="C3524" s="1" t="s">
        <v>10265</v>
      </c>
      <c r="D3524" s="1" t="s">
        <v>28</v>
      </c>
      <c r="E3524" s="1" t="s">
        <v>29</v>
      </c>
      <c r="F3524" s="5">
        <v>250000.0</v>
      </c>
      <c r="G3524" s="1" t="s">
        <v>7016</v>
      </c>
      <c r="H3524" s="1" t="s">
        <v>2125</v>
      </c>
      <c r="I3524" s="1" t="s">
        <v>43</v>
      </c>
      <c r="K3524" s="1">
        <v>0.0</v>
      </c>
      <c r="L3524" s="1" t="s">
        <v>1282</v>
      </c>
      <c r="M3524" s="1" t="str">
        <f>VLOOKUP(L3524,'Copy of PMD Workday Constants -'!B3523:W4209,22,false)</f>
        <v>#N/A</v>
      </c>
      <c r="N3524" s="1" t="s">
        <v>32</v>
      </c>
      <c r="O3524" s="1" t="s">
        <v>33</v>
      </c>
      <c r="P3524" s="1" t="s">
        <v>34</v>
      </c>
      <c r="Q3524" s="1" t="s">
        <v>34</v>
      </c>
      <c r="R3524" s="1" t="s">
        <v>35</v>
      </c>
      <c r="S3524" s="1" t="s">
        <v>1166</v>
      </c>
      <c r="T3524" s="1">
        <v>1.006096E8</v>
      </c>
      <c r="W3524" s="1" t="s">
        <v>456</v>
      </c>
      <c r="X3524" s="1" t="s">
        <v>7966</v>
      </c>
    </row>
    <row r="3525">
      <c r="A3525" s="1" t="s">
        <v>10266</v>
      </c>
      <c r="B3525" s="1" t="s">
        <v>10267</v>
      </c>
      <c r="C3525" s="1" t="s">
        <v>10268</v>
      </c>
      <c r="D3525" s="1" t="s">
        <v>79</v>
      </c>
      <c r="E3525" s="1" t="s">
        <v>29</v>
      </c>
      <c r="F3525" s="5">
        <v>250000.0</v>
      </c>
      <c r="G3525" s="1" t="s">
        <v>7016</v>
      </c>
      <c r="H3525" s="4">
        <v>44622.0</v>
      </c>
      <c r="I3525" s="4">
        <v>44813.0</v>
      </c>
      <c r="K3525" s="1">
        <v>0.0</v>
      </c>
      <c r="L3525" s="1" t="s">
        <v>4438</v>
      </c>
      <c r="M3525" s="1" t="str">
        <f>VLOOKUP(L3525,'Copy of PMD Workday Constants -'!B3524:W4210,22,false)</f>
        <v>#N/A</v>
      </c>
      <c r="N3525" s="1" t="s">
        <v>32</v>
      </c>
      <c r="O3525" s="1" t="s">
        <v>33</v>
      </c>
      <c r="P3525" s="1" t="s">
        <v>34</v>
      </c>
      <c r="Q3525" s="1" t="s">
        <v>34</v>
      </c>
      <c r="R3525" s="1" t="s">
        <v>35</v>
      </c>
      <c r="T3525" s="1">
        <v>1.01088701E8</v>
      </c>
      <c r="W3525" s="1" t="s">
        <v>56</v>
      </c>
      <c r="X3525" s="1" t="s">
        <v>3940</v>
      </c>
    </row>
    <row r="3526">
      <c r="A3526" s="1" t="s">
        <v>10269</v>
      </c>
      <c r="B3526" s="1" t="s">
        <v>10270</v>
      </c>
      <c r="C3526" s="1" t="s">
        <v>10271</v>
      </c>
      <c r="D3526" s="1" t="s">
        <v>28</v>
      </c>
      <c r="E3526" s="1" t="s">
        <v>29</v>
      </c>
      <c r="F3526" s="5">
        <v>250000.0</v>
      </c>
      <c r="G3526" s="1" t="s">
        <v>7016</v>
      </c>
      <c r="H3526" s="1" t="s">
        <v>3496</v>
      </c>
      <c r="I3526" s="1" t="s">
        <v>191</v>
      </c>
      <c r="K3526" s="1">
        <v>0.0</v>
      </c>
      <c r="L3526" s="1" t="s">
        <v>198</v>
      </c>
      <c r="M3526" s="1" t="str">
        <f>VLOOKUP(L3526,'Copy of PMD Workday Constants -'!B3525:W4211,22,false)</f>
        <v>#N/A</v>
      </c>
      <c r="N3526" s="1" t="s">
        <v>32</v>
      </c>
      <c r="O3526" s="1" t="s">
        <v>33</v>
      </c>
      <c r="P3526" s="1" t="s">
        <v>82</v>
      </c>
      <c r="Q3526" s="1" t="s">
        <v>82</v>
      </c>
      <c r="R3526" s="1" t="s">
        <v>83</v>
      </c>
      <c r="S3526" s="1" t="s">
        <v>180</v>
      </c>
      <c r="T3526" s="1">
        <v>1.00590896E8</v>
      </c>
      <c r="W3526" s="1" t="s">
        <v>85</v>
      </c>
      <c r="X3526" s="1" t="s">
        <v>3087</v>
      </c>
    </row>
    <row r="3527">
      <c r="A3527" s="1" t="s">
        <v>10272</v>
      </c>
      <c r="B3527" s="1" t="s">
        <v>1305</v>
      </c>
      <c r="C3527" s="1" t="s">
        <v>10273</v>
      </c>
      <c r="D3527" s="1" t="s">
        <v>28</v>
      </c>
      <c r="E3527" s="1" t="s">
        <v>29</v>
      </c>
      <c r="F3527" s="5">
        <v>250000.0</v>
      </c>
      <c r="G3527" s="1" t="s">
        <v>7016</v>
      </c>
      <c r="H3527" s="1" t="s">
        <v>2125</v>
      </c>
      <c r="I3527" s="1" t="s">
        <v>43</v>
      </c>
      <c r="K3527" s="1">
        <v>0.0</v>
      </c>
      <c r="L3527" s="1" t="s">
        <v>1282</v>
      </c>
      <c r="M3527" s="1" t="str">
        <f>VLOOKUP(L3527,'Copy of PMD Workday Constants -'!B3526:W4212,22,false)</f>
        <v>#N/A</v>
      </c>
      <c r="N3527" s="1" t="s">
        <v>32</v>
      </c>
      <c r="O3527" s="1" t="s">
        <v>33</v>
      </c>
      <c r="P3527" s="1" t="s">
        <v>34</v>
      </c>
      <c r="Q3527" s="1" t="s">
        <v>34</v>
      </c>
      <c r="R3527" s="1" t="s">
        <v>35</v>
      </c>
      <c r="S3527" s="1" t="s">
        <v>1166</v>
      </c>
      <c r="T3527" s="1">
        <v>1.006096E8</v>
      </c>
      <c r="W3527" s="1" t="s">
        <v>456</v>
      </c>
      <c r="X3527" s="1" t="s">
        <v>7966</v>
      </c>
    </row>
    <row r="3528">
      <c r="A3528" s="1" t="s">
        <v>10274</v>
      </c>
      <c r="B3528" s="1" t="s">
        <v>1483</v>
      </c>
      <c r="C3528" s="1" t="s">
        <v>10275</v>
      </c>
      <c r="D3528" s="1" t="s">
        <v>28</v>
      </c>
      <c r="E3528" s="1" t="s">
        <v>29</v>
      </c>
      <c r="F3528" s="5">
        <v>250000.0</v>
      </c>
      <c r="G3528" s="1" t="s">
        <v>7016</v>
      </c>
      <c r="H3528" s="1" t="s">
        <v>2125</v>
      </c>
      <c r="I3528" s="1" t="s">
        <v>43</v>
      </c>
      <c r="K3528" s="1">
        <v>0.0</v>
      </c>
      <c r="L3528" s="1" t="s">
        <v>1282</v>
      </c>
      <c r="M3528" s="1" t="str">
        <f>VLOOKUP(L3528,'Copy of PMD Workday Constants -'!B3527:W4213,22,false)</f>
        <v>#N/A</v>
      </c>
      <c r="N3528" s="1" t="s">
        <v>32</v>
      </c>
      <c r="O3528" s="1" t="s">
        <v>33</v>
      </c>
      <c r="P3528" s="1" t="s">
        <v>34</v>
      </c>
      <c r="Q3528" s="1" t="s">
        <v>34</v>
      </c>
      <c r="R3528" s="1" t="s">
        <v>35</v>
      </c>
      <c r="S3528" s="1" t="s">
        <v>1166</v>
      </c>
      <c r="T3528" s="1">
        <v>1.006096E8</v>
      </c>
      <c r="W3528" s="1" t="s">
        <v>456</v>
      </c>
      <c r="X3528" s="1" t="s">
        <v>7966</v>
      </c>
    </row>
    <row r="3529">
      <c r="A3529" s="1" t="s">
        <v>10276</v>
      </c>
      <c r="B3529" s="1" t="s">
        <v>3989</v>
      </c>
      <c r="C3529" s="1" t="s">
        <v>10277</v>
      </c>
      <c r="D3529" s="1" t="s">
        <v>28</v>
      </c>
      <c r="E3529" s="1" t="s">
        <v>29</v>
      </c>
      <c r="F3529" s="5">
        <v>250000.0</v>
      </c>
      <c r="G3529" s="1" t="s">
        <v>7016</v>
      </c>
      <c r="H3529" s="1" t="s">
        <v>2125</v>
      </c>
      <c r="I3529" s="1" t="s">
        <v>43</v>
      </c>
      <c r="K3529" s="1">
        <v>0.0</v>
      </c>
      <c r="L3529" s="1" t="s">
        <v>1282</v>
      </c>
      <c r="M3529" s="1" t="str">
        <f>VLOOKUP(L3529,'Copy of PMD Workday Constants -'!B3528:W4214,22,false)</f>
        <v>#N/A</v>
      </c>
      <c r="N3529" s="1" t="s">
        <v>32</v>
      </c>
      <c r="O3529" s="1" t="s">
        <v>33</v>
      </c>
      <c r="P3529" s="1" t="s">
        <v>34</v>
      </c>
      <c r="Q3529" s="1" t="s">
        <v>34</v>
      </c>
      <c r="R3529" s="1" t="s">
        <v>35</v>
      </c>
      <c r="S3529" s="1" t="s">
        <v>1166</v>
      </c>
      <c r="T3529" s="1">
        <v>1.006096E8</v>
      </c>
      <c r="W3529" s="1" t="s">
        <v>533</v>
      </c>
      <c r="X3529" s="1" t="s">
        <v>7966</v>
      </c>
    </row>
    <row r="3530">
      <c r="A3530" s="1" t="s">
        <v>10278</v>
      </c>
      <c r="B3530" s="1" t="s">
        <v>2075</v>
      </c>
      <c r="C3530" s="1" t="s">
        <v>10279</v>
      </c>
      <c r="D3530" s="1" t="s">
        <v>28</v>
      </c>
      <c r="E3530" s="1" t="s">
        <v>29</v>
      </c>
      <c r="F3530" s="5">
        <v>250000.0</v>
      </c>
      <c r="G3530" s="1" t="s">
        <v>7016</v>
      </c>
      <c r="H3530" s="4">
        <v>44478.0</v>
      </c>
      <c r="I3530" s="4">
        <v>44752.0</v>
      </c>
      <c r="K3530" s="1">
        <v>0.0</v>
      </c>
      <c r="L3530" s="1" t="s">
        <v>1206</v>
      </c>
      <c r="M3530" s="1" t="str">
        <f>VLOOKUP(L3530,'Copy of PMD Workday Constants -'!B3529:W4215,22,false)</f>
        <v>#N/A</v>
      </c>
      <c r="N3530" s="1" t="s">
        <v>32</v>
      </c>
      <c r="O3530" s="1" t="s">
        <v>33</v>
      </c>
      <c r="P3530" s="1" t="s">
        <v>82</v>
      </c>
      <c r="Q3530" s="1" t="s">
        <v>82</v>
      </c>
      <c r="R3530" s="1" t="s">
        <v>83</v>
      </c>
      <c r="S3530" s="1" t="s">
        <v>180</v>
      </c>
      <c r="T3530" s="1">
        <v>1.00943277E8</v>
      </c>
      <c r="W3530" s="1" t="s">
        <v>85</v>
      </c>
      <c r="X3530" s="1" t="s">
        <v>1206</v>
      </c>
    </row>
    <row r="3531">
      <c r="A3531" s="1" t="s">
        <v>10280</v>
      </c>
      <c r="B3531" s="1" t="s">
        <v>5822</v>
      </c>
      <c r="C3531" s="1" t="s">
        <v>10281</v>
      </c>
      <c r="D3531" s="1" t="s">
        <v>28</v>
      </c>
      <c r="E3531" s="1" t="s">
        <v>29</v>
      </c>
      <c r="F3531" s="5">
        <v>250000.0</v>
      </c>
      <c r="G3531" s="1" t="s">
        <v>7016</v>
      </c>
      <c r="H3531" s="1" t="s">
        <v>2125</v>
      </c>
      <c r="I3531" s="1" t="s">
        <v>43</v>
      </c>
      <c r="K3531" s="1">
        <v>0.0</v>
      </c>
      <c r="L3531" s="1" t="s">
        <v>1282</v>
      </c>
      <c r="M3531" s="1" t="str">
        <f>VLOOKUP(L3531,'Copy of PMD Workday Constants -'!B3530:W4216,22,false)</f>
        <v>#N/A</v>
      </c>
      <c r="N3531" s="1" t="s">
        <v>32</v>
      </c>
      <c r="O3531" s="1" t="s">
        <v>33</v>
      </c>
      <c r="P3531" s="1" t="s">
        <v>34</v>
      </c>
      <c r="Q3531" s="1" t="s">
        <v>34</v>
      </c>
      <c r="R3531" s="1" t="s">
        <v>35</v>
      </c>
      <c r="S3531" s="1" t="s">
        <v>1166</v>
      </c>
      <c r="T3531" s="1">
        <v>1.006096E8</v>
      </c>
      <c r="W3531" s="1" t="s">
        <v>456</v>
      </c>
      <c r="X3531" s="1" t="s">
        <v>7966</v>
      </c>
    </row>
    <row r="3532">
      <c r="A3532" s="1" t="s">
        <v>10282</v>
      </c>
      <c r="B3532" s="1" t="s">
        <v>10283</v>
      </c>
      <c r="C3532" s="1" t="s">
        <v>10284</v>
      </c>
      <c r="D3532" s="1" t="s">
        <v>103</v>
      </c>
      <c r="E3532" s="1" t="s">
        <v>29</v>
      </c>
      <c r="F3532" s="5">
        <v>250000.0</v>
      </c>
      <c r="G3532" s="1" t="s">
        <v>7016</v>
      </c>
      <c r="H3532" s="4">
        <v>44746.0</v>
      </c>
      <c r="I3532" s="1" t="s">
        <v>80</v>
      </c>
      <c r="K3532" s="1">
        <v>0.0</v>
      </c>
      <c r="L3532" s="1" t="s">
        <v>1238</v>
      </c>
      <c r="M3532" s="1" t="str">
        <f>VLOOKUP(L3532,'Copy of PMD Workday Constants -'!B3531:W4217,22,false)</f>
        <v>#N/A</v>
      </c>
      <c r="N3532" s="1" t="s">
        <v>32</v>
      </c>
      <c r="O3532" s="1" t="s">
        <v>33</v>
      </c>
      <c r="P3532" s="1" t="s">
        <v>210</v>
      </c>
      <c r="Q3532" s="1" t="s">
        <v>210</v>
      </c>
      <c r="R3532" s="1" t="s">
        <v>211</v>
      </c>
      <c r="S3532" s="1" t="s">
        <v>416</v>
      </c>
      <c r="T3532" s="1">
        <v>1.00586959E8</v>
      </c>
      <c r="W3532" s="1" t="s">
        <v>115</v>
      </c>
      <c r="X3532" s="1" t="s">
        <v>1238</v>
      </c>
    </row>
    <row r="3533">
      <c r="A3533" s="1" t="s">
        <v>10285</v>
      </c>
      <c r="B3533" s="1" t="s">
        <v>2254</v>
      </c>
      <c r="C3533" s="1" t="s">
        <v>10286</v>
      </c>
      <c r="D3533" s="1" t="s">
        <v>28</v>
      </c>
      <c r="E3533" s="1" t="s">
        <v>29</v>
      </c>
      <c r="F3533" s="5">
        <v>250000.0</v>
      </c>
      <c r="G3533" s="1" t="s">
        <v>7016</v>
      </c>
      <c r="H3533" s="1" t="s">
        <v>2125</v>
      </c>
      <c r="I3533" s="1" t="s">
        <v>43</v>
      </c>
      <c r="K3533" s="1">
        <v>0.0</v>
      </c>
      <c r="L3533" s="1" t="s">
        <v>1282</v>
      </c>
      <c r="M3533" s="1" t="str">
        <f>VLOOKUP(L3533,'Copy of PMD Workday Constants -'!B3532:W4218,22,false)</f>
        <v>#N/A</v>
      </c>
      <c r="N3533" s="1" t="s">
        <v>32</v>
      </c>
      <c r="O3533" s="1" t="s">
        <v>33</v>
      </c>
      <c r="P3533" s="1" t="s">
        <v>34</v>
      </c>
      <c r="Q3533" s="1" t="s">
        <v>34</v>
      </c>
      <c r="R3533" s="1" t="s">
        <v>35</v>
      </c>
      <c r="S3533" s="1" t="s">
        <v>1166</v>
      </c>
      <c r="T3533" s="1">
        <v>1.006096E8</v>
      </c>
      <c r="W3533" s="1" t="s">
        <v>456</v>
      </c>
      <c r="X3533" s="1" t="s">
        <v>7966</v>
      </c>
    </row>
    <row r="3534">
      <c r="A3534" s="1" t="s">
        <v>10287</v>
      </c>
      <c r="B3534" s="1" t="s">
        <v>1516</v>
      </c>
      <c r="C3534" s="1" t="s">
        <v>10288</v>
      </c>
      <c r="D3534" s="1" t="s">
        <v>28</v>
      </c>
      <c r="E3534" s="1" t="s">
        <v>29</v>
      </c>
      <c r="F3534" s="5">
        <v>250000.0</v>
      </c>
      <c r="G3534" s="1" t="s">
        <v>7016</v>
      </c>
      <c r="H3534" s="1" t="s">
        <v>2125</v>
      </c>
      <c r="I3534" s="1" t="s">
        <v>43</v>
      </c>
      <c r="K3534" s="1">
        <v>0.0</v>
      </c>
      <c r="L3534" s="1" t="s">
        <v>1282</v>
      </c>
      <c r="M3534" s="1" t="str">
        <f>VLOOKUP(L3534,'Copy of PMD Workday Constants -'!B3533:W4219,22,false)</f>
        <v>#N/A</v>
      </c>
      <c r="N3534" s="1" t="s">
        <v>32</v>
      </c>
      <c r="O3534" s="1" t="s">
        <v>33</v>
      </c>
      <c r="P3534" s="1" t="s">
        <v>34</v>
      </c>
      <c r="Q3534" s="1" t="s">
        <v>34</v>
      </c>
      <c r="R3534" s="1" t="s">
        <v>35</v>
      </c>
      <c r="S3534" s="1" t="s">
        <v>1166</v>
      </c>
      <c r="T3534" s="1">
        <v>1.006096E8</v>
      </c>
      <c r="W3534" s="1" t="s">
        <v>456</v>
      </c>
      <c r="X3534" s="1" t="s">
        <v>7966</v>
      </c>
    </row>
    <row r="3535">
      <c r="A3535" s="1" t="s">
        <v>10289</v>
      </c>
      <c r="B3535" s="1" t="s">
        <v>289</v>
      </c>
      <c r="C3535" s="1" t="s">
        <v>10290</v>
      </c>
      <c r="D3535" s="1" t="s">
        <v>28</v>
      </c>
      <c r="E3535" s="1" t="s">
        <v>29</v>
      </c>
      <c r="F3535" s="5">
        <v>250000.0</v>
      </c>
      <c r="G3535" s="1" t="s">
        <v>7016</v>
      </c>
      <c r="H3535" s="1" t="s">
        <v>42</v>
      </c>
      <c r="I3535" s="4">
        <v>44659.0</v>
      </c>
      <c r="K3535" s="1">
        <v>0.0</v>
      </c>
      <c r="L3535" s="1" t="s">
        <v>3784</v>
      </c>
      <c r="M3535" s="1" t="str">
        <f>VLOOKUP(L3535,'Copy of PMD Workday Constants -'!B3534:W4220,22,false)</f>
        <v>#N/A</v>
      </c>
      <c r="N3535" s="1" t="s">
        <v>32</v>
      </c>
      <c r="O3535" s="1" t="s">
        <v>33</v>
      </c>
      <c r="P3535" s="1" t="s">
        <v>210</v>
      </c>
      <c r="Q3535" s="1" t="s">
        <v>210</v>
      </c>
      <c r="R3535" s="1" t="s">
        <v>211</v>
      </c>
      <c r="S3535" s="1" t="s">
        <v>416</v>
      </c>
      <c r="T3535" s="1">
        <v>1.00637651E8</v>
      </c>
      <c r="U3535" s="1" t="s">
        <v>7528</v>
      </c>
      <c r="V3535" s="1" t="s">
        <v>187</v>
      </c>
      <c r="W3535" s="1" t="s">
        <v>74</v>
      </c>
      <c r="X3535" s="1" t="s">
        <v>852</v>
      </c>
    </row>
    <row r="3536">
      <c r="A3536" s="1" t="s">
        <v>10291</v>
      </c>
      <c r="B3536" s="1" t="s">
        <v>507</v>
      </c>
      <c r="C3536" s="1" t="s">
        <v>10292</v>
      </c>
      <c r="D3536" s="1" t="s">
        <v>28</v>
      </c>
      <c r="E3536" s="1" t="s">
        <v>29</v>
      </c>
      <c r="F3536" s="5">
        <v>250000.0</v>
      </c>
      <c r="G3536" s="1" t="s">
        <v>7016</v>
      </c>
      <c r="H3536" s="1" t="s">
        <v>2125</v>
      </c>
      <c r="I3536" s="1" t="s">
        <v>43</v>
      </c>
      <c r="K3536" s="1">
        <v>0.0</v>
      </c>
      <c r="L3536" s="1" t="s">
        <v>1282</v>
      </c>
      <c r="M3536" s="1" t="str">
        <f>VLOOKUP(L3536,'Copy of PMD Workday Constants -'!B3535:W4221,22,false)</f>
        <v>#N/A</v>
      </c>
      <c r="N3536" s="1" t="s">
        <v>32</v>
      </c>
      <c r="O3536" s="1" t="s">
        <v>33</v>
      </c>
      <c r="P3536" s="1" t="s">
        <v>34</v>
      </c>
      <c r="Q3536" s="1" t="s">
        <v>34</v>
      </c>
      <c r="R3536" s="1" t="s">
        <v>35</v>
      </c>
      <c r="S3536" s="1" t="s">
        <v>1166</v>
      </c>
      <c r="T3536" s="1">
        <v>1.006096E8</v>
      </c>
      <c r="W3536" s="1" t="s">
        <v>456</v>
      </c>
      <c r="X3536" s="1" t="s">
        <v>7966</v>
      </c>
    </row>
    <row r="3537">
      <c r="A3537" s="1" t="s">
        <v>10293</v>
      </c>
      <c r="B3537" s="1" t="s">
        <v>1624</v>
      </c>
      <c r="C3537" s="1" t="s">
        <v>10294</v>
      </c>
      <c r="D3537" s="1" t="s">
        <v>28</v>
      </c>
      <c r="E3537" s="1" t="s">
        <v>29</v>
      </c>
      <c r="F3537" s="5">
        <v>250000.0</v>
      </c>
      <c r="G3537" s="1" t="s">
        <v>7016</v>
      </c>
      <c r="H3537" s="1" t="s">
        <v>2125</v>
      </c>
      <c r="I3537" s="1" t="s">
        <v>43</v>
      </c>
      <c r="K3537" s="1">
        <v>0.0</v>
      </c>
      <c r="L3537" s="1" t="s">
        <v>1282</v>
      </c>
      <c r="M3537" s="1" t="str">
        <f>VLOOKUP(L3537,'Copy of PMD Workday Constants -'!B3536:W4222,22,false)</f>
        <v>#N/A</v>
      </c>
      <c r="N3537" s="1" t="s">
        <v>32</v>
      </c>
      <c r="O3537" s="1" t="s">
        <v>33</v>
      </c>
      <c r="P3537" s="1" t="s">
        <v>34</v>
      </c>
      <c r="Q3537" s="1" t="s">
        <v>34</v>
      </c>
      <c r="R3537" s="1" t="s">
        <v>35</v>
      </c>
      <c r="S3537" s="1" t="s">
        <v>1166</v>
      </c>
      <c r="T3537" s="1">
        <v>1.006096E8</v>
      </c>
      <c r="W3537" s="1" t="s">
        <v>456</v>
      </c>
      <c r="X3537" s="1" t="s">
        <v>7966</v>
      </c>
    </row>
    <row r="3538">
      <c r="A3538" s="1" t="s">
        <v>10295</v>
      </c>
      <c r="B3538" s="1" t="s">
        <v>9246</v>
      </c>
      <c r="C3538" s="1" t="s">
        <v>10296</v>
      </c>
      <c r="D3538" s="1" t="s">
        <v>51</v>
      </c>
      <c r="E3538" s="1" t="s">
        <v>29</v>
      </c>
      <c r="F3538" s="5">
        <v>250000.0</v>
      </c>
      <c r="G3538" s="1" t="s">
        <v>7016</v>
      </c>
      <c r="H3538" s="4">
        <v>44595.0</v>
      </c>
      <c r="I3538" s="1" t="s">
        <v>442</v>
      </c>
      <c r="K3538" s="1">
        <v>0.0</v>
      </c>
      <c r="L3538" s="1" t="s">
        <v>3784</v>
      </c>
      <c r="M3538" s="1" t="str">
        <f>VLOOKUP(L3538,'Copy of PMD Workday Constants -'!B3537:W4223,22,false)</f>
        <v>#N/A</v>
      </c>
      <c r="N3538" s="1" t="s">
        <v>32</v>
      </c>
      <c r="O3538" s="1" t="s">
        <v>33</v>
      </c>
      <c r="P3538" s="1" t="s">
        <v>210</v>
      </c>
      <c r="Q3538" s="1" t="s">
        <v>210</v>
      </c>
      <c r="R3538" s="1" t="s">
        <v>211</v>
      </c>
      <c r="S3538" s="1" t="s">
        <v>416</v>
      </c>
      <c r="T3538" s="1">
        <v>1.00637651E8</v>
      </c>
      <c r="W3538" s="1" t="s">
        <v>56</v>
      </c>
      <c r="X3538" s="1" t="s">
        <v>3784</v>
      </c>
    </row>
    <row r="3539">
      <c r="A3539" s="1" t="s">
        <v>10297</v>
      </c>
      <c r="B3539" s="1" t="s">
        <v>1047</v>
      </c>
      <c r="C3539" s="1" t="s">
        <v>10298</v>
      </c>
      <c r="D3539" s="1" t="s">
        <v>103</v>
      </c>
      <c r="E3539" s="1" t="s">
        <v>29</v>
      </c>
      <c r="F3539" s="5">
        <v>250000.0</v>
      </c>
      <c r="G3539" s="1" t="s">
        <v>7016</v>
      </c>
      <c r="H3539" s="1" t="s">
        <v>10299</v>
      </c>
      <c r="I3539" s="1" t="s">
        <v>80</v>
      </c>
      <c r="K3539" s="1">
        <v>0.0</v>
      </c>
      <c r="L3539" s="1" t="s">
        <v>4794</v>
      </c>
      <c r="M3539" s="1" t="str">
        <f>VLOOKUP(L3539,'Copy of PMD Workday Constants -'!B3538:W4224,22,false)</f>
        <v>#N/A</v>
      </c>
      <c r="N3539" s="1" t="s">
        <v>32</v>
      </c>
      <c r="O3539" s="1" t="s">
        <v>33</v>
      </c>
      <c r="P3539" s="1" t="s">
        <v>173</v>
      </c>
      <c r="Q3539" s="1" t="s">
        <v>173</v>
      </c>
      <c r="R3539" s="1" t="s">
        <v>174</v>
      </c>
      <c r="S3539" s="1" t="s">
        <v>612</v>
      </c>
      <c r="T3539" s="1">
        <v>1.00875111E8</v>
      </c>
      <c r="W3539" s="1" t="s">
        <v>258</v>
      </c>
      <c r="X3539" s="1" t="s">
        <v>10300</v>
      </c>
    </row>
    <row r="3540">
      <c r="A3540" s="1" t="s">
        <v>10301</v>
      </c>
      <c r="B3540" s="1" t="s">
        <v>10302</v>
      </c>
      <c r="C3540" s="1" t="s">
        <v>10303</v>
      </c>
      <c r="D3540" s="1" t="s">
        <v>28</v>
      </c>
      <c r="E3540" s="1" t="s">
        <v>29</v>
      </c>
      <c r="F3540" s="5">
        <v>250000.0</v>
      </c>
      <c r="G3540" s="1" t="s">
        <v>7016</v>
      </c>
      <c r="H3540" s="1" t="s">
        <v>2125</v>
      </c>
      <c r="I3540" s="1" t="s">
        <v>43</v>
      </c>
      <c r="K3540" s="1">
        <v>0.0</v>
      </c>
      <c r="L3540" s="1" t="s">
        <v>1282</v>
      </c>
      <c r="M3540" s="1" t="str">
        <f>VLOOKUP(L3540,'Copy of PMD Workday Constants -'!B3539:W4225,22,false)</f>
        <v>#N/A</v>
      </c>
      <c r="N3540" s="1" t="s">
        <v>32</v>
      </c>
      <c r="O3540" s="1" t="s">
        <v>33</v>
      </c>
      <c r="P3540" s="1" t="s">
        <v>34</v>
      </c>
      <c r="Q3540" s="1" t="s">
        <v>34</v>
      </c>
      <c r="R3540" s="1" t="s">
        <v>35</v>
      </c>
      <c r="S3540" s="1" t="s">
        <v>1166</v>
      </c>
      <c r="T3540" s="1">
        <v>1.006096E8</v>
      </c>
      <c r="W3540" s="1" t="s">
        <v>456</v>
      </c>
      <c r="X3540" s="1" t="s">
        <v>7966</v>
      </c>
    </row>
    <row r="3541">
      <c r="A3541" s="1" t="s">
        <v>10304</v>
      </c>
      <c r="B3541" s="1" t="s">
        <v>5503</v>
      </c>
      <c r="C3541" s="1" t="s">
        <v>10305</v>
      </c>
      <c r="D3541" s="1" t="s">
        <v>28</v>
      </c>
      <c r="E3541" s="1" t="s">
        <v>29</v>
      </c>
      <c r="F3541" s="5">
        <v>250000.0</v>
      </c>
      <c r="G3541" s="1" t="s">
        <v>7016</v>
      </c>
      <c r="H3541" s="1" t="s">
        <v>330</v>
      </c>
      <c r="I3541" s="1" t="s">
        <v>3831</v>
      </c>
      <c r="K3541" s="1">
        <v>0.0</v>
      </c>
      <c r="L3541" s="1" t="s">
        <v>10121</v>
      </c>
      <c r="M3541" s="1" t="str">
        <f>VLOOKUP(L3541,'Copy of PMD Workday Constants -'!B3540:W4226,22,false)</f>
        <v>#N/A</v>
      </c>
      <c r="N3541" s="1" t="s">
        <v>32</v>
      </c>
      <c r="O3541" s="1" t="s">
        <v>33</v>
      </c>
      <c r="P3541" s="1" t="s">
        <v>64</v>
      </c>
      <c r="Q3541" s="1" t="s">
        <v>64</v>
      </c>
      <c r="R3541" s="1" t="s">
        <v>65</v>
      </c>
      <c r="T3541" s="1">
        <v>1.00892374E8</v>
      </c>
      <c r="W3541" s="1" t="s">
        <v>947</v>
      </c>
      <c r="X3541" s="1" t="s">
        <v>5505</v>
      </c>
    </row>
    <row r="3542">
      <c r="A3542" s="1" t="s">
        <v>10306</v>
      </c>
      <c r="B3542" s="1" t="s">
        <v>10307</v>
      </c>
      <c r="C3542" s="1" t="s">
        <v>10308</v>
      </c>
      <c r="D3542" s="1" t="s">
        <v>103</v>
      </c>
      <c r="E3542" s="1" t="s">
        <v>29</v>
      </c>
      <c r="F3542" s="5">
        <v>250000.0</v>
      </c>
      <c r="G3542" s="1" t="s">
        <v>7016</v>
      </c>
      <c r="H3542" s="4">
        <v>44718.0</v>
      </c>
      <c r="I3542" s="1" t="s">
        <v>941</v>
      </c>
      <c r="K3542" s="1">
        <v>0.0</v>
      </c>
      <c r="L3542" s="1" t="s">
        <v>4723</v>
      </c>
      <c r="M3542" s="1" t="str">
        <f>VLOOKUP(L3542,'Copy of PMD Workday Constants -'!B3541:W4227,22,false)</f>
        <v>#N/A</v>
      </c>
      <c r="N3542" s="1" t="s">
        <v>32</v>
      </c>
      <c r="O3542" s="1" t="s">
        <v>33</v>
      </c>
      <c r="P3542" s="1" t="s">
        <v>210</v>
      </c>
      <c r="Q3542" s="1" t="s">
        <v>210</v>
      </c>
      <c r="R3542" s="1" t="s">
        <v>211</v>
      </c>
      <c r="S3542" s="1" t="s">
        <v>1313</v>
      </c>
      <c r="T3542" s="1">
        <v>1.00585834E8</v>
      </c>
      <c r="W3542" s="1" t="s">
        <v>436</v>
      </c>
      <c r="X3542" s="1" t="s">
        <v>5511</v>
      </c>
    </row>
    <row r="3543">
      <c r="A3543" s="1" t="s">
        <v>10309</v>
      </c>
      <c r="B3543" s="1" t="s">
        <v>6591</v>
      </c>
      <c r="C3543" s="1" t="s">
        <v>10310</v>
      </c>
      <c r="D3543" s="1" t="s">
        <v>28</v>
      </c>
      <c r="E3543" s="1" t="s">
        <v>29</v>
      </c>
      <c r="F3543" s="5">
        <v>250000.0</v>
      </c>
      <c r="G3543" s="1" t="s">
        <v>7016</v>
      </c>
      <c r="H3543" s="1" t="s">
        <v>10311</v>
      </c>
      <c r="I3543" s="1" t="s">
        <v>132</v>
      </c>
      <c r="K3543" s="1">
        <v>0.0</v>
      </c>
      <c r="L3543" s="1" t="s">
        <v>5431</v>
      </c>
      <c r="M3543" s="1" t="str">
        <f>VLOOKUP(L3543,'Copy of PMD Workday Constants -'!B3542:W4228,22,false)</f>
        <v>#N/A</v>
      </c>
      <c r="N3543" s="1" t="s">
        <v>32</v>
      </c>
      <c r="O3543" s="1" t="s">
        <v>33</v>
      </c>
      <c r="P3543" s="1" t="s">
        <v>34</v>
      </c>
      <c r="Q3543" s="1" t="s">
        <v>34</v>
      </c>
      <c r="R3543" s="1" t="s">
        <v>35</v>
      </c>
      <c r="S3543" s="1" t="s">
        <v>1166</v>
      </c>
      <c r="T3543" s="1">
        <v>1.00580806E8</v>
      </c>
      <c r="W3543" s="1" t="s">
        <v>456</v>
      </c>
      <c r="X3543" s="1" t="s">
        <v>5431</v>
      </c>
    </row>
    <row r="3544">
      <c r="A3544" s="1" t="s">
        <v>10312</v>
      </c>
      <c r="B3544" s="1" t="s">
        <v>554</v>
      </c>
      <c r="C3544" s="1" t="s">
        <v>10313</v>
      </c>
      <c r="D3544" s="1" t="s">
        <v>103</v>
      </c>
      <c r="E3544" s="1" t="s">
        <v>29</v>
      </c>
      <c r="F3544" s="5">
        <v>250000.0</v>
      </c>
      <c r="G3544" s="1" t="s">
        <v>7016</v>
      </c>
      <c r="H3544" s="1" t="s">
        <v>3007</v>
      </c>
      <c r="I3544" s="1" t="s">
        <v>104</v>
      </c>
      <c r="K3544" s="1">
        <v>0.0</v>
      </c>
      <c r="L3544" s="1" t="s">
        <v>2417</v>
      </c>
      <c r="M3544" s="1" t="str">
        <f>VLOOKUP(L3544,'Copy of PMD Workday Constants -'!B3543:W4229,22,false)</f>
        <v>#N/A</v>
      </c>
      <c r="N3544" s="1" t="s">
        <v>32</v>
      </c>
      <c r="O3544" s="1" t="s">
        <v>33</v>
      </c>
      <c r="P3544" s="1" t="s">
        <v>34</v>
      </c>
      <c r="Q3544" s="1" t="s">
        <v>34</v>
      </c>
      <c r="R3544" s="1" t="s">
        <v>35</v>
      </c>
      <c r="S3544" s="1" t="s">
        <v>383</v>
      </c>
      <c r="T3544" s="1">
        <v>1.00642238E8</v>
      </c>
      <c r="W3544" s="1" t="s">
        <v>147</v>
      </c>
      <c r="X3544" s="1" t="s">
        <v>9457</v>
      </c>
    </row>
    <row r="3545">
      <c r="A3545" s="1" t="s">
        <v>10314</v>
      </c>
      <c r="B3545" s="1" t="s">
        <v>485</v>
      </c>
      <c r="C3545" s="1" t="s">
        <v>10315</v>
      </c>
      <c r="D3545" s="1" t="s">
        <v>28</v>
      </c>
      <c r="E3545" s="1" t="s">
        <v>29</v>
      </c>
      <c r="F3545" s="5">
        <v>250000.0</v>
      </c>
      <c r="G3545" s="1" t="s">
        <v>7016</v>
      </c>
      <c r="H3545" s="1" t="s">
        <v>2318</v>
      </c>
      <c r="I3545" s="1" t="s">
        <v>80</v>
      </c>
      <c r="K3545" s="1">
        <v>0.0</v>
      </c>
      <c r="L3545" s="1" t="s">
        <v>1646</v>
      </c>
      <c r="M3545" s="1" t="str">
        <f>VLOOKUP(L3545,'Copy of PMD Workday Constants -'!B3544:W4230,22,false)</f>
        <v>#N/A</v>
      </c>
      <c r="N3545" s="1" t="s">
        <v>32</v>
      </c>
      <c r="O3545" s="1" t="s">
        <v>33</v>
      </c>
      <c r="P3545" s="1" t="s">
        <v>64</v>
      </c>
      <c r="Q3545" s="1" t="s">
        <v>64</v>
      </c>
      <c r="R3545" s="1" t="s">
        <v>65</v>
      </c>
      <c r="T3545" s="1">
        <v>1.00650657E8</v>
      </c>
      <c r="W3545" s="1" t="s">
        <v>47</v>
      </c>
      <c r="X3545" s="1" t="s">
        <v>7216</v>
      </c>
    </row>
    <row r="3546">
      <c r="A3546" s="1" t="s">
        <v>10316</v>
      </c>
      <c r="B3546" s="1" t="s">
        <v>450</v>
      </c>
      <c r="C3546" s="1" t="s">
        <v>10317</v>
      </c>
      <c r="D3546" s="1" t="s">
        <v>28</v>
      </c>
      <c r="E3546" s="1" t="s">
        <v>29</v>
      </c>
      <c r="F3546" s="5">
        <v>250000.0</v>
      </c>
      <c r="G3546" s="1" t="s">
        <v>7016</v>
      </c>
      <c r="H3546" s="1" t="s">
        <v>5674</v>
      </c>
      <c r="I3546" s="1" t="s">
        <v>152</v>
      </c>
      <c r="K3546" s="1">
        <v>0.0</v>
      </c>
      <c r="L3546" s="1" t="s">
        <v>1622</v>
      </c>
      <c r="M3546" s="1" t="str">
        <f>VLOOKUP(L3546,'Copy of PMD Workday Constants -'!B3545:W4231,22,false)</f>
        <v>#N/A</v>
      </c>
      <c r="N3546" s="1" t="s">
        <v>32</v>
      </c>
      <c r="O3546" s="1" t="s">
        <v>33</v>
      </c>
      <c r="P3546" s="1" t="s">
        <v>173</v>
      </c>
      <c r="Q3546" s="1" t="s">
        <v>173</v>
      </c>
      <c r="R3546" s="1" t="s">
        <v>174</v>
      </c>
      <c r="T3546" s="1">
        <v>1.00643454E8</v>
      </c>
      <c r="W3546" s="1" t="s">
        <v>456</v>
      </c>
      <c r="X3546" s="1" t="s">
        <v>5392</v>
      </c>
    </row>
    <row r="3547">
      <c r="A3547" s="1" t="s">
        <v>10318</v>
      </c>
      <c r="B3547" s="1" t="s">
        <v>87</v>
      </c>
      <c r="C3547" s="1" t="s">
        <v>10319</v>
      </c>
      <c r="D3547" s="1" t="s">
        <v>28</v>
      </c>
      <c r="E3547" s="1" t="s">
        <v>29</v>
      </c>
      <c r="F3547" s="5">
        <v>250000.0</v>
      </c>
      <c r="G3547" s="1" t="s">
        <v>7016</v>
      </c>
      <c r="H3547" s="4">
        <v>44653.0</v>
      </c>
      <c r="I3547" s="1" t="s">
        <v>692</v>
      </c>
      <c r="K3547" s="1">
        <v>0.0</v>
      </c>
      <c r="L3547" s="1" t="s">
        <v>1075</v>
      </c>
      <c r="M3547" s="1" t="str">
        <f>VLOOKUP(L3547,'Copy of PMD Workday Constants -'!B3546:W4232,22,false)</f>
        <v>#N/A</v>
      </c>
      <c r="N3547" s="1" t="s">
        <v>32</v>
      </c>
      <c r="O3547" s="1" t="s">
        <v>33</v>
      </c>
      <c r="P3547" s="1" t="s">
        <v>34</v>
      </c>
      <c r="Q3547" s="1" t="s">
        <v>34</v>
      </c>
      <c r="R3547" s="1" t="s">
        <v>35</v>
      </c>
      <c r="T3547" s="1">
        <v>1.00601386E8</v>
      </c>
      <c r="W3547" s="1" t="s">
        <v>91</v>
      </c>
      <c r="X3547" s="1" t="s">
        <v>158</v>
      </c>
    </row>
    <row r="3548">
      <c r="A3548" s="1" t="s">
        <v>10320</v>
      </c>
      <c r="B3548" s="1" t="s">
        <v>324</v>
      </c>
      <c r="C3548" s="1" t="s">
        <v>10321</v>
      </c>
      <c r="D3548" s="1" t="s">
        <v>51</v>
      </c>
      <c r="E3548" s="1" t="s">
        <v>29</v>
      </c>
      <c r="F3548" s="5">
        <v>250000.0</v>
      </c>
      <c r="G3548" s="1" t="s">
        <v>7016</v>
      </c>
      <c r="H3548" s="1" t="s">
        <v>4625</v>
      </c>
      <c r="I3548" s="1" t="s">
        <v>3052</v>
      </c>
      <c r="K3548" s="1">
        <v>0.0</v>
      </c>
      <c r="L3548" s="1" t="s">
        <v>3975</v>
      </c>
      <c r="M3548" s="1" t="str">
        <f>VLOOKUP(L3548,'Copy of PMD Workday Constants -'!B3547:W4233,22,false)</f>
        <v>#N/A</v>
      </c>
      <c r="N3548" s="1" t="s">
        <v>32</v>
      </c>
      <c r="O3548" s="1" t="s">
        <v>33</v>
      </c>
      <c r="P3548" s="1" t="s">
        <v>210</v>
      </c>
      <c r="Q3548" s="1" t="s">
        <v>210</v>
      </c>
      <c r="R3548" s="1" t="s">
        <v>211</v>
      </c>
      <c r="S3548" s="1" t="s">
        <v>212</v>
      </c>
      <c r="T3548" s="1">
        <v>1.00623535E8</v>
      </c>
      <c r="W3548" s="1" t="s">
        <v>56</v>
      </c>
      <c r="X3548" s="1" t="s">
        <v>3975</v>
      </c>
    </row>
    <row r="3549">
      <c r="A3549" s="1" t="s">
        <v>10322</v>
      </c>
      <c r="B3549" s="1" t="s">
        <v>1531</v>
      </c>
      <c r="C3549" s="1" t="s">
        <v>10323</v>
      </c>
      <c r="D3549" s="1" t="s">
        <v>51</v>
      </c>
      <c r="E3549" s="1" t="s">
        <v>29</v>
      </c>
      <c r="F3549" s="5">
        <v>250000.0</v>
      </c>
      <c r="G3549" s="1" t="s">
        <v>7016</v>
      </c>
      <c r="H3549" s="1" t="s">
        <v>399</v>
      </c>
      <c r="I3549" s="1" t="s">
        <v>1533</v>
      </c>
      <c r="K3549" s="1">
        <v>0.0</v>
      </c>
      <c r="L3549" s="1" t="s">
        <v>3115</v>
      </c>
      <c r="M3549" s="1" t="str">
        <f>VLOOKUP(L3549,'Copy of PMD Workday Constants -'!B3548:W4234,22,false)</f>
        <v>#N/A</v>
      </c>
      <c r="N3549" s="1" t="s">
        <v>32</v>
      </c>
      <c r="O3549" s="1" t="s">
        <v>33</v>
      </c>
      <c r="P3549" s="1" t="s">
        <v>82</v>
      </c>
      <c r="Q3549" s="1" t="s">
        <v>82</v>
      </c>
      <c r="R3549" s="1" t="s">
        <v>83</v>
      </c>
      <c r="S3549" s="1" t="s">
        <v>84</v>
      </c>
      <c r="T3549" s="1">
        <v>1.00611771E8</v>
      </c>
      <c r="W3549" s="1" t="s">
        <v>85</v>
      </c>
      <c r="X3549" s="1" t="s">
        <v>1032</v>
      </c>
    </row>
    <row r="3550">
      <c r="A3550" s="1" t="s">
        <v>10324</v>
      </c>
      <c r="B3550" s="1" t="s">
        <v>5151</v>
      </c>
      <c r="C3550" s="1" t="s">
        <v>10325</v>
      </c>
      <c r="D3550" s="1" t="s">
        <v>28</v>
      </c>
      <c r="E3550" s="1" t="s">
        <v>29</v>
      </c>
      <c r="F3550" s="5">
        <v>250000.0</v>
      </c>
      <c r="G3550" s="1" t="s">
        <v>7016</v>
      </c>
      <c r="H3550" s="1" t="s">
        <v>587</v>
      </c>
      <c r="I3550" s="1" t="s">
        <v>152</v>
      </c>
      <c r="K3550" s="1">
        <v>0.0</v>
      </c>
      <c r="L3550" s="1" t="s">
        <v>499</v>
      </c>
      <c r="M3550" s="1" t="str">
        <f>VLOOKUP(L3550,'Copy of PMD Workday Constants -'!B3549:W4235,22,false)</f>
        <v>#N/A</v>
      </c>
      <c r="N3550" s="1" t="s">
        <v>32</v>
      </c>
      <c r="O3550" s="1" t="s">
        <v>33</v>
      </c>
      <c r="P3550" s="1" t="s">
        <v>34</v>
      </c>
      <c r="Q3550" s="1" t="s">
        <v>34</v>
      </c>
      <c r="R3550" s="1" t="s">
        <v>35</v>
      </c>
      <c r="S3550" s="1" t="s">
        <v>153</v>
      </c>
      <c r="T3550" s="1">
        <v>1.00627768E8</v>
      </c>
      <c r="W3550" s="1" t="s">
        <v>947</v>
      </c>
      <c r="X3550" s="1" t="s">
        <v>499</v>
      </c>
    </row>
    <row r="3551">
      <c r="A3551" s="1" t="s">
        <v>10326</v>
      </c>
      <c r="B3551" s="1" t="s">
        <v>10327</v>
      </c>
      <c r="C3551" s="1" t="s">
        <v>10328</v>
      </c>
      <c r="D3551" s="1" t="s">
        <v>28</v>
      </c>
      <c r="E3551" s="1" t="s">
        <v>29</v>
      </c>
      <c r="F3551" s="5">
        <v>250000.0</v>
      </c>
      <c r="G3551" s="1" t="s">
        <v>7016</v>
      </c>
      <c r="H3551" s="1" t="s">
        <v>10179</v>
      </c>
      <c r="I3551" s="1" t="s">
        <v>43</v>
      </c>
      <c r="K3551" s="1">
        <v>0.0</v>
      </c>
      <c r="L3551" s="1" t="s">
        <v>1282</v>
      </c>
      <c r="M3551" s="1" t="str">
        <f>VLOOKUP(L3551,'Copy of PMD Workday Constants -'!B3550:W4236,22,false)</f>
        <v>#N/A</v>
      </c>
      <c r="N3551" s="1" t="s">
        <v>32</v>
      </c>
      <c r="O3551" s="1" t="s">
        <v>33</v>
      </c>
      <c r="P3551" s="1" t="s">
        <v>34</v>
      </c>
      <c r="Q3551" s="1" t="s">
        <v>34</v>
      </c>
      <c r="R3551" s="1" t="s">
        <v>35</v>
      </c>
      <c r="S3551" s="1" t="s">
        <v>1166</v>
      </c>
      <c r="T3551" s="1">
        <v>1.006096E8</v>
      </c>
      <c r="W3551" s="1" t="s">
        <v>456</v>
      </c>
      <c r="X3551" s="1" t="s">
        <v>7966</v>
      </c>
    </row>
    <row r="3552">
      <c r="A3552" s="1" t="s">
        <v>10329</v>
      </c>
      <c r="B3552" s="1" t="s">
        <v>5374</v>
      </c>
      <c r="C3552" s="1" t="s">
        <v>10330</v>
      </c>
      <c r="D3552" s="1" t="s">
        <v>28</v>
      </c>
      <c r="E3552" s="1" t="s">
        <v>29</v>
      </c>
      <c r="F3552" s="5">
        <v>250000.0</v>
      </c>
      <c r="G3552" s="1" t="s">
        <v>7016</v>
      </c>
      <c r="H3552" s="4">
        <v>44839.0</v>
      </c>
      <c r="I3552" s="1" t="s">
        <v>152</v>
      </c>
      <c r="K3552" s="1">
        <v>0.0</v>
      </c>
      <c r="L3552" s="1" t="s">
        <v>1036</v>
      </c>
      <c r="M3552" s="1" t="str">
        <f>VLOOKUP(L3552,'Copy of PMD Workday Constants -'!B3551:W4237,22,false)</f>
        <v>#N/A</v>
      </c>
      <c r="N3552" s="1" t="s">
        <v>32</v>
      </c>
      <c r="O3552" s="1" t="s">
        <v>33</v>
      </c>
      <c r="P3552" s="1" t="s">
        <v>82</v>
      </c>
      <c r="Q3552" s="1" t="s">
        <v>82</v>
      </c>
      <c r="R3552" s="1" t="s">
        <v>83</v>
      </c>
      <c r="S3552" s="1" t="s">
        <v>180</v>
      </c>
      <c r="T3552" s="1">
        <v>1.0090037E8</v>
      </c>
      <c r="W3552" s="1" t="s">
        <v>85</v>
      </c>
      <c r="X3552" s="1" t="s">
        <v>1036</v>
      </c>
    </row>
    <row r="3553">
      <c r="A3553" s="1" t="s">
        <v>10331</v>
      </c>
      <c r="B3553" s="1" t="s">
        <v>993</v>
      </c>
      <c r="C3553" s="1" t="s">
        <v>10332</v>
      </c>
      <c r="D3553" s="1" t="s">
        <v>51</v>
      </c>
      <c r="E3553" s="1" t="s">
        <v>29</v>
      </c>
      <c r="F3553" s="5">
        <v>250000.0</v>
      </c>
      <c r="G3553" s="1" t="s">
        <v>7016</v>
      </c>
      <c r="H3553" s="4">
        <v>44777.0</v>
      </c>
      <c r="I3553" s="1" t="s">
        <v>104</v>
      </c>
      <c r="K3553" s="1">
        <v>0.0</v>
      </c>
      <c r="L3553" s="1" t="s">
        <v>4634</v>
      </c>
      <c r="M3553" s="1" t="str">
        <f>VLOOKUP(L3553,'Copy of PMD Workday Constants -'!B3552:W4238,22,false)</f>
        <v>#N/A</v>
      </c>
      <c r="N3553" s="1" t="s">
        <v>32</v>
      </c>
      <c r="O3553" s="1" t="s">
        <v>33</v>
      </c>
      <c r="P3553" s="1" t="s">
        <v>112</v>
      </c>
      <c r="Q3553" s="1" t="s">
        <v>112</v>
      </c>
      <c r="R3553" s="1" t="s">
        <v>113</v>
      </c>
      <c r="S3553" s="1" t="s">
        <v>134</v>
      </c>
      <c r="T3553" s="1">
        <v>1.00585718E8</v>
      </c>
      <c r="W3553" s="1" t="s">
        <v>74</v>
      </c>
      <c r="X3553" s="1" t="s">
        <v>10333</v>
      </c>
    </row>
    <row r="3554">
      <c r="A3554" s="1" t="s">
        <v>10334</v>
      </c>
      <c r="B3554" s="1" t="s">
        <v>10335</v>
      </c>
      <c r="C3554" s="1" t="s">
        <v>10336</v>
      </c>
      <c r="D3554" s="1" t="s">
        <v>28</v>
      </c>
      <c r="E3554" s="1" t="s">
        <v>29</v>
      </c>
      <c r="F3554" s="5">
        <v>250000.0</v>
      </c>
      <c r="G3554" s="1" t="s">
        <v>7016</v>
      </c>
      <c r="H3554" s="1" t="s">
        <v>698</v>
      </c>
      <c r="I3554" s="1" t="s">
        <v>104</v>
      </c>
      <c r="K3554" s="1">
        <v>0.0</v>
      </c>
      <c r="L3554" s="1" t="s">
        <v>1697</v>
      </c>
      <c r="M3554" s="1" t="str">
        <f>VLOOKUP(L3554,'Copy of PMD Workday Constants -'!B3553:W4239,22,false)</f>
        <v>#N/A</v>
      </c>
      <c r="N3554" s="1" t="s">
        <v>32</v>
      </c>
      <c r="O3554" s="1" t="s">
        <v>33</v>
      </c>
      <c r="P3554" s="1" t="s">
        <v>82</v>
      </c>
      <c r="Q3554" s="1" t="s">
        <v>82</v>
      </c>
      <c r="R3554" s="1" t="s">
        <v>83</v>
      </c>
      <c r="S3554" s="1" t="s">
        <v>84</v>
      </c>
      <c r="T3554" s="1">
        <v>1.00589728E8</v>
      </c>
      <c r="W3554" s="1" t="s">
        <v>85</v>
      </c>
      <c r="X3554" s="1" t="s">
        <v>6478</v>
      </c>
    </row>
    <row r="3555">
      <c r="A3555" s="1" t="s">
        <v>10337</v>
      </c>
      <c r="B3555" s="1" t="s">
        <v>800</v>
      </c>
      <c r="C3555" s="1" t="s">
        <v>10338</v>
      </c>
      <c r="D3555" s="1" t="s">
        <v>28</v>
      </c>
      <c r="E3555" s="1" t="s">
        <v>29</v>
      </c>
      <c r="F3555" s="5">
        <v>250000.0</v>
      </c>
      <c r="G3555" s="1" t="s">
        <v>7016</v>
      </c>
      <c r="H3555" s="1" t="s">
        <v>526</v>
      </c>
      <c r="I3555" s="1" t="s">
        <v>104</v>
      </c>
      <c r="K3555" s="1">
        <v>0.0</v>
      </c>
      <c r="L3555" s="1" t="s">
        <v>435</v>
      </c>
      <c r="M3555" s="1" t="str">
        <f>VLOOKUP(L3555,'Copy of PMD Workday Constants -'!B3554:W4240,22,false)</f>
        <v>#N/A</v>
      </c>
      <c r="N3555" s="1" t="s">
        <v>32</v>
      </c>
      <c r="O3555" s="1" t="s">
        <v>33</v>
      </c>
      <c r="P3555" s="1" t="s">
        <v>64</v>
      </c>
      <c r="Q3555" s="1" t="s">
        <v>64</v>
      </c>
      <c r="R3555" s="1" t="s">
        <v>65</v>
      </c>
      <c r="S3555" s="1" t="s">
        <v>98</v>
      </c>
      <c r="T3555" s="1">
        <v>1.00653756E8</v>
      </c>
      <c r="W3555" s="1" t="s">
        <v>56</v>
      </c>
      <c r="X3555" s="1" t="s">
        <v>435</v>
      </c>
    </row>
    <row r="3556">
      <c r="A3556" s="1" t="s">
        <v>10339</v>
      </c>
      <c r="B3556" s="1" t="s">
        <v>973</v>
      </c>
      <c r="C3556" s="1" t="s">
        <v>10340</v>
      </c>
      <c r="D3556" s="1" t="s">
        <v>51</v>
      </c>
      <c r="E3556" s="1" t="s">
        <v>29</v>
      </c>
      <c r="F3556" s="5">
        <v>250000.0</v>
      </c>
      <c r="G3556" s="1" t="s">
        <v>7016</v>
      </c>
      <c r="H3556" s="4">
        <v>44682.0</v>
      </c>
      <c r="I3556" s="1" t="s">
        <v>104</v>
      </c>
      <c r="K3556" s="1">
        <v>0.0</v>
      </c>
      <c r="L3556" s="1" t="s">
        <v>3499</v>
      </c>
      <c r="M3556" s="1" t="str">
        <f>VLOOKUP(L3556,'Copy of PMD Workday Constants -'!B3555:W4241,22,false)</f>
        <v>#N/A</v>
      </c>
      <c r="N3556" s="1" t="s">
        <v>32</v>
      </c>
      <c r="O3556" s="1" t="s">
        <v>33</v>
      </c>
      <c r="P3556" s="1" t="s">
        <v>222</v>
      </c>
      <c r="Q3556" s="1" t="s">
        <v>222</v>
      </c>
      <c r="R3556" s="1" t="s">
        <v>223</v>
      </c>
      <c r="S3556" s="1" t="s">
        <v>646</v>
      </c>
      <c r="T3556" s="1">
        <v>1.00662113E8</v>
      </c>
      <c r="W3556" s="1" t="s">
        <v>456</v>
      </c>
      <c r="X3556" s="1" t="s">
        <v>3499</v>
      </c>
    </row>
    <row r="3557">
      <c r="A3557" s="1" t="s">
        <v>10341</v>
      </c>
      <c r="B3557" s="1" t="s">
        <v>1200</v>
      </c>
      <c r="C3557" s="1" t="s">
        <v>10342</v>
      </c>
      <c r="D3557" s="1" t="s">
        <v>28</v>
      </c>
      <c r="E3557" s="1" t="s">
        <v>29</v>
      </c>
      <c r="F3557" s="5">
        <v>250000.0</v>
      </c>
      <c r="G3557" s="1" t="s">
        <v>7016</v>
      </c>
      <c r="H3557" s="1" t="s">
        <v>3034</v>
      </c>
      <c r="I3557" s="4">
        <v>44780.0</v>
      </c>
      <c r="K3557" s="1">
        <v>0.0</v>
      </c>
      <c r="L3557" s="1" t="s">
        <v>3137</v>
      </c>
      <c r="M3557" s="1" t="str">
        <f>VLOOKUP(L3557,'Copy of PMD Workday Constants -'!B3556:W4242,22,false)</f>
        <v>#N/A</v>
      </c>
      <c r="N3557" s="1" t="s">
        <v>32</v>
      </c>
      <c r="O3557" s="1" t="s">
        <v>33</v>
      </c>
      <c r="P3557" s="1" t="s">
        <v>82</v>
      </c>
      <c r="Q3557" s="1" t="s">
        <v>82</v>
      </c>
      <c r="R3557" s="1" t="s">
        <v>83</v>
      </c>
      <c r="S3557" s="1" t="s">
        <v>180</v>
      </c>
      <c r="T3557" s="1">
        <v>1.00586452E8</v>
      </c>
      <c r="W3557" s="1" t="s">
        <v>85</v>
      </c>
      <c r="X3557" s="1" t="s">
        <v>4549</v>
      </c>
    </row>
    <row r="3558">
      <c r="A3558" s="1" t="s">
        <v>10343</v>
      </c>
      <c r="B3558" s="1" t="s">
        <v>4797</v>
      </c>
      <c r="C3558" s="1" t="s">
        <v>10344</v>
      </c>
      <c r="D3558" s="1" t="s">
        <v>103</v>
      </c>
      <c r="E3558" s="1" t="s">
        <v>29</v>
      </c>
      <c r="F3558" s="5">
        <v>250000.0</v>
      </c>
      <c r="G3558" s="1" t="s">
        <v>7016</v>
      </c>
      <c r="H3558" s="1" t="s">
        <v>330</v>
      </c>
      <c r="I3558" s="1" t="s">
        <v>1141</v>
      </c>
      <c r="K3558" s="1">
        <v>0.0</v>
      </c>
      <c r="L3558" s="1" t="s">
        <v>198</v>
      </c>
      <c r="M3558" s="1" t="str">
        <f>VLOOKUP(L3558,'Copy of PMD Workday Constants -'!B3557:W4243,22,false)</f>
        <v>#N/A</v>
      </c>
      <c r="N3558" s="1" t="s">
        <v>32</v>
      </c>
      <c r="O3558" s="1" t="s">
        <v>33</v>
      </c>
      <c r="P3558" s="1" t="s">
        <v>82</v>
      </c>
      <c r="Q3558" s="1" t="s">
        <v>82</v>
      </c>
      <c r="R3558" s="1" t="s">
        <v>83</v>
      </c>
      <c r="S3558" s="1" t="s">
        <v>180</v>
      </c>
      <c r="T3558" s="1">
        <v>1.00590896E8</v>
      </c>
      <c r="W3558" s="1" t="s">
        <v>2098</v>
      </c>
      <c r="X3558" s="1" t="s">
        <v>1202</v>
      </c>
    </row>
    <row r="3559">
      <c r="A3559" s="1" t="s">
        <v>10345</v>
      </c>
      <c r="B3559" s="1" t="s">
        <v>5250</v>
      </c>
      <c r="C3559" s="1" t="s">
        <v>10346</v>
      </c>
      <c r="D3559" s="1" t="s">
        <v>103</v>
      </c>
      <c r="E3559" s="1" t="s">
        <v>29</v>
      </c>
      <c r="F3559" s="5">
        <v>250000.0</v>
      </c>
      <c r="G3559" s="1" t="s">
        <v>7016</v>
      </c>
      <c r="H3559" s="1" t="s">
        <v>569</v>
      </c>
      <c r="I3559" s="1" t="s">
        <v>80</v>
      </c>
      <c r="K3559" s="1">
        <v>0.0</v>
      </c>
      <c r="L3559" s="1" t="s">
        <v>5252</v>
      </c>
      <c r="M3559" s="1" t="str">
        <f>VLOOKUP(L3559,'Copy of PMD Workday Constants -'!B3558:W4244,22,false)</f>
        <v>#N/A</v>
      </c>
      <c r="N3559" s="1" t="s">
        <v>32</v>
      </c>
      <c r="O3559" s="1" t="s">
        <v>33</v>
      </c>
      <c r="P3559" s="1" t="s">
        <v>5253</v>
      </c>
      <c r="Q3559" s="1" t="s">
        <v>5253</v>
      </c>
      <c r="R3559" s="1" t="s">
        <v>65</v>
      </c>
      <c r="T3559" s="1">
        <v>1.00625588E8</v>
      </c>
      <c r="W3559" s="1" t="s">
        <v>287</v>
      </c>
      <c r="X3559" s="1" t="s">
        <v>5252</v>
      </c>
    </row>
    <row r="3560">
      <c r="A3560" s="1" t="s">
        <v>10347</v>
      </c>
      <c r="B3560" s="1" t="s">
        <v>9050</v>
      </c>
      <c r="C3560" s="1" t="s">
        <v>10348</v>
      </c>
      <c r="D3560" s="1" t="s">
        <v>51</v>
      </c>
      <c r="E3560" s="1" t="s">
        <v>29</v>
      </c>
      <c r="F3560" s="5">
        <v>250000.0</v>
      </c>
      <c r="G3560" s="1" t="s">
        <v>7016</v>
      </c>
      <c r="H3560" s="4">
        <v>44656.0</v>
      </c>
      <c r="I3560" s="4">
        <v>44569.0</v>
      </c>
      <c r="K3560" s="1">
        <v>0.0</v>
      </c>
      <c r="L3560" s="1" t="s">
        <v>10349</v>
      </c>
      <c r="M3560" s="1" t="str">
        <f>VLOOKUP(L3560,'Copy of PMD Workday Constants -'!B3559:W4245,22,false)</f>
        <v>#N/A</v>
      </c>
      <c r="N3560" s="1" t="s">
        <v>32</v>
      </c>
      <c r="O3560" s="1" t="s">
        <v>33</v>
      </c>
      <c r="P3560" s="1" t="s">
        <v>64</v>
      </c>
      <c r="Q3560" s="1" t="s">
        <v>64</v>
      </c>
      <c r="R3560" s="1" t="s">
        <v>65</v>
      </c>
      <c r="T3560" s="1">
        <v>1.00649481E8</v>
      </c>
      <c r="W3560" s="1" t="s">
        <v>85</v>
      </c>
      <c r="X3560" s="1" t="s">
        <v>10349</v>
      </c>
    </row>
    <row r="3561">
      <c r="A3561" s="1" t="s">
        <v>10350</v>
      </c>
      <c r="B3561" s="1" t="s">
        <v>10351</v>
      </c>
      <c r="C3561" s="1" t="s">
        <v>10352</v>
      </c>
      <c r="D3561" s="1" t="s">
        <v>51</v>
      </c>
      <c r="E3561" s="1" t="s">
        <v>29</v>
      </c>
      <c r="F3561" s="5">
        <v>250000.0</v>
      </c>
      <c r="G3561" s="1" t="s">
        <v>7016</v>
      </c>
      <c r="H3561" s="1" t="s">
        <v>1842</v>
      </c>
      <c r="I3561" s="1" t="s">
        <v>104</v>
      </c>
      <c r="K3561" s="1">
        <v>0.0</v>
      </c>
      <c r="L3561" s="1" t="s">
        <v>1823</v>
      </c>
      <c r="M3561" s="1" t="str">
        <f>VLOOKUP(L3561,'Copy of PMD Workday Constants -'!B3560:W4246,22,false)</f>
        <v>#N/A</v>
      </c>
      <c r="N3561" s="1" t="s">
        <v>32</v>
      </c>
      <c r="O3561" s="1" t="s">
        <v>33</v>
      </c>
      <c r="P3561" s="1" t="s">
        <v>222</v>
      </c>
      <c r="Q3561" s="1" t="s">
        <v>222</v>
      </c>
      <c r="R3561" s="1" t="s">
        <v>223</v>
      </c>
      <c r="S3561" s="1" t="s">
        <v>601</v>
      </c>
      <c r="T3561" s="1">
        <v>1.0064195E8</v>
      </c>
      <c r="W3561" s="1" t="s">
        <v>74</v>
      </c>
      <c r="X3561" s="1" t="s">
        <v>1823</v>
      </c>
    </row>
    <row r="3562">
      <c r="A3562" s="1" t="s">
        <v>10353</v>
      </c>
      <c r="B3562" s="1" t="s">
        <v>7200</v>
      </c>
      <c r="C3562" s="1" t="s">
        <v>10354</v>
      </c>
      <c r="D3562" s="1" t="s">
        <v>103</v>
      </c>
      <c r="E3562" s="1" t="s">
        <v>29</v>
      </c>
      <c r="F3562" s="5">
        <v>250000.0</v>
      </c>
      <c r="G3562" s="1" t="s">
        <v>7016</v>
      </c>
      <c r="H3562" s="1" t="s">
        <v>1245</v>
      </c>
      <c r="I3562" s="1" t="s">
        <v>152</v>
      </c>
      <c r="K3562" s="1">
        <v>0.0</v>
      </c>
      <c r="L3562" s="1" t="s">
        <v>1723</v>
      </c>
      <c r="M3562" s="1" t="str">
        <f>VLOOKUP(L3562,'Copy of PMD Workday Constants -'!B3561:W4247,22,false)</f>
        <v>#N/A</v>
      </c>
      <c r="N3562" s="1" t="s">
        <v>32</v>
      </c>
      <c r="O3562" s="1" t="s">
        <v>33</v>
      </c>
      <c r="P3562" s="1" t="s">
        <v>222</v>
      </c>
      <c r="Q3562" s="1" t="s">
        <v>222</v>
      </c>
      <c r="R3562" s="1" t="s">
        <v>223</v>
      </c>
      <c r="S3562" s="1" t="s">
        <v>601</v>
      </c>
      <c r="T3562" s="1">
        <v>1.00901211E8</v>
      </c>
      <c r="W3562" s="1" t="s">
        <v>391</v>
      </c>
      <c r="X3562" s="1" t="s">
        <v>10355</v>
      </c>
    </row>
    <row r="3563">
      <c r="A3563" s="1" t="s">
        <v>10356</v>
      </c>
      <c r="B3563" s="1" t="s">
        <v>1163</v>
      </c>
      <c r="C3563" s="1" t="s">
        <v>10357</v>
      </c>
      <c r="D3563" s="1" t="s">
        <v>28</v>
      </c>
      <c r="E3563" s="1" t="s">
        <v>29</v>
      </c>
      <c r="F3563" s="5">
        <v>250000.0</v>
      </c>
      <c r="G3563" s="1" t="s">
        <v>7016</v>
      </c>
      <c r="H3563" s="4">
        <v>44653.0</v>
      </c>
      <c r="I3563" s="1" t="s">
        <v>526</v>
      </c>
      <c r="K3563" s="1">
        <v>0.0</v>
      </c>
      <c r="L3563" s="1" t="s">
        <v>7276</v>
      </c>
      <c r="M3563" s="1" t="str">
        <f>VLOOKUP(L3563,'Copy of PMD Workday Constants -'!B3562:W4248,22,false)</f>
        <v>#N/A</v>
      </c>
      <c r="N3563" s="1" t="s">
        <v>32</v>
      </c>
      <c r="O3563" s="1" t="s">
        <v>33</v>
      </c>
      <c r="P3563" s="1" t="s">
        <v>64</v>
      </c>
      <c r="Q3563" s="1" t="s">
        <v>64</v>
      </c>
      <c r="R3563" s="1" t="s">
        <v>65</v>
      </c>
      <c r="S3563" s="1" t="s">
        <v>1336</v>
      </c>
      <c r="T3563" s="1">
        <v>1.00587219E8</v>
      </c>
      <c r="W3563" s="1" t="s">
        <v>147</v>
      </c>
      <c r="X3563" s="1" t="s">
        <v>2519</v>
      </c>
    </row>
    <row r="3564">
      <c r="A3564" s="1" t="s">
        <v>10358</v>
      </c>
      <c r="B3564" s="1" t="s">
        <v>10359</v>
      </c>
      <c r="C3564" s="1" t="s">
        <v>10360</v>
      </c>
      <c r="D3564" s="1" t="s">
        <v>103</v>
      </c>
      <c r="E3564" s="1" t="s">
        <v>29</v>
      </c>
      <c r="F3564" s="5">
        <v>250000.0</v>
      </c>
      <c r="G3564" s="1" t="s">
        <v>7016</v>
      </c>
      <c r="H3564" s="4">
        <v>44478.0</v>
      </c>
      <c r="I3564" s="1" t="s">
        <v>80</v>
      </c>
      <c r="K3564" s="1">
        <v>0.0</v>
      </c>
      <c r="L3564" s="1" t="s">
        <v>607</v>
      </c>
      <c r="M3564" s="1" t="str">
        <f>VLOOKUP(L3564,'Copy of PMD Workday Constants -'!B3563:W4249,22,false)</f>
        <v>#N/A</v>
      </c>
      <c r="N3564" s="1" t="s">
        <v>32</v>
      </c>
      <c r="O3564" s="1" t="s">
        <v>33</v>
      </c>
      <c r="P3564" s="1" t="s">
        <v>112</v>
      </c>
      <c r="Q3564" s="1" t="s">
        <v>112</v>
      </c>
      <c r="R3564" s="1" t="s">
        <v>113</v>
      </c>
      <c r="S3564" s="1" t="s">
        <v>114</v>
      </c>
      <c r="T3564" s="1">
        <v>1.00646427E8</v>
      </c>
      <c r="W3564" s="1" t="s">
        <v>147</v>
      </c>
      <c r="X3564" s="1" t="s">
        <v>607</v>
      </c>
    </row>
    <row r="3565">
      <c r="A3565" s="1" t="s">
        <v>10361</v>
      </c>
      <c r="B3565" s="1" t="s">
        <v>2327</v>
      </c>
      <c r="C3565" s="1" t="s">
        <v>10077</v>
      </c>
      <c r="D3565" s="1" t="s">
        <v>28</v>
      </c>
      <c r="E3565" s="1" t="s">
        <v>29</v>
      </c>
      <c r="F3565" s="5">
        <v>250000.0</v>
      </c>
      <c r="G3565" s="1" t="s">
        <v>7016</v>
      </c>
      <c r="H3565" s="4">
        <v>44867.0</v>
      </c>
      <c r="I3565" s="1" t="s">
        <v>96</v>
      </c>
      <c r="K3565" s="1">
        <v>0.0</v>
      </c>
      <c r="L3565" s="1" t="s">
        <v>491</v>
      </c>
      <c r="M3565" s="1" t="str">
        <f>VLOOKUP(L3565,'Copy of PMD Workday Constants -'!B3564:W4250,22,false)</f>
        <v>#N/A</v>
      </c>
      <c r="N3565" s="1" t="s">
        <v>32</v>
      </c>
      <c r="O3565" s="1" t="s">
        <v>33</v>
      </c>
      <c r="P3565" s="1" t="s">
        <v>112</v>
      </c>
      <c r="Q3565" s="1" t="s">
        <v>112</v>
      </c>
      <c r="R3565" s="1" t="s">
        <v>113</v>
      </c>
      <c r="S3565" s="1" t="s">
        <v>1336</v>
      </c>
      <c r="T3565" s="1">
        <v>1.00623914E8</v>
      </c>
      <c r="W3565" s="1" t="s">
        <v>91</v>
      </c>
      <c r="X3565" s="1" t="s">
        <v>1337</v>
      </c>
    </row>
    <row r="3566">
      <c r="A3566" s="1" t="s">
        <v>10362</v>
      </c>
      <c r="B3566" s="1" t="s">
        <v>1096</v>
      </c>
      <c r="C3566" s="1" t="s">
        <v>10363</v>
      </c>
      <c r="D3566" s="1" t="s">
        <v>28</v>
      </c>
      <c r="E3566" s="1" t="s">
        <v>29</v>
      </c>
      <c r="F3566" s="5">
        <v>250000.0</v>
      </c>
      <c r="G3566" s="1" t="s">
        <v>7016</v>
      </c>
      <c r="H3566" s="1" t="s">
        <v>5674</v>
      </c>
      <c r="I3566" s="1" t="s">
        <v>132</v>
      </c>
      <c r="K3566" s="1">
        <v>0.0</v>
      </c>
      <c r="L3566" s="1" t="s">
        <v>1622</v>
      </c>
      <c r="M3566" s="1" t="str">
        <f>VLOOKUP(L3566,'Copy of PMD Workday Constants -'!B3565:W4251,22,false)</f>
        <v>#N/A</v>
      </c>
      <c r="N3566" s="1" t="s">
        <v>32</v>
      </c>
      <c r="O3566" s="1" t="s">
        <v>33</v>
      </c>
      <c r="P3566" s="1" t="s">
        <v>173</v>
      </c>
      <c r="Q3566" s="1" t="s">
        <v>173</v>
      </c>
      <c r="R3566" s="1" t="s">
        <v>174</v>
      </c>
      <c r="T3566" s="1">
        <v>1.00643454E8</v>
      </c>
      <c r="W3566" s="1" t="s">
        <v>456</v>
      </c>
      <c r="X3566" s="1" t="s">
        <v>5392</v>
      </c>
    </row>
    <row r="3567">
      <c r="A3567" s="1" t="s">
        <v>10364</v>
      </c>
      <c r="B3567" s="1" t="s">
        <v>2429</v>
      </c>
      <c r="C3567" s="1" t="s">
        <v>10365</v>
      </c>
      <c r="D3567" s="1" t="s">
        <v>28</v>
      </c>
      <c r="E3567" s="1" t="s">
        <v>29</v>
      </c>
      <c r="F3567" s="5">
        <v>250000.0</v>
      </c>
      <c r="G3567" s="1" t="s">
        <v>7016</v>
      </c>
      <c r="H3567" s="1" t="s">
        <v>5674</v>
      </c>
      <c r="I3567" s="1" t="s">
        <v>152</v>
      </c>
      <c r="K3567" s="1">
        <v>0.0</v>
      </c>
      <c r="L3567" s="1" t="s">
        <v>5392</v>
      </c>
      <c r="M3567" s="1" t="str">
        <f>VLOOKUP(L3567,'Copy of PMD Workday Constants -'!B3566:W4252,22,false)</f>
        <v>#N/A</v>
      </c>
      <c r="N3567" s="1" t="s">
        <v>32</v>
      </c>
      <c r="O3567" s="1" t="s">
        <v>33</v>
      </c>
      <c r="P3567" s="1" t="s">
        <v>173</v>
      </c>
      <c r="Q3567" s="1" t="s">
        <v>173</v>
      </c>
      <c r="R3567" s="1" t="s">
        <v>174</v>
      </c>
      <c r="T3567" s="1">
        <v>1.01138319E8</v>
      </c>
      <c r="W3567" s="1" t="s">
        <v>456</v>
      </c>
      <c r="X3567" s="1" t="s">
        <v>5392</v>
      </c>
    </row>
    <row r="3568">
      <c r="A3568" s="1" t="s">
        <v>10366</v>
      </c>
      <c r="B3568" s="1" t="s">
        <v>993</v>
      </c>
      <c r="C3568" s="1" t="s">
        <v>9028</v>
      </c>
      <c r="D3568" s="1" t="s">
        <v>103</v>
      </c>
      <c r="E3568" s="1" t="s">
        <v>29</v>
      </c>
      <c r="F3568" s="5">
        <v>250000.0</v>
      </c>
      <c r="G3568" s="1" t="s">
        <v>7016</v>
      </c>
      <c r="H3568" s="4">
        <v>44597.0</v>
      </c>
      <c r="I3568" s="1" t="s">
        <v>80</v>
      </c>
      <c r="K3568" s="1">
        <v>0.0</v>
      </c>
      <c r="L3568" s="1" t="s">
        <v>4634</v>
      </c>
      <c r="M3568" s="1" t="str">
        <f>VLOOKUP(L3568,'Copy of PMD Workday Constants -'!B3567:W4253,22,false)</f>
        <v>#N/A</v>
      </c>
      <c r="N3568" s="1" t="s">
        <v>32</v>
      </c>
      <c r="O3568" s="1" t="s">
        <v>33</v>
      </c>
      <c r="P3568" s="1" t="s">
        <v>112</v>
      </c>
      <c r="Q3568" s="1" t="s">
        <v>112</v>
      </c>
      <c r="R3568" s="1" t="s">
        <v>113</v>
      </c>
      <c r="S3568" s="1" t="s">
        <v>134</v>
      </c>
      <c r="T3568" s="1">
        <v>1.00585718E8</v>
      </c>
      <c r="W3568" s="1" t="s">
        <v>74</v>
      </c>
      <c r="X3568" s="1" t="s">
        <v>4804</v>
      </c>
    </row>
    <row r="3569">
      <c r="A3569" s="1" t="s">
        <v>10367</v>
      </c>
      <c r="B3569" s="1" t="s">
        <v>521</v>
      </c>
      <c r="C3569" s="1" t="s">
        <v>10368</v>
      </c>
      <c r="D3569" s="1" t="s">
        <v>51</v>
      </c>
      <c r="E3569" s="1" t="s">
        <v>29</v>
      </c>
      <c r="F3569" s="5">
        <v>250000.0</v>
      </c>
      <c r="G3569" s="1" t="s">
        <v>7016</v>
      </c>
      <c r="H3569" s="1" t="s">
        <v>1307</v>
      </c>
      <c r="I3569" s="4">
        <v>44779.0</v>
      </c>
      <c r="K3569" s="1">
        <v>0.0</v>
      </c>
      <c r="L3569" s="1" t="s">
        <v>2163</v>
      </c>
      <c r="M3569" s="1" t="str">
        <f>VLOOKUP(L3569,'Copy of PMD Workday Constants -'!B3568:W4254,22,false)</f>
        <v>#N/A</v>
      </c>
      <c r="N3569" s="1" t="s">
        <v>32</v>
      </c>
      <c r="O3569" s="1" t="s">
        <v>33</v>
      </c>
      <c r="P3569" s="1" t="s">
        <v>210</v>
      </c>
      <c r="Q3569" s="1" t="s">
        <v>210</v>
      </c>
      <c r="R3569" s="1" t="s">
        <v>211</v>
      </c>
      <c r="S3569" s="1" t="s">
        <v>297</v>
      </c>
      <c r="T3569" s="1">
        <v>1.00608366E8</v>
      </c>
      <c r="W3569" s="1" t="s">
        <v>456</v>
      </c>
      <c r="X3569" s="1" t="s">
        <v>2163</v>
      </c>
    </row>
    <row r="3570">
      <c r="A3570" s="1" t="s">
        <v>10369</v>
      </c>
      <c r="B3570" s="1" t="s">
        <v>3340</v>
      </c>
      <c r="C3570" s="1" t="s">
        <v>4220</v>
      </c>
      <c r="D3570" s="1" t="s">
        <v>28</v>
      </c>
      <c r="E3570" s="1" t="s">
        <v>29</v>
      </c>
      <c r="F3570" s="5">
        <v>250000.0</v>
      </c>
      <c r="G3570" s="1" t="s">
        <v>7016</v>
      </c>
      <c r="H3570" s="4">
        <v>44595.0</v>
      </c>
      <c r="I3570" s="1" t="s">
        <v>732</v>
      </c>
      <c r="K3570" s="1">
        <v>0.0</v>
      </c>
      <c r="L3570" s="1" t="s">
        <v>1739</v>
      </c>
      <c r="M3570" s="1" t="str">
        <f>VLOOKUP(L3570,'Copy of PMD Workday Constants -'!B3569:W4255,22,false)</f>
        <v>#N/A</v>
      </c>
      <c r="N3570" s="1" t="s">
        <v>32</v>
      </c>
      <c r="O3570" s="1" t="s">
        <v>33</v>
      </c>
      <c r="P3570" s="1" t="s">
        <v>210</v>
      </c>
      <c r="Q3570" s="1" t="s">
        <v>210</v>
      </c>
      <c r="R3570" s="1" t="s">
        <v>211</v>
      </c>
      <c r="S3570" s="1" t="s">
        <v>416</v>
      </c>
      <c r="T3570" s="1">
        <v>1.00964362E8</v>
      </c>
      <c r="W3570" s="1" t="s">
        <v>56</v>
      </c>
      <c r="X3570" s="1" t="s">
        <v>2569</v>
      </c>
    </row>
    <row r="3571">
      <c r="A3571" s="1" t="s">
        <v>10370</v>
      </c>
      <c r="B3571" s="1" t="s">
        <v>2212</v>
      </c>
      <c r="C3571" s="1" t="s">
        <v>10371</v>
      </c>
      <c r="D3571" s="1" t="s">
        <v>51</v>
      </c>
      <c r="E3571" s="1" t="s">
        <v>29</v>
      </c>
      <c r="F3571" s="5">
        <v>250000.0</v>
      </c>
      <c r="G3571" s="1" t="s">
        <v>7016</v>
      </c>
      <c r="H3571" s="4">
        <v>44777.0</v>
      </c>
      <c r="I3571" s="1" t="s">
        <v>132</v>
      </c>
      <c r="K3571" s="1">
        <v>0.0</v>
      </c>
      <c r="L3571" s="1" t="s">
        <v>934</v>
      </c>
      <c r="M3571" s="1" t="str">
        <f>VLOOKUP(L3571,'Copy of PMD Workday Constants -'!B3570:W4256,22,false)</f>
        <v>#N/A</v>
      </c>
      <c r="N3571" s="1" t="s">
        <v>32</v>
      </c>
      <c r="O3571" s="1" t="s">
        <v>33</v>
      </c>
      <c r="P3571" s="1" t="s">
        <v>173</v>
      </c>
      <c r="Q3571" s="1" t="s">
        <v>173</v>
      </c>
      <c r="R3571" s="1" t="s">
        <v>174</v>
      </c>
      <c r="S3571" s="1" t="s">
        <v>84</v>
      </c>
      <c r="T3571" s="1">
        <v>1.00653269E8</v>
      </c>
      <c r="W3571" s="1" t="s">
        <v>85</v>
      </c>
      <c r="X3571" s="1" t="s">
        <v>2910</v>
      </c>
    </row>
    <row r="3572">
      <c r="A3572" s="1" t="s">
        <v>10372</v>
      </c>
      <c r="B3572" s="1" t="s">
        <v>5103</v>
      </c>
      <c r="C3572" s="1" t="s">
        <v>10373</v>
      </c>
      <c r="D3572" s="1" t="s">
        <v>28</v>
      </c>
      <c r="E3572" s="1" t="s">
        <v>29</v>
      </c>
      <c r="F3572" s="5">
        <v>250000.0</v>
      </c>
      <c r="G3572" s="1" t="s">
        <v>7016</v>
      </c>
      <c r="H3572" s="1" t="s">
        <v>442</v>
      </c>
      <c r="I3572" s="1" t="s">
        <v>104</v>
      </c>
      <c r="K3572" s="1">
        <v>0.0</v>
      </c>
      <c r="L3572" s="1" t="s">
        <v>1534</v>
      </c>
      <c r="M3572" s="1" t="str">
        <f>VLOOKUP(L3572,'Copy of PMD Workday Constants -'!B3571:W4257,22,false)</f>
        <v>#N/A</v>
      </c>
      <c r="N3572" s="1" t="s">
        <v>32</v>
      </c>
      <c r="O3572" s="1" t="s">
        <v>33</v>
      </c>
      <c r="P3572" s="1" t="s">
        <v>82</v>
      </c>
      <c r="Q3572" s="1" t="s">
        <v>82</v>
      </c>
      <c r="R3572" s="1" t="s">
        <v>83</v>
      </c>
      <c r="T3572" s="1">
        <v>1.00618842E8</v>
      </c>
      <c r="W3572" s="1" t="s">
        <v>115</v>
      </c>
      <c r="X3572" s="1" t="s">
        <v>10374</v>
      </c>
    </row>
    <row r="3573">
      <c r="A3573" s="1" t="s">
        <v>10375</v>
      </c>
      <c r="B3573" s="1" t="s">
        <v>10376</v>
      </c>
      <c r="C3573" s="1" t="s">
        <v>10377</v>
      </c>
      <c r="D3573" s="1" t="s">
        <v>103</v>
      </c>
      <c r="E3573" s="1" t="s">
        <v>29</v>
      </c>
      <c r="F3573" s="5">
        <v>250000.0</v>
      </c>
      <c r="G3573" s="1" t="s">
        <v>7016</v>
      </c>
      <c r="H3573" s="1" t="s">
        <v>1245</v>
      </c>
      <c r="I3573" s="1" t="s">
        <v>43</v>
      </c>
      <c r="K3573" s="1">
        <v>0.0</v>
      </c>
      <c r="L3573" s="1" t="s">
        <v>968</v>
      </c>
      <c r="M3573" s="1" t="str">
        <f>VLOOKUP(L3573,'Copy of PMD Workday Constants -'!B3572:W4258,22,false)</f>
        <v>#N/A</v>
      </c>
      <c r="N3573" s="1" t="s">
        <v>32</v>
      </c>
      <c r="O3573" s="1" t="s">
        <v>33</v>
      </c>
      <c r="P3573" s="1" t="s">
        <v>210</v>
      </c>
      <c r="Q3573" s="1" t="s">
        <v>210</v>
      </c>
      <c r="R3573" s="1" t="s">
        <v>211</v>
      </c>
      <c r="T3573" s="1">
        <v>1.00647262E8</v>
      </c>
      <c r="W3573" s="1" t="s">
        <v>56</v>
      </c>
      <c r="X3573" s="1" t="s">
        <v>1558</v>
      </c>
    </row>
    <row r="3574">
      <c r="A3574" s="1" t="s">
        <v>10378</v>
      </c>
      <c r="B3574" s="1" t="s">
        <v>10379</v>
      </c>
      <c r="C3574" s="1" t="s">
        <v>10380</v>
      </c>
      <c r="D3574" s="1" t="s">
        <v>103</v>
      </c>
      <c r="E3574" s="1" t="s">
        <v>29</v>
      </c>
      <c r="F3574" s="5">
        <v>250000.0</v>
      </c>
      <c r="G3574" s="1" t="s">
        <v>7016</v>
      </c>
      <c r="H3574" s="1" t="s">
        <v>1866</v>
      </c>
      <c r="I3574" s="1" t="s">
        <v>80</v>
      </c>
      <c r="K3574" s="1">
        <v>0.0</v>
      </c>
      <c r="L3574" s="1" t="s">
        <v>8928</v>
      </c>
      <c r="M3574" s="1" t="str">
        <f>VLOOKUP(L3574,'Copy of PMD Workday Constants -'!B3573:W4259,22,false)</f>
        <v>#N/A</v>
      </c>
      <c r="N3574" s="1" t="s">
        <v>32</v>
      </c>
      <c r="O3574" s="1" t="s">
        <v>33</v>
      </c>
      <c r="P3574" s="1" t="s">
        <v>222</v>
      </c>
      <c r="Q3574" s="1" t="s">
        <v>222</v>
      </c>
      <c r="R3574" s="1" t="s">
        <v>223</v>
      </c>
      <c r="S3574" s="1" t="s">
        <v>482</v>
      </c>
      <c r="T3574" s="1">
        <v>1.01000708E8</v>
      </c>
      <c r="W3574" s="1" t="s">
        <v>1801</v>
      </c>
      <c r="X3574" s="1" t="s">
        <v>4251</v>
      </c>
    </row>
    <row r="3575">
      <c r="A3575" s="1" t="s">
        <v>10381</v>
      </c>
      <c r="B3575" s="1" t="s">
        <v>317</v>
      </c>
      <c r="C3575" s="1" t="s">
        <v>10382</v>
      </c>
      <c r="D3575" s="1" t="s">
        <v>28</v>
      </c>
      <c r="E3575" s="1" t="s">
        <v>29</v>
      </c>
      <c r="F3575" s="5">
        <v>250000.0</v>
      </c>
      <c r="G3575" s="1" t="s">
        <v>7016</v>
      </c>
      <c r="H3575" s="1" t="s">
        <v>42</v>
      </c>
      <c r="I3575" s="1" t="s">
        <v>43</v>
      </c>
      <c r="K3575" s="1">
        <v>0.0</v>
      </c>
      <c r="L3575" s="1" t="s">
        <v>866</v>
      </c>
      <c r="M3575" s="1" t="str">
        <f>VLOOKUP(L3575,'Copy of PMD Workday Constants -'!B3574:W4260,22,false)</f>
        <v>#N/A</v>
      </c>
      <c r="N3575" s="1" t="s">
        <v>32</v>
      </c>
      <c r="O3575" s="1" t="s">
        <v>33</v>
      </c>
      <c r="P3575" s="1" t="s">
        <v>82</v>
      </c>
      <c r="Q3575" s="1" t="s">
        <v>82</v>
      </c>
      <c r="R3575" s="1" t="s">
        <v>83</v>
      </c>
      <c r="S3575" s="1" t="s">
        <v>84</v>
      </c>
      <c r="T3575" s="1">
        <v>1.00941744E8</v>
      </c>
      <c r="W3575" s="1" t="s">
        <v>85</v>
      </c>
      <c r="X3575" s="1" t="s">
        <v>9105</v>
      </c>
    </row>
    <row r="3576">
      <c r="A3576" s="1" t="s">
        <v>10383</v>
      </c>
      <c r="B3576" s="1" t="s">
        <v>10384</v>
      </c>
      <c r="C3576" s="1" t="s">
        <v>10385</v>
      </c>
      <c r="D3576" s="1" t="s">
        <v>51</v>
      </c>
      <c r="E3576" s="1" t="s">
        <v>29</v>
      </c>
      <c r="F3576" s="5">
        <v>250000.0</v>
      </c>
      <c r="G3576" s="1" t="s">
        <v>7016</v>
      </c>
      <c r="H3576" s="4">
        <v>43199.0</v>
      </c>
      <c r="I3576" s="1" t="s">
        <v>80</v>
      </c>
      <c r="K3576" s="1">
        <v>0.0</v>
      </c>
      <c r="L3576" s="1" t="s">
        <v>9612</v>
      </c>
      <c r="M3576" s="1" t="str">
        <f>VLOOKUP(L3576,'Copy of PMD Workday Constants -'!B3575:W4261,22,false)</f>
        <v>#N/A</v>
      </c>
      <c r="N3576" s="1" t="s">
        <v>32</v>
      </c>
      <c r="O3576" s="1" t="s">
        <v>33</v>
      </c>
      <c r="P3576" s="1" t="s">
        <v>82</v>
      </c>
      <c r="Q3576" s="1" t="s">
        <v>82</v>
      </c>
      <c r="R3576" s="1" t="s">
        <v>83</v>
      </c>
      <c r="S3576" s="1" t="s">
        <v>180</v>
      </c>
      <c r="T3576" s="1">
        <v>1.0059101E8</v>
      </c>
      <c r="W3576" s="1" t="s">
        <v>85</v>
      </c>
      <c r="X3576" s="1" t="s">
        <v>8174</v>
      </c>
    </row>
    <row r="3577">
      <c r="A3577" s="1" t="s">
        <v>10386</v>
      </c>
      <c r="B3577" s="1" t="s">
        <v>10387</v>
      </c>
      <c r="C3577" s="1" t="s">
        <v>10388</v>
      </c>
      <c r="D3577" s="1" t="s">
        <v>28</v>
      </c>
      <c r="E3577" s="1" t="s">
        <v>29</v>
      </c>
      <c r="F3577" s="5">
        <v>250000.0</v>
      </c>
      <c r="G3577" s="1" t="s">
        <v>7016</v>
      </c>
      <c r="H3577" s="4">
        <v>44652.0</v>
      </c>
      <c r="I3577" s="1" t="s">
        <v>152</v>
      </c>
      <c r="K3577" s="1">
        <v>0.0</v>
      </c>
      <c r="L3577" s="1" t="s">
        <v>5392</v>
      </c>
      <c r="M3577" s="1" t="str">
        <f>VLOOKUP(L3577,'Copy of PMD Workday Constants -'!B3576:W4262,22,false)</f>
        <v>#N/A</v>
      </c>
      <c r="N3577" s="1" t="s">
        <v>32</v>
      </c>
      <c r="O3577" s="1" t="s">
        <v>33</v>
      </c>
      <c r="P3577" s="1" t="s">
        <v>173</v>
      </c>
      <c r="Q3577" s="1" t="s">
        <v>173</v>
      </c>
      <c r="R3577" s="1" t="s">
        <v>174</v>
      </c>
      <c r="T3577" s="1">
        <v>1.01138319E8</v>
      </c>
      <c r="W3577" s="1" t="s">
        <v>456</v>
      </c>
      <c r="X3577" s="1" t="s">
        <v>5392</v>
      </c>
    </row>
    <row r="3578">
      <c r="A3578" s="1" t="s">
        <v>10389</v>
      </c>
      <c r="B3578" s="1" t="s">
        <v>6377</v>
      </c>
      <c r="C3578" s="1" t="s">
        <v>10390</v>
      </c>
      <c r="D3578" s="1" t="s">
        <v>28</v>
      </c>
      <c r="E3578" s="1" t="s">
        <v>29</v>
      </c>
      <c r="F3578" s="5">
        <v>250000.0</v>
      </c>
      <c r="G3578" s="1" t="s">
        <v>7016</v>
      </c>
      <c r="H3578" s="4">
        <v>44564.0</v>
      </c>
      <c r="I3578" s="1" t="s">
        <v>217</v>
      </c>
      <c r="K3578" s="1">
        <v>0.0</v>
      </c>
      <c r="L3578" s="1" t="s">
        <v>1622</v>
      </c>
      <c r="M3578" s="1" t="str">
        <f>VLOOKUP(L3578,'Copy of PMD Workday Constants -'!B3577:W4263,22,false)</f>
        <v>#N/A</v>
      </c>
      <c r="N3578" s="1" t="s">
        <v>32</v>
      </c>
      <c r="O3578" s="1" t="s">
        <v>33</v>
      </c>
      <c r="P3578" s="1" t="s">
        <v>173</v>
      </c>
      <c r="Q3578" s="1" t="s">
        <v>173</v>
      </c>
      <c r="R3578" s="1" t="s">
        <v>174</v>
      </c>
      <c r="T3578" s="1">
        <v>1.00643454E8</v>
      </c>
      <c r="W3578" s="1" t="s">
        <v>456</v>
      </c>
      <c r="X3578" s="1" t="s">
        <v>1622</v>
      </c>
    </row>
    <row r="3579">
      <c r="A3579" s="1" t="s">
        <v>10391</v>
      </c>
      <c r="B3579" s="1" t="s">
        <v>6417</v>
      </c>
      <c r="C3579" s="1" t="s">
        <v>10392</v>
      </c>
      <c r="D3579" s="1" t="s">
        <v>28</v>
      </c>
      <c r="E3579" s="1" t="s">
        <v>29</v>
      </c>
      <c r="F3579" s="5">
        <v>250000.0</v>
      </c>
      <c r="G3579" s="1" t="s">
        <v>7016</v>
      </c>
      <c r="H3579" s="4">
        <v>44471.0</v>
      </c>
      <c r="I3579" s="1" t="s">
        <v>132</v>
      </c>
      <c r="K3579" s="1">
        <v>0.0</v>
      </c>
      <c r="L3579" s="1" t="s">
        <v>1036</v>
      </c>
      <c r="M3579" s="1" t="str">
        <f>VLOOKUP(L3579,'Copy of PMD Workday Constants -'!B3578:W4264,22,false)</f>
        <v>#N/A</v>
      </c>
      <c r="N3579" s="1" t="s">
        <v>32</v>
      </c>
      <c r="O3579" s="1" t="s">
        <v>33</v>
      </c>
      <c r="P3579" s="1" t="s">
        <v>82</v>
      </c>
      <c r="Q3579" s="1" t="s">
        <v>82</v>
      </c>
      <c r="R3579" s="1" t="s">
        <v>83</v>
      </c>
      <c r="S3579" s="1" t="s">
        <v>180</v>
      </c>
      <c r="T3579" s="1">
        <v>1.0090037E8</v>
      </c>
      <c r="W3579" s="1" t="s">
        <v>85</v>
      </c>
      <c r="X3579" s="1" t="s">
        <v>10393</v>
      </c>
    </row>
    <row r="3580">
      <c r="A3580" s="1" t="s">
        <v>10394</v>
      </c>
      <c r="B3580" s="1" t="s">
        <v>4817</v>
      </c>
      <c r="C3580" s="1" t="s">
        <v>10395</v>
      </c>
      <c r="D3580" s="1" t="s">
        <v>28</v>
      </c>
      <c r="E3580" s="1" t="s">
        <v>29</v>
      </c>
      <c r="F3580" s="5">
        <v>250000.0</v>
      </c>
      <c r="G3580" s="1" t="s">
        <v>7016</v>
      </c>
      <c r="H3580" s="1" t="s">
        <v>537</v>
      </c>
      <c r="I3580" s="1" t="s">
        <v>43</v>
      </c>
      <c r="K3580" s="1">
        <v>0.0</v>
      </c>
      <c r="L3580" s="1" t="s">
        <v>866</v>
      </c>
      <c r="M3580" s="1" t="str">
        <f>VLOOKUP(L3580,'Copy of PMD Workday Constants -'!B3579:W4265,22,false)</f>
        <v>#N/A</v>
      </c>
      <c r="N3580" s="1" t="s">
        <v>32</v>
      </c>
      <c r="O3580" s="1" t="s">
        <v>33</v>
      </c>
      <c r="P3580" s="1" t="s">
        <v>82</v>
      </c>
      <c r="Q3580" s="1" t="s">
        <v>82</v>
      </c>
      <c r="R3580" s="1" t="s">
        <v>83</v>
      </c>
      <c r="S3580" s="1" t="s">
        <v>84</v>
      </c>
      <c r="T3580" s="1">
        <v>1.00941744E8</v>
      </c>
      <c r="W3580" s="1" t="s">
        <v>85</v>
      </c>
      <c r="X3580" s="1" t="s">
        <v>2556</v>
      </c>
    </row>
    <row r="3581">
      <c r="A3581" s="1" t="s">
        <v>10396</v>
      </c>
      <c r="B3581" s="1" t="s">
        <v>10397</v>
      </c>
      <c r="C3581" s="1" t="s">
        <v>10388</v>
      </c>
      <c r="D3581" s="1" t="s">
        <v>28</v>
      </c>
      <c r="E3581" s="1" t="s">
        <v>29</v>
      </c>
      <c r="F3581" s="5">
        <v>250000.0</v>
      </c>
      <c r="G3581" s="1" t="s">
        <v>7016</v>
      </c>
      <c r="H3581" s="4">
        <v>44652.0</v>
      </c>
      <c r="I3581" s="1" t="s">
        <v>152</v>
      </c>
      <c r="K3581" s="1">
        <v>0.0</v>
      </c>
      <c r="L3581" s="1" t="s">
        <v>5392</v>
      </c>
      <c r="M3581" s="1" t="str">
        <f>VLOOKUP(L3581,'Copy of PMD Workday Constants -'!B3580:W4266,22,false)</f>
        <v>#N/A</v>
      </c>
      <c r="N3581" s="1" t="s">
        <v>32</v>
      </c>
      <c r="O3581" s="1" t="s">
        <v>33</v>
      </c>
      <c r="P3581" s="1" t="s">
        <v>173</v>
      </c>
      <c r="Q3581" s="1" t="s">
        <v>173</v>
      </c>
      <c r="R3581" s="1" t="s">
        <v>174</v>
      </c>
      <c r="T3581" s="1">
        <v>1.01138319E8</v>
      </c>
      <c r="W3581" s="1" t="s">
        <v>140</v>
      </c>
      <c r="X3581" s="1" t="s">
        <v>5392</v>
      </c>
    </row>
    <row r="3582">
      <c r="A3582" s="1" t="s">
        <v>10398</v>
      </c>
      <c r="B3582" s="1" t="s">
        <v>40</v>
      </c>
      <c r="C3582" s="1" t="s">
        <v>10399</v>
      </c>
      <c r="D3582" s="1" t="s">
        <v>51</v>
      </c>
      <c r="E3582" s="1" t="s">
        <v>29</v>
      </c>
      <c r="F3582" s="5">
        <v>250000.0</v>
      </c>
      <c r="G3582" s="1" t="s">
        <v>7016</v>
      </c>
      <c r="H3582" s="4">
        <v>44718.0</v>
      </c>
      <c r="I3582" s="1" t="s">
        <v>414</v>
      </c>
      <c r="K3582" s="1">
        <v>0.0</v>
      </c>
      <c r="L3582" s="1" t="s">
        <v>1075</v>
      </c>
      <c r="M3582" s="1" t="str">
        <f>VLOOKUP(L3582,'Copy of PMD Workday Constants -'!B3581:W4267,22,false)</f>
        <v>#N/A</v>
      </c>
      <c r="N3582" s="1" t="s">
        <v>32</v>
      </c>
      <c r="O3582" s="1" t="s">
        <v>33</v>
      </c>
      <c r="P3582" s="1" t="s">
        <v>34</v>
      </c>
      <c r="Q3582" s="1" t="s">
        <v>34</v>
      </c>
      <c r="R3582" s="1" t="s">
        <v>35</v>
      </c>
      <c r="T3582" s="1">
        <v>1.00601386E8</v>
      </c>
      <c r="W3582" s="1" t="s">
        <v>47</v>
      </c>
      <c r="X3582" s="1" t="s">
        <v>1075</v>
      </c>
    </row>
    <row r="3583">
      <c r="A3583" s="1" t="s">
        <v>10400</v>
      </c>
      <c r="B3583" s="1" t="s">
        <v>70</v>
      </c>
      <c r="C3583" s="1" t="s">
        <v>10401</v>
      </c>
      <c r="D3583" s="1" t="s">
        <v>51</v>
      </c>
      <c r="E3583" s="1" t="s">
        <v>29</v>
      </c>
      <c r="F3583" s="5">
        <v>250000.0</v>
      </c>
      <c r="G3583" s="1" t="s">
        <v>7016</v>
      </c>
      <c r="H3583" s="4">
        <v>44718.0</v>
      </c>
      <c r="I3583" s="4">
        <v>44780.0</v>
      </c>
      <c r="K3583" s="1">
        <v>0.0</v>
      </c>
      <c r="L3583" s="1" t="s">
        <v>1823</v>
      </c>
      <c r="M3583" s="1" t="str">
        <f>VLOOKUP(L3583,'Copy of PMD Workday Constants -'!B3582:W4268,22,false)</f>
        <v>#N/A</v>
      </c>
      <c r="N3583" s="1" t="s">
        <v>32</v>
      </c>
      <c r="O3583" s="1" t="s">
        <v>33</v>
      </c>
      <c r="P3583" s="1" t="s">
        <v>222</v>
      </c>
      <c r="Q3583" s="1" t="s">
        <v>222</v>
      </c>
      <c r="R3583" s="1" t="s">
        <v>223</v>
      </c>
      <c r="S3583" s="1" t="s">
        <v>601</v>
      </c>
      <c r="T3583" s="1">
        <v>1.0064195E8</v>
      </c>
      <c r="W3583" s="1" t="s">
        <v>74</v>
      </c>
      <c r="X3583" s="1" t="s">
        <v>2541</v>
      </c>
    </row>
    <row r="3584">
      <c r="A3584" s="1" t="s">
        <v>10402</v>
      </c>
      <c r="B3584" s="1" t="s">
        <v>10403</v>
      </c>
      <c r="C3584" s="1" t="s">
        <v>10404</v>
      </c>
      <c r="D3584" s="1" t="s">
        <v>51</v>
      </c>
      <c r="E3584" s="1" t="s">
        <v>29</v>
      </c>
      <c r="F3584" s="5">
        <v>250000.0</v>
      </c>
      <c r="G3584" s="1" t="s">
        <v>7016</v>
      </c>
      <c r="H3584" s="4">
        <v>43199.0</v>
      </c>
      <c r="I3584" s="1" t="s">
        <v>80</v>
      </c>
      <c r="K3584" s="1">
        <v>0.0</v>
      </c>
      <c r="L3584" s="1" t="s">
        <v>9612</v>
      </c>
      <c r="M3584" s="1" t="str">
        <f>VLOOKUP(L3584,'Copy of PMD Workday Constants -'!B3583:W4269,22,false)</f>
        <v>#N/A</v>
      </c>
      <c r="N3584" s="1" t="s">
        <v>32</v>
      </c>
      <c r="O3584" s="1" t="s">
        <v>33</v>
      </c>
      <c r="P3584" s="1" t="s">
        <v>82</v>
      </c>
      <c r="Q3584" s="1" t="s">
        <v>82</v>
      </c>
      <c r="R3584" s="1" t="s">
        <v>83</v>
      </c>
      <c r="S3584" s="1" t="s">
        <v>180</v>
      </c>
      <c r="T3584" s="1">
        <v>1.0059101E8</v>
      </c>
      <c r="W3584" s="1" t="s">
        <v>85</v>
      </c>
      <c r="X3584" s="1" t="s">
        <v>8174</v>
      </c>
    </row>
    <row r="3585">
      <c r="A3585" s="1" t="s">
        <v>10405</v>
      </c>
      <c r="B3585" s="1" t="s">
        <v>5884</v>
      </c>
      <c r="C3585" s="1" t="s">
        <v>10406</v>
      </c>
      <c r="D3585" s="1" t="s">
        <v>28</v>
      </c>
      <c r="E3585" s="1" t="s">
        <v>29</v>
      </c>
      <c r="F3585" s="5">
        <v>250000.0</v>
      </c>
      <c r="G3585" s="1" t="s">
        <v>7016</v>
      </c>
      <c r="H3585" s="1" t="s">
        <v>1575</v>
      </c>
      <c r="I3585" s="1" t="s">
        <v>104</v>
      </c>
      <c r="K3585" s="1">
        <v>0.0</v>
      </c>
      <c r="L3585" s="1" t="s">
        <v>370</v>
      </c>
      <c r="M3585" s="1" t="str">
        <f>VLOOKUP(L3585,'Copy of PMD Workday Constants -'!B3584:W4270,22,false)</f>
        <v>#N/A</v>
      </c>
      <c r="N3585" s="1" t="s">
        <v>32</v>
      </c>
      <c r="O3585" s="1" t="s">
        <v>33</v>
      </c>
      <c r="P3585" s="1" t="s">
        <v>210</v>
      </c>
      <c r="Q3585" s="1" t="s">
        <v>210</v>
      </c>
      <c r="R3585" s="1" t="s">
        <v>211</v>
      </c>
      <c r="S3585" s="1" t="s">
        <v>297</v>
      </c>
      <c r="T3585" s="1">
        <v>1.00658132E8</v>
      </c>
      <c r="W3585" s="1" t="s">
        <v>258</v>
      </c>
      <c r="X3585" s="1" t="s">
        <v>4651</v>
      </c>
    </row>
    <row r="3586">
      <c r="A3586" s="1" t="s">
        <v>10407</v>
      </c>
      <c r="B3586" s="1" t="s">
        <v>324</v>
      </c>
      <c r="C3586" s="1" t="s">
        <v>10408</v>
      </c>
      <c r="D3586" s="1" t="s">
        <v>28</v>
      </c>
      <c r="E3586" s="1" t="s">
        <v>29</v>
      </c>
      <c r="F3586" s="5">
        <v>250000.0</v>
      </c>
      <c r="G3586" s="1" t="s">
        <v>7016</v>
      </c>
      <c r="H3586" s="4">
        <v>44713.0</v>
      </c>
      <c r="I3586" s="1" t="s">
        <v>1369</v>
      </c>
      <c r="K3586" s="1">
        <v>0.0</v>
      </c>
      <c r="L3586" s="1" t="s">
        <v>5335</v>
      </c>
      <c r="M3586" s="1" t="str">
        <f>VLOOKUP(L3586,'Copy of PMD Workday Constants -'!B3585:W4271,22,false)</f>
        <v>#N/A</v>
      </c>
      <c r="N3586" s="1" t="s">
        <v>32</v>
      </c>
      <c r="O3586" s="1" t="s">
        <v>33</v>
      </c>
      <c r="P3586" s="1" t="s">
        <v>64</v>
      </c>
      <c r="Q3586" s="1" t="s">
        <v>64</v>
      </c>
      <c r="R3586" s="1" t="s">
        <v>65</v>
      </c>
      <c r="S3586" s="1" t="s">
        <v>1313</v>
      </c>
      <c r="T3586" s="1">
        <v>1.00649463E8</v>
      </c>
      <c r="W3586" s="1" t="s">
        <v>56</v>
      </c>
      <c r="X3586" s="1" t="s">
        <v>2487</v>
      </c>
    </row>
    <row r="3587">
      <c r="A3587" s="1" t="s">
        <v>10409</v>
      </c>
      <c r="B3587" s="1" t="s">
        <v>1319</v>
      </c>
      <c r="C3587" s="1" t="s">
        <v>10410</v>
      </c>
      <c r="D3587" s="1" t="s">
        <v>51</v>
      </c>
      <c r="E3587" s="1" t="s">
        <v>29</v>
      </c>
      <c r="F3587" s="5">
        <v>250000.0</v>
      </c>
      <c r="G3587" s="1" t="s">
        <v>7016</v>
      </c>
      <c r="H3587" s="1" t="s">
        <v>1672</v>
      </c>
      <c r="I3587" s="1" t="s">
        <v>104</v>
      </c>
      <c r="K3587" s="1">
        <v>0.0</v>
      </c>
      <c r="L3587" s="1" t="s">
        <v>1916</v>
      </c>
      <c r="M3587" s="1" t="str">
        <f>VLOOKUP(L3587,'Copy of PMD Workday Constants -'!B3586:W4272,22,false)</f>
        <v>#N/A</v>
      </c>
      <c r="N3587" s="1" t="s">
        <v>32</v>
      </c>
      <c r="O3587" s="1" t="s">
        <v>33</v>
      </c>
      <c r="P3587" s="1" t="s">
        <v>222</v>
      </c>
      <c r="Q3587" s="1" t="s">
        <v>222</v>
      </c>
      <c r="R3587" s="1" t="s">
        <v>223</v>
      </c>
      <c r="S3587" s="1" t="s">
        <v>601</v>
      </c>
      <c r="T3587" s="1">
        <v>1.00955805E8</v>
      </c>
      <c r="W3587" s="1" t="s">
        <v>436</v>
      </c>
      <c r="X3587" s="1" t="s">
        <v>1916</v>
      </c>
    </row>
    <row r="3588">
      <c r="A3588" s="1" t="s">
        <v>10411</v>
      </c>
      <c r="B3588" s="1" t="s">
        <v>610</v>
      </c>
      <c r="C3588" s="1" t="s">
        <v>10412</v>
      </c>
      <c r="D3588" s="1" t="s">
        <v>28</v>
      </c>
      <c r="E3588" s="1" t="s">
        <v>29</v>
      </c>
      <c r="F3588" s="5">
        <v>250000.0</v>
      </c>
      <c r="G3588" s="1" t="s">
        <v>7016</v>
      </c>
      <c r="H3588" s="1" t="s">
        <v>2348</v>
      </c>
      <c r="I3588" s="1" t="s">
        <v>617</v>
      </c>
      <c r="K3588" s="1">
        <v>0.0</v>
      </c>
      <c r="L3588" s="1" t="s">
        <v>2174</v>
      </c>
      <c r="M3588" s="1" t="str">
        <f>VLOOKUP(L3588,'Copy of PMD Workday Constants -'!B3587:W4273,22,false)</f>
        <v>#N/A</v>
      </c>
      <c r="N3588" s="1" t="s">
        <v>32</v>
      </c>
      <c r="O3588" s="1" t="s">
        <v>33</v>
      </c>
      <c r="P3588" s="1" t="s">
        <v>112</v>
      </c>
      <c r="Q3588" s="1" t="s">
        <v>112</v>
      </c>
      <c r="R3588" s="1" t="s">
        <v>113</v>
      </c>
      <c r="S3588" s="1" t="s">
        <v>134</v>
      </c>
      <c r="T3588" s="1">
        <v>1.00631322E8</v>
      </c>
      <c r="W3588" s="1" t="s">
        <v>947</v>
      </c>
      <c r="X3588" s="1" t="s">
        <v>6521</v>
      </c>
    </row>
    <row r="3589">
      <c r="A3589" s="1" t="s">
        <v>10413</v>
      </c>
      <c r="B3589" s="1" t="s">
        <v>859</v>
      </c>
      <c r="C3589" s="1" t="s">
        <v>10414</v>
      </c>
      <c r="D3589" s="1" t="s">
        <v>51</v>
      </c>
      <c r="E3589" s="1" t="s">
        <v>29</v>
      </c>
      <c r="F3589" s="5">
        <v>250000.0</v>
      </c>
      <c r="G3589" s="1" t="s">
        <v>7016</v>
      </c>
      <c r="H3589" s="4">
        <v>43658.0</v>
      </c>
      <c r="I3589" s="1" t="s">
        <v>152</v>
      </c>
      <c r="K3589" s="1">
        <v>0.0</v>
      </c>
      <c r="L3589" s="1" t="s">
        <v>2435</v>
      </c>
      <c r="M3589" s="1" t="str">
        <f>VLOOKUP(L3589,'Copy of PMD Workday Constants -'!B3588:W4274,22,false)</f>
        <v>#N/A</v>
      </c>
      <c r="N3589" s="1" t="s">
        <v>32</v>
      </c>
      <c r="O3589" s="1" t="s">
        <v>33</v>
      </c>
      <c r="P3589" s="1" t="s">
        <v>173</v>
      </c>
      <c r="Q3589" s="1" t="s">
        <v>173</v>
      </c>
      <c r="R3589" s="1" t="s">
        <v>174</v>
      </c>
      <c r="S3589" s="1" t="s">
        <v>646</v>
      </c>
      <c r="T3589" s="1">
        <v>1.00634919E8</v>
      </c>
      <c r="W3589" s="1" t="s">
        <v>147</v>
      </c>
      <c r="X3589" s="1" t="s">
        <v>4823</v>
      </c>
    </row>
    <row r="3590">
      <c r="A3590" s="1" t="s">
        <v>10415</v>
      </c>
      <c r="B3590" s="1" t="s">
        <v>10416</v>
      </c>
      <c r="C3590" s="1" t="s">
        <v>10388</v>
      </c>
      <c r="D3590" s="1" t="s">
        <v>28</v>
      </c>
      <c r="E3590" s="1" t="s">
        <v>29</v>
      </c>
      <c r="F3590" s="5">
        <v>250000.0</v>
      </c>
      <c r="G3590" s="1" t="s">
        <v>7016</v>
      </c>
      <c r="H3590" s="4">
        <v>44652.0</v>
      </c>
      <c r="I3590" s="1" t="s">
        <v>152</v>
      </c>
      <c r="K3590" s="1">
        <v>0.0</v>
      </c>
      <c r="L3590" s="1" t="s">
        <v>5392</v>
      </c>
      <c r="M3590" s="1" t="str">
        <f>VLOOKUP(L3590,'Copy of PMD Workday Constants -'!B3589:W4275,22,false)</f>
        <v>#N/A</v>
      </c>
      <c r="N3590" s="1" t="s">
        <v>32</v>
      </c>
      <c r="O3590" s="1" t="s">
        <v>33</v>
      </c>
      <c r="P3590" s="1" t="s">
        <v>173</v>
      </c>
      <c r="Q3590" s="1" t="s">
        <v>173</v>
      </c>
      <c r="R3590" s="1" t="s">
        <v>174</v>
      </c>
      <c r="T3590" s="1">
        <v>1.01138319E8</v>
      </c>
      <c r="W3590" s="1" t="s">
        <v>85</v>
      </c>
      <c r="X3590" s="1" t="s">
        <v>5392</v>
      </c>
    </row>
    <row r="3591">
      <c r="A3591" s="1" t="s">
        <v>10417</v>
      </c>
      <c r="B3591" s="1" t="s">
        <v>10418</v>
      </c>
      <c r="C3591" s="1" t="s">
        <v>10388</v>
      </c>
      <c r="D3591" s="1" t="s">
        <v>28</v>
      </c>
      <c r="E3591" s="1" t="s">
        <v>29</v>
      </c>
      <c r="F3591" s="5">
        <v>250000.0</v>
      </c>
      <c r="G3591" s="1" t="s">
        <v>7016</v>
      </c>
      <c r="H3591" s="4">
        <v>44652.0</v>
      </c>
      <c r="I3591" s="1" t="s">
        <v>152</v>
      </c>
      <c r="K3591" s="1">
        <v>0.0</v>
      </c>
      <c r="L3591" s="1" t="s">
        <v>5392</v>
      </c>
      <c r="M3591" s="1" t="str">
        <f>VLOOKUP(L3591,'Copy of PMD Workday Constants -'!B3590:W4276,22,false)</f>
        <v>#N/A</v>
      </c>
      <c r="N3591" s="1" t="s">
        <v>32</v>
      </c>
      <c r="O3591" s="1" t="s">
        <v>33</v>
      </c>
      <c r="P3591" s="1" t="s">
        <v>173</v>
      </c>
      <c r="Q3591" s="1" t="s">
        <v>173</v>
      </c>
      <c r="R3591" s="1" t="s">
        <v>174</v>
      </c>
      <c r="T3591" s="1">
        <v>1.01138319E8</v>
      </c>
      <c r="W3591" s="1" t="s">
        <v>85</v>
      </c>
      <c r="X3591" s="1" t="s">
        <v>5392</v>
      </c>
    </row>
    <row r="3592">
      <c r="A3592" s="1" t="s">
        <v>10419</v>
      </c>
      <c r="B3592" s="1" t="s">
        <v>3758</v>
      </c>
      <c r="C3592" s="1" t="s">
        <v>10420</v>
      </c>
      <c r="D3592" s="1" t="s">
        <v>28</v>
      </c>
      <c r="E3592" s="1" t="s">
        <v>29</v>
      </c>
      <c r="F3592" s="5">
        <v>250000.0</v>
      </c>
      <c r="G3592" s="1" t="s">
        <v>7016</v>
      </c>
      <c r="H3592" s="4">
        <v>44623.0</v>
      </c>
      <c r="I3592" s="1" t="s">
        <v>510</v>
      </c>
      <c r="K3592" s="1">
        <v>0.0</v>
      </c>
      <c r="L3592" s="1" t="s">
        <v>63</v>
      </c>
      <c r="M3592" s="1" t="str">
        <f>VLOOKUP(L3592,'Copy of PMD Workday Constants -'!B3591:W4277,22,false)</f>
        <v>#N/A</v>
      </c>
      <c r="N3592" s="1" t="s">
        <v>32</v>
      </c>
      <c r="O3592" s="1" t="s">
        <v>33</v>
      </c>
      <c r="P3592" s="1" t="s">
        <v>64</v>
      </c>
      <c r="Q3592" s="1" t="s">
        <v>64</v>
      </c>
      <c r="R3592" s="1" t="s">
        <v>65</v>
      </c>
      <c r="S3592" s="1" t="s">
        <v>126</v>
      </c>
      <c r="T3592" s="1">
        <v>1.01059432E8</v>
      </c>
      <c r="W3592" s="1" t="s">
        <v>308</v>
      </c>
      <c r="X3592" s="1" t="s">
        <v>2197</v>
      </c>
    </row>
    <row r="3593">
      <c r="A3593" s="1" t="s">
        <v>10421</v>
      </c>
      <c r="B3593" s="1" t="s">
        <v>931</v>
      </c>
      <c r="C3593" s="1" t="s">
        <v>10422</v>
      </c>
      <c r="D3593" s="1" t="s">
        <v>28</v>
      </c>
      <c r="E3593" s="1" t="s">
        <v>29</v>
      </c>
      <c r="F3593" s="5">
        <v>250000.0</v>
      </c>
      <c r="G3593" s="1" t="s">
        <v>7016</v>
      </c>
      <c r="H3593" s="1" t="s">
        <v>3034</v>
      </c>
      <c r="I3593" s="1" t="s">
        <v>96</v>
      </c>
      <c r="K3593" s="1">
        <v>0.0</v>
      </c>
      <c r="L3593" s="1" t="s">
        <v>319</v>
      </c>
      <c r="M3593" s="1" t="str">
        <f>VLOOKUP(L3593,'Copy of PMD Workday Constants -'!B3592:W4278,22,false)</f>
        <v>#N/A</v>
      </c>
      <c r="N3593" s="1" t="s">
        <v>32</v>
      </c>
      <c r="O3593" s="1" t="s">
        <v>33</v>
      </c>
      <c r="P3593" s="1" t="s">
        <v>82</v>
      </c>
      <c r="Q3593" s="1" t="s">
        <v>82</v>
      </c>
      <c r="R3593" s="1" t="s">
        <v>83</v>
      </c>
      <c r="S3593" s="1" t="s">
        <v>84</v>
      </c>
      <c r="T3593" s="1">
        <v>1.00654705E8</v>
      </c>
      <c r="W3593" s="1" t="s">
        <v>85</v>
      </c>
      <c r="X3593" s="1" t="s">
        <v>10423</v>
      </c>
    </row>
    <row r="3594">
      <c r="A3594" s="1" t="s">
        <v>10424</v>
      </c>
      <c r="B3594" s="1" t="s">
        <v>1667</v>
      </c>
      <c r="C3594" s="1" t="s">
        <v>10425</v>
      </c>
      <c r="D3594" s="1" t="s">
        <v>103</v>
      </c>
      <c r="E3594" s="1" t="s">
        <v>29</v>
      </c>
      <c r="F3594" s="5">
        <v>250000.0</v>
      </c>
      <c r="G3594" s="1" t="s">
        <v>7016</v>
      </c>
      <c r="H3594" s="1" t="s">
        <v>816</v>
      </c>
      <c r="I3594" s="1" t="s">
        <v>302</v>
      </c>
      <c r="K3594" s="1">
        <v>0.0</v>
      </c>
      <c r="L3594" s="1" t="s">
        <v>2275</v>
      </c>
      <c r="M3594" s="1" t="str">
        <f>VLOOKUP(L3594,'Copy of PMD Workday Constants -'!B3593:W4279,22,false)</f>
        <v>#N/A</v>
      </c>
      <c r="N3594" s="1" t="s">
        <v>32</v>
      </c>
      <c r="O3594" s="1" t="s">
        <v>33</v>
      </c>
      <c r="P3594" s="1" t="s">
        <v>173</v>
      </c>
      <c r="Q3594" s="1" t="s">
        <v>173</v>
      </c>
      <c r="R3594" s="1" t="s">
        <v>174</v>
      </c>
      <c r="S3594" s="1" t="s">
        <v>10426</v>
      </c>
      <c r="T3594" s="1">
        <v>1.00650783E8</v>
      </c>
      <c r="W3594" s="1" t="s">
        <v>85</v>
      </c>
      <c r="X3594" s="1" t="s">
        <v>5970</v>
      </c>
    </row>
    <row r="3595">
      <c r="A3595" s="1" t="s">
        <v>10427</v>
      </c>
      <c r="B3595" s="1" t="s">
        <v>289</v>
      </c>
      <c r="C3595" s="1" t="s">
        <v>10428</v>
      </c>
      <c r="D3595" s="1" t="s">
        <v>28</v>
      </c>
      <c r="E3595" s="1" t="s">
        <v>29</v>
      </c>
      <c r="F3595" s="5">
        <v>250000.0</v>
      </c>
      <c r="G3595" s="1" t="s">
        <v>7016</v>
      </c>
      <c r="H3595" s="1" t="s">
        <v>1842</v>
      </c>
      <c r="I3595" s="1" t="s">
        <v>80</v>
      </c>
      <c r="K3595" s="1">
        <v>0.0</v>
      </c>
      <c r="L3595" s="1" t="s">
        <v>3784</v>
      </c>
      <c r="M3595" s="1" t="str">
        <f>VLOOKUP(L3595,'Copy of PMD Workday Constants -'!B3594:W4280,22,false)</f>
        <v>#N/A</v>
      </c>
      <c r="N3595" s="1" t="s">
        <v>32</v>
      </c>
      <c r="O3595" s="1" t="s">
        <v>33</v>
      </c>
      <c r="P3595" s="1" t="s">
        <v>210</v>
      </c>
      <c r="Q3595" s="1" t="s">
        <v>210</v>
      </c>
      <c r="R3595" s="1" t="s">
        <v>211</v>
      </c>
      <c r="T3595" s="1">
        <v>1.00637651E8</v>
      </c>
      <c r="W3595" s="1" t="s">
        <v>74</v>
      </c>
      <c r="X3595" s="1" t="s">
        <v>852</v>
      </c>
    </row>
    <row r="3596">
      <c r="A3596" s="1" t="s">
        <v>10429</v>
      </c>
      <c r="B3596" s="1" t="s">
        <v>913</v>
      </c>
      <c r="C3596" s="1" t="s">
        <v>10430</v>
      </c>
      <c r="D3596" s="1" t="s">
        <v>28</v>
      </c>
      <c r="E3596" s="1" t="s">
        <v>29</v>
      </c>
      <c r="F3596" s="5">
        <v>250000.0</v>
      </c>
      <c r="G3596" s="1" t="s">
        <v>7016</v>
      </c>
      <c r="H3596" s="1" t="s">
        <v>2142</v>
      </c>
      <c r="I3596" s="1" t="s">
        <v>43</v>
      </c>
      <c r="K3596" s="1">
        <v>0.0</v>
      </c>
      <c r="L3596" s="1" t="s">
        <v>2556</v>
      </c>
      <c r="M3596" s="1" t="str">
        <f>VLOOKUP(L3596,'Copy of PMD Workday Constants -'!B3595:W4281,22,false)</f>
        <v>#N/A</v>
      </c>
      <c r="N3596" s="1" t="s">
        <v>32</v>
      </c>
      <c r="O3596" s="1" t="s">
        <v>33</v>
      </c>
      <c r="P3596" s="1" t="s">
        <v>82</v>
      </c>
      <c r="Q3596" s="1" t="s">
        <v>82</v>
      </c>
      <c r="R3596" s="1" t="s">
        <v>83</v>
      </c>
      <c r="S3596" s="1" t="s">
        <v>84</v>
      </c>
      <c r="T3596" s="1">
        <v>1.01082364E8</v>
      </c>
      <c r="W3596" s="1" t="s">
        <v>85</v>
      </c>
      <c r="X3596" s="1" t="s">
        <v>9105</v>
      </c>
    </row>
    <row r="3597">
      <c r="A3597" s="1" t="s">
        <v>10431</v>
      </c>
      <c r="B3597" s="1" t="s">
        <v>5634</v>
      </c>
      <c r="C3597" s="1" t="s">
        <v>10432</v>
      </c>
      <c r="D3597" s="1" t="s">
        <v>28</v>
      </c>
      <c r="E3597" s="1" t="s">
        <v>29</v>
      </c>
      <c r="F3597" s="5">
        <v>250000.0</v>
      </c>
      <c r="G3597" s="1" t="s">
        <v>7016</v>
      </c>
      <c r="H3597" s="4">
        <v>44478.0</v>
      </c>
      <c r="I3597" s="1" t="s">
        <v>152</v>
      </c>
      <c r="K3597" s="1">
        <v>0.0</v>
      </c>
      <c r="L3597" s="1" t="s">
        <v>4699</v>
      </c>
      <c r="M3597" s="1" t="str">
        <f>VLOOKUP(L3597,'Copy of PMD Workday Constants -'!B3596:W4282,22,false)</f>
        <v>#N/A</v>
      </c>
      <c r="N3597" s="1" t="s">
        <v>32</v>
      </c>
      <c r="O3597" s="1" t="s">
        <v>33</v>
      </c>
      <c r="P3597" s="1" t="s">
        <v>222</v>
      </c>
      <c r="Q3597" s="1" t="s">
        <v>222</v>
      </c>
      <c r="R3597" s="1" t="s">
        <v>223</v>
      </c>
      <c r="S3597" s="1" t="s">
        <v>601</v>
      </c>
      <c r="T3597" s="1">
        <v>1.00986592E8</v>
      </c>
      <c r="W3597" s="1" t="s">
        <v>436</v>
      </c>
      <c r="X3597" s="1" t="s">
        <v>5748</v>
      </c>
    </row>
    <row r="3598">
      <c r="A3598" s="1" t="s">
        <v>10433</v>
      </c>
      <c r="B3598" s="1" t="s">
        <v>931</v>
      </c>
      <c r="C3598" s="1" t="s">
        <v>10430</v>
      </c>
      <c r="D3598" s="1" t="s">
        <v>28</v>
      </c>
      <c r="E3598" s="1" t="s">
        <v>29</v>
      </c>
      <c r="F3598" s="5">
        <v>250000.0</v>
      </c>
      <c r="G3598" s="1" t="s">
        <v>7016</v>
      </c>
      <c r="H3598" s="1" t="s">
        <v>2142</v>
      </c>
      <c r="I3598" s="1" t="s">
        <v>43</v>
      </c>
      <c r="K3598" s="1">
        <v>0.0</v>
      </c>
      <c r="L3598" s="1" t="s">
        <v>2556</v>
      </c>
      <c r="M3598" s="1" t="str">
        <f>VLOOKUP(L3598,'Copy of PMD Workday Constants -'!B3597:W4283,22,false)</f>
        <v>#N/A</v>
      </c>
      <c r="N3598" s="1" t="s">
        <v>32</v>
      </c>
      <c r="O3598" s="1" t="s">
        <v>33</v>
      </c>
      <c r="P3598" s="1" t="s">
        <v>82</v>
      </c>
      <c r="Q3598" s="1" t="s">
        <v>82</v>
      </c>
      <c r="R3598" s="1" t="s">
        <v>83</v>
      </c>
      <c r="S3598" s="1" t="s">
        <v>84</v>
      </c>
      <c r="T3598" s="1">
        <v>1.01082364E8</v>
      </c>
      <c r="W3598" s="1" t="s">
        <v>85</v>
      </c>
      <c r="X3598" s="1" t="s">
        <v>9105</v>
      </c>
    </row>
    <row r="3599">
      <c r="A3599" s="1" t="s">
        <v>10434</v>
      </c>
      <c r="B3599" s="1" t="s">
        <v>1364</v>
      </c>
      <c r="C3599" s="1" t="s">
        <v>10435</v>
      </c>
      <c r="D3599" s="1" t="s">
        <v>28</v>
      </c>
      <c r="E3599" s="1" t="s">
        <v>29</v>
      </c>
      <c r="F3599" s="5">
        <v>250000.0</v>
      </c>
      <c r="G3599" s="1" t="s">
        <v>7016</v>
      </c>
      <c r="H3599" s="1" t="s">
        <v>2142</v>
      </c>
      <c r="I3599" s="1" t="s">
        <v>43</v>
      </c>
      <c r="K3599" s="1">
        <v>0.0</v>
      </c>
      <c r="L3599" s="1" t="s">
        <v>2556</v>
      </c>
      <c r="M3599" s="1" t="str">
        <f>VLOOKUP(L3599,'Copy of PMD Workday Constants -'!B3598:W4284,22,false)</f>
        <v>#N/A</v>
      </c>
      <c r="N3599" s="1" t="s">
        <v>32</v>
      </c>
      <c r="O3599" s="1" t="s">
        <v>33</v>
      </c>
      <c r="P3599" s="1" t="s">
        <v>82</v>
      </c>
      <c r="Q3599" s="1" t="s">
        <v>82</v>
      </c>
      <c r="R3599" s="1" t="s">
        <v>83</v>
      </c>
      <c r="S3599" s="1" t="s">
        <v>84</v>
      </c>
      <c r="T3599" s="1">
        <v>1.01082364E8</v>
      </c>
      <c r="W3599" s="1" t="s">
        <v>85</v>
      </c>
      <c r="X3599" s="1" t="s">
        <v>9105</v>
      </c>
    </row>
    <row r="3600">
      <c r="A3600" s="1" t="s">
        <v>10436</v>
      </c>
      <c r="B3600" s="1" t="s">
        <v>10437</v>
      </c>
      <c r="C3600" s="1" t="s">
        <v>10438</v>
      </c>
      <c r="D3600" s="1" t="s">
        <v>28</v>
      </c>
      <c r="E3600" s="1" t="s">
        <v>29</v>
      </c>
      <c r="F3600" s="5">
        <v>250000.0</v>
      </c>
      <c r="G3600" s="1" t="s">
        <v>7016</v>
      </c>
      <c r="H3600" s="1" t="s">
        <v>2210</v>
      </c>
      <c r="I3600" s="1" t="s">
        <v>80</v>
      </c>
      <c r="K3600" s="1">
        <v>0.0</v>
      </c>
      <c r="L3600" s="1" t="s">
        <v>2201</v>
      </c>
      <c r="M3600" s="1" t="str">
        <f>VLOOKUP(L3600,'Copy of PMD Workday Constants -'!B3599:W4285,22,false)</f>
        <v>#N/A</v>
      </c>
      <c r="N3600" s="1" t="s">
        <v>32</v>
      </c>
      <c r="O3600" s="1" t="s">
        <v>33</v>
      </c>
      <c r="P3600" s="1" t="s">
        <v>64</v>
      </c>
      <c r="Q3600" s="1" t="s">
        <v>64</v>
      </c>
      <c r="R3600" s="1" t="s">
        <v>65</v>
      </c>
      <c r="S3600" s="1" t="s">
        <v>1496</v>
      </c>
      <c r="T3600" s="1">
        <v>1.00649936E8</v>
      </c>
      <c r="W3600" s="1" t="s">
        <v>258</v>
      </c>
      <c r="X3600" s="1" t="s">
        <v>2847</v>
      </c>
    </row>
    <row r="3601">
      <c r="A3601" s="1" t="s">
        <v>10439</v>
      </c>
      <c r="B3601" s="1" t="s">
        <v>1109</v>
      </c>
      <c r="C3601" s="1" t="s">
        <v>10440</v>
      </c>
      <c r="D3601" s="1" t="s">
        <v>51</v>
      </c>
      <c r="E3601" s="1" t="s">
        <v>29</v>
      </c>
      <c r="F3601" s="5">
        <v>250000.0</v>
      </c>
      <c r="G3601" s="1" t="s">
        <v>7016</v>
      </c>
      <c r="H3601" s="4">
        <v>44625.0</v>
      </c>
      <c r="I3601" s="1" t="s">
        <v>152</v>
      </c>
      <c r="K3601" s="1">
        <v>0.0</v>
      </c>
      <c r="L3601" s="1" t="s">
        <v>2330</v>
      </c>
      <c r="M3601" s="1" t="str">
        <f>VLOOKUP(L3601,'Copy of PMD Workday Constants -'!B3600:W4286,22,false)</f>
        <v>#N/A</v>
      </c>
      <c r="N3601" s="1" t="s">
        <v>32</v>
      </c>
      <c r="O3601" s="1" t="s">
        <v>33</v>
      </c>
      <c r="P3601" s="1" t="s">
        <v>82</v>
      </c>
      <c r="Q3601" s="1" t="s">
        <v>82</v>
      </c>
      <c r="R3601" s="1" t="s">
        <v>83</v>
      </c>
      <c r="S3601" s="1" t="s">
        <v>84</v>
      </c>
      <c r="T3601" s="1">
        <v>1.00613761E8</v>
      </c>
      <c r="W3601" s="1" t="s">
        <v>85</v>
      </c>
      <c r="X3601" s="1" t="s">
        <v>2046</v>
      </c>
    </row>
    <row r="3602">
      <c r="A3602" s="1" t="s">
        <v>10441</v>
      </c>
      <c r="B3602" s="1" t="s">
        <v>2263</v>
      </c>
      <c r="C3602" s="1" t="s">
        <v>10442</v>
      </c>
      <c r="D3602" s="1" t="s">
        <v>28</v>
      </c>
      <c r="E3602" s="1" t="s">
        <v>29</v>
      </c>
      <c r="F3602" s="5">
        <v>250000.0</v>
      </c>
      <c r="G3602" s="1" t="s">
        <v>7016</v>
      </c>
      <c r="H3602" s="4">
        <v>44625.0</v>
      </c>
      <c r="I3602" s="4">
        <v>44569.0</v>
      </c>
      <c r="K3602" s="1">
        <v>0.0</v>
      </c>
      <c r="L3602" s="1" t="s">
        <v>4235</v>
      </c>
      <c r="M3602" s="1" t="str">
        <f>VLOOKUP(L3602,'Copy of PMD Workday Constants -'!B3601:W4287,22,false)</f>
        <v>#N/A</v>
      </c>
      <c r="N3602" s="1" t="s">
        <v>32</v>
      </c>
      <c r="O3602" s="1" t="s">
        <v>33</v>
      </c>
      <c r="P3602" s="1" t="s">
        <v>210</v>
      </c>
      <c r="Q3602" s="1" t="s">
        <v>210</v>
      </c>
      <c r="R3602" s="1" t="s">
        <v>211</v>
      </c>
      <c r="T3602" s="1">
        <v>1.00628891E8</v>
      </c>
      <c r="W3602" s="1" t="s">
        <v>577</v>
      </c>
      <c r="X3602" s="1" t="s">
        <v>1771</v>
      </c>
    </row>
    <row r="3603">
      <c r="A3603" s="1" t="s">
        <v>10443</v>
      </c>
      <c r="B3603" s="1" t="s">
        <v>3989</v>
      </c>
      <c r="C3603" s="1" t="s">
        <v>10444</v>
      </c>
      <c r="D3603" s="1" t="s">
        <v>28</v>
      </c>
      <c r="E3603" s="1" t="s">
        <v>29</v>
      </c>
      <c r="F3603" s="5">
        <v>250000.0</v>
      </c>
      <c r="G3603" s="1" t="s">
        <v>7016</v>
      </c>
      <c r="H3603" s="4">
        <v>44597.0</v>
      </c>
      <c r="I3603" s="4">
        <v>44572.0</v>
      </c>
      <c r="K3603" s="1">
        <v>0.0</v>
      </c>
      <c r="L3603" s="1" t="s">
        <v>10445</v>
      </c>
      <c r="M3603" s="1" t="str">
        <f>VLOOKUP(L3603,'Copy of PMD Workday Constants -'!B3602:W4288,22,false)</f>
        <v>#N/A</v>
      </c>
      <c r="N3603" s="1" t="s">
        <v>32</v>
      </c>
      <c r="O3603" s="1" t="s">
        <v>33</v>
      </c>
      <c r="P3603" s="1" t="s">
        <v>82</v>
      </c>
      <c r="Q3603" s="1" t="s">
        <v>82</v>
      </c>
      <c r="R3603" s="1" t="s">
        <v>83</v>
      </c>
      <c r="S3603" s="1" t="s">
        <v>583</v>
      </c>
      <c r="T3603" s="1">
        <v>1.00655738E8</v>
      </c>
      <c r="W3603" s="1" t="s">
        <v>456</v>
      </c>
      <c r="X3603" s="1" t="s">
        <v>10446</v>
      </c>
    </row>
    <row r="3604">
      <c r="A3604" s="1" t="s">
        <v>10447</v>
      </c>
      <c r="B3604" s="1" t="s">
        <v>1305</v>
      </c>
      <c r="C3604" s="1" t="s">
        <v>10444</v>
      </c>
      <c r="D3604" s="1" t="s">
        <v>28</v>
      </c>
      <c r="E3604" s="1" t="s">
        <v>29</v>
      </c>
      <c r="F3604" s="5">
        <v>250000.0</v>
      </c>
      <c r="G3604" s="1" t="s">
        <v>7016</v>
      </c>
      <c r="H3604" s="4">
        <v>44597.0</v>
      </c>
      <c r="I3604" s="4">
        <v>44572.0</v>
      </c>
      <c r="K3604" s="1">
        <v>0.0</v>
      </c>
      <c r="L3604" s="1" t="s">
        <v>1780</v>
      </c>
      <c r="M3604" s="1" t="str">
        <f>VLOOKUP(L3604,'Copy of PMD Workday Constants -'!B3603:W4289,22,false)</f>
        <v>#N/A</v>
      </c>
      <c r="N3604" s="1" t="s">
        <v>32</v>
      </c>
      <c r="O3604" s="1" t="s">
        <v>33</v>
      </c>
      <c r="P3604" s="1" t="s">
        <v>82</v>
      </c>
      <c r="Q3604" s="1" t="s">
        <v>82</v>
      </c>
      <c r="R3604" s="1" t="s">
        <v>83</v>
      </c>
      <c r="S3604" s="1" t="s">
        <v>583</v>
      </c>
      <c r="T3604" s="1">
        <v>1.00617113E8</v>
      </c>
      <c r="W3604" s="1" t="s">
        <v>456</v>
      </c>
      <c r="X3604" s="1" t="s">
        <v>10446</v>
      </c>
    </row>
    <row r="3605">
      <c r="A3605" s="1" t="s">
        <v>10448</v>
      </c>
      <c r="B3605" s="1" t="s">
        <v>8268</v>
      </c>
      <c r="C3605" s="1" t="s">
        <v>10449</v>
      </c>
      <c r="D3605" s="1" t="s">
        <v>28</v>
      </c>
      <c r="E3605" s="1" t="s">
        <v>29</v>
      </c>
      <c r="F3605" s="5">
        <v>250000.0</v>
      </c>
      <c r="G3605" s="1" t="s">
        <v>7016</v>
      </c>
      <c r="H3605" s="4">
        <v>44657.0</v>
      </c>
      <c r="I3605" s="1" t="s">
        <v>400</v>
      </c>
      <c r="K3605" s="1">
        <v>0.0</v>
      </c>
      <c r="L3605" s="1" t="s">
        <v>2013</v>
      </c>
      <c r="M3605" s="1" t="str">
        <f>VLOOKUP(L3605,'Copy of PMD Workday Constants -'!B3604:W4290,22,false)</f>
        <v>#N/A</v>
      </c>
      <c r="N3605" s="1" t="s">
        <v>32</v>
      </c>
      <c r="O3605" s="1" t="s">
        <v>33</v>
      </c>
      <c r="P3605" s="1" t="s">
        <v>222</v>
      </c>
      <c r="Q3605" s="1" t="s">
        <v>222</v>
      </c>
      <c r="R3605" s="1" t="s">
        <v>223</v>
      </c>
      <c r="S3605" s="1" t="s">
        <v>482</v>
      </c>
      <c r="T3605" s="1">
        <v>1.00596618E8</v>
      </c>
      <c r="U3605" s="1" t="s">
        <v>10450</v>
      </c>
      <c r="V3605" s="1" t="s">
        <v>187</v>
      </c>
      <c r="W3605" s="1" t="s">
        <v>74</v>
      </c>
      <c r="X3605" s="1" t="s">
        <v>7448</v>
      </c>
    </row>
    <row r="3606">
      <c r="A3606" s="1" t="s">
        <v>10451</v>
      </c>
      <c r="B3606" s="1" t="s">
        <v>1573</v>
      </c>
      <c r="C3606" s="1" t="s">
        <v>10444</v>
      </c>
      <c r="D3606" s="1" t="s">
        <v>28</v>
      </c>
      <c r="E3606" s="1" t="s">
        <v>29</v>
      </c>
      <c r="F3606" s="5">
        <v>250000.0</v>
      </c>
      <c r="G3606" s="1" t="s">
        <v>7016</v>
      </c>
      <c r="H3606" s="4">
        <v>44597.0</v>
      </c>
      <c r="I3606" s="4">
        <v>44572.0</v>
      </c>
      <c r="K3606" s="1">
        <v>0.0</v>
      </c>
      <c r="L3606" s="1" t="s">
        <v>10452</v>
      </c>
      <c r="M3606" s="1" t="str">
        <f>VLOOKUP(L3606,'Copy of PMD Workday Constants -'!B3605:W4291,22,false)</f>
        <v>#N/A</v>
      </c>
      <c r="N3606" s="1" t="s">
        <v>32</v>
      </c>
      <c r="O3606" s="1" t="s">
        <v>33</v>
      </c>
      <c r="P3606" s="1" t="s">
        <v>173</v>
      </c>
      <c r="Q3606" s="1" t="s">
        <v>173</v>
      </c>
      <c r="R3606" s="1" t="s">
        <v>174</v>
      </c>
      <c r="T3606" s="1">
        <v>1.00614201E8</v>
      </c>
      <c r="W3606" s="1" t="s">
        <v>456</v>
      </c>
      <c r="X3606" s="1" t="s">
        <v>10446</v>
      </c>
    </row>
    <row r="3607">
      <c r="A3607" s="1" t="s">
        <v>10453</v>
      </c>
      <c r="B3607" s="1" t="s">
        <v>10454</v>
      </c>
      <c r="C3607" s="1" t="s">
        <v>10455</v>
      </c>
      <c r="D3607" s="1" t="s">
        <v>103</v>
      </c>
      <c r="E3607" s="1" t="s">
        <v>29</v>
      </c>
      <c r="F3607" s="5">
        <v>250000.0</v>
      </c>
      <c r="G3607" s="1" t="s">
        <v>7016</v>
      </c>
      <c r="H3607" s="1" t="s">
        <v>1455</v>
      </c>
      <c r="I3607" s="1" t="s">
        <v>80</v>
      </c>
      <c r="K3607" s="1">
        <v>0.0</v>
      </c>
      <c r="L3607" s="1" t="s">
        <v>1380</v>
      </c>
      <c r="M3607" s="1" t="str">
        <f>VLOOKUP(L3607,'Copy of PMD Workday Constants -'!B3606:W4292,22,false)</f>
        <v>#N/A</v>
      </c>
      <c r="N3607" s="1" t="s">
        <v>32</v>
      </c>
      <c r="O3607" s="1" t="s">
        <v>33</v>
      </c>
      <c r="P3607" s="1" t="s">
        <v>34</v>
      </c>
      <c r="Q3607" s="1" t="s">
        <v>34</v>
      </c>
      <c r="R3607" s="1" t="s">
        <v>35</v>
      </c>
      <c r="S3607" s="1" t="s">
        <v>126</v>
      </c>
      <c r="T3607" s="1">
        <v>1.00587434E8</v>
      </c>
      <c r="W3607" s="1" t="s">
        <v>74</v>
      </c>
      <c r="X3607" s="1" t="s">
        <v>3038</v>
      </c>
    </row>
    <row r="3608">
      <c r="A3608" s="1" t="s">
        <v>10456</v>
      </c>
      <c r="B3608" s="1" t="s">
        <v>580</v>
      </c>
      <c r="C3608" s="1" t="s">
        <v>10457</v>
      </c>
      <c r="D3608" s="1" t="s">
        <v>28</v>
      </c>
      <c r="E3608" s="1" t="s">
        <v>29</v>
      </c>
      <c r="F3608" s="5">
        <v>250000.0</v>
      </c>
      <c r="G3608" s="1" t="s">
        <v>7016</v>
      </c>
      <c r="H3608" s="4">
        <v>44597.0</v>
      </c>
      <c r="I3608" s="4">
        <v>44572.0</v>
      </c>
      <c r="K3608" s="1">
        <v>0.0</v>
      </c>
      <c r="L3608" s="1" t="s">
        <v>582</v>
      </c>
      <c r="M3608" s="1" t="str">
        <f>VLOOKUP(L3608,'Copy of PMD Workday Constants -'!B3607:W4293,22,false)</f>
        <v>#N/A</v>
      </c>
      <c r="N3608" s="1" t="s">
        <v>32</v>
      </c>
      <c r="O3608" s="1" t="s">
        <v>33</v>
      </c>
      <c r="P3608" s="1" t="s">
        <v>82</v>
      </c>
      <c r="Q3608" s="1" t="s">
        <v>82</v>
      </c>
      <c r="R3608" s="1" t="s">
        <v>83</v>
      </c>
      <c r="T3608" s="1">
        <v>1.00869732E8</v>
      </c>
      <c r="W3608" s="1" t="s">
        <v>456</v>
      </c>
      <c r="X3608" s="1" t="s">
        <v>10446</v>
      </c>
    </row>
    <row r="3609">
      <c r="A3609" s="1" t="s">
        <v>10458</v>
      </c>
      <c r="B3609" s="1" t="s">
        <v>2824</v>
      </c>
      <c r="C3609" s="1" t="s">
        <v>10459</v>
      </c>
      <c r="D3609" s="1" t="s">
        <v>28</v>
      </c>
      <c r="E3609" s="1" t="s">
        <v>29</v>
      </c>
      <c r="F3609" s="5">
        <v>250000.0</v>
      </c>
      <c r="G3609" s="1" t="s">
        <v>7016</v>
      </c>
      <c r="H3609" s="4">
        <v>44622.0</v>
      </c>
      <c r="I3609" s="1" t="s">
        <v>104</v>
      </c>
      <c r="K3609" s="1">
        <v>0.0</v>
      </c>
      <c r="L3609" s="1" t="s">
        <v>1916</v>
      </c>
      <c r="M3609" s="1" t="str">
        <f>VLOOKUP(L3609,'Copy of PMD Workday Constants -'!B3608:W4294,22,false)</f>
        <v>#N/A</v>
      </c>
      <c r="N3609" s="1" t="s">
        <v>32</v>
      </c>
      <c r="O3609" s="1" t="s">
        <v>33</v>
      </c>
      <c r="P3609" s="1" t="s">
        <v>222</v>
      </c>
      <c r="Q3609" s="1" t="s">
        <v>222</v>
      </c>
      <c r="R3609" s="1" t="s">
        <v>223</v>
      </c>
      <c r="S3609" s="1" t="s">
        <v>601</v>
      </c>
      <c r="T3609" s="1">
        <v>1.00955805E8</v>
      </c>
      <c r="W3609" s="1" t="s">
        <v>339</v>
      </c>
      <c r="X3609" s="1" t="s">
        <v>1916</v>
      </c>
    </row>
    <row r="3610">
      <c r="A3610" s="1" t="s">
        <v>10460</v>
      </c>
      <c r="B3610" s="1" t="s">
        <v>840</v>
      </c>
      <c r="C3610" s="1" t="s">
        <v>10461</v>
      </c>
      <c r="D3610" s="1" t="s">
        <v>28</v>
      </c>
      <c r="E3610" s="1" t="s">
        <v>29</v>
      </c>
      <c r="F3610" s="5">
        <v>250000.0</v>
      </c>
      <c r="G3610" s="1" t="s">
        <v>7016</v>
      </c>
      <c r="H3610" s="1" t="s">
        <v>778</v>
      </c>
      <c r="I3610" s="1" t="s">
        <v>80</v>
      </c>
      <c r="K3610" s="1">
        <v>0.0</v>
      </c>
      <c r="L3610" s="1" t="s">
        <v>3848</v>
      </c>
      <c r="M3610" s="1" t="str">
        <f>VLOOKUP(L3610,'Copy of PMD Workday Constants -'!B3609:W4295,22,false)</f>
        <v>#N/A</v>
      </c>
      <c r="N3610" s="1" t="s">
        <v>32</v>
      </c>
      <c r="O3610" s="1" t="s">
        <v>33</v>
      </c>
      <c r="P3610" s="1" t="s">
        <v>173</v>
      </c>
      <c r="Q3610" s="1" t="s">
        <v>173</v>
      </c>
      <c r="R3610" s="1" t="s">
        <v>174</v>
      </c>
      <c r="S3610" s="1" t="s">
        <v>612</v>
      </c>
      <c r="T3610" s="1">
        <v>1.00654914E8</v>
      </c>
      <c r="W3610" s="1" t="s">
        <v>147</v>
      </c>
      <c r="X3610" s="1" t="s">
        <v>836</v>
      </c>
    </row>
    <row r="3611">
      <c r="A3611" s="1" t="s">
        <v>10462</v>
      </c>
      <c r="B3611" s="1" t="s">
        <v>10463</v>
      </c>
      <c r="C3611" s="1" t="s">
        <v>10388</v>
      </c>
      <c r="D3611" s="1" t="s">
        <v>28</v>
      </c>
      <c r="E3611" s="1" t="s">
        <v>29</v>
      </c>
      <c r="F3611" s="5">
        <v>250000.0</v>
      </c>
      <c r="G3611" s="1" t="s">
        <v>7016</v>
      </c>
      <c r="H3611" s="4">
        <v>44621.0</v>
      </c>
      <c r="I3611" s="1" t="s">
        <v>152</v>
      </c>
      <c r="K3611" s="1">
        <v>0.0</v>
      </c>
      <c r="L3611" s="1" t="s">
        <v>5392</v>
      </c>
      <c r="M3611" s="1" t="str">
        <f>VLOOKUP(L3611,'Copy of PMD Workday Constants -'!B3610:W4296,22,false)</f>
        <v>#N/A</v>
      </c>
      <c r="N3611" s="1" t="s">
        <v>32</v>
      </c>
      <c r="O3611" s="1" t="s">
        <v>33</v>
      </c>
      <c r="P3611" s="1" t="s">
        <v>173</v>
      </c>
      <c r="Q3611" s="1" t="s">
        <v>173</v>
      </c>
      <c r="R3611" s="1" t="s">
        <v>174</v>
      </c>
      <c r="T3611" s="1">
        <v>1.01138319E8</v>
      </c>
      <c r="X3611" s="1" t="s">
        <v>5392</v>
      </c>
    </row>
    <row r="3612">
      <c r="A3612" s="1" t="s">
        <v>10464</v>
      </c>
      <c r="B3612" s="1" t="s">
        <v>485</v>
      </c>
      <c r="C3612" s="1" t="s">
        <v>10465</v>
      </c>
      <c r="D3612" s="1" t="s">
        <v>28</v>
      </c>
      <c r="E3612" s="1" t="s">
        <v>29</v>
      </c>
      <c r="F3612" s="5">
        <v>250000.0</v>
      </c>
      <c r="G3612" s="1" t="s">
        <v>7016</v>
      </c>
      <c r="H3612" s="1" t="s">
        <v>5062</v>
      </c>
      <c r="I3612" s="1" t="s">
        <v>152</v>
      </c>
      <c r="K3612" s="1">
        <v>0.0</v>
      </c>
      <c r="L3612" s="1" t="s">
        <v>2275</v>
      </c>
      <c r="M3612" s="1" t="str">
        <f>VLOOKUP(L3612,'Copy of PMD Workday Constants -'!B3611:W4297,22,false)</f>
        <v>#N/A</v>
      </c>
      <c r="N3612" s="1" t="s">
        <v>32</v>
      </c>
      <c r="O3612" s="1" t="s">
        <v>33</v>
      </c>
      <c r="P3612" s="1" t="s">
        <v>173</v>
      </c>
      <c r="Q3612" s="1" t="s">
        <v>173</v>
      </c>
      <c r="R3612" s="1" t="s">
        <v>174</v>
      </c>
      <c r="S3612" s="1" t="s">
        <v>153</v>
      </c>
      <c r="T3612" s="1">
        <v>1.00650783E8</v>
      </c>
      <c r="W3612" s="1" t="s">
        <v>85</v>
      </c>
      <c r="X3612" s="1" t="s">
        <v>2275</v>
      </c>
    </row>
    <row r="3613">
      <c r="A3613" s="1" t="s">
        <v>10466</v>
      </c>
      <c r="B3613" s="1" t="s">
        <v>1392</v>
      </c>
      <c r="C3613" s="1" t="s">
        <v>10467</v>
      </c>
      <c r="D3613" s="1" t="s">
        <v>28</v>
      </c>
      <c r="E3613" s="1" t="s">
        <v>29</v>
      </c>
      <c r="F3613" s="5">
        <v>250000.0</v>
      </c>
      <c r="G3613" s="1" t="s">
        <v>7016</v>
      </c>
      <c r="H3613" s="4">
        <v>44746.0</v>
      </c>
      <c r="I3613" s="1" t="s">
        <v>43</v>
      </c>
      <c r="K3613" s="1">
        <v>0.0</v>
      </c>
      <c r="L3613" s="1" t="s">
        <v>10468</v>
      </c>
      <c r="M3613" s="1" t="str">
        <f>VLOOKUP(L3613,'Copy of PMD Workday Constants -'!B3612:W4298,22,false)</f>
        <v>#N/A</v>
      </c>
      <c r="N3613" s="1" t="s">
        <v>32</v>
      </c>
      <c r="O3613" s="1" t="s">
        <v>33</v>
      </c>
      <c r="P3613" s="1" t="s">
        <v>222</v>
      </c>
      <c r="Q3613" s="1" t="s">
        <v>222</v>
      </c>
      <c r="R3613" s="1" t="s">
        <v>223</v>
      </c>
      <c r="T3613" s="1">
        <v>1.00644409E8</v>
      </c>
      <c r="W3613" s="1" t="s">
        <v>947</v>
      </c>
      <c r="X3613" s="1" t="s">
        <v>5738</v>
      </c>
    </row>
    <row r="3614">
      <c r="A3614" s="1" t="s">
        <v>10469</v>
      </c>
      <c r="B3614" s="1" t="s">
        <v>1392</v>
      </c>
      <c r="C3614" s="1" t="s">
        <v>10470</v>
      </c>
      <c r="D3614" s="1" t="s">
        <v>28</v>
      </c>
      <c r="E3614" s="1" t="s">
        <v>29</v>
      </c>
      <c r="F3614" s="5">
        <v>250000.0</v>
      </c>
      <c r="G3614" s="1" t="s">
        <v>7016</v>
      </c>
      <c r="H3614" s="4">
        <v>44746.0</v>
      </c>
      <c r="I3614" s="1" t="s">
        <v>43</v>
      </c>
      <c r="K3614" s="1">
        <v>0.0</v>
      </c>
      <c r="L3614" s="1" t="s">
        <v>1396</v>
      </c>
      <c r="M3614" s="1" t="str">
        <f>VLOOKUP(L3614,'Copy of PMD Workday Constants -'!B3613:W4299,22,false)</f>
        <v>#N/A</v>
      </c>
      <c r="N3614" s="1" t="s">
        <v>32</v>
      </c>
      <c r="O3614" s="1" t="s">
        <v>33</v>
      </c>
      <c r="P3614" s="1" t="s">
        <v>222</v>
      </c>
      <c r="Q3614" s="1" t="s">
        <v>222</v>
      </c>
      <c r="R3614" s="1" t="s">
        <v>223</v>
      </c>
      <c r="S3614" s="1" t="s">
        <v>646</v>
      </c>
      <c r="T3614" s="1">
        <v>1.00609118E8</v>
      </c>
      <c r="W3614" s="1" t="s">
        <v>947</v>
      </c>
      <c r="X3614" s="1" t="s">
        <v>5738</v>
      </c>
    </row>
    <row r="3615">
      <c r="A3615" s="1" t="s">
        <v>10471</v>
      </c>
      <c r="B3615" s="1" t="s">
        <v>177</v>
      </c>
      <c r="C3615" s="1" t="s">
        <v>10472</v>
      </c>
      <c r="D3615" s="1" t="s">
        <v>28</v>
      </c>
      <c r="E3615" s="1" t="s">
        <v>29</v>
      </c>
      <c r="F3615" s="5">
        <v>250000.0</v>
      </c>
      <c r="G3615" s="1" t="s">
        <v>7016</v>
      </c>
      <c r="H3615" s="1" t="s">
        <v>1839</v>
      </c>
      <c r="I3615" s="4">
        <v>44569.0</v>
      </c>
      <c r="K3615" s="1">
        <v>0.0</v>
      </c>
      <c r="L3615" s="1" t="s">
        <v>1036</v>
      </c>
      <c r="M3615" s="1" t="str">
        <f>VLOOKUP(L3615,'Copy of PMD Workday Constants -'!B3614:W4300,22,false)</f>
        <v>#N/A</v>
      </c>
      <c r="N3615" s="1" t="s">
        <v>32</v>
      </c>
      <c r="O3615" s="1" t="s">
        <v>33</v>
      </c>
      <c r="P3615" s="1" t="s">
        <v>82</v>
      </c>
      <c r="Q3615" s="1" t="s">
        <v>82</v>
      </c>
      <c r="R3615" s="1" t="s">
        <v>83</v>
      </c>
      <c r="S3615" s="1" t="s">
        <v>180</v>
      </c>
      <c r="T3615" s="1">
        <v>1.0090037E8</v>
      </c>
      <c r="W3615" s="1" t="s">
        <v>85</v>
      </c>
      <c r="X3615" s="1" t="s">
        <v>1036</v>
      </c>
    </row>
    <row r="3616">
      <c r="A3616" s="1" t="s">
        <v>10473</v>
      </c>
      <c r="B3616" s="1" t="s">
        <v>10474</v>
      </c>
      <c r="C3616" s="1" t="s">
        <v>10475</v>
      </c>
      <c r="D3616" s="1" t="s">
        <v>28</v>
      </c>
      <c r="E3616" s="1" t="s">
        <v>29</v>
      </c>
      <c r="F3616" s="5">
        <v>250000.0</v>
      </c>
      <c r="G3616" s="1" t="s">
        <v>7016</v>
      </c>
      <c r="H3616" s="4">
        <v>44597.0</v>
      </c>
      <c r="I3616" s="1" t="s">
        <v>132</v>
      </c>
      <c r="K3616" s="1">
        <v>0.0</v>
      </c>
      <c r="L3616" s="1" t="s">
        <v>1587</v>
      </c>
      <c r="M3616" s="1" t="str">
        <f>VLOOKUP(L3616,'Copy of PMD Workday Constants -'!B3615:W4301,22,false)</f>
        <v>#N/A</v>
      </c>
      <c r="N3616" s="1" t="s">
        <v>32</v>
      </c>
      <c r="O3616" s="1" t="s">
        <v>33</v>
      </c>
      <c r="P3616" s="1" t="s">
        <v>64</v>
      </c>
      <c r="Q3616" s="1" t="s">
        <v>64</v>
      </c>
      <c r="R3616" s="1" t="s">
        <v>65</v>
      </c>
      <c r="S3616" s="1" t="s">
        <v>1336</v>
      </c>
      <c r="T3616" s="1">
        <v>1.01141441E8</v>
      </c>
      <c r="W3616" s="1" t="s">
        <v>74</v>
      </c>
      <c r="X3616" s="1" t="s">
        <v>1587</v>
      </c>
    </row>
    <row r="3617">
      <c r="A3617" s="1" t="s">
        <v>10476</v>
      </c>
      <c r="B3617" s="1" t="s">
        <v>10477</v>
      </c>
      <c r="C3617" s="1" t="s">
        <v>10478</v>
      </c>
      <c r="D3617" s="1" t="s">
        <v>28</v>
      </c>
      <c r="E3617" s="1" t="s">
        <v>29</v>
      </c>
      <c r="F3617" s="5">
        <v>250000.0</v>
      </c>
      <c r="G3617" s="1" t="s">
        <v>7016</v>
      </c>
      <c r="H3617" s="4">
        <v>44625.0</v>
      </c>
      <c r="I3617" s="1" t="s">
        <v>80</v>
      </c>
      <c r="K3617" s="1">
        <v>0.0</v>
      </c>
      <c r="L3617" s="1" t="s">
        <v>499</v>
      </c>
      <c r="M3617" s="1" t="str">
        <f>VLOOKUP(L3617,'Copy of PMD Workday Constants -'!B3616:W4302,22,false)</f>
        <v>#N/A</v>
      </c>
      <c r="N3617" s="1" t="s">
        <v>32</v>
      </c>
      <c r="O3617" s="1" t="s">
        <v>33</v>
      </c>
      <c r="P3617" s="1" t="s">
        <v>34</v>
      </c>
      <c r="Q3617" s="1" t="s">
        <v>34</v>
      </c>
      <c r="R3617" s="1" t="s">
        <v>35</v>
      </c>
      <c r="T3617" s="1">
        <v>1.00627768E8</v>
      </c>
      <c r="W3617" s="1" t="s">
        <v>37</v>
      </c>
      <c r="X3617" s="1" t="s">
        <v>499</v>
      </c>
    </row>
    <row r="3618">
      <c r="A3618" s="1" t="s">
        <v>10479</v>
      </c>
      <c r="B3618" s="1" t="s">
        <v>1768</v>
      </c>
      <c r="C3618" s="1" t="s">
        <v>10480</v>
      </c>
      <c r="D3618" s="1" t="s">
        <v>51</v>
      </c>
      <c r="E3618" s="1" t="s">
        <v>29</v>
      </c>
      <c r="F3618" s="5">
        <v>250000.0</v>
      </c>
      <c r="G3618" s="1" t="s">
        <v>7016</v>
      </c>
      <c r="H3618" s="1" t="s">
        <v>6433</v>
      </c>
      <c r="I3618" s="1" t="s">
        <v>80</v>
      </c>
      <c r="K3618" s="1">
        <v>0.0</v>
      </c>
      <c r="L3618" s="1" t="s">
        <v>1770</v>
      </c>
      <c r="M3618" s="1" t="str">
        <f>VLOOKUP(L3618,'Copy of PMD Workday Constants -'!B3617:W4303,22,false)</f>
        <v>#N/A</v>
      </c>
      <c r="N3618" s="1" t="s">
        <v>32</v>
      </c>
      <c r="O3618" s="1" t="s">
        <v>33</v>
      </c>
      <c r="P3618" s="1" t="s">
        <v>210</v>
      </c>
      <c r="Q3618" s="1" t="s">
        <v>210</v>
      </c>
      <c r="R3618" s="1" t="s">
        <v>211</v>
      </c>
      <c r="S3618" s="1" t="s">
        <v>1313</v>
      </c>
      <c r="T3618" s="1">
        <v>1.00593918E8</v>
      </c>
      <c r="U3618" s="1" t="s">
        <v>1907</v>
      </c>
      <c r="V3618" s="1" t="s">
        <v>187</v>
      </c>
      <c r="W3618" s="1" t="s">
        <v>436</v>
      </c>
      <c r="X3618" s="1" t="s">
        <v>1771</v>
      </c>
    </row>
    <row r="3619">
      <c r="A3619" s="1" t="s">
        <v>10481</v>
      </c>
      <c r="B3619" s="1" t="s">
        <v>1539</v>
      </c>
      <c r="C3619" s="1" t="s">
        <v>10482</v>
      </c>
      <c r="D3619" s="1" t="s">
        <v>28</v>
      </c>
      <c r="E3619" s="1" t="s">
        <v>29</v>
      </c>
      <c r="F3619" s="5">
        <v>250000.0</v>
      </c>
      <c r="G3619" s="1" t="s">
        <v>7016</v>
      </c>
      <c r="H3619" s="1" t="s">
        <v>5674</v>
      </c>
      <c r="I3619" s="1" t="s">
        <v>80</v>
      </c>
      <c r="K3619" s="1">
        <v>0.0</v>
      </c>
      <c r="L3619" s="1" t="s">
        <v>5392</v>
      </c>
      <c r="M3619" s="1" t="str">
        <f>VLOOKUP(L3619,'Copy of PMD Workday Constants -'!B3618:W4304,22,false)</f>
        <v>#N/A</v>
      </c>
      <c r="N3619" s="1" t="s">
        <v>32</v>
      </c>
      <c r="O3619" s="1" t="s">
        <v>33</v>
      </c>
      <c r="P3619" s="1" t="s">
        <v>173</v>
      </c>
      <c r="Q3619" s="1" t="s">
        <v>173</v>
      </c>
      <c r="R3619" s="1" t="s">
        <v>174</v>
      </c>
      <c r="T3619" s="1">
        <v>1.01138319E8</v>
      </c>
      <c r="W3619" s="1" t="s">
        <v>456</v>
      </c>
      <c r="X3619" s="1" t="s">
        <v>5392</v>
      </c>
    </row>
    <row r="3620">
      <c r="A3620" s="1" t="s">
        <v>10483</v>
      </c>
      <c r="B3620" s="1" t="s">
        <v>10484</v>
      </c>
      <c r="C3620" s="1" t="s">
        <v>10485</v>
      </c>
      <c r="D3620" s="1" t="s">
        <v>103</v>
      </c>
      <c r="E3620" s="1" t="s">
        <v>29</v>
      </c>
      <c r="F3620" s="5">
        <v>250000.0</v>
      </c>
      <c r="G3620" s="1" t="s">
        <v>7016</v>
      </c>
      <c r="H3620" s="1" t="s">
        <v>1082</v>
      </c>
      <c r="I3620" s="1" t="s">
        <v>810</v>
      </c>
      <c r="K3620" s="1">
        <v>0.0</v>
      </c>
      <c r="L3620" s="1" t="s">
        <v>7276</v>
      </c>
      <c r="M3620" s="1" t="str">
        <f>VLOOKUP(L3620,'Copy of PMD Workday Constants -'!B3619:W4305,22,false)</f>
        <v>#N/A</v>
      </c>
      <c r="N3620" s="1" t="s">
        <v>32</v>
      </c>
      <c r="O3620" s="1" t="s">
        <v>33</v>
      </c>
      <c r="P3620" s="1" t="s">
        <v>64</v>
      </c>
      <c r="Q3620" s="1" t="s">
        <v>64</v>
      </c>
      <c r="R3620" s="1" t="s">
        <v>65</v>
      </c>
      <c r="S3620" s="1" t="s">
        <v>1336</v>
      </c>
      <c r="T3620" s="1">
        <v>1.00587219E8</v>
      </c>
      <c r="U3620" s="1" t="s">
        <v>10486</v>
      </c>
      <c r="V3620" s="1" t="s">
        <v>46</v>
      </c>
      <c r="W3620" s="1" t="s">
        <v>115</v>
      </c>
      <c r="X3620" s="1" t="s">
        <v>10487</v>
      </c>
    </row>
    <row r="3621">
      <c r="A3621" s="1" t="s">
        <v>10488</v>
      </c>
      <c r="B3621" s="1" t="s">
        <v>2976</v>
      </c>
      <c r="C3621" s="1" t="s">
        <v>10489</v>
      </c>
      <c r="D3621" s="1" t="s">
        <v>103</v>
      </c>
      <c r="E3621" s="1" t="s">
        <v>29</v>
      </c>
      <c r="F3621" s="5">
        <v>249500.0</v>
      </c>
      <c r="G3621" s="1" t="s">
        <v>7016</v>
      </c>
      <c r="H3621" s="4">
        <v>44870.0</v>
      </c>
      <c r="I3621" s="4">
        <v>44840.0</v>
      </c>
      <c r="K3621" s="1">
        <v>0.0</v>
      </c>
      <c r="L3621" s="1" t="s">
        <v>7559</v>
      </c>
      <c r="M3621" s="1" t="str">
        <f>VLOOKUP(L3621,'Copy of PMD Workday Constants -'!B3620:W4306,22,false)</f>
        <v>#N/A</v>
      </c>
      <c r="N3621" s="1" t="s">
        <v>32</v>
      </c>
      <c r="O3621" s="1" t="s">
        <v>33</v>
      </c>
      <c r="P3621" s="1" t="s">
        <v>173</v>
      </c>
      <c r="Q3621" s="1" t="s">
        <v>173</v>
      </c>
      <c r="R3621" s="1" t="s">
        <v>174</v>
      </c>
      <c r="S3621" s="1" t="s">
        <v>1336</v>
      </c>
      <c r="T3621" s="1">
        <v>1.00653494E8</v>
      </c>
      <c r="W3621" s="1" t="s">
        <v>250</v>
      </c>
      <c r="X3621" s="1" t="s">
        <v>7559</v>
      </c>
    </row>
    <row r="3622">
      <c r="A3622" s="1" t="s">
        <v>10490</v>
      </c>
      <c r="B3622" s="1" t="s">
        <v>10491</v>
      </c>
      <c r="C3622" s="1" t="s">
        <v>10492</v>
      </c>
      <c r="D3622" s="1" t="s">
        <v>51</v>
      </c>
      <c r="E3622" s="1" t="s">
        <v>29</v>
      </c>
      <c r="F3622" s="5">
        <v>249237.0</v>
      </c>
      <c r="G3622" s="1" t="s">
        <v>7016</v>
      </c>
      <c r="H3622" s="1" t="s">
        <v>2855</v>
      </c>
      <c r="I3622" s="1" t="s">
        <v>732</v>
      </c>
      <c r="K3622" s="1">
        <v>0.0</v>
      </c>
      <c r="L3622" s="1" t="s">
        <v>10493</v>
      </c>
      <c r="M3622" s="1" t="str">
        <f>VLOOKUP(L3622,'Copy of PMD Workday Constants -'!B3621:W4307,22,false)</f>
        <v>#N/A</v>
      </c>
      <c r="N3622" s="1" t="s">
        <v>32</v>
      </c>
      <c r="O3622" s="1" t="s">
        <v>33</v>
      </c>
      <c r="P3622" s="1" t="s">
        <v>34</v>
      </c>
      <c r="Q3622" s="1" t="s">
        <v>34</v>
      </c>
      <c r="R3622" s="1" t="s">
        <v>35</v>
      </c>
      <c r="T3622" s="1">
        <v>1.01083532E8</v>
      </c>
      <c r="W3622" s="1" t="s">
        <v>493</v>
      </c>
      <c r="X3622" s="1" t="s">
        <v>10493</v>
      </c>
    </row>
    <row r="3623">
      <c r="A3623" s="1" t="s">
        <v>10494</v>
      </c>
      <c r="B3623" s="1" t="s">
        <v>324</v>
      </c>
      <c r="C3623" s="1" t="s">
        <v>10495</v>
      </c>
      <c r="D3623" s="1" t="s">
        <v>51</v>
      </c>
      <c r="E3623" s="1" t="s">
        <v>29</v>
      </c>
      <c r="F3623" s="5">
        <v>249000.0</v>
      </c>
      <c r="G3623" s="1" t="s">
        <v>7016</v>
      </c>
      <c r="H3623" s="4">
        <v>44626.0</v>
      </c>
      <c r="I3623" s="1" t="s">
        <v>248</v>
      </c>
      <c r="K3623" s="1">
        <v>0.0</v>
      </c>
      <c r="L3623" s="1" t="s">
        <v>3994</v>
      </c>
      <c r="M3623" s="1" t="str">
        <f>VLOOKUP(L3623,'Copy of PMD Workday Constants -'!B3622:W4308,22,false)</f>
        <v>#N/A</v>
      </c>
      <c r="N3623" s="1" t="s">
        <v>32</v>
      </c>
      <c r="O3623" s="1" t="s">
        <v>33</v>
      </c>
      <c r="P3623" s="1" t="s">
        <v>210</v>
      </c>
      <c r="Q3623" s="1" t="s">
        <v>210</v>
      </c>
      <c r="R3623" s="1" t="s">
        <v>211</v>
      </c>
      <c r="T3623" s="1">
        <v>1.00646809E8</v>
      </c>
      <c r="W3623" s="1" t="s">
        <v>56</v>
      </c>
      <c r="X3623" s="1" t="s">
        <v>3995</v>
      </c>
    </row>
    <row r="3624">
      <c r="A3624" s="1" t="s">
        <v>10496</v>
      </c>
      <c r="B3624" s="1" t="s">
        <v>765</v>
      </c>
      <c r="C3624" s="1" t="s">
        <v>10497</v>
      </c>
      <c r="D3624" s="1" t="s">
        <v>103</v>
      </c>
      <c r="E3624" s="1" t="s">
        <v>29</v>
      </c>
      <c r="F3624" s="5">
        <v>249000.0</v>
      </c>
      <c r="G3624" s="1" t="s">
        <v>7016</v>
      </c>
      <c r="H3624" s="4">
        <v>44597.0</v>
      </c>
      <c r="I3624" s="4">
        <v>44718.0</v>
      </c>
      <c r="K3624" s="1">
        <v>0.0</v>
      </c>
      <c r="L3624" s="1" t="s">
        <v>3302</v>
      </c>
      <c r="M3624" s="1" t="str">
        <f>VLOOKUP(L3624,'Copy of PMD Workday Constants -'!B3623:W4309,22,false)</f>
        <v>#N/A</v>
      </c>
      <c r="N3624" s="1" t="s">
        <v>32</v>
      </c>
      <c r="O3624" s="1" t="s">
        <v>33</v>
      </c>
      <c r="P3624" s="1" t="s">
        <v>34</v>
      </c>
      <c r="Q3624" s="1" t="s">
        <v>34</v>
      </c>
      <c r="R3624" s="1" t="s">
        <v>35</v>
      </c>
      <c r="S3624" s="1" t="s">
        <v>1166</v>
      </c>
      <c r="T3624" s="1">
        <v>1.00586233E8</v>
      </c>
      <c r="W3624" s="1" t="s">
        <v>456</v>
      </c>
      <c r="X3624" s="1" t="s">
        <v>3302</v>
      </c>
    </row>
    <row r="3625">
      <c r="A3625" s="1" t="s">
        <v>10498</v>
      </c>
      <c r="B3625" s="1" t="s">
        <v>324</v>
      </c>
      <c r="C3625" s="1" t="s">
        <v>10499</v>
      </c>
      <c r="D3625" s="1" t="s">
        <v>79</v>
      </c>
      <c r="E3625" s="1" t="s">
        <v>29</v>
      </c>
      <c r="F3625" s="5">
        <v>249000.0</v>
      </c>
      <c r="G3625" s="1" t="s">
        <v>7016</v>
      </c>
      <c r="H3625" s="4">
        <v>44810.0</v>
      </c>
      <c r="I3625" s="1" t="s">
        <v>941</v>
      </c>
      <c r="K3625" s="1">
        <v>0.0</v>
      </c>
      <c r="L3625" s="1" t="s">
        <v>5194</v>
      </c>
      <c r="M3625" s="1" t="str">
        <f>VLOOKUP(L3625,'Copy of PMD Workday Constants -'!B3624:W4310,22,false)</f>
        <v>#N/A</v>
      </c>
      <c r="N3625" s="1" t="s">
        <v>32</v>
      </c>
      <c r="O3625" s="1" t="s">
        <v>33</v>
      </c>
      <c r="P3625" s="1" t="s">
        <v>173</v>
      </c>
      <c r="Q3625" s="1" t="s">
        <v>173</v>
      </c>
      <c r="R3625" s="1" t="s">
        <v>174</v>
      </c>
      <c r="T3625" s="1">
        <v>1.00609393E8</v>
      </c>
      <c r="W3625" s="1" t="s">
        <v>56</v>
      </c>
      <c r="X3625" s="1" t="s">
        <v>5195</v>
      </c>
    </row>
    <row r="3626">
      <c r="A3626" s="1" t="s">
        <v>10500</v>
      </c>
      <c r="B3626" s="1" t="s">
        <v>324</v>
      </c>
      <c r="C3626" s="1" t="s">
        <v>10501</v>
      </c>
      <c r="D3626" s="1" t="s">
        <v>103</v>
      </c>
      <c r="E3626" s="1" t="s">
        <v>29</v>
      </c>
      <c r="F3626" s="5">
        <v>248000.0</v>
      </c>
      <c r="G3626" s="1" t="s">
        <v>7016</v>
      </c>
      <c r="H3626" s="4">
        <v>44809.0</v>
      </c>
      <c r="I3626" s="1" t="s">
        <v>80</v>
      </c>
      <c r="K3626" s="1">
        <v>0.0</v>
      </c>
      <c r="L3626" s="1" t="s">
        <v>209</v>
      </c>
      <c r="M3626" s="1" t="str">
        <f>VLOOKUP(L3626,'Copy of PMD Workday Constants -'!B3625:W4311,22,false)</f>
        <v>#N/A</v>
      </c>
      <c r="N3626" s="1" t="s">
        <v>32</v>
      </c>
      <c r="O3626" s="1" t="s">
        <v>33</v>
      </c>
      <c r="P3626" s="1" t="s">
        <v>210</v>
      </c>
      <c r="Q3626" s="1" t="s">
        <v>210</v>
      </c>
      <c r="R3626" s="1" t="s">
        <v>211</v>
      </c>
      <c r="S3626" s="1" t="s">
        <v>212</v>
      </c>
      <c r="T3626" s="1">
        <v>1.00628186E8</v>
      </c>
      <c r="U3626" s="1" t="s">
        <v>10502</v>
      </c>
      <c r="V3626" s="1" t="s">
        <v>781</v>
      </c>
      <c r="W3626" s="1" t="s">
        <v>56</v>
      </c>
      <c r="X3626" s="1" t="s">
        <v>8569</v>
      </c>
    </row>
    <row r="3627">
      <c r="A3627" s="1" t="s">
        <v>10503</v>
      </c>
      <c r="B3627" s="1" t="s">
        <v>10504</v>
      </c>
      <c r="C3627" s="1" t="s">
        <v>10505</v>
      </c>
      <c r="D3627" s="1" t="s">
        <v>28</v>
      </c>
      <c r="E3627" s="1" t="s">
        <v>29</v>
      </c>
      <c r="F3627" s="5">
        <v>247500.0</v>
      </c>
      <c r="G3627" s="1" t="s">
        <v>7016</v>
      </c>
      <c r="H3627" s="1" t="s">
        <v>42</v>
      </c>
      <c r="I3627" s="4">
        <v>44573.0</v>
      </c>
      <c r="K3627" s="1">
        <v>0.0</v>
      </c>
      <c r="L3627" s="1" t="s">
        <v>1335</v>
      </c>
      <c r="M3627" s="1" t="str">
        <f>VLOOKUP(L3627,'Copy of PMD Workday Constants -'!B3626:W4312,22,false)</f>
        <v>#N/A</v>
      </c>
      <c r="N3627" s="1" t="s">
        <v>32</v>
      </c>
      <c r="O3627" s="1" t="s">
        <v>33</v>
      </c>
      <c r="P3627" s="1" t="s">
        <v>210</v>
      </c>
      <c r="Q3627" s="1" t="s">
        <v>210</v>
      </c>
      <c r="R3627" s="1" t="s">
        <v>211</v>
      </c>
      <c r="S3627" s="1" t="s">
        <v>1336</v>
      </c>
      <c r="T3627" s="1">
        <v>1.00594397E8</v>
      </c>
      <c r="W3627" s="1" t="s">
        <v>258</v>
      </c>
      <c r="X3627" s="1" t="s">
        <v>1337</v>
      </c>
    </row>
    <row r="3628">
      <c r="A3628" s="1" t="s">
        <v>10506</v>
      </c>
      <c r="B3628" s="1" t="s">
        <v>324</v>
      </c>
      <c r="C3628" s="1" t="s">
        <v>10507</v>
      </c>
      <c r="D3628" s="1" t="s">
        <v>79</v>
      </c>
      <c r="E3628" s="1" t="s">
        <v>29</v>
      </c>
      <c r="F3628" s="5">
        <v>246264.0</v>
      </c>
      <c r="G3628" s="1" t="s">
        <v>7016</v>
      </c>
      <c r="H3628" s="1" t="s">
        <v>9626</v>
      </c>
      <c r="I3628" s="1" t="s">
        <v>2485</v>
      </c>
      <c r="K3628" s="1">
        <v>0.0</v>
      </c>
      <c r="L3628" s="1" t="s">
        <v>1674</v>
      </c>
      <c r="M3628" s="1" t="str">
        <f>VLOOKUP(L3628,'Copy of PMD Workday Constants -'!B3627:W4313,22,false)</f>
        <v>#N/A</v>
      </c>
      <c r="N3628" s="1" t="s">
        <v>32</v>
      </c>
      <c r="O3628" s="1" t="s">
        <v>33</v>
      </c>
      <c r="P3628" s="1" t="s">
        <v>210</v>
      </c>
      <c r="Q3628" s="1" t="s">
        <v>210</v>
      </c>
      <c r="R3628" s="1" t="s">
        <v>211</v>
      </c>
      <c r="S3628" s="1" t="s">
        <v>212</v>
      </c>
      <c r="T3628" s="1">
        <v>1.00648421E8</v>
      </c>
      <c r="W3628" s="1" t="s">
        <v>56</v>
      </c>
      <c r="X3628" s="1" t="s">
        <v>1674</v>
      </c>
    </row>
    <row r="3629">
      <c r="A3629" s="1" t="s">
        <v>10508</v>
      </c>
      <c r="B3629" s="1" t="s">
        <v>324</v>
      </c>
      <c r="C3629" s="1" t="s">
        <v>10509</v>
      </c>
      <c r="D3629" s="1" t="s">
        <v>103</v>
      </c>
      <c r="E3629" s="1" t="s">
        <v>29</v>
      </c>
      <c r="F3629" s="5">
        <v>246125.0</v>
      </c>
      <c r="G3629" s="1" t="s">
        <v>7016</v>
      </c>
      <c r="H3629" s="1" t="s">
        <v>165</v>
      </c>
      <c r="I3629" s="1" t="s">
        <v>2485</v>
      </c>
      <c r="K3629" s="1">
        <v>0.0</v>
      </c>
      <c r="L3629" s="1" t="s">
        <v>5335</v>
      </c>
      <c r="M3629" s="1" t="str">
        <f>VLOOKUP(L3629,'Copy of PMD Workday Constants -'!B3628:W4314,22,false)</f>
        <v>#N/A</v>
      </c>
      <c r="N3629" s="1" t="s">
        <v>32</v>
      </c>
      <c r="O3629" s="1" t="s">
        <v>33</v>
      </c>
      <c r="P3629" s="1" t="s">
        <v>64</v>
      </c>
      <c r="Q3629" s="1" t="s">
        <v>64</v>
      </c>
      <c r="R3629" s="1" t="s">
        <v>65</v>
      </c>
      <c r="S3629" s="1" t="s">
        <v>98</v>
      </c>
      <c r="T3629" s="1">
        <v>1.00649463E8</v>
      </c>
      <c r="W3629" s="1" t="s">
        <v>56</v>
      </c>
      <c r="X3629" s="1" t="s">
        <v>9162</v>
      </c>
    </row>
    <row r="3630">
      <c r="A3630" s="1" t="s">
        <v>10510</v>
      </c>
      <c r="B3630" s="1" t="s">
        <v>10511</v>
      </c>
      <c r="C3630" s="1" t="s">
        <v>10512</v>
      </c>
      <c r="D3630" s="1" t="s">
        <v>103</v>
      </c>
      <c r="E3630" s="1" t="s">
        <v>29</v>
      </c>
      <c r="F3630" s="5">
        <v>245000.0</v>
      </c>
      <c r="G3630" s="1" t="s">
        <v>7016</v>
      </c>
      <c r="H3630" s="1" t="s">
        <v>1074</v>
      </c>
      <c r="I3630" s="1" t="s">
        <v>152</v>
      </c>
      <c r="K3630" s="1">
        <v>0.0</v>
      </c>
      <c r="L3630" s="1" t="s">
        <v>198</v>
      </c>
      <c r="M3630" s="1" t="str">
        <f>VLOOKUP(L3630,'Copy of PMD Workday Constants -'!B3629:W4315,22,false)</f>
        <v>#N/A</v>
      </c>
      <c r="N3630" s="1" t="s">
        <v>32</v>
      </c>
      <c r="O3630" s="1" t="s">
        <v>33</v>
      </c>
      <c r="P3630" s="1" t="s">
        <v>82</v>
      </c>
      <c r="Q3630" s="1" t="s">
        <v>82</v>
      </c>
      <c r="R3630" s="1" t="s">
        <v>83</v>
      </c>
      <c r="S3630" s="1" t="s">
        <v>180</v>
      </c>
      <c r="T3630" s="1">
        <v>1.00590896E8</v>
      </c>
      <c r="W3630" s="1" t="s">
        <v>85</v>
      </c>
      <c r="X3630" s="1" t="s">
        <v>3087</v>
      </c>
    </row>
    <row r="3631">
      <c r="A3631" s="1" t="s">
        <v>10513</v>
      </c>
      <c r="B3631" s="1" t="s">
        <v>10514</v>
      </c>
      <c r="C3631" s="1" t="s">
        <v>10515</v>
      </c>
      <c r="D3631" s="1" t="s">
        <v>51</v>
      </c>
      <c r="E3631" s="1" t="s">
        <v>29</v>
      </c>
      <c r="F3631" s="5">
        <v>245000.0</v>
      </c>
      <c r="G3631" s="1" t="s">
        <v>7016</v>
      </c>
      <c r="H3631" s="1" t="s">
        <v>8113</v>
      </c>
      <c r="I3631" s="4">
        <v>44569.0</v>
      </c>
      <c r="K3631" s="1">
        <v>0.0</v>
      </c>
      <c r="L3631" s="1" t="s">
        <v>2602</v>
      </c>
      <c r="M3631" s="1" t="str">
        <f>VLOOKUP(L3631,'Copy of PMD Workday Constants -'!B3630:W4316,22,false)</f>
        <v>#N/A</v>
      </c>
      <c r="N3631" s="1" t="s">
        <v>32</v>
      </c>
      <c r="O3631" s="1" t="s">
        <v>33</v>
      </c>
      <c r="P3631" s="1" t="s">
        <v>173</v>
      </c>
      <c r="Q3631" s="1" t="s">
        <v>173</v>
      </c>
      <c r="R3631" s="1" t="s">
        <v>174</v>
      </c>
      <c r="S3631" s="1" t="s">
        <v>383</v>
      </c>
      <c r="T3631" s="1">
        <v>1.00611351E8</v>
      </c>
      <c r="W3631" s="1" t="s">
        <v>1303</v>
      </c>
      <c r="X3631" s="1" t="s">
        <v>2914</v>
      </c>
    </row>
    <row r="3632">
      <c r="A3632" s="1" t="s">
        <v>10516</v>
      </c>
      <c r="B3632" s="1" t="s">
        <v>324</v>
      </c>
      <c r="C3632" s="1" t="s">
        <v>10517</v>
      </c>
      <c r="D3632" s="1" t="s">
        <v>28</v>
      </c>
      <c r="E3632" s="1" t="s">
        <v>29</v>
      </c>
      <c r="F3632" s="5">
        <v>240000.0</v>
      </c>
      <c r="G3632" s="1" t="s">
        <v>7016</v>
      </c>
      <c r="H3632" s="1" t="s">
        <v>563</v>
      </c>
      <c r="I3632" s="1" t="s">
        <v>1369</v>
      </c>
      <c r="K3632" s="1">
        <v>0.0</v>
      </c>
      <c r="L3632" s="1" t="s">
        <v>3333</v>
      </c>
      <c r="M3632" s="1" t="str">
        <f>VLOOKUP(L3632,'Copy of PMD Workday Constants -'!B3631:W4317,22,false)</f>
        <v>#N/A</v>
      </c>
      <c r="N3632" s="1" t="s">
        <v>32</v>
      </c>
      <c r="O3632" s="1" t="s">
        <v>33</v>
      </c>
      <c r="P3632" s="1" t="s">
        <v>210</v>
      </c>
      <c r="Q3632" s="1" t="s">
        <v>210</v>
      </c>
      <c r="R3632" s="1" t="s">
        <v>211</v>
      </c>
      <c r="S3632" s="1" t="s">
        <v>212</v>
      </c>
      <c r="T3632" s="1">
        <v>1.00636461E8</v>
      </c>
      <c r="W3632" s="1" t="s">
        <v>56</v>
      </c>
      <c r="X3632" s="1" t="s">
        <v>327</v>
      </c>
    </row>
    <row r="3633">
      <c r="A3633" s="1" t="s">
        <v>10518</v>
      </c>
      <c r="B3633" s="1" t="s">
        <v>573</v>
      </c>
      <c r="C3633" s="1" t="s">
        <v>10519</v>
      </c>
      <c r="D3633" s="1" t="s">
        <v>103</v>
      </c>
      <c r="E3633" s="1" t="s">
        <v>29</v>
      </c>
      <c r="F3633" s="5">
        <v>240000.0</v>
      </c>
      <c r="G3633" s="1" t="s">
        <v>7016</v>
      </c>
      <c r="H3633" s="1" t="s">
        <v>1064</v>
      </c>
      <c r="I3633" s="1" t="s">
        <v>104</v>
      </c>
      <c r="K3633" s="1">
        <v>0.0</v>
      </c>
      <c r="L3633" s="1" t="s">
        <v>667</v>
      </c>
      <c r="M3633" s="1" t="str">
        <f>VLOOKUP(L3633,'Copy of PMD Workday Constants -'!B3632:W4318,22,false)</f>
        <v>#N/A</v>
      </c>
      <c r="N3633" s="1" t="s">
        <v>32</v>
      </c>
      <c r="O3633" s="1" t="s">
        <v>33</v>
      </c>
      <c r="P3633" s="1" t="s">
        <v>112</v>
      </c>
      <c r="Q3633" s="1" t="s">
        <v>112</v>
      </c>
      <c r="R3633" s="1" t="s">
        <v>113</v>
      </c>
      <c r="S3633" s="1" t="s">
        <v>204</v>
      </c>
      <c r="T3633" s="1">
        <v>1.00616804E8</v>
      </c>
      <c r="W3633" s="1" t="s">
        <v>287</v>
      </c>
      <c r="X3633" s="1" t="s">
        <v>667</v>
      </c>
    </row>
    <row r="3634">
      <c r="A3634" s="1" t="s">
        <v>10520</v>
      </c>
      <c r="B3634" s="1" t="s">
        <v>507</v>
      </c>
      <c r="C3634" s="1" t="s">
        <v>10521</v>
      </c>
      <c r="D3634" s="1" t="s">
        <v>103</v>
      </c>
      <c r="E3634" s="1" t="s">
        <v>29</v>
      </c>
      <c r="F3634" s="5">
        <v>240000.0</v>
      </c>
      <c r="G3634" s="1" t="s">
        <v>7016</v>
      </c>
      <c r="H3634" s="1" t="s">
        <v>375</v>
      </c>
      <c r="I3634" s="1" t="s">
        <v>132</v>
      </c>
      <c r="K3634" s="1">
        <v>0.0</v>
      </c>
      <c r="L3634" s="1" t="s">
        <v>1635</v>
      </c>
      <c r="M3634" s="1" t="str">
        <f>VLOOKUP(L3634,'Copy of PMD Workday Constants -'!B3633:W4319,22,false)</f>
        <v>#N/A</v>
      </c>
      <c r="N3634" s="1" t="s">
        <v>32</v>
      </c>
      <c r="O3634" s="1" t="s">
        <v>33</v>
      </c>
      <c r="P3634" s="1" t="s">
        <v>34</v>
      </c>
      <c r="Q3634" s="1" t="s">
        <v>34</v>
      </c>
      <c r="R3634" s="1" t="s">
        <v>35</v>
      </c>
      <c r="T3634" s="1">
        <v>1.00656371E8</v>
      </c>
      <c r="W3634" s="1" t="s">
        <v>456</v>
      </c>
      <c r="X3634" s="1" t="s">
        <v>4015</v>
      </c>
    </row>
    <row r="3635">
      <c r="A3635" s="1" t="s">
        <v>10522</v>
      </c>
      <c r="B3635" s="1" t="s">
        <v>1062</v>
      </c>
      <c r="C3635" s="1" t="s">
        <v>10523</v>
      </c>
      <c r="D3635" s="1" t="s">
        <v>79</v>
      </c>
      <c r="E3635" s="1" t="s">
        <v>29</v>
      </c>
      <c r="F3635" s="5">
        <v>240000.0</v>
      </c>
      <c r="G3635" s="1" t="s">
        <v>7016</v>
      </c>
      <c r="H3635" s="1" t="s">
        <v>2360</v>
      </c>
      <c r="I3635" s="1" t="s">
        <v>80</v>
      </c>
      <c r="K3635" s="1">
        <v>0.0</v>
      </c>
      <c r="L3635" s="1" t="s">
        <v>4873</v>
      </c>
      <c r="M3635" s="1" t="str">
        <f>VLOOKUP(L3635,'Copy of PMD Workday Constants -'!B3634:W4320,22,false)</f>
        <v>#N/A</v>
      </c>
      <c r="N3635" s="1" t="s">
        <v>32</v>
      </c>
      <c r="O3635" s="1" t="s">
        <v>33</v>
      </c>
      <c r="P3635" s="1" t="s">
        <v>34</v>
      </c>
      <c r="Q3635" s="1" t="s">
        <v>34</v>
      </c>
      <c r="R3635" s="1" t="s">
        <v>35</v>
      </c>
      <c r="S3635" s="1" t="s">
        <v>540</v>
      </c>
      <c r="T3635" s="1">
        <v>1.00587881E8</v>
      </c>
      <c r="W3635" s="1" t="s">
        <v>493</v>
      </c>
      <c r="X3635" s="1" t="s">
        <v>9234</v>
      </c>
    </row>
    <row r="3636">
      <c r="A3636" s="1" t="s">
        <v>10524</v>
      </c>
      <c r="B3636" s="1" t="s">
        <v>324</v>
      </c>
      <c r="C3636" s="1" t="s">
        <v>10525</v>
      </c>
      <c r="D3636" s="1" t="s">
        <v>28</v>
      </c>
      <c r="E3636" s="1" t="s">
        <v>29</v>
      </c>
      <c r="F3636" s="5">
        <v>240000.0</v>
      </c>
      <c r="G3636" s="1" t="s">
        <v>7016</v>
      </c>
      <c r="H3636" s="4">
        <v>44567.0</v>
      </c>
      <c r="I3636" s="1" t="s">
        <v>152</v>
      </c>
      <c r="K3636" s="1">
        <v>0.0</v>
      </c>
      <c r="L3636" s="1" t="s">
        <v>5194</v>
      </c>
      <c r="M3636" s="1" t="str">
        <f>VLOOKUP(L3636,'Copy of PMD Workday Constants -'!B3635:W4321,22,false)</f>
        <v>#N/A</v>
      </c>
      <c r="N3636" s="1" t="s">
        <v>32</v>
      </c>
      <c r="O3636" s="1" t="s">
        <v>33</v>
      </c>
      <c r="P3636" s="1" t="s">
        <v>173</v>
      </c>
      <c r="Q3636" s="1" t="s">
        <v>173</v>
      </c>
      <c r="R3636" s="1" t="s">
        <v>174</v>
      </c>
      <c r="S3636" s="1" t="s">
        <v>540</v>
      </c>
      <c r="T3636" s="1">
        <v>1.00609393E8</v>
      </c>
      <c r="W3636" s="1" t="s">
        <v>56</v>
      </c>
      <c r="X3636" s="1" t="s">
        <v>2487</v>
      </c>
    </row>
    <row r="3637">
      <c r="A3637" s="1" t="s">
        <v>10526</v>
      </c>
      <c r="B3637" s="1" t="s">
        <v>507</v>
      </c>
      <c r="C3637" s="1" t="s">
        <v>10527</v>
      </c>
      <c r="D3637" s="1" t="s">
        <v>51</v>
      </c>
      <c r="E3637" s="1" t="s">
        <v>29</v>
      </c>
      <c r="F3637" s="5">
        <v>240000.0</v>
      </c>
      <c r="G3637" s="1" t="s">
        <v>7016</v>
      </c>
      <c r="H3637" s="4">
        <v>44870.0</v>
      </c>
      <c r="I3637" s="4">
        <v>44570.0</v>
      </c>
      <c r="K3637" s="1">
        <v>0.0</v>
      </c>
      <c r="L3637" s="1" t="s">
        <v>1635</v>
      </c>
      <c r="M3637" s="1" t="str">
        <f>VLOOKUP(L3637,'Copy of PMD Workday Constants -'!B3636:W4322,22,false)</f>
        <v>#N/A</v>
      </c>
      <c r="N3637" s="1" t="s">
        <v>32</v>
      </c>
      <c r="O3637" s="1" t="s">
        <v>33</v>
      </c>
      <c r="P3637" s="1" t="s">
        <v>34</v>
      </c>
      <c r="Q3637" s="1" t="s">
        <v>34</v>
      </c>
      <c r="R3637" s="1" t="s">
        <v>35</v>
      </c>
      <c r="T3637" s="1">
        <v>1.00656371E8</v>
      </c>
      <c r="W3637" s="1" t="s">
        <v>456</v>
      </c>
      <c r="X3637" s="1" t="s">
        <v>4015</v>
      </c>
    </row>
    <row r="3638">
      <c r="A3638" s="1" t="s">
        <v>10528</v>
      </c>
      <c r="B3638" s="1" t="s">
        <v>9008</v>
      </c>
      <c r="C3638" s="1" t="s">
        <v>10529</v>
      </c>
      <c r="D3638" s="1" t="s">
        <v>28</v>
      </c>
      <c r="E3638" s="1" t="s">
        <v>29</v>
      </c>
      <c r="F3638" s="5">
        <v>237716.0</v>
      </c>
      <c r="G3638" s="1" t="s">
        <v>7016</v>
      </c>
      <c r="H3638" s="4">
        <v>44475.0</v>
      </c>
      <c r="I3638" s="1" t="s">
        <v>166</v>
      </c>
      <c r="J3638" s="6">
        <v>44475.05902777778</v>
      </c>
      <c r="K3638" s="1">
        <v>0.0</v>
      </c>
      <c r="L3638" s="1" t="s">
        <v>4159</v>
      </c>
      <c r="M3638" s="1" t="str">
        <f>VLOOKUP(L3638,'Copy of PMD Workday Constants -'!B3637:W4323,22,false)</f>
        <v>#N/A</v>
      </c>
      <c r="N3638" s="1" t="s">
        <v>32</v>
      </c>
      <c r="O3638" s="1" t="s">
        <v>33</v>
      </c>
      <c r="P3638" s="1" t="s">
        <v>222</v>
      </c>
      <c r="Q3638" s="1" t="s">
        <v>222</v>
      </c>
      <c r="R3638" s="1" t="s">
        <v>223</v>
      </c>
      <c r="S3638" s="1" t="s">
        <v>482</v>
      </c>
      <c r="T3638" s="1">
        <v>1.00888587E8</v>
      </c>
      <c r="U3638" s="1" t="s">
        <v>9009</v>
      </c>
      <c r="V3638" s="1" t="s">
        <v>346</v>
      </c>
      <c r="W3638" s="1" t="s">
        <v>140</v>
      </c>
      <c r="X3638" s="1" t="s">
        <v>817</v>
      </c>
    </row>
    <row r="3639">
      <c r="A3639" s="1" t="s">
        <v>10530</v>
      </c>
      <c r="B3639" s="1" t="s">
        <v>9008</v>
      </c>
      <c r="C3639" s="1" t="s">
        <v>10531</v>
      </c>
      <c r="D3639" s="1" t="s">
        <v>28</v>
      </c>
      <c r="E3639" s="1" t="s">
        <v>29</v>
      </c>
      <c r="F3639" s="5">
        <v>237716.0</v>
      </c>
      <c r="G3639" s="1" t="s">
        <v>7016</v>
      </c>
      <c r="H3639" s="4">
        <v>44475.0</v>
      </c>
      <c r="I3639" s="1" t="s">
        <v>171</v>
      </c>
      <c r="J3639" s="6">
        <v>44475.05902777778</v>
      </c>
      <c r="K3639" s="1">
        <v>0.0</v>
      </c>
      <c r="L3639" s="1" t="s">
        <v>4159</v>
      </c>
      <c r="M3639" s="1" t="str">
        <f>VLOOKUP(L3639,'Copy of PMD Workday Constants -'!B3638:W4324,22,false)</f>
        <v>#N/A</v>
      </c>
      <c r="N3639" s="1" t="s">
        <v>32</v>
      </c>
      <c r="O3639" s="1" t="s">
        <v>33</v>
      </c>
      <c r="P3639" s="1" t="s">
        <v>222</v>
      </c>
      <c r="Q3639" s="1" t="s">
        <v>222</v>
      </c>
      <c r="R3639" s="1" t="s">
        <v>223</v>
      </c>
      <c r="S3639" s="1" t="s">
        <v>482</v>
      </c>
      <c r="T3639" s="1">
        <v>1.00888587E8</v>
      </c>
      <c r="U3639" s="1" t="s">
        <v>10529</v>
      </c>
      <c r="V3639" s="1" t="s">
        <v>346</v>
      </c>
      <c r="W3639" s="1" t="s">
        <v>140</v>
      </c>
      <c r="X3639" s="1" t="s">
        <v>817</v>
      </c>
    </row>
    <row r="3640">
      <c r="A3640" s="1" t="s">
        <v>10532</v>
      </c>
      <c r="B3640" s="1" t="s">
        <v>10533</v>
      </c>
      <c r="C3640" s="1" t="s">
        <v>10534</v>
      </c>
      <c r="D3640" s="1" t="s">
        <v>103</v>
      </c>
      <c r="E3640" s="1" t="s">
        <v>29</v>
      </c>
      <c r="F3640" s="5">
        <v>234000.0</v>
      </c>
      <c r="G3640" s="1" t="s">
        <v>7016</v>
      </c>
      <c r="H3640" s="1" t="s">
        <v>9626</v>
      </c>
      <c r="I3640" s="4">
        <v>44567.0</v>
      </c>
      <c r="K3640" s="1">
        <v>0.0</v>
      </c>
      <c r="L3640" s="1" t="s">
        <v>4217</v>
      </c>
      <c r="M3640" s="1" t="str">
        <f>VLOOKUP(L3640,'Copy of PMD Workday Constants -'!B3639:W4325,22,false)</f>
        <v>#N/A</v>
      </c>
      <c r="N3640" s="1" t="s">
        <v>32</v>
      </c>
      <c r="O3640" s="1" t="s">
        <v>33</v>
      </c>
      <c r="P3640" s="1" t="s">
        <v>222</v>
      </c>
      <c r="Q3640" s="1" t="s">
        <v>222</v>
      </c>
      <c r="R3640" s="1" t="s">
        <v>223</v>
      </c>
      <c r="S3640" s="1" t="s">
        <v>482</v>
      </c>
      <c r="T3640" s="1">
        <v>1.0065605E8</v>
      </c>
      <c r="W3640" s="1" t="s">
        <v>47</v>
      </c>
      <c r="X3640" s="1" t="s">
        <v>9490</v>
      </c>
    </row>
    <row r="3641">
      <c r="A3641" s="1" t="s">
        <v>10535</v>
      </c>
      <c r="B3641" s="1" t="s">
        <v>10536</v>
      </c>
      <c r="C3641" s="1" t="s">
        <v>10537</v>
      </c>
      <c r="D3641" s="1" t="s">
        <v>103</v>
      </c>
      <c r="E3641" s="1" t="s">
        <v>29</v>
      </c>
      <c r="F3641" s="5">
        <v>232845.1</v>
      </c>
      <c r="G3641" s="1" t="s">
        <v>7016</v>
      </c>
      <c r="H3641" s="4">
        <v>44745.0</v>
      </c>
      <c r="I3641" s="1" t="s">
        <v>526</v>
      </c>
      <c r="K3641" s="1">
        <v>0.0</v>
      </c>
      <c r="L3641" s="1" t="s">
        <v>10538</v>
      </c>
      <c r="M3641" s="1" t="str">
        <f>VLOOKUP(L3641,'Copy of PMD Workday Constants -'!B3640:W4326,22,false)</f>
        <v>#N/A</v>
      </c>
      <c r="N3641" s="1" t="s">
        <v>32</v>
      </c>
      <c r="O3641" s="1" t="s">
        <v>33</v>
      </c>
      <c r="P3641" s="1" t="s">
        <v>5253</v>
      </c>
      <c r="Q3641" s="1" t="s">
        <v>5253</v>
      </c>
      <c r="R3641" s="1" t="s">
        <v>211</v>
      </c>
      <c r="T3641" s="1">
        <v>1.00614269E8</v>
      </c>
      <c r="W3641" s="1" t="s">
        <v>115</v>
      </c>
      <c r="X3641" s="1" t="s">
        <v>10539</v>
      </c>
    </row>
    <row r="3642">
      <c r="A3642" s="1" t="s">
        <v>10540</v>
      </c>
      <c r="B3642" s="1" t="s">
        <v>2912</v>
      </c>
      <c r="C3642" s="1" t="s">
        <v>10541</v>
      </c>
      <c r="D3642" s="1" t="s">
        <v>51</v>
      </c>
      <c r="E3642" s="1" t="s">
        <v>29</v>
      </c>
      <c r="F3642" s="5">
        <v>230000.0</v>
      </c>
      <c r="G3642" s="1" t="s">
        <v>7016</v>
      </c>
      <c r="H3642" s="1" t="s">
        <v>10542</v>
      </c>
      <c r="I3642" s="1" t="s">
        <v>104</v>
      </c>
      <c r="K3642" s="1">
        <v>0.0</v>
      </c>
      <c r="L3642" s="1" t="s">
        <v>2602</v>
      </c>
      <c r="M3642" s="1" t="str">
        <f>VLOOKUP(L3642,'Copy of PMD Workday Constants -'!B3641:W4327,22,false)</f>
        <v>#N/A</v>
      </c>
      <c r="N3642" s="1" t="s">
        <v>32</v>
      </c>
      <c r="O3642" s="1" t="s">
        <v>33</v>
      </c>
      <c r="P3642" s="1" t="s">
        <v>173</v>
      </c>
      <c r="Q3642" s="1" t="s">
        <v>173</v>
      </c>
      <c r="R3642" s="1" t="s">
        <v>174</v>
      </c>
      <c r="S3642" s="1" t="s">
        <v>383</v>
      </c>
      <c r="T3642" s="1">
        <v>1.00611351E8</v>
      </c>
      <c r="W3642" s="1" t="s">
        <v>1303</v>
      </c>
      <c r="X3642" s="1" t="s">
        <v>8243</v>
      </c>
    </row>
    <row r="3643">
      <c r="A3643" s="1" t="s">
        <v>10543</v>
      </c>
      <c r="B3643" s="1" t="s">
        <v>507</v>
      </c>
      <c r="C3643" s="1" t="s">
        <v>10544</v>
      </c>
      <c r="D3643" s="1" t="s">
        <v>103</v>
      </c>
      <c r="E3643" s="1" t="s">
        <v>29</v>
      </c>
      <c r="F3643" s="5">
        <v>230000.0</v>
      </c>
      <c r="G3643" s="1" t="s">
        <v>7016</v>
      </c>
      <c r="H3643" s="1" t="s">
        <v>5241</v>
      </c>
      <c r="I3643" s="1" t="s">
        <v>104</v>
      </c>
      <c r="K3643" s="1">
        <v>0.0</v>
      </c>
      <c r="L3643" s="1" t="s">
        <v>5415</v>
      </c>
      <c r="M3643" s="1" t="str">
        <f>VLOOKUP(L3643,'Copy of PMD Workday Constants -'!B3642:W4328,22,false)</f>
        <v>#N/A</v>
      </c>
      <c r="N3643" s="1" t="s">
        <v>32</v>
      </c>
      <c r="O3643" s="1" t="s">
        <v>33</v>
      </c>
      <c r="P3643" s="1" t="s">
        <v>222</v>
      </c>
      <c r="Q3643" s="1" t="s">
        <v>222</v>
      </c>
      <c r="R3643" s="1" t="s">
        <v>223</v>
      </c>
      <c r="S3643" s="1" t="s">
        <v>601</v>
      </c>
      <c r="T3643" s="1">
        <v>1.00933537E8</v>
      </c>
      <c r="W3643" s="1" t="s">
        <v>456</v>
      </c>
      <c r="X3643" s="1" t="s">
        <v>10445</v>
      </c>
    </row>
    <row r="3644">
      <c r="A3644" s="1" t="s">
        <v>10545</v>
      </c>
      <c r="B3644" s="1" t="s">
        <v>9439</v>
      </c>
      <c r="C3644" s="1" t="s">
        <v>10546</v>
      </c>
      <c r="D3644" s="1" t="s">
        <v>79</v>
      </c>
      <c r="E3644" s="1" t="s">
        <v>29</v>
      </c>
      <c r="F3644" s="5">
        <v>230000.0</v>
      </c>
      <c r="G3644" s="1" t="s">
        <v>7016</v>
      </c>
      <c r="H3644" s="1" t="s">
        <v>810</v>
      </c>
      <c r="I3644" s="4">
        <v>44626.0</v>
      </c>
      <c r="K3644" s="1">
        <v>0.0</v>
      </c>
      <c r="L3644" s="1" t="s">
        <v>2205</v>
      </c>
      <c r="M3644" s="1" t="str">
        <f>VLOOKUP(L3644,'Copy of PMD Workday Constants -'!B3643:W4329,22,false)</f>
        <v>#N/A</v>
      </c>
      <c r="N3644" s="1" t="s">
        <v>32</v>
      </c>
      <c r="O3644" s="1" t="s">
        <v>33</v>
      </c>
      <c r="P3644" s="1" t="s">
        <v>112</v>
      </c>
      <c r="Q3644" s="1" t="s">
        <v>112</v>
      </c>
      <c r="R3644" s="1" t="s">
        <v>113</v>
      </c>
      <c r="S3644" s="1" t="s">
        <v>307</v>
      </c>
      <c r="T3644" s="1">
        <v>1.0059365E8</v>
      </c>
      <c r="W3644" s="1" t="s">
        <v>74</v>
      </c>
      <c r="X3644" s="1" t="s">
        <v>10547</v>
      </c>
    </row>
    <row r="3645">
      <c r="A3645" s="1" t="s">
        <v>10548</v>
      </c>
      <c r="B3645" s="1" t="s">
        <v>549</v>
      </c>
      <c r="C3645" s="1" t="s">
        <v>2306</v>
      </c>
      <c r="D3645" s="1" t="s">
        <v>103</v>
      </c>
      <c r="E3645" s="1" t="s">
        <v>29</v>
      </c>
      <c r="F3645" s="5">
        <v>230000.0</v>
      </c>
      <c r="G3645" s="1" t="s">
        <v>7016</v>
      </c>
      <c r="H3645" s="1" t="s">
        <v>3234</v>
      </c>
      <c r="I3645" s="1" t="s">
        <v>998</v>
      </c>
      <c r="K3645" s="1">
        <v>0.0</v>
      </c>
      <c r="L3645" s="1" t="s">
        <v>1075</v>
      </c>
      <c r="M3645" s="1" t="str">
        <f>VLOOKUP(L3645,'Copy of PMD Workday Constants -'!B3644:W4330,22,false)</f>
        <v>#N/A</v>
      </c>
      <c r="N3645" s="1" t="s">
        <v>32</v>
      </c>
      <c r="O3645" s="1" t="s">
        <v>33</v>
      </c>
      <c r="P3645" s="1" t="s">
        <v>34</v>
      </c>
      <c r="Q3645" s="1" t="s">
        <v>34</v>
      </c>
      <c r="R3645" s="1" t="s">
        <v>35</v>
      </c>
      <c r="S3645" s="1" t="s">
        <v>36</v>
      </c>
      <c r="T3645" s="1">
        <v>1.00601386E8</v>
      </c>
      <c r="V3645" s="1" t="s">
        <v>67</v>
      </c>
      <c r="W3645" s="1" t="s">
        <v>91</v>
      </c>
      <c r="X3645" s="1" t="s">
        <v>338</v>
      </c>
    </row>
    <row r="3646">
      <c r="A3646" s="1" t="s">
        <v>10549</v>
      </c>
      <c r="B3646" s="1" t="s">
        <v>324</v>
      </c>
      <c r="C3646" s="1" t="s">
        <v>10550</v>
      </c>
      <c r="D3646" s="1" t="s">
        <v>51</v>
      </c>
      <c r="E3646" s="1" t="s">
        <v>29</v>
      </c>
      <c r="F3646" s="5">
        <v>230000.0</v>
      </c>
      <c r="G3646" s="1" t="s">
        <v>7016</v>
      </c>
      <c r="H3646" s="4">
        <v>44809.0</v>
      </c>
      <c r="I3646" s="4">
        <v>44626.0</v>
      </c>
      <c r="K3646" s="1">
        <v>0.0</v>
      </c>
      <c r="L3646" s="1" t="s">
        <v>3994</v>
      </c>
      <c r="M3646" s="1" t="str">
        <f>VLOOKUP(L3646,'Copy of PMD Workday Constants -'!B3645:W4331,22,false)</f>
        <v>#N/A</v>
      </c>
      <c r="N3646" s="1" t="s">
        <v>32</v>
      </c>
      <c r="O3646" s="1" t="s">
        <v>33</v>
      </c>
      <c r="P3646" s="1" t="s">
        <v>210</v>
      </c>
      <c r="Q3646" s="1" t="s">
        <v>210</v>
      </c>
      <c r="R3646" s="1" t="s">
        <v>211</v>
      </c>
      <c r="S3646" s="1" t="s">
        <v>1313</v>
      </c>
      <c r="T3646" s="1">
        <v>1.00646809E8</v>
      </c>
      <c r="W3646" s="1" t="s">
        <v>56</v>
      </c>
      <c r="X3646" s="1" t="s">
        <v>4172</v>
      </c>
    </row>
    <row r="3647">
      <c r="A3647" s="1" t="s">
        <v>10551</v>
      </c>
      <c r="B3647" s="1" t="s">
        <v>673</v>
      </c>
      <c r="C3647" s="1" t="s">
        <v>10552</v>
      </c>
      <c r="D3647" s="1" t="s">
        <v>28</v>
      </c>
      <c r="E3647" s="1" t="s">
        <v>29</v>
      </c>
      <c r="F3647" s="5">
        <v>230000.0</v>
      </c>
      <c r="G3647" s="1" t="s">
        <v>7016</v>
      </c>
      <c r="H3647" s="4">
        <v>43865.0</v>
      </c>
      <c r="I3647" s="1" t="s">
        <v>217</v>
      </c>
      <c r="K3647" s="1">
        <v>0.0</v>
      </c>
      <c r="L3647" s="1" t="s">
        <v>2970</v>
      </c>
      <c r="M3647" s="1" t="str">
        <f>VLOOKUP(L3647,'Copy of PMD Workday Constants -'!B3646:W4332,22,false)</f>
        <v>#N/A</v>
      </c>
      <c r="N3647" s="1" t="s">
        <v>32</v>
      </c>
      <c r="O3647" s="1" t="s">
        <v>33</v>
      </c>
      <c r="P3647" s="1" t="s">
        <v>173</v>
      </c>
      <c r="Q3647" s="1" t="s">
        <v>173</v>
      </c>
      <c r="R3647" s="1" t="s">
        <v>174</v>
      </c>
      <c r="S3647" s="1" t="s">
        <v>540</v>
      </c>
      <c r="T3647" s="1">
        <v>1.00616377E8</v>
      </c>
      <c r="W3647" s="1" t="s">
        <v>47</v>
      </c>
      <c r="X3647" s="1" t="s">
        <v>505</v>
      </c>
    </row>
    <row r="3648">
      <c r="A3648" s="1" t="s">
        <v>10553</v>
      </c>
      <c r="B3648" s="1" t="s">
        <v>10554</v>
      </c>
      <c r="C3648" s="1" t="s">
        <v>10555</v>
      </c>
      <c r="D3648" s="1" t="s">
        <v>103</v>
      </c>
      <c r="E3648" s="1" t="s">
        <v>29</v>
      </c>
      <c r="F3648" s="5">
        <v>230000.0</v>
      </c>
      <c r="G3648" s="1" t="s">
        <v>7016</v>
      </c>
      <c r="H3648" s="1" t="s">
        <v>1245</v>
      </c>
      <c r="I3648" s="1" t="s">
        <v>1349</v>
      </c>
      <c r="K3648" s="1">
        <v>0.0</v>
      </c>
      <c r="L3648" s="1" t="s">
        <v>4138</v>
      </c>
      <c r="M3648" s="1" t="str">
        <f>VLOOKUP(L3648,'Copy of PMD Workday Constants -'!B3647:W4333,22,false)</f>
        <v>#N/A</v>
      </c>
      <c r="N3648" s="1" t="s">
        <v>32</v>
      </c>
      <c r="O3648" s="1" t="s">
        <v>33</v>
      </c>
      <c r="P3648" s="1" t="s">
        <v>173</v>
      </c>
      <c r="Q3648" s="1" t="s">
        <v>173</v>
      </c>
      <c r="R3648" s="1" t="s">
        <v>174</v>
      </c>
      <c r="T3648" s="1">
        <v>1.00910245E8</v>
      </c>
      <c r="W3648" s="1" t="s">
        <v>456</v>
      </c>
      <c r="X3648" s="1" t="s">
        <v>10556</v>
      </c>
    </row>
    <row r="3649">
      <c r="A3649" s="1" t="s">
        <v>10557</v>
      </c>
      <c r="B3649" s="1" t="s">
        <v>1058</v>
      </c>
      <c r="C3649" s="1" t="s">
        <v>10558</v>
      </c>
      <c r="D3649" s="1" t="s">
        <v>79</v>
      </c>
      <c r="E3649" s="1" t="s">
        <v>29</v>
      </c>
      <c r="F3649" s="5">
        <v>227950.0</v>
      </c>
      <c r="G3649" s="1" t="s">
        <v>7016</v>
      </c>
      <c r="H3649" s="1" t="s">
        <v>1287</v>
      </c>
      <c r="I3649" s="1" t="s">
        <v>526</v>
      </c>
      <c r="K3649" s="1">
        <v>0.0</v>
      </c>
      <c r="L3649" s="1" t="s">
        <v>4438</v>
      </c>
      <c r="M3649" s="1" t="str">
        <f>VLOOKUP(L3649,'Copy of PMD Workday Constants -'!B3648:W4334,22,false)</f>
        <v>#N/A</v>
      </c>
      <c r="N3649" s="1" t="s">
        <v>32</v>
      </c>
      <c r="O3649" s="1" t="s">
        <v>33</v>
      </c>
      <c r="P3649" s="1" t="s">
        <v>34</v>
      </c>
      <c r="Q3649" s="1" t="s">
        <v>34</v>
      </c>
      <c r="R3649" s="1" t="s">
        <v>35</v>
      </c>
      <c r="T3649" s="1">
        <v>1.01088701E8</v>
      </c>
      <c r="W3649" s="1" t="s">
        <v>147</v>
      </c>
      <c r="X3649" s="1" t="s">
        <v>1423</v>
      </c>
    </row>
    <row r="3650">
      <c r="A3650" s="1" t="s">
        <v>10559</v>
      </c>
      <c r="B3650" s="1" t="s">
        <v>7937</v>
      </c>
      <c r="C3650" s="1" t="s">
        <v>10560</v>
      </c>
      <c r="D3650" s="1" t="s">
        <v>103</v>
      </c>
      <c r="E3650" s="1" t="s">
        <v>29</v>
      </c>
      <c r="F3650" s="5">
        <v>225722.31</v>
      </c>
      <c r="G3650" s="1" t="s">
        <v>7016</v>
      </c>
      <c r="H3650" s="1" t="s">
        <v>1254</v>
      </c>
      <c r="I3650" s="1" t="s">
        <v>104</v>
      </c>
      <c r="K3650" s="1">
        <v>0.0</v>
      </c>
      <c r="L3650" s="1" t="s">
        <v>9033</v>
      </c>
      <c r="M3650" s="1" t="str">
        <f>VLOOKUP(L3650,'Copy of PMD Workday Constants -'!B3649:W4335,22,false)</f>
        <v>#N/A</v>
      </c>
      <c r="N3650" s="1" t="s">
        <v>32</v>
      </c>
      <c r="O3650" s="1" t="s">
        <v>33</v>
      </c>
      <c r="P3650" s="1" t="s">
        <v>5253</v>
      </c>
      <c r="Q3650" s="1" t="s">
        <v>5253</v>
      </c>
      <c r="R3650" s="1" t="s">
        <v>211</v>
      </c>
      <c r="T3650" s="1">
        <v>1.01146755E8</v>
      </c>
      <c r="W3650" s="1" t="s">
        <v>258</v>
      </c>
      <c r="X3650" s="1" t="s">
        <v>10539</v>
      </c>
    </row>
    <row r="3651">
      <c r="A3651" s="1" t="s">
        <v>10561</v>
      </c>
      <c r="B3651" s="1" t="s">
        <v>765</v>
      </c>
      <c r="C3651" s="1" t="s">
        <v>10562</v>
      </c>
      <c r="D3651" s="1" t="s">
        <v>51</v>
      </c>
      <c r="E3651" s="1" t="s">
        <v>29</v>
      </c>
      <c r="F3651" s="5">
        <v>225000.0</v>
      </c>
      <c r="G3651" s="1" t="s">
        <v>7016</v>
      </c>
      <c r="H3651" s="1" t="s">
        <v>170</v>
      </c>
      <c r="I3651" s="1" t="s">
        <v>1134</v>
      </c>
      <c r="K3651" s="1">
        <v>0.0</v>
      </c>
      <c r="L3651" s="1" t="s">
        <v>4937</v>
      </c>
      <c r="M3651" s="1" t="str">
        <f>VLOOKUP(L3651,'Copy of PMD Workday Constants -'!B3650:W4336,22,false)</f>
        <v>#N/A</v>
      </c>
      <c r="N3651" s="1" t="s">
        <v>32</v>
      </c>
      <c r="O3651" s="1" t="s">
        <v>33</v>
      </c>
      <c r="P3651" s="1" t="s">
        <v>34</v>
      </c>
      <c r="Q3651" s="1" t="s">
        <v>34</v>
      </c>
      <c r="R3651" s="1" t="s">
        <v>35</v>
      </c>
      <c r="S3651" s="1" t="s">
        <v>1336</v>
      </c>
      <c r="T3651" s="1">
        <v>1.00644939E8</v>
      </c>
      <c r="W3651" s="1" t="s">
        <v>456</v>
      </c>
      <c r="X3651" s="1" t="s">
        <v>4392</v>
      </c>
    </row>
    <row r="3652">
      <c r="A3652" s="1" t="s">
        <v>10563</v>
      </c>
      <c r="B3652" s="1" t="s">
        <v>1184</v>
      </c>
      <c r="C3652" s="1" t="s">
        <v>10564</v>
      </c>
      <c r="D3652" s="1" t="s">
        <v>103</v>
      </c>
      <c r="E3652" s="1" t="s">
        <v>29</v>
      </c>
      <c r="F3652" s="5">
        <v>225000.0</v>
      </c>
      <c r="G3652" s="1" t="s">
        <v>7016</v>
      </c>
      <c r="H3652" s="1" t="s">
        <v>1265</v>
      </c>
      <c r="I3652" s="1" t="s">
        <v>302</v>
      </c>
      <c r="K3652" s="1">
        <v>0.0</v>
      </c>
      <c r="L3652" s="1" t="s">
        <v>5344</v>
      </c>
      <c r="M3652" s="1" t="str">
        <f>VLOOKUP(L3652,'Copy of PMD Workday Constants -'!B3651:W4337,22,false)</f>
        <v>#N/A</v>
      </c>
      <c r="N3652" s="1" t="s">
        <v>32</v>
      </c>
      <c r="O3652" s="1" t="s">
        <v>33</v>
      </c>
      <c r="P3652" s="1" t="s">
        <v>210</v>
      </c>
      <c r="Q3652" s="1" t="s">
        <v>210</v>
      </c>
      <c r="R3652" s="1" t="s">
        <v>211</v>
      </c>
      <c r="S3652" s="1" t="s">
        <v>212</v>
      </c>
      <c r="T3652" s="1">
        <v>1.0064547E8</v>
      </c>
      <c r="W3652" s="1" t="s">
        <v>56</v>
      </c>
      <c r="X3652" s="1" t="s">
        <v>8569</v>
      </c>
    </row>
    <row r="3653">
      <c r="A3653" s="1" t="s">
        <v>10565</v>
      </c>
      <c r="B3653" s="1" t="s">
        <v>10566</v>
      </c>
      <c r="C3653" s="1" t="s">
        <v>10567</v>
      </c>
      <c r="D3653" s="1" t="s">
        <v>28</v>
      </c>
      <c r="E3653" s="1" t="s">
        <v>29</v>
      </c>
      <c r="F3653" s="5">
        <v>225000.0</v>
      </c>
      <c r="G3653" s="1" t="s">
        <v>7016</v>
      </c>
      <c r="H3653" s="1" t="s">
        <v>587</v>
      </c>
      <c r="I3653" s="4">
        <v>44569.0</v>
      </c>
      <c r="K3653" s="1">
        <v>0.0</v>
      </c>
      <c r="L3653" s="1" t="s">
        <v>893</v>
      </c>
      <c r="M3653" s="1" t="str">
        <f>VLOOKUP(L3653,'Copy of PMD Workday Constants -'!B3652:W4338,22,false)</f>
        <v>#N/A</v>
      </c>
      <c r="N3653" s="1" t="s">
        <v>32</v>
      </c>
      <c r="O3653" s="1" t="s">
        <v>33</v>
      </c>
      <c r="P3653" s="1" t="s">
        <v>82</v>
      </c>
      <c r="Q3653" s="1" t="s">
        <v>82</v>
      </c>
      <c r="R3653" s="1" t="s">
        <v>83</v>
      </c>
      <c r="S3653" s="1" t="s">
        <v>180</v>
      </c>
      <c r="T3653" s="1">
        <v>1.0112897E8</v>
      </c>
      <c r="W3653" s="1" t="s">
        <v>85</v>
      </c>
      <c r="X3653" s="1" t="s">
        <v>4124</v>
      </c>
    </row>
    <row r="3654">
      <c r="A3654" s="1" t="s">
        <v>10568</v>
      </c>
      <c r="B3654" s="1" t="s">
        <v>160</v>
      </c>
      <c r="C3654" s="1" t="s">
        <v>10569</v>
      </c>
      <c r="D3654" s="1" t="s">
        <v>51</v>
      </c>
      <c r="E3654" s="1" t="s">
        <v>29</v>
      </c>
      <c r="F3654" s="5">
        <v>225000.0</v>
      </c>
      <c r="G3654" s="1" t="s">
        <v>7016</v>
      </c>
      <c r="H3654" s="1" t="s">
        <v>4103</v>
      </c>
      <c r="I3654" s="1" t="s">
        <v>509</v>
      </c>
      <c r="K3654" s="1">
        <v>0.0</v>
      </c>
      <c r="L3654" s="1" t="s">
        <v>4925</v>
      </c>
      <c r="M3654" s="1" t="str">
        <f>VLOOKUP(L3654,'Copy of PMD Workday Constants -'!B3653:W4339,22,false)</f>
        <v>#N/A</v>
      </c>
      <c r="N3654" s="1" t="s">
        <v>32</v>
      </c>
      <c r="O3654" s="1" t="s">
        <v>33</v>
      </c>
      <c r="P3654" s="1" t="s">
        <v>210</v>
      </c>
      <c r="Q3654" s="1" t="s">
        <v>210</v>
      </c>
      <c r="R3654" s="1" t="s">
        <v>211</v>
      </c>
      <c r="T3654" s="1">
        <v>1.00646035E8</v>
      </c>
      <c r="W3654" s="1" t="s">
        <v>56</v>
      </c>
      <c r="X3654" s="1" t="s">
        <v>4925</v>
      </c>
    </row>
    <row r="3655">
      <c r="A3655" s="1" t="s">
        <v>10570</v>
      </c>
      <c r="B3655" s="1" t="s">
        <v>373</v>
      </c>
      <c r="C3655" s="1" t="s">
        <v>10571</v>
      </c>
      <c r="D3655" s="1" t="s">
        <v>51</v>
      </c>
      <c r="E3655" s="1" t="s">
        <v>29</v>
      </c>
      <c r="F3655" s="5">
        <v>225000.0</v>
      </c>
      <c r="G3655" s="1" t="s">
        <v>7016</v>
      </c>
      <c r="H3655" s="1" t="s">
        <v>1134</v>
      </c>
      <c r="I3655" s="1" t="s">
        <v>152</v>
      </c>
      <c r="K3655" s="1">
        <v>0.0</v>
      </c>
      <c r="L3655" s="1" t="s">
        <v>1902</v>
      </c>
      <c r="M3655" s="1" t="str">
        <f>VLOOKUP(L3655,'Copy of PMD Workday Constants -'!B3654:W4340,22,false)</f>
        <v>#N/A</v>
      </c>
      <c r="N3655" s="1" t="s">
        <v>32</v>
      </c>
      <c r="O3655" s="1" t="s">
        <v>33</v>
      </c>
      <c r="P3655" s="1" t="s">
        <v>173</v>
      </c>
      <c r="Q3655" s="1" t="s">
        <v>173</v>
      </c>
      <c r="R3655" s="1" t="s">
        <v>174</v>
      </c>
      <c r="T3655" s="1">
        <v>1.00956516E8</v>
      </c>
      <c r="W3655" s="1" t="s">
        <v>258</v>
      </c>
      <c r="X3655" s="1" t="s">
        <v>370</v>
      </c>
    </row>
    <row r="3656">
      <c r="A3656" s="1" t="s">
        <v>10572</v>
      </c>
      <c r="B3656" s="1" t="s">
        <v>776</v>
      </c>
      <c r="C3656" s="1" t="s">
        <v>10573</v>
      </c>
      <c r="D3656" s="1" t="s">
        <v>28</v>
      </c>
      <c r="E3656" s="1" t="s">
        <v>29</v>
      </c>
      <c r="F3656" s="5">
        <v>225000.0</v>
      </c>
      <c r="G3656" s="1" t="s">
        <v>7016</v>
      </c>
      <c r="H3656" s="4">
        <v>44267.0</v>
      </c>
      <c r="I3656" s="1" t="s">
        <v>80</v>
      </c>
      <c r="K3656" s="1">
        <v>0.0</v>
      </c>
      <c r="L3656" s="1" t="s">
        <v>5851</v>
      </c>
      <c r="M3656" s="1" t="str">
        <f>VLOOKUP(L3656,'Copy of PMD Workday Constants -'!B3655:W4341,22,false)</f>
        <v>#N/A</v>
      </c>
      <c r="N3656" s="1" t="s">
        <v>32</v>
      </c>
      <c r="O3656" s="1" t="s">
        <v>33</v>
      </c>
      <c r="P3656" s="1" t="s">
        <v>222</v>
      </c>
      <c r="Q3656" s="1" t="s">
        <v>222</v>
      </c>
      <c r="R3656" s="1" t="s">
        <v>223</v>
      </c>
      <c r="S3656" s="1" t="s">
        <v>601</v>
      </c>
      <c r="T3656" s="1">
        <v>1.00607287E8</v>
      </c>
      <c r="W3656" s="1" t="s">
        <v>74</v>
      </c>
      <c r="X3656" s="1" t="s">
        <v>4184</v>
      </c>
    </row>
    <row r="3657">
      <c r="A3657" s="1" t="s">
        <v>10574</v>
      </c>
      <c r="B3657" s="1" t="s">
        <v>10575</v>
      </c>
      <c r="C3657" s="1" t="s">
        <v>10576</v>
      </c>
      <c r="D3657" s="1" t="s">
        <v>51</v>
      </c>
      <c r="E3657" s="1" t="s">
        <v>29</v>
      </c>
      <c r="F3657" s="5">
        <v>225000.0</v>
      </c>
      <c r="G3657" s="1" t="s">
        <v>7016</v>
      </c>
      <c r="H3657" s="1" t="s">
        <v>375</v>
      </c>
      <c r="I3657" s="1" t="s">
        <v>810</v>
      </c>
      <c r="K3657" s="1">
        <v>0.0</v>
      </c>
      <c r="L3657" s="1" t="s">
        <v>481</v>
      </c>
      <c r="M3657" s="1" t="str">
        <f>VLOOKUP(L3657,'Copy of PMD Workday Constants -'!B3656:W4342,22,false)</f>
        <v>#N/A</v>
      </c>
      <c r="N3657" s="1" t="s">
        <v>32</v>
      </c>
      <c r="O3657" s="1" t="s">
        <v>33</v>
      </c>
      <c r="P3657" s="1" t="s">
        <v>222</v>
      </c>
      <c r="Q3657" s="1" t="s">
        <v>222</v>
      </c>
      <c r="R3657" s="1" t="s">
        <v>223</v>
      </c>
      <c r="S3657" s="1" t="s">
        <v>482</v>
      </c>
      <c r="T3657" s="1">
        <v>1.00654864E8</v>
      </c>
      <c r="W3657" s="1" t="s">
        <v>85</v>
      </c>
      <c r="X3657" s="1" t="s">
        <v>10577</v>
      </c>
    </row>
    <row r="3658">
      <c r="A3658" s="1" t="s">
        <v>10578</v>
      </c>
      <c r="B3658" s="1" t="s">
        <v>10579</v>
      </c>
      <c r="C3658" s="1" t="s">
        <v>10580</v>
      </c>
      <c r="D3658" s="1" t="s">
        <v>51</v>
      </c>
      <c r="E3658" s="1" t="s">
        <v>29</v>
      </c>
      <c r="F3658" s="5">
        <v>225000.0</v>
      </c>
      <c r="G3658" s="1" t="s">
        <v>7016</v>
      </c>
      <c r="H3658" s="1" t="s">
        <v>10581</v>
      </c>
      <c r="I3658" s="4">
        <v>44927.0</v>
      </c>
      <c r="K3658" s="1">
        <v>0.0</v>
      </c>
      <c r="L3658" s="1" t="s">
        <v>10582</v>
      </c>
      <c r="M3658" s="1" t="str">
        <f>VLOOKUP(L3658,'Copy of PMD Workday Constants -'!B3657:W4343,22,false)</f>
        <v>#N/A</v>
      </c>
      <c r="N3658" s="1" t="s">
        <v>32</v>
      </c>
      <c r="O3658" s="1" t="s">
        <v>33</v>
      </c>
      <c r="P3658" s="1" t="s">
        <v>222</v>
      </c>
      <c r="Q3658" s="1" t="s">
        <v>222</v>
      </c>
      <c r="R3658" s="1" t="s">
        <v>223</v>
      </c>
      <c r="S3658" s="1" t="s">
        <v>646</v>
      </c>
      <c r="T3658" s="1">
        <v>1.00624798E8</v>
      </c>
      <c r="X3658" s="1" t="s">
        <v>10582</v>
      </c>
    </row>
    <row r="3659">
      <c r="A3659" s="1" t="s">
        <v>10583</v>
      </c>
      <c r="B3659" s="1" t="s">
        <v>2152</v>
      </c>
      <c r="C3659" s="1" t="s">
        <v>10584</v>
      </c>
      <c r="D3659" s="1" t="s">
        <v>103</v>
      </c>
      <c r="E3659" s="1" t="s">
        <v>29</v>
      </c>
      <c r="F3659" s="5">
        <v>225000.0</v>
      </c>
      <c r="G3659" s="1" t="s">
        <v>7016</v>
      </c>
      <c r="H3659" s="4">
        <v>44595.0</v>
      </c>
      <c r="I3659" s="1" t="s">
        <v>80</v>
      </c>
      <c r="K3659" s="1">
        <v>0.0</v>
      </c>
      <c r="L3659" s="1" t="s">
        <v>2154</v>
      </c>
      <c r="M3659" s="1" t="str">
        <f>VLOOKUP(L3659,'Copy of PMD Workday Constants -'!B3658:W4344,22,false)</f>
        <v>#N/A</v>
      </c>
      <c r="N3659" s="1" t="s">
        <v>32</v>
      </c>
      <c r="O3659" s="1" t="s">
        <v>33</v>
      </c>
      <c r="P3659" s="1" t="s">
        <v>173</v>
      </c>
      <c r="Q3659" s="1" t="s">
        <v>173</v>
      </c>
      <c r="R3659" s="1" t="s">
        <v>174</v>
      </c>
      <c r="S3659" s="1" t="s">
        <v>612</v>
      </c>
      <c r="T3659" s="1">
        <v>1.00639477E8</v>
      </c>
      <c r="W3659" s="1" t="s">
        <v>456</v>
      </c>
      <c r="X3659" s="1" t="s">
        <v>5082</v>
      </c>
    </row>
    <row r="3660">
      <c r="A3660" s="1" t="s">
        <v>10585</v>
      </c>
      <c r="B3660" s="1" t="s">
        <v>10586</v>
      </c>
      <c r="C3660" s="1" t="s">
        <v>10587</v>
      </c>
      <c r="D3660" s="1" t="s">
        <v>28</v>
      </c>
      <c r="E3660" s="1" t="s">
        <v>29</v>
      </c>
      <c r="F3660" s="5">
        <v>225000.0</v>
      </c>
      <c r="G3660" s="1" t="s">
        <v>7016</v>
      </c>
      <c r="H3660" s="4">
        <v>44297.0</v>
      </c>
      <c r="I3660" s="4">
        <v>44569.0</v>
      </c>
      <c r="K3660" s="1">
        <v>0.0</v>
      </c>
      <c r="L3660" s="1" t="s">
        <v>893</v>
      </c>
      <c r="M3660" s="1" t="str">
        <f>VLOOKUP(L3660,'Copy of PMD Workday Constants -'!B3659:W4345,22,false)</f>
        <v>#N/A</v>
      </c>
      <c r="N3660" s="1" t="s">
        <v>32</v>
      </c>
      <c r="O3660" s="1" t="s">
        <v>33</v>
      </c>
      <c r="P3660" s="1" t="s">
        <v>82</v>
      </c>
      <c r="Q3660" s="1" t="s">
        <v>82</v>
      </c>
      <c r="R3660" s="1" t="s">
        <v>83</v>
      </c>
      <c r="S3660" s="1" t="s">
        <v>180</v>
      </c>
      <c r="T3660" s="1">
        <v>1.0112897E8</v>
      </c>
      <c r="W3660" s="1" t="s">
        <v>1801</v>
      </c>
      <c r="X3660" s="1" t="s">
        <v>4124</v>
      </c>
    </row>
    <row r="3661">
      <c r="A3661" s="1" t="s">
        <v>10588</v>
      </c>
      <c r="B3661" s="1" t="s">
        <v>10589</v>
      </c>
      <c r="C3661" s="1" t="s">
        <v>10590</v>
      </c>
      <c r="D3661" s="1" t="s">
        <v>103</v>
      </c>
      <c r="E3661" s="1" t="s">
        <v>29</v>
      </c>
      <c r="F3661" s="5">
        <v>225000.0</v>
      </c>
      <c r="G3661" s="1" t="s">
        <v>7016</v>
      </c>
      <c r="H3661" s="4">
        <v>44653.0</v>
      </c>
      <c r="I3661" s="4">
        <v>44568.0</v>
      </c>
      <c r="K3661" s="1">
        <v>0.0</v>
      </c>
      <c r="L3661" s="1" t="s">
        <v>9612</v>
      </c>
      <c r="M3661" s="1" t="str">
        <f>VLOOKUP(L3661,'Copy of PMD Workday Constants -'!B3660:W4346,22,false)</f>
        <v>#N/A</v>
      </c>
      <c r="N3661" s="1" t="s">
        <v>32</v>
      </c>
      <c r="O3661" s="1" t="s">
        <v>33</v>
      </c>
      <c r="P3661" s="1" t="s">
        <v>82</v>
      </c>
      <c r="Q3661" s="1" t="s">
        <v>82</v>
      </c>
      <c r="R3661" s="1" t="s">
        <v>83</v>
      </c>
      <c r="S3661" s="1" t="s">
        <v>180</v>
      </c>
      <c r="T3661" s="1">
        <v>1.0059101E8</v>
      </c>
      <c r="W3661" s="1" t="s">
        <v>85</v>
      </c>
      <c r="X3661" s="1" t="s">
        <v>9612</v>
      </c>
    </row>
    <row r="3662">
      <c r="A3662" s="1" t="s">
        <v>10591</v>
      </c>
      <c r="B3662" s="1" t="s">
        <v>93</v>
      </c>
      <c r="C3662" s="1" t="s">
        <v>10592</v>
      </c>
      <c r="D3662" s="1" t="s">
        <v>103</v>
      </c>
      <c r="E3662" s="1" t="s">
        <v>29</v>
      </c>
      <c r="F3662" s="5">
        <v>225000.0</v>
      </c>
      <c r="G3662" s="1" t="s">
        <v>7016</v>
      </c>
      <c r="H3662" s="1" t="s">
        <v>1842</v>
      </c>
      <c r="I3662" s="1" t="s">
        <v>96</v>
      </c>
      <c r="K3662" s="1">
        <v>0.0</v>
      </c>
      <c r="L3662" s="1" t="s">
        <v>10593</v>
      </c>
      <c r="M3662" s="1" t="str">
        <f>VLOOKUP(L3662,'Copy of PMD Workday Constants -'!B3661:W4347,22,false)</f>
        <v>#N/A</v>
      </c>
      <c r="N3662" s="1" t="s">
        <v>32</v>
      </c>
      <c r="O3662" s="1" t="s">
        <v>33</v>
      </c>
      <c r="P3662" s="1" t="s">
        <v>210</v>
      </c>
      <c r="Q3662" s="1" t="s">
        <v>210</v>
      </c>
      <c r="R3662" s="1" t="s">
        <v>211</v>
      </c>
      <c r="T3662" s="1">
        <v>1.00629723E8</v>
      </c>
      <c r="W3662" s="1" t="s">
        <v>56</v>
      </c>
      <c r="X3662" s="1" t="s">
        <v>10593</v>
      </c>
    </row>
    <row r="3663">
      <c r="A3663" s="1" t="s">
        <v>10594</v>
      </c>
      <c r="B3663" s="1" t="s">
        <v>6446</v>
      </c>
      <c r="C3663" s="1" t="s">
        <v>10595</v>
      </c>
      <c r="D3663" s="1" t="s">
        <v>28</v>
      </c>
      <c r="E3663" s="1" t="s">
        <v>29</v>
      </c>
      <c r="F3663" s="5">
        <v>225000.0</v>
      </c>
      <c r="G3663" s="1" t="s">
        <v>7016</v>
      </c>
      <c r="H3663" s="1" t="s">
        <v>42</v>
      </c>
      <c r="I3663" s="4">
        <v>44573.0</v>
      </c>
      <c r="K3663" s="1">
        <v>0.0</v>
      </c>
      <c r="L3663" s="1" t="s">
        <v>1335</v>
      </c>
      <c r="M3663" s="1" t="str">
        <f>VLOOKUP(L3663,'Copy of PMD Workday Constants -'!B3662:W4348,22,false)</f>
        <v>#N/A</v>
      </c>
      <c r="N3663" s="1" t="s">
        <v>32</v>
      </c>
      <c r="O3663" s="1" t="s">
        <v>33</v>
      </c>
      <c r="P3663" s="1" t="s">
        <v>210</v>
      </c>
      <c r="Q3663" s="1" t="s">
        <v>210</v>
      </c>
      <c r="R3663" s="1" t="s">
        <v>211</v>
      </c>
      <c r="S3663" s="1" t="s">
        <v>1336</v>
      </c>
      <c r="T3663" s="1">
        <v>1.00594397E8</v>
      </c>
      <c r="W3663" s="1" t="s">
        <v>258</v>
      </c>
      <c r="X3663" s="1" t="s">
        <v>1337</v>
      </c>
    </row>
    <row r="3664">
      <c r="A3664" s="1" t="s">
        <v>10596</v>
      </c>
      <c r="B3664" s="1" t="s">
        <v>324</v>
      </c>
      <c r="C3664" s="1" t="s">
        <v>10597</v>
      </c>
      <c r="D3664" s="1" t="s">
        <v>103</v>
      </c>
      <c r="E3664" s="1" t="s">
        <v>29</v>
      </c>
      <c r="F3664" s="5">
        <v>222000.0</v>
      </c>
      <c r="G3664" s="1" t="s">
        <v>7016</v>
      </c>
      <c r="H3664" s="4">
        <v>44896.0</v>
      </c>
      <c r="I3664" s="4">
        <v>44718.0</v>
      </c>
      <c r="K3664" s="1">
        <v>0.0</v>
      </c>
      <c r="L3664" s="1" t="s">
        <v>474</v>
      </c>
      <c r="M3664" s="1" t="str">
        <f>VLOOKUP(L3664,'Copy of PMD Workday Constants -'!B3663:W4349,22,false)</f>
        <v>#N/A</v>
      </c>
      <c r="N3664" s="1" t="s">
        <v>32</v>
      </c>
      <c r="O3664" s="1" t="s">
        <v>33</v>
      </c>
      <c r="P3664" s="1" t="s">
        <v>64</v>
      </c>
      <c r="Q3664" s="1" t="s">
        <v>64</v>
      </c>
      <c r="R3664" s="1" t="s">
        <v>65</v>
      </c>
      <c r="S3664" s="1" t="s">
        <v>98</v>
      </c>
      <c r="T3664" s="1">
        <v>1.00660049E8</v>
      </c>
      <c r="W3664" s="1" t="s">
        <v>56</v>
      </c>
      <c r="X3664" s="1" t="s">
        <v>4172</v>
      </c>
    </row>
    <row r="3665">
      <c r="A3665" s="1" t="s">
        <v>10598</v>
      </c>
      <c r="B3665" s="1" t="s">
        <v>973</v>
      </c>
      <c r="C3665" s="1" t="s">
        <v>10599</v>
      </c>
      <c r="D3665" s="1" t="s">
        <v>103</v>
      </c>
      <c r="E3665" s="1" t="s">
        <v>29</v>
      </c>
      <c r="F3665" s="5">
        <v>220000.0</v>
      </c>
      <c r="G3665" s="1" t="s">
        <v>7016</v>
      </c>
      <c r="H3665" s="4">
        <v>44837.0</v>
      </c>
      <c r="I3665" s="4">
        <v>44568.0</v>
      </c>
      <c r="K3665" s="1">
        <v>0.0</v>
      </c>
      <c r="L3665" s="1" t="s">
        <v>976</v>
      </c>
      <c r="M3665" s="1" t="str">
        <f>VLOOKUP(L3665,'Copy of PMD Workday Constants -'!B3664:W4350,22,false)</f>
        <v>#N/A</v>
      </c>
      <c r="N3665" s="1" t="s">
        <v>32</v>
      </c>
      <c r="O3665" s="1" t="s">
        <v>33</v>
      </c>
      <c r="P3665" s="1" t="s">
        <v>173</v>
      </c>
      <c r="Q3665" s="1" t="s">
        <v>173</v>
      </c>
      <c r="R3665" s="1" t="s">
        <v>174</v>
      </c>
      <c r="T3665" s="1">
        <v>1.00611358E8</v>
      </c>
      <c r="W3665" s="1" t="s">
        <v>456</v>
      </c>
      <c r="X3665" s="1" t="s">
        <v>10600</v>
      </c>
    </row>
    <row r="3666">
      <c r="A3666" s="1" t="s">
        <v>10601</v>
      </c>
      <c r="B3666" s="1" t="s">
        <v>776</v>
      </c>
      <c r="C3666" s="1" t="s">
        <v>10602</v>
      </c>
      <c r="D3666" s="1" t="s">
        <v>79</v>
      </c>
      <c r="E3666" s="1" t="s">
        <v>29</v>
      </c>
      <c r="F3666" s="5">
        <v>220000.0</v>
      </c>
      <c r="G3666" s="1" t="s">
        <v>7016</v>
      </c>
      <c r="H3666" s="4">
        <v>44686.0</v>
      </c>
      <c r="I3666" s="1" t="s">
        <v>810</v>
      </c>
      <c r="K3666" s="1">
        <v>0.0</v>
      </c>
      <c r="L3666" s="1" t="s">
        <v>779</v>
      </c>
      <c r="M3666" s="1" t="str">
        <f>VLOOKUP(L3666,'Copy of PMD Workday Constants -'!B3665:W4351,22,false)</f>
        <v>#N/A</v>
      </c>
      <c r="N3666" s="1" t="s">
        <v>32</v>
      </c>
      <c r="O3666" s="1" t="s">
        <v>33</v>
      </c>
      <c r="P3666" s="1" t="s">
        <v>222</v>
      </c>
      <c r="Q3666" s="1" t="s">
        <v>222</v>
      </c>
      <c r="R3666" s="1" t="s">
        <v>223</v>
      </c>
      <c r="S3666" s="1" t="s">
        <v>601</v>
      </c>
      <c r="T3666" s="1">
        <v>1.0061139E8</v>
      </c>
      <c r="W3666" s="1" t="s">
        <v>74</v>
      </c>
      <c r="X3666" s="1" t="s">
        <v>782</v>
      </c>
    </row>
    <row r="3667">
      <c r="A3667" s="1" t="s">
        <v>10603</v>
      </c>
      <c r="B3667" s="1" t="s">
        <v>973</v>
      </c>
      <c r="C3667" s="1" t="s">
        <v>10604</v>
      </c>
      <c r="D3667" s="1" t="s">
        <v>51</v>
      </c>
      <c r="E3667" s="1" t="s">
        <v>29</v>
      </c>
      <c r="F3667" s="5">
        <v>220000.0</v>
      </c>
      <c r="G3667" s="1" t="s">
        <v>7016</v>
      </c>
      <c r="H3667" s="4">
        <v>44866.0</v>
      </c>
      <c r="I3667" s="4">
        <v>45200.0</v>
      </c>
      <c r="K3667" s="1">
        <v>0.0</v>
      </c>
      <c r="L3667" s="1" t="s">
        <v>976</v>
      </c>
      <c r="M3667" s="1" t="str">
        <f>VLOOKUP(L3667,'Copy of PMD Workday Constants -'!B3666:W4352,22,false)</f>
        <v>#N/A</v>
      </c>
      <c r="N3667" s="1" t="s">
        <v>32</v>
      </c>
      <c r="O3667" s="1" t="s">
        <v>33</v>
      </c>
      <c r="P3667" s="1" t="s">
        <v>173</v>
      </c>
      <c r="Q3667" s="1" t="s">
        <v>173</v>
      </c>
      <c r="R3667" s="1" t="s">
        <v>174</v>
      </c>
      <c r="T3667" s="1">
        <v>1.00611358E8</v>
      </c>
      <c r="U3667" s="1" t="s">
        <v>10604</v>
      </c>
      <c r="V3667" s="1" t="s">
        <v>346</v>
      </c>
      <c r="W3667" s="1" t="s">
        <v>456</v>
      </c>
      <c r="X3667" s="1" t="s">
        <v>10605</v>
      </c>
    </row>
    <row r="3668">
      <c r="A3668" s="1" t="s">
        <v>10606</v>
      </c>
      <c r="B3668" s="1" t="s">
        <v>9576</v>
      </c>
      <c r="C3668" s="1" t="s">
        <v>10607</v>
      </c>
      <c r="D3668" s="1" t="s">
        <v>103</v>
      </c>
      <c r="E3668" s="1" t="s">
        <v>29</v>
      </c>
      <c r="F3668" s="5">
        <v>220000.0</v>
      </c>
      <c r="G3668" s="1" t="s">
        <v>7016</v>
      </c>
      <c r="H3668" s="1" t="s">
        <v>1078</v>
      </c>
      <c r="I3668" s="1" t="s">
        <v>1245</v>
      </c>
      <c r="K3668" s="1">
        <v>0.0</v>
      </c>
      <c r="L3668" s="1" t="s">
        <v>618</v>
      </c>
      <c r="M3668" s="1" t="str">
        <f>VLOOKUP(L3668,'Copy of PMD Workday Constants -'!B3667:W4353,22,false)</f>
        <v>#N/A</v>
      </c>
      <c r="N3668" s="1" t="s">
        <v>32</v>
      </c>
      <c r="O3668" s="1" t="s">
        <v>33</v>
      </c>
      <c r="P3668" s="1" t="s">
        <v>173</v>
      </c>
      <c r="Q3668" s="1" t="s">
        <v>173</v>
      </c>
      <c r="R3668" s="1" t="s">
        <v>174</v>
      </c>
      <c r="S3668" s="1" t="s">
        <v>540</v>
      </c>
      <c r="T3668" s="1">
        <v>1.00591141E8</v>
      </c>
      <c r="W3668" s="1" t="s">
        <v>74</v>
      </c>
      <c r="X3668" s="1" t="s">
        <v>5731</v>
      </c>
    </row>
    <row r="3669">
      <c r="A3669" s="1" t="s">
        <v>10608</v>
      </c>
      <c r="B3669" s="1" t="s">
        <v>10609</v>
      </c>
      <c r="C3669" s="1" t="s">
        <v>10610</v>
      </c>
      <c r="D3669" s="1" t="s">
        <v>28</v>
      </c>
      <c r="E3669" s="1" t="s">
        <v>29</v>
      </c>
      <c r="F3669" s="5">
        <v>216000.0</v>
      </c>
      <c r="G3669" s="1" t="s">
        <v>7016</v>
      </c>
      <c r="H3669" s="4">
        <v>44622.0</v>
      </c>
      <c r="I3669" s="1" t="s">
        <v>10611</v>
      </c>
      <c r="K3669" s="1">
        <v>0.0</v>
      </c>
      <c r="L3669" s="1" t="s">
        <v>5558</v>
      </c>
      <c r="M3669" s="1" t="str">
        <f>VLOOKUP(L3669,'Copy of PMD Workday Constants -'!B3668:W4354,22,false)</f>
        <v>#N/A</v>
      </c>
      <c r="N3669" s="1" t="s">
        <v>32</v>
      </c>
      <c r="O3669" s="1" t="s">
        <v>33</v>
      </c>
      <c r="P3669" s="1" t="s">
        <v>222</v>
      </c>
      <c r="Q3669" s="1" t="s">
        <v>222</v>
      </c>
      <c r="R3669" s="1" t="s">
        <v>223</v>
      </c>
      <c r="S3669" s="1" t="s">
        <v>482</v>
      </c>
      <c r="T3669" s="1">
        <v>1.00652479E8</v>
      </c>
      <c r="W3669" s="1" t="s">
        <v>258</v>
      </c>
      <c r="X3669" s="1" t="s">
        <v>10612</v>
      </c>
    </row>
    <row r="3670">
      <c r="A3670" s="1" t="s">
        <v>10613</v>
      </c>
      <c r="B3670" s="1" t="s">
        <v>3026</v>
      </c>
      <c r="C3670" s="1" t="s">
        <v>10614</v>
      </c>
      <c r="D3670" s="1" t="s">
        <v>103</v>
      </c>
      <c r="E3670" s="1" t="s">
        <v>29</v>
      </c>
      <c r="F3670" s="5">
        <v>216000.0</v>
      </c>
      <c r="G3670" s="1" t="s">
        <v>7016</v>
      </c>
      <c r="H3670" s="1" t="s">
        <v>2559</v>
      </c>
      <c r="I3670" s="1" t="s">
        <v>302</v>
      </c>
      <c r="K3670" s="1">
        <v>0.0</v>
      </c>
      <c r="L3670" s="1" t="s">
        <v>1790</v>
      </c>
      <c r="M3670" s="1" t="str">
        <f>VLOOKUP(L3670,'Copy of PMD Workday Constants -'!B3669:W4355,22,false)</f>
        <v>#N/A</v>
      </c>
      <c r="N3670" s="1" t="s">
        <v>32</v>
      </c>
      <c r="O3670" s="1" t="s">
        <v>33</v>
      </c>
      <c r="P3670" s="1" t="s">
        <v>222</v>
      </c>
      <c r="Q3670" s="1" t="s">
        <v>222</v>
      </c>
      <c r="R3670" s="1" t="s">
        <v>223</v>
      </c>
      <c r="S3670" s="1" t="s">
        <v>601</v>
      </c>
      <c r="T3670" s="1">
        <v>1.00645232E8</v>
      </c>
      <c r="W3670" s="1" t="s">
        <v>258</v>
      </c>
      <c r="X3670" s="1" t="s">
        <v>10615</v>
      </c>
    </row>
    <row r="3671">
      <c r="A3671" s="1" t="s">
        <v>10616</v>
      </c>
      <c r="B3671" s="1" t="s">
        <v>3542</v>
      </c>
      <c r="C3671" s="1" t="s">
        <v>10617</v>
      </c>
      <c r="D3671" s="1" t="s">
        <v>103</v>
      </c>
      <c r="E3671" s="1" t="s">
        <v>29</v>
      </c>
      <c r="F3671" s="5">
        <v>216000.0</v>
      </c>
      <c r="G3671" s="1" t="s">
        <v>7016</v>
      </c>
      <c r="H3671" s="1" t="s">
        <v>1134</v>
      </c>
      <c r="I3671" s="1" t="s">
        <v>248</v>
      </c>
      <c r="K3671" s="1">
        <v>0.0</v>
      </c>
      <c r="L3671" s="1" t="s">
        <v>203</v>
      </c>
      <c r="M3671" s="1" t="str">
        <f>VLOOKUP(L3671,'Copy of PMD Workday Constants -'!B3670:W4356,22,false)</f>
        <v>#N/A</v>
      </c>
      <c r="N3671" s="1" t="s">
        <v>32</v>
      </c>
      <c r="O3671" s="1" t="s">
        <v>33</v>
      </c>
      <c r="P3671" s="1" t="s">
        <v>112</v>
      </c>
      <c r="Q3671" s="1" t="s">
        <v>112</v>
      </c>
      <c r="R3671" s="1" t="s">
        <v>113</v>
      </c>
      <c r="S3671" s="1" t="s">
        <v>307</v>
      </c>
      <c r="T3671" s="1">
        <v>1.01200292E8</v>
      </c>
      <c r="W3671" s="1" t="s">
        <v>947</v>
      </c>
      <c r="X3671" s="1" t="s">
        <v>10618</v>
      </c>
    </row>
    <row r="3672">
      <c r="A3672" s="1" t="s">
        <v>10619</v>
      </c>
      <c r="B3672" s="1" t="s">
        <v>2257</v>
      </c>
      <c r="C3672" s="1" t="s">
        <v>10620</v>
      </c>
      <c r="D3672" s="1" t="s">
        <v>51</v>
      </c>
      <c r="E3672" s="1" t="s">
        <v>29</v>
      </c>
      <c r="F3672" s="5">
        <v>215000.0</v>
      </c>
      <c r="G3672" s="1" t="s">
        <v>7016</v>
      </c>
      <c r="H3672" s="1" t="s">
        <v>52</v>
      </c>
      <c r="I3672" s="1" t="s">
        <v>80</v>
      </c>
      <c r="K3672" s="1">
        <v>0.0</v>
      </c>
      <c r="L3672" s="1" t="s">
        <v>1447</v>
      </c>
      <c r="M3672" s="1" t="str">
        <f>VLOOKUP(L3672,'Copy of PMD Workday Constants -'!B3671:W4357,22,false)</f>
        <v>#N/A</v>
      </c>
      <c r="N3672" s="1" t="s">
        <v>32</v>
      </c>
      <c r="O3672" s="1" t="s">
        <v>33</v>
      </c>
      <c r="P3672" s="1" t="s">
        <v>64</v>
      </c>
      <c r="Q3672" s="1" t="s">
        <v>64</v>
      </c>
      <c r="R3672" s="1" t="s">
        <v>65</v>
      </c>
      <c r="S3672" s="1" t="s">
        <v>791</v>
      </c>
      <c r="T3672" s="1">
        <v>1.00997154E8</v>
      </c>
      <c r="U3672" s="1" t="s">
        <v>10621</v>
      </c>
      <c r="V3672" s="1" t="s">
        <v>781</v>
      </c>
      <c r="W3672" s="1" t="s">
        <v>456</v>
      </c>
      <c r="X3672" s="1" t="s">
        <v>8447</v>
      </c>
    </row>
    <row r="3673">
      <c r="A3673" s="1" t="s">
        <v>10622</v>
      </c>
      <c r="B3673" s="1" t="s">
        <v>776</v>
      </c>
      <c r="C3673" s="1" t="s">
        <v>10623</v>
      </c>
      <c r="D3673" s="1" t="s">
        <v>28</v>
      </c>
      <c r="E3673" s="1" t="s">
        <v>29</v>
      </c>
      <c r="F3673" s="5">
        <v>215000.0</v>
      </c>
      <c r="G3673" s="1" t="s">
        <v>7016</v>
      </c>
      <c r="H3673" s="1" t="s">
        <v>5062</v>
      </c>
      <c r="I3673" s="1" t="s">
        <v>166</v>
      </c>
      <c r="K3673" s="1">
        <v>0.0</v>
      </c>
      <c r="L3673" s="1" t="s">
        <v>2547</v>
      </c>
      <c r="M3673" s="1" t="str">
        <f>VLOOKUP(L3673,'Copy of PMD Workday Constants -'!B3672:W4358,22,false)</f>
        <v>#N/A</v>
      </c>
      <c r="N3673" s="1" t="s">
        <v>32</v>
      </c>
      <c r="O3673" s="1" t="s">
        <v>33</v>
      </c>
      <c r="P3673" s="1" t="s">
        <v>64</v>
      </c>
      <c r="Q3673" s="1" t="s">
        <v>64</v>
      </c>
      <c r="R3673" s="1" t="s">
        <v>65</v>
      </c>
      <c r="S3673" s="1" t="s">
        <v>1385</v>
      </c>
      <c r="T3673" s="1">
        <v>1.00592932E8</v>
      </c>
      <c r="W3673" s="1" t="s">
        <v>74</v>
      </c>
      <c r="X3673" s="1" t="s">
        <v>2547</v>
      </c>
    </row>
    <row r="3674">
      <c r="A3674" s="1" t="s">
        <v>10624</v>
      </c>
      <c r="B3674" s="1" t="s">
        <v>2263</v>
      </c>
      <c r="C3674" s="1" t="s">
        <v>10625</v>
      </c>
      <c r="D3674" s="1" t="s">
        <v>28</v>
      </c>
      <c r="E3674" s="1" t="s">
        <v>29</v>
      </c>
      <c r="F3674" s="5">
        <v>215000.0</v>
      </c>
      <c r="G3674" s="1" t="s">
        <v>7016</v>
      </c>
      <c r="H3674" s="1" t="s">
        <v>42</v>
      </c>
      <c r="I3674" s="4">
        <v>44573.0</v>
      </c>
      <c r="K3674" s="1">
        <v>0.0</v>
      </c>
      <c r="L3674" s="1" t="s">
        <v>1870</v>
      </c>
      <c r="M3674" s="1" t="str">
        <f>VLOOKUP(L3674,'Copy of PMD Workday Constants -'!B3673:W4359,22,false)</f>
        <v>#N/A</v>
      </c>
      <c r="N3674" s="1" t="s">
        <v>32</v>
      </c>
      <c r="O3674" s="1" t="s">
        <v>33</v>
      </c>
      <c r="P3674" s="1" t="s">
        <v>112</v>
      </c>
      <c r="Q3674" s="1" t="s">
        <v>112</v>
      </c>
      <c r="R3674" s="1" t="s">
        <v>113</v>
      </c>
      <c r="S3674" s="1" t="s">
        <v>1336</v>
      </c>
      <c r="T3674" s="1">
        <v>1.00638639E8</v>
      </c>
      <c r="W3674" s="1" t="s">
        <v>577</v>
      </c>
      <c r="X3674" s="1" t="s">
        <v>1337</v>
      </c>
    </row>
    <row r="3675">
      <c r="A3675" s="1" t="s">
        <v>10626</v>
      </c>
      <c r="B3675" s="1" t="s">
        <v>2263</v>
      </c>
      <c r="C3675" s="1" t="s">
        <v>10625</v>
      </c>
      <c r="D3675" s="1" t="s">
        <v>28</v>
      </c>
      <c r="E3675" s="1" t="s">
        <v>29</v>
      </c>
      <c r="F3675" s="5">
        <v>215000.0</v>
      </c>
      <c r="G3675" s="1" t="s">
        <v>7016</v>
      </c>
      <c r="H3675" s="1" t="s">
        <v>42</v>
      </c>
      <c r="I3675" s="4">
        <v>44573.0</v>
      </c>
      <c r="K3675" s="1">
        <v>0.0</v>
      </c>
      <c r="L3675" s="1" t="s">
        <v>1870</v>
      </c>
      <c r="M3675" s="1" t="str">
        <f>VLOOKUP(L3675,'Copy of PMD Workday Constants -'!B3674:W4360,22,false)</f>
        <v>#N/A</v>
      </c>
      <c r="N3675" s="1" t="s">
        <v>32</v>
      </c>
      <c r="O3675" s="1" t="s">
        <v>33</v>
      </c>
      <c r="P3675" s="1" t="s">
        <v>112</v>
      </c>
      <c r="Q3675" s="1" t="s">
        <v>112</v>
      </c>
      <c r="R3675" s="1" t="s">
        <v>113</v>
      </c>
      <c r="S3675" s="1" t="s">
        <v>1336</v>
      </c>
      <c r="T3675" s="1">
        <v>1.00638639E8</v>
      </c>
      <c r="W3675" s="1" t="s">
        <v>577</v>
      </c>
      <c r="X3675" s="1" t="s">
        <v>1337</v>
      </c>
    </row>
    <row r="3676">
      <c r="A3676" s="1" t="s">
        <v>10627</v>
      </c>
      <c r="B3676" s="1" t="s">
        <v>2930</v>
      </c>
      <c r="C3676" s="1" t="s">
        <v>10628</v>
      </c>
      <c r="D3676" s="1" t="s">
        <v>103</v>
      </c>
      <c r="E3676" s="1" t="s">
        <v>29</v>
      </c>
      <c r="F3676" s="5">
        <v>215000.0</v>
      </c>
      <c r="G3676" s="1" t="s">
        <v>7016</v>
      </c>
      <c r="H3676" s="1" t="s">
        <v>2932</v>
      </c>
      <c r="I3676" s="1" t="s">
        <v>1349</v>
      </c>
      <c r="K3676" s="1">
        <v>0.0</v>
      </c>
      <c r="L3676" s="1" t="s">
        <v>1312</v>
      </c>
      <c r="M3676" s="1" t="str">
        <f>VLOOKUP(L3676,'Copy of PMD Workday Constants -'!B3675:W4361,22,false)</f>
        <v>#N/A</v>
      </c>
      <c r="N3676" s="1" t="s">
        <v>32</v>
      </c>
      <c r="O3676" s="1" t="s">
        <v>33</v>
      </c>
      <c r="P3676" s="1" t="s">
        <v>210</v>
      </c>
      <c r="Q3676" s="1" t="s">
        <v>210</v>
      </c>
      <c r="R3676" s="1" t="s">
        <v>211</v>
      </c>
      <c r="S3676" s="1" t="s">
        <v>1313</v>
      </c>
      <c r="T3676" s="1">
        <v>1.00660608E8</v>
      </c>
      <c r="W3676" s="1" t="s">
        <v>577</v>
      </c>
      <c r="X3676" s="1" t="s">
        <v>1312</v>
      </c>
    </row>
    <row r="3677">
      <c r="A3677" s="1" t="s">
        <v>10629</v>
      </c>
      <c r="B3677" s="1" t="s">
        <v>2323</v>
      </c>
      <c r="C3677" s="1" t="s">
        <v>10630</v>
      </c>
      <c r="D3677" s="1" t="s">
        <v>51</v>
      </c>
      <c r="E3677" s="1" t="s">
        <v>29</v>
      </c>
      <c r="F3677" s="5">
        <v>210000.0</v>
      </c>
      <c r="G3677" s="1" t="s">
        <v>7016</v>
      </c>
      <c r="H3677" s="4">
        <v>44900.0</v>
      </c>
      <c r="I3677" s="1" t="s">
        <v>104</v>
      </c>
      <c r="K3677" s="1">
        <v>0.0</v>
      </c>
      <c r="L3677" s="1" t="s">
        <v>2325</v>
      </c>
      <c r="M3677" s="1" t="str">
        <f>VLOOKUP(L3677,'Copy of PMD Workday Constants -'!B3676:W4362,22,false)</f>
        <v>#N/A</v>
      </c>
      <c r="N3677" s="1" t="s">
        <v>32</v>
      </c>
      <c r="O3677" s="1" t="s">
        <v>33</v>
      </c>
      <c r="P3677" s="1" t="s">
        <v>82</v>
      </c>
      <c r="Q3677" s="1" t="s">
        <v>82</v>
      </c>
      <c r="R3677" s="1" t="s">
        <v>83</v>
      </c>
      <c r="S3677" s="1" t="s">
        <v>180</v>
      </c>
      <c r="T3677" s="1">
        <v>1.00628181E8</v>
      </c>
      <c r="W3677" s="1" t="s">
        <v>85</v>
      </c>
      <c r="X3677" s="1" t="s">
        <v>2325</v>
      </c>
    </row>
    <row r="3678">
      <c r="A3678" s="1" t="s">
        <v>10631</v>
      </c>
      <c r="B3678" s="1" t="s">
        <v>580</v>
      </c>
      <c r="C3678" s="1" t="s">
        <v>10632</v>
      </c>
      <c r="D3678" s="1" t="s">
        <v>28</v>
      </c>
      <c r="E3678" s="1" t="s">
        <v>29</v>
      </c>
      <c r="F3678" s="5">
        <v>210000.0</v>
      </c>
      <c r="G3678" s="1" t="s">
        <v>7016</v>
      </c>
      <c r="H3678" s="4">
        <v>44567.0</v>
      </c>
      <c r="I3678" s="4">
        <v>44570.0</v>
      </c>
      <c r="K3678" s="1">
        <v>0.0</v>
      </c>
      <c r="L3678" s="1" t="s">
        <v>1098</v>
      </c>
      <c r="M3678" s="1" t="str">
        <f>VLOOKUP(L3678,'Copy of PMD Workday Constants -'!B3677:W4363,22,false)</f>
        <v>#N/A</v>
      </c>
      <c r="N3678" s="1" t="s">
        <v>32</v>
      </c>
      <c r="O3678" s="1" t="s">
        <v>33</v>
      </c>
      <c r="P3678" s="1" t="s">
        <v>173</v>
      </c>
      <c r="Q3678" s="1" t="s">
        <v>173</v>
      </c>
      <c r="R3678" s="1" t="s">
        <v>174</v>
      </c>
      <c r="T3678" s="1">
        <v>1.00609827E8</v>
      </c>
      <c r="W3678" s="1" t="s">
        <v>456</v>
      </c>
      <c r="X3678" s="1" t="s">
        <v>10600</v>
      </c>
    </row>
    <row r="3679">
      <c r="A3679" s="1" t="s">
        <v>10633</v>
      </c>
      <c r="B3679" s="1" t="s">
        <v>10634</v>
      </c>
      <c r="C3679" s="1" t="s">
        <v>10635</v>
      </c>
      <c r="D3679" s="1" t="s">
        <v>103</v>
      </c>
      <c r="E3679" s="1" t="s">
        <v>29</v>
      </c>
      <c r="F3679" s="5">
        <v>210000.0</v>
      </c>
      <c r="G3679" s="1" t="s">
        <v>7016</v>
      </c>
      <c r="H3679" s="1" t="s">
        <v>498</v>
      </c>
      <c r="I3679" s="1" t="s">
        <v>302</v>
      </c>
      <c r="K3679" s="1">
        <v>0.0</v>
      </c>
      <c r="L3679" s="1" t="s">
        <v>4608</v>
      </c>
      <c r="M3679" s="1" t="str">
        <f>VLOOKUP(L3679,'Copy of PMD Workday Constants -'!B3678:W4364,22,false)</f>
        <v>#N/A</v>
      </c>
      <c r="N3679" s="1" t="s">
        <v>32</v>
      </c>
      <c r="O3679" s="1" t="s">
        <v>33</v>
      </c>
      <c r="P3679" s="1" t="s">
        <v>222</v>
      </c>
      <c r="Q3679" s="1" t="s">
        <v>222</v>
      </c>
      <c r="R3679" s="1" t="s">
        <v>223</v>
      </c>
      <c r="S3679" s="1" t="s">
        <v>482</v>
      </c>
      <c r="T3679" s="1">
        <v>1.00592715E8</v>
      </c>
      <c r="W3679" s="1" t="s">
        <v>115</v>
      </c>
      <c r="X3679" s="1" t="s">
        <v>817</v>
      </c>
    </row>
    <row r="3680">
      <c r="A3680" s="1" t="s">
        <v>10636</v>
      </c>
      <c r="B3680" s="1" t="s">
        <v>4082</v>
      </c>
      <c r="C3680" s="1" t="s">
        <v>10637</v>
      </c>
      <c r="D3680" s="1" t="s">
        <v>79</v>
      </c>
      <c r="E3680" s="1" t="s">
        <v>29</v>
      </c>
      <c r="F3680" s="5">
        <v>205000.0</v>
      </c>
      <c r="G3680" s="1" t="s">
        <v>7016</v>
      </c>
      <c r="H3680" s="4">
        <v>44267.0</v>
      </c>
      <c r="I3680" s="4">
        <v>44571.0</v>
      </c>
      <c r="K3680" s="1">
        <v>0.0</v>
      </c>
      <c r="L3680" s="1" t="s">
        <v>1380</v>
      </c>
      <c r="M3680" s="1" t="str">
        <f>VLOOKUP(L3680,'Copy of PMD Workday Constants -'!B3679:W4365,22,false)</f>
        <v>#N/A</v>
      </c>
      <c r="N3680" s="1" t="s">
        <v>32</v>
      </c>
      <c r="O3680" s="1" t="s">
        <v>33</v>
      </c>
      <c r="P3680" s="1" t="s">
        <v>34</v>
      </c>
      <c r="Q3680" s="1" t="s">
        <v>34</v>
      </c>
      <c r="R3680" s="1" t="s">
        <v>35</v>
      </c>
      <c r="S3680" s="1" t="s">
        <v>126</v>
      </c>
      <c r="T3680" s="1">
        <v>1.00587434E8</v>
      </c>
      <c r="X3680" s="1" t="s">
        <v>3038</v>
      </c>
    </row>
    <row r="3681">
      <c r="A3681" s="1" t="s">
        <v>10638</v>
      </c>
      <c r="B3681" s="1" t="s">
        <v>324</v>
      </c>
      <c r="C3681" s="1" t="s">
        <v>10639</v>
      </c>
      <c r="D3681" s="1" t="s">
        <v>103</v>
      </c>
      <c r="E3681" s="1" t="s">
        <v>29</v>
      </c>
      <c r="F3681" s="5">
        <v>202800.0</v>
      </c>
      <c r="G3681" s="1" t="s">
        <v>7016</v>
      </c>
      <c r="H3681" s="4">
        <v>44717.0</v>
      </c>
      <c r="I3681" s="1" t="s">
        <v>3052</v>
      </c>
      <c r="K3681" s="1">
        <v>0.0</v>
      </c>
      <c r="L3681" s="1" t="s">
        <v>10640</v>
      </c>
      <c r="M3681" s="1" t="str">
        <f>VLOOKUP(L3681,'Copy of PMD Workday Constants -'!B3680:W4366,22,false)</f>
        <v>#N/A</v>
      </c>
      <c r="N3681" s="1" t="s">
        <v>32</v>
      </c>
      <c r="O3681" s="1" t="s">
        <v>33</v>
      </c>
      <c r="P3681" s="1" t="s">
        <v>210</v>
      </c>
      <c r="Q3681" s="1" t="s">
        <v>210</v>
      </c>
      <c r="R3681" s="1" t="s">
        <v>211</v>
      </c>
      <c r="S3681" s="1" t="s">
        <v>212</v>
      </c>
      <c r="T3681" s="1">
        <v>1.00596619E8</v>
      </c>
      <c r="W3681" s="1" t="s">
        <v>56</v>
      </c>
      <c r="X3681" s="1" t="s">
        <v>10640</v>
      </c>
    </row>
    <row r="3682">
      <c r="A3682" s="1" t="s">
        <v>10641</v>
      </c>
      <c r="B3682" s="1" t="s">
        <v>1109</v>
      </c>
      <c r="C3682" s="1" t="s">
        <v>10642</v>
      </c>
      <c r="D3682" s="1" t="s">
        <v>51</v>
      </c>
      <c r="E3682" s="1" t="s">
        <v>29</v>
      </c>
      <c r="F3682" s="5">
        <v>200000.0</v>
      </c>
      <c r="G3682" s="1" t="s">
        <v>7016</v>
      </c>
      <c r="H3682" s="1" t="s">
        <v>8381</v>
      </c>
      <c r="I3682" s="1" t="s">
        <v>400</v>
      </c>
      <c r="K3682" s="1">
        <v>0.0</v>
      </c>
      <c r="L3682" s="1" t="s">
        <v>5194</v>
      </c>
      <c r="M3682" s="1" t="str">
        <f>VLOOKUP(L3682,'Copy of PMD Workday Constants -'!B3681:W4367,22,false)</f>
        <v>#N/A</v>
      </c>
      <c r="N3682" s="1" t="s">
        <v>32</v>
      </c>
      <c r="O3682" s="1" t="s">
        <v>33</v>
      </c>
      <c r="P3682" s="1" t="s">
        <v>173</v>
      </c>
      <c r="Q3682" s="1" t="s">
        <v>173</v>
      </c>
      <c r="R3682" s="1" t="s">
        <v>174</v>
      </c>
      <c r="S3682" s="1" t="s">
        <v>612</v>
      </c>
      <c r="T3682" s="1">
        <v>1.00609393E8</v>
      </c>
      <c r="W3682" s="1" t="s">
        <v>85</v>
      </c>
      <c r="X3682" s="1" t="s">
        <v>2046</v>
      </c>
    </row>
    <row r="3683">
      <c r="A3683" s="1" t="s">
        <v>10643</v>
      </c>
      <c r="B3683" s="1" t="s">
        <v>1062</v>
      </c>
      <c r="C3683" s="1" t="s">
        <v>10644</v>
      </c>
      <c r="D3683" s="1" t="s">
        <v>79</v>
      </c>
      <c r="E3683" s="1" t="s">
        <v>29</v>
      </c>
      <c r="F3683" s="5">
        <v>200000.0</v>
      </c>
      <c r="G3683" s="1" t="s">
        <v>7016</v>
      </c>
      <c r="H3683" s="1" t="s">
        <v>5674</v>
      </c>
      <c r="I3683" s="1" t="s">
        <v>80</v>
      </c>
      <c r="K3683" s="1">
        <v>0.0</v>
      </c>
      <c r="L3683" s="1" t="s">
        <v>9234</v>
      </c>
      <c r="M3683" s="1" t="str">
        <f>VLOOKUP(L3683,'Copy of PMD Workday Constants -'!B3682:W4368,22,false)</f>
        <v>#N/A</v>
      </c>
      <c r="N3683" s="1" t="s">
        <v>32</v>
      </c>
      <c r="O3683" s="1" t="s">
        <v>33</v>
      </c>
      <c r="P3683" s="1" t="s">
        <v>173</v>
      </c>
      <c r="Q3683" s="1" t="s">
        <v>173</v>
      </c>
      <c r="R3683" s="1" t="s">
        <v>174</v>
      </c>
      <c r="T3683" s="1">
        <v>1.00611781E8</v>
      </c>
      <c r="W3683" s="1" t="s">
        <v>493</v>
      </c>
      <c r="X3683" s="1" t="s">
        <v>9234</v>
      </c>
    </row>
    <row r="3684">
      <c r="A3684" s="1" t="s">
        <v>10645</v>
      </c>
      <c r="B3684" s="1" t="s">
        <v>1062</v>
      </c>
      <c r="C3684" s="1" t="s">
        <v>10646</v>
      </c>
      <c r="D3684" s="1" t="s">
        <v>79</v>
      </c>
      <c r="E3684" s="1" t="s">
        <v>29</v>
      </c>
      <c r="F3684" s="5">
        <v>200000.0</v>
      </c>
      <c r="G3684" s="1" t="s">
        <v>7016</v>
      </c>
      <c r="H3684" s="1" t="s">
        <v>5674</v>
      </c>
      <c r="I3684" s="1" t="s">
        <v>80</v>
      </c>
      <c r="K3684" s="1">
        <v>0.0</v>
      </c>
      <c r="L3684" s="1" t="s">
        <v>9234</v>
      </c>
      <c r="M3684" s="1" t="str">
        <f>VLOOKUP(L3684,'Copy of PMD Workday Constants -'!B3683:W4369,22,false)</f>
        <v>#N/A</v>
      </c>
      <c r="N3684" s="1" t="s">
        <v>32</v>
      </c>
      <c r="O3684" s="1" t="s">
        <v>33</v>
      </c>
      <c r="P3684" s="1" t="s">
        <v>173</v>
      </c>
      <c r="Q3684" s="1" t="s">
        <v>173</v>
      </c>
      <c r="R3684" s="1" t="s">
        <v>174</v>
      </c>
      <c r="T3684" s="1">
        <v>1.00611781E8</v>
      </c>
      <c r="W3684" s="1" t="s">
        <v>493</v>
      </c>
      <c r="X3684" s="1" t="s">
        <v>9234</v>
      </c>
    </row>
    <row r="3685">
      <c r="A3685" s="1" t="s">
        <v>10647</v>
      </c>
      <c r="B3685" s="1" t="s">
        <v>10648</v>
      </c>
      <c r="C3685" s="1" t="s">
        <v>10649</v>
      </c>
      <c r="D3685" s="1" t="s">
        <v>51</v>
      </c>
      <c r="E3685" s="1" t="s">
        <v>29</v>
      </c>
      <c r="F3685" s="5">
        <v>200000.0</v>
      </c>
      <c r="G3685" s="1" t="s">
        <v>7016</v>
      </c>
      <c r="H3685" s="4">
        <v>44686.0</v>
      </c>
      <c r="I3685" s="1" t="s">
        <v>104</v>
      </c>
      <c r="K3685" s="1">
        <v>0.0</v>
      </c>
      <c r="L3685" s="1" t="s">
        <v>4994</v>
      </c>
      <c r="M3685" s="1" t="str">
        <f>VLOOKUP(L3685,'Copy of PMD Workday Constants -'!B3684:W4370,22,false)</f>
        <v>#N/A</v>
      </c>
      <c r="N3685" s="1" t="s">
        <v>32</v>
      </c>
      <c r="O3685" s="1" t="s">
        <v>33</v>
      </c>
      <c r="P3685" s="1" t="s">
        <v>82</v>
      </c>
      <c r="Q3685" s="1" t="s">
        <v>82</v>
      </c>
      <c r="R3685" s="1" t="s">
        <v>83</v>
      </c>
      <c r="S3685" s="1" t="s">
        <v>180</v>
      </c>
      <c r="T3685" s="1">
        <v>1.00618376E8</v>
      </c>
      <c r="W3685" s="1" t="s">
        <v>85</v>
      </c>
      <c r="X3685" s="1" t="s">
        <v>4994</v>
      </c>
    </row>
    <row r="3686">
      <c r="A3686" s="1" t="s">
        <v>10650</v>
      </c>
      <c r="B3686" s="1" t="s">
        <v>10651</v>
      </c>
      <c r="C3686" s="1" t="s">
        <v>10652</v>
      </c>
      <c r="D3686" s="1" t="s">
        <v>103</v>
      </c>
      <c r="E3686" s="1" t="s">
        <v>29</v>
      </c>
      <c r="F3686" s="5">
        <v>200000.0</v>
      </c>
      <c r="G3686" s="1" t="s">
        <v>7016</v>
      </c>
      <c r="H3686" s="4">
        <v>44840.0</v>
      </c>
      <c r="I3686" s="1" t="s">
        <v>732</v>
      </c>
      <c r="K3686" s="1">
        <v>0.0</v>
      </c>
      <c r="L3686" s="1" t="s">
        <v>10653</v>
      </c>
      <c r="M3686" s="1" t="str">
        <f>VLOOKUP(L3686,'Copy of PMD Workday Constants -'!B3685:W4371,22,false)</f>
        <v>#N/A</v>
      </c>
      <c r="N3686" s="1" t="s">
        <v>32</v>
      </c>
      <c r="O3686" s="1" t="s">
        <v>33</v>
      </c>
      <c r="P3686" s="1" t="s">
        <v>222</v>
      </c>
      <c r="Q3686" s="1" t="s">
        <v>222</v>
      </c>
      <c r="R3686" s="1" t="s">
        <v>223</v>
      </c>
      <c r="S3686" s="1" t="s">
        <v>482</v>
      </c>
      <c r="T3686" s="1">
        <v>1.01154609E8</v>
      </c>
      <c r="W3686" s="1" t="s">
        <v>456</v>
      </c>
      <c r="X3686" s="1" t="s">
        <v>10654</v>
      </c>
    </row>
    <row r="3687">
      <c r="A3687" s="1" t="s">
        <v>10655</v>
      </c>
      <c r="B3687" s="1" t="s">
        <v>8752</v>
      </c>
      <c r="C3687" s="1" t="s">
        <v>10656</v>
      </c>
      <c r="D3687" s="1" t="s">
        <v>28</v>
      </c>
      <c r="E3687" s="1" t="s">
        <v>29</v>
      </c>
      <c r="F3687" s="5">
        <v>200000.0</v>
      </c>
      <c r="G3687" s="1" t="s">
        <v>7016</v>
      </c>
      <c r="H3687" s="4">
        <v>44598.0</v>
      </c>
      <c r="I3687" s="1" t="s">
        <v>104</v>
      </c>
      <c r="K3687" s="1">
        <v>0.0</v>
      </c>
      <c r="L3687" s="1" t="s">
        <v>3499</v>
      </c>
      <c r="M3687" s="1" t="str">
        <f>VLOOKUP(L3687,'Copy of PMD Workday Constants -'!B3686:W4372,22,false)</f>
        <v>#N/A</v>
      </c>
      <c r="N3687" s="1" t="s">
        <v>32</v>
      </c>
      <c r="O3687" s="1" t="s">
        <v>33</v>
      </c>
      <c r="P3687" s="1" t="s">
        <v>222</v>
      </c>
      <c r="Q3687" s="1" t="s">
        <v>222</v>
      </c>
      <c r="R3687" s="1" t="s">
        <v>223</v>
      </c>
      <c r="S3687" s="1" t="s">
        <v>601</v>
      </c>
      <c r="T3687" s="1">
        <v>1.00662113E8</v>
      </c>
      <c r="W3687" s="1" t="s">
        <v>85</v>
      </c>
      <c r="X3687" s="1" t="s">
        <v>10657</v>
      </c>
    </row>
    <row r="3688">
      <c r="A3688" s="1" t="s">
        <v>10658</v>
      </c>
      <c r="B3688" s="1" t="s">
        <v>9673</v>
      </c>
      <c r="C3688" s="1" t="s">
        <v>10659</v>
      </c>
      <c r="D3688" s="1" t="s">
        <v>51</v>
      </c>
      <c r="E3688" s="1" t="s">
        <v>29</v>
      </c>
      <c r="F3688" s="5">
        <v>200000.0</v>
      </c>
      <c r="G3688" s="1" t="s">
        <v>7016</v>
      </c>
      <c r="H3688" s="1" t="s">
        <v>785</v>
      </c>
      <c r="I3688" s="1" t="s">
        <v>810</v>
      </c>
      <c r="K3688" s="1">
        <v>0.0</v>
      </c>
      <c r="L3688" s="1" t="s">
        <v>10660</v>
      </c>
      <c r="M3688" s="1" t="str">
        <f>VLOOKUP(L3688,'Copy of PMD Workday Constants -'!B3687:W4373,22,false)</f>
        <v>#N/A</v>
      </c>
      <c r="N3688" s="1" t="s">
        <v>32</v>
      </c>
      <c r="O3688" s="1" t="s">
        <v>33</v>
      </c>
      <c r="P3688" s="1" t="s">
        <v>222</v>
      </c>
      <c r="Q3688" s="1" t="s">
        <v>222</v>
      </c>
      <c r="R3688" s="1" t="s">
        <v>223</v>
      </c>
      <c r="S3688" s="1" t="s">
        <v>482</v>
      </c>
      <c r="T3688" s="1">
        <v>1.00604296E8</v>
      </c>
      <c r="W3688" s="1" t="s">
        <v>85</v>
      </c>
      <c r="X3688" s="1" t="s">
        <v>3409</v>
      </c>
    </row>
    <row r="3689">
      <c r="A3689" s="1" t="s">
        <v>10661</v>
      </c>
      <c r="B3689" s="1" t="s">
        <v>5315</v>
      </c>
      <c r="C3689" s="1" t="s">
        <v>10662</v>
      </c>
      <c r="D3689" s="1" t="s">
        <v>28</v>
      </c>
      <c r="E3689" s="1" t="s">
        <v>29</v>
      </c>
      <c r="F3689" s="5">
        <v>200000.0</v>
      </c>
      <c r="G3689" s="1" t="s">
        <v>7016</v>
      </c>
      <c r="H3689" s="4">
        <v>44840.0</v>
      </c>
      <c r="I3689" s="1" t="s">
        <v>302</v>
      </c>
      <c r="K3689" s="1">
        <v>0.0</v>
      </c>
      <c r="L3689" s="1" t="s">
        <v>203</v>
      </c>
      <c r="M3689" s="1" t="str">
        <f>VLOOKUP(L3689,'Copy of PMD Workday Constants -'!B3688:W4374,22,false)</f>
        <v>#N/A</v>
      </c>
      <c r="N3689" s="1" t="s">
        <v>32</v>
      </c>
      <c r="O3689" s="1" t="s">
        <v>33</v>
      </c>
      <c r="P3689" s="1" t="s">
        <v>112</v>
      </c>
      <c r="Q3689" s="1" t="s">
        <v>112</v>
      </c>
      <c r="R3689" s="1" t="s">
        <v>113</v>
      </c>
      <c r="T3689" s="1">
        <v>1.01200292E8</v>
      </c>
      <c r="W3689" s="1" t="s">
        <v>533</v>
      </c>
      <c r="X3689" s="1" t="s">
        <v>203</v>
      </c>
    </row>
    <row r="3690">
      <c r="A3690" s="1" t="s">
        <v>10663</v>
      </c>
      <c r="B3690" s="1" t="s">
        <v>10664</v>
      </c>
      <c r="C3690" s="1" t="s">
        <v>6347</v>
      </c>
      <c r="D3690" s="1" t="s">
        <v>103</v>
      </c>
      <c r="E3690" s="1" t="s">
        <v>29</v>
      </c>
      <c r="F3690" s="5">
        <v>200000.0</v>
      </c>
      <c r="G3690" s="1" t="s">
        <v>7016</v>
      </c>
      <c r="H3690" s="4">
        <v>44626.0</v>
      </c>
      <c r="I3690" s="1" t="s">
        <v>941</v>
      </c>
      <c r="K3690" s="1">
        <v>0.0</v>
      </c>
      <c r="L3690" s="1" t="s">
        <v>3476</v>
      </c>
      <c r="M3690" s="1" t="str">
        <f>VLOOKUP(L3690,'Copy of PMD Workday Constants -'!B3689:W4375,22,false)</f>
        <v>#N/A</v>
      </c>
      <c r="N3690" s="1" t="s">
        <v>32</v>
      </c>
      <c r="O3690" s="1" t="s">
        <v>33</v>
      </c>
      <c r="P3690" s="1" t="s">
        <v>112</v>
      </c>
      <c r="Q3690" s="1" t="s">
        <v>112</v>
      </c>
      <c r="R3690" s="1" t="s">
        <v>113</v>
      </c>
      <c r="S3690" s="1" t="s">
        <v>114</v>
      </c>
      <c r="T3690" s="1">
        <v>1.00702554E8</v>
      </c>
      <c r="W3690" s="1" t="s">
        <v>308</v>
      </c>
      <c r="X3690" s="1" t="s">
        <v>3476</v>
      </c>
    </row>
    <row r="3691">
      <c r="A3691" s="1" t="s">
        <v>10665</v>
      </c>
      <c r="B3691" s="1" t="s">
        <v>931</v>
      </c>
      <c r="C3691" s="1" t="s">
        <v>10666</v>
      </c>
      <c r="D3691" s="1" t="s">
        <v>51</v>
      </c>
      <c r="E3691" s="1" t="s">
        <v>29</v>
      </c>
      <c r="F3691" s="5">
        <v>200000.0</v>
      </c>
      <c r="G3691" s="1" t="s">
        <v>7016</v>
      </c>
      <c r="H3691" s="4">
        <v>44177.0</v>
      </c>
      <c r="I3691" s="1" t="s">
        <v>80</v>
      </c>
      <c r="K3691" s="1">
        <v>0.0</v>
      </c>
      <c r="L3691" s="1" t="s">
        <v>1130</v>
      </c>
      <c r="M3691" s="1" t="str">
        <f>VLOOKUP(L3691,'Copy of PMD Workday Constants -'!B3690:W4376,22,false)</f>
        <v>#N/A</v>
      </c>
      <c r="N3691" s="1" t="s">
        <v>32</v>
      </c>
      <c r="O3691" s="1" t="s">
        <v>33</v>
      </c>
      <c r="P3691" s="1" t="s">
        <v>64</v>
      </c>
      <c r="Q3691" s="1" t="s">
        <v>64</v>
      </c>
      <c r="R3691" s="1" t="s">
        <v>65</v>
      </c>
      <c r="S3691" s="1" t="s">
        <v>229</v>
      </c>
      <c r="T3691" s="1">
        <v>1.00651298E8</v>
      </c>
      <c r="W3691" s="1" t="s">
        <v>85</v>
      </c>
      <c r="X3691" s="1" t="s">
        <v>9112</v>
      </c>
    </row>
    <row r="3692">
      <c r="A3692" s="1" t="s">
        <v>10667</v>
      </c>
      <c r="B3692" s="1" t="s">
        <v>489</v>
      </c>
      <c r="C3692" s="1" t="s">
        <v>10668</v>
      </c>
      <c r="D3692" s="1" t="s">
        <v>28</v>
      </c>
      <c r="E3692" s="1" t="s">
        <v>29</v>
      </c>
      <c r="F3692" s="5">
        <v>200000.0</v>
      </c>
      <c r="G3692" s="1" t="s">
        <v>7016</v>
      </c>
      <c r="H3692" s="1" t="s">
        <v>1254</v>
      </c>
      <c r="I3692" s="1" t="s">
        <v>80</v>
      </c>
      <c r="K3692" s="1">
        <v>0.0</v>
      </c>
      <c r="L3692" s="1" t="s">
        <v>6578</v>
      </c>
      <c r="M3692" s="1" t="str">
        <f>VLOOKUP(L3692,'Copy of PMD Workday Constants -'!B3691:W4377,22,false)</f>
        <v>#N/A</v>
      </c>
      <c r="N3692" s="1" t="s">
        <v>32</v>
      </c>
      <c r="O3692" s="1" t="s">
        <v>33</v>
      </c>
      <c r="P3692" s="1" t="s">
        <v>222</v>
      </c>
      <c r="Q3692" s="1" t="s">
        <v>222</v>
      </c>
      <c r="R3692" s="1" t="s">
        <v>223</v>
      </c>
      <c r="S3692" s="1" t="s">
        <v>482</v>
      </c>
      <c r="T3692" s="1">
        <v>1.00597339E8</v>
      </c>
      <c r="W3692" s="1" t="s">
        <v>493</v>
      </c>
      <c r="X3692" s="1" t="s">
        <v>10669</v>
      </c>
    </row>
    <row r="3693">
      <c r="A3693" s="1" t="s">
        <v>10670</v>
      </c>
      <c r="B3693" s="1" t="s">
        <v>2961</v>
      </c>
      <c r="C3693" s="1" t="s">
        <v>10671</v>
      </c>
      <c r="D3693" s="1" t="s">
        <v>103</v>
      </c>
      <c r="E3693" s="1" t="s">
        <v>29</v>
      </c>
      <c r="F3693" s="5">
        <v>200000.0</v>
      </c>
      <c r="G3693" s="1" t="s">
        <v>7016</v>
      </c>
      <c r="H3693" s="4">
        <v>44870.0</v>
      </c>
      <c r="I3693" s="4">
        <v>44718.0</v>
      </c>
      <c r="K3693" s="1">
        <v>0.0</v>
      </c>
      <c r="L3693" s="1" t="s">
        <v>3948</v>
      </c>
      <c r="M3693" s="1" t="str">
        <f>VLOOKUP(L3693,'Copy of PMD Workday Constants -'!B3692:W4378,22,false)</f>
        <v>#N/A</v>
      </c>
      <c r="N3693" s="1" t="s">
        <v>32</v>
      </c>
      <c r="O3693" s="1" t="s">
        <v>33</v>
      </c>
      <c r="P3693" s="1" t="s">
        <v>112</v>
      </c>
      <c r="Q3693" s="1" t="s">
        <v>112</v>
      </c>
      <c r="R3693" s="1" t="s">
        <v>113</v>
      </c>
      <c r="S3693" s="1" t="s">
        <v>114</v>
      </c>
      <c r="T3693" s="1">
        <v>1.00627224E8</v>
      </c>
      <c r="W3693" s="1" t="s">
        <v>147</v>
      </c>
      <c r="X3693" s="1" t="s">
        <v>2963</v>
      </c>
    </row>
    <row r="3694">
      <c r="A3694" s="1" t="s">
        <v>10672</v>
      </c>
      <c r="B3694" s="1" t="s">
        <v>489</v>
      </c>
      <c r="C3694" s="1" t="s">
        <v>10673</v>
      </c>
      <c r="D3694" s="1" t="s">
        <v>51</v>
      </c>
      <c r="E3694" s="1" t="s">
        <v>29</v>
      </c>
      <c r="F3694" s="5">
        <v>200000.0</v>
      </c>
      <c r="G3694" s="1" t="s">
        <v>7016</v>
      </c>
      <c r="H3694" s="4">
        <v>44686.0</v>
      </c>
      <c r="I3694" s="1" t="s">
        <v>104</v>
      </c>
      <c r="K3694" s="1">
        <v>0.0</v>
      </c>
      <c r="L3694" s="1" t="s">
        <v>847</v>
      </c>
      <c r="M3694" s="1" t="str">
        <f>VLOOKUP(L3694,'Copy of PMD Workday Constants -'!B3693:W4379,22,false)</f>
        <v>#N/A</v>
      </c>
      <c r="N3694" s="1" t="s">
        <v>32</v>
      </c>
      <c r="O3694" s="1" t="s">
        <v>33</v>
      </c>
      <c r="P3694" s="1" t="s">
        <v>173</v>
      </c>
      <c r="Q3694" s="1" t="s">
        <v>173</v>
      </c>
      <c r="R3694" s="1" t="s">
        <v>174</v>
      </c>
      <c r="T3694" s="1">
        <v>1.00586701E8</v>
      </c>
      <c r="W3694" s="1" t="s">
        <v>493</v>
      </c>
      <c r="X3694" s="1" t="s">
        <v>848</v>
      </c>
    </row>
    <row r="3695">
      <c r="A3695" s="1" t="s">
        <v>10674</v>
      </c>
      <c r="B3695" s="1" t="s">
        <v>361</v>
      </c>
      <c r="C3695" s="1" t="s">
        <v>10675</v>
      </c>
      <c r="D3695" s="1" t="s">
        <v>28</v>
      </c>
      <c r="E3695" s="1" t="s">
        <v>29</v>
      </c>
      <c r="F3695" s="5">
        <v>200000.0</v>
      </c>
      <c r="G3695" s="1" t="s">
        <v>7016</v>
      </c>
      <c r="H3695" s="1" t="s">
        <v>1323</v>
      </c>
      <c r="I3695" s="1" t="s">
        <v>152</v>
      </c>
      <c r="K3695" s="1">
        <v>0.0</v>
      </c>
      <c r="L3695" s="1" t="s">
        <v>365</v>
      </c>
      <c r="M3695" s="1" t="str">
        <f>VLOOKUP(L3695,'Copy of PMD Workday Constants -'!B3694:W4380,22,false)</f>
        <v>#N/A</v>
      </c>
      <c r="N3695" s="1" t="s">
        <v>32</v>
      </c>
      <c r="O3695" s="1" t="s">
        <v>33</v>
      </c>
      <c r="P3695" s="1" t="s">
        <v>210</v>
      </c>
      <c r="Q3695" s="1" t="s">
        <v>210</v>
      </c>
      <c r="R3695" s="1" t="s">
        <v>211</v>
      </c>
      <c r="S3695" s="1" t="s">
        <v>297</v>
      </c>
      <c r="T3695" s="1">
        <v>1.01072617E8</v>
      </c>
      <c r="W3695" s="1" t="s">
        <v>258</v>
      </c>
      <c r="X3695" s="1" t="s">
        <v>366</v>
      </c>
    </row>
    <row r="3696">
      <c r="A3696" s="1" t="s">
        <v>10676</v>
      </c>
      <c r="B3696" s="1" t="s">
        <v>4610</v>
      </c>
      <c r="C3696" s="1" t="s">
        <v>10677</v>
      </c>
      <c r="D3696" s="1" t="s">
        <v>51</v>
      </c>
      <c r="E3696" s="1" t="s">
        <v>29</v>
      </c>
      <c r="F3696" s="5">
        <v>200000.0</v>
      </c>
      <c r="G3696" s="1" t="s">
        <v>7016</v>
      </c>
      <c r="H3696" s="1" t="s">
        <v>2142</v>
      </c>
      <c r="I3696" s="1" t="s">
        <v>132</v>
      </c>
      <c r="K3696" s="1">
        <v>0.0</v>
      </c>
      <c r="L3696" s="1" t="s">
        <v>4679</v>
      </c>
      <c r="M3696" s="1" t="str">
        <f>VLOOKUP(L3696,'Copy of PMD Workday Constants -'!B3695:W4381,22,false)</f>
        <v>#N/A</v>
      </c>
      <c r="N3696" s="1" t="s">
        <v>32</v>
      </c>
      <c r="O3696" s="1" t="s">
        <v>33</v>
      </c>
      <c r="P3696" s="1" t="s">
        <v>222</v>
      </c>
      <c r="Q3696" s="1" t="s">
        <v>222</v>
      </c>
      <c r="R3696" s="1" t="s">
        <v>223</v>
      </c>
      <c r="S3696" s="1" t="s">
        <v>482</v>
      </c>
      <c r="T3696" s="1">
        <v>1.00620023E8</v>
      </c>
      <c r="W3696" s="1" t="s">
        <v>140</v>
      </c>
      <c r="X3696" s="1" t="s">
        <v>10678</v>
      </c>
    </row>
    <row r="3697">
      <c r="A3697" s="1" t="s">
        <v>10679</v>
      </c>
      <c r="B3697" s="1" t="s">
        <v>4792</v>
      </c>
      <c r="C3697" s="1" t="s">
        <v>10680</v>
      </c>
      <c r="D3697" s="1" t="s">
        <v>28</v>
      </c>
      <c r="E3697" s="1" t="s">
        <v>29</v>
      </c>
      <c r="F3697" s="5">
        <v>200000.0</v>
      </c>
      <c r="G3697" s="1" t="s">
        <v>7016</v>
      </c>
      <c r="H3697" s="1" t="s">
        <v>537</v>
      </c>
      <c r="I3697" s="1" t="s">
        <v>152</v>
      </c>
      <c r="K3697" s="1">
        <v>0.0</v>
      </c>
      <c r="L3697" s="1" t="s">
        <v>7818</v>
      </c>
      <c r="M3697" s="1" t="str">
        <f>VLOOKUP(L3697,'Copy of PMD Workday Constants -'!B3696:W4382,22,false)</f>
        <v>#N/A</v>
      </c>
      <c r="N3697" s="1" t="s">
        <v>32</v>
      </c>
      <c r="O3697" s="1" t="s">
        <v>33</v>
      </c>
      <c r="P3697" s="1" t="s">
        <v>173</v>
      </c>
      <c r="Q3697" s="1" t="s">
        <v>173</v>
      </c>
      <c r="R3697" s="1" t="s">
        <v>174</v>
      </c>
      <c r="T3697" s="1">
        <v>1.00617864E8</v>
      </c>
      <c r="W3697" s="1" t="s">
        <v>56</v>
      </c>
      <c r="X3697" s="1" t="s">
        <v>10681</v>
      </c>
    </row>
    <row r="3698">
      <c r="A3698" s="1" t="s">
        <v>10682</v>
      </c>
      <c r="B3698" s="1" t="s">
        <v>756</v>
      </c>
      <c r="C3698" s="1" t="s">
        <v>10683</v>
      </c>
      <c r="D3698" s="1" t="s">
        <v>103</v>
      </c>
      <c r="E3698" s="1" t="s">
        <v>29</v>
      </c>
      <c r="F3698" s="5">
        <v>200000.0</v>
      </c>
      <c r="G3698" s="1" t="s">
        <v>7016</v>
      </c>
      <c r="H3698" s="4">
        <v>44626.0</v>
      </c>
      <c r="I3698" s="1" t="s">
        <v>132</v>
      </c>
      <c r="K3698" s="1">
        <v>0.0</v>
      </c>
      <c r="L3698" s="1" t="s">
        <v>1344</v>
      </c>
      <c r="M3698" s="1" t="str">
        <f>VLOOKUP(L3698,'Copy of PMD Workday Constants -'!B3697:W4383,22,false)</f>
        <v>#N/A</v>
      </c>
      <c r="N3698" s="1" t="s">
        <v>32</v>
      </c>
      <c r="O3698" s="1" t="s">
        <v>33</v>
      </c>
      <c r="P3698" s="1" t="s">
        <v>112</v>
      </c>
      <c r="Q3698" s="1" t="s">
        <v>112</v>
      </c>
      <c r="R3698" s="1" t="s">
        <v>113</v>
      </c>
      <c r="T3698" s="1">
        <v>1.0061941E8</v>
      </c>
      <c r="W3698" s="1" t="s">
        <v>74</v>
      </c>
      <c r="X3698" s="1" t="s">
        <v>10684</v>
      </c>
    </row>
    <row r="3699">
      <c r="A3699" s="1" t="s">
        <v>10685</v>
      </c>
      <c r="B3699" s="1" t="s">
        <v>10686</v>
      </c>
      <c r="C3699" s="1" t="s">
        <v>10687</v>
      </c>
      <c r="D3699" s="1" t="s">
        <v>103</v>
      </c>
      <c r="E3699" s="1" t="s">
        <v>29</v>
      </c>
      <c r="F3699" s="5">
        <v>200000.0</v>
      </c>
      <c r="G3699" s="1" t="s">
        <v>7016</v>
      </c>
      <c r="H3699" s="4">
        <v>44746.0</v>
      </c>
      <c r="I3699" s="1" t="s">
        <v>264</v>
      </c>
      <c r="K3699" s="1">
        <v>0.0</v>
      </c>
      <c r="L3699" s="1" t="s">
        <v>4228</v>
      </c>
      <c r="M3699" s="1" t="str">
        <f>VLOOKUP(L3699,'Copy of PMD Workday Constants -'!B3698:W4384,22,false)</f>
        <v>#N/A</v>
      </c>
      <c r="N3699" s="1" t="s">
        <v>32</v>
      </c>
      <c r="O3699" s="1" t="s">
        <v>33</v>
      </c>
      <c r="P3699" s="1" t="s">
        <v>64</v>
      </c>
      <c r="Q3699" s="1" t="s">
        <v>64</v>
      </c>
      <c r="R3699" s="1" t="s">
        <v>65</v>
      </c>
      <c r="S3699" s="1" t="s">
        <v>126</v>
      </c>
      <c r="T3699" s="1">
        <v>1.00651638E8</v>
      </c>
      <c r="W3699" s="1" t="s">
        <v>115</v>
      </c>
      <c r="X3699" s="1" t="s">
        <v>8531</v>
      </c>
    </row>
    <row r="3700">
      <c r="A3700" s="1" t="s">
        <v>10688</v>
      </c>
      <c r="B3700" s="1" t="s">
        <v>10689</v>
      </c>
      <c r="C3700" s="1" t="s">
        <v>9532</v>
      </c>
      <c r="D3700" s="1" t="s">
        <v>51</v>
      </c>
      <c r="E3700" s="1" t="s">
        <v>29</v>
      </c>
      <c r="F3700" s="5">
        <v>200000.0</v>
      </c>
      <c r="G3700" s="1" t="s">
        <v>7016</v>
      </c>
      <c r="H3700" s="1" t="s">
        <v>10690</v>
      </c>
      <c r="I3700" s="1" t="s">
        <v>166</v>
      </c>
      <c r="K3700" s="1">
        <v>0.0</v>
      </c>
      <c r="L3700" s="1" t="s">
        <v>4608</v>
      </c>
      <c r="M3700" s="1" t="str">
        <f>VLOOKUP(L3700,'Copy of PMD Workday Constants -'!B3699:W4385,22,false)</f>
        <v>#N/A</v>
      </c>
      <c r="N3700" s="1" t="s">
        <v>32</v>
      </c>
      <c r="O3700" s="1" t="s">
        <v>33</v>
      </c>
      <c r="P3700" s="1" t="s">
        <v>222</v>
      </c>
      <c r="Q3700" s="1" t="s">
        <v>222</v>
      </c>
      <c r="R3700" s="1" t="s">
        <v>223</v>
      </c>
      <c r="S3700" s="1" t="s">
        <v>482</v>
      </c>
      <c r="T3700" s="1">
        <v>1.00592715E8</v>
      </c>
      <c r="W3700" s="1" t="s">
        <v>115</v>
      </c>
      <c r="X3700" s="1" t="s">
        <v>4608</v>
      </c>
    </row>
    <row r="3701">
      <c r="A3701" s="1" t="s">
        <v>10691</v>
      </c>
      <c r="B3701" s="1" t="s">
        <v>4539</v>
      </c>
      <c r="C3701" s="1" t="s">
        <v>10692</v>
      </c>
      <c r="D3701" s="1" t="s">
        <v>51</v>
      </c>
      <c r="E3701" s="1" t="s">
        <v>29</v>
      </c>
      <c r="F3701" s="5">
        <v>200000.0</v>
      </c>
      <c r="G3701" s="1" t="s">
        <v>7016</v>
      </c>
      <c r="H3701" s="1" t="s">
        <v>3028</v>
      </c>
      <c r="I3701" s="1" t="s">
        <v>10693</v>
      </c>
      <c r="K3701" s="1">
        <v>0.0</v>
      </c>
      <c r="L3701" s="1" t="s">
        <v>4542</v>
      </c>
      <c r="M3701" s="1" t="str">
        <f>VLOOKUP(L3701,'Copy of PMD Workday Constants -'!B3700:W4386,22,false)</f>
        <v>#N/A</v>
      </c>
      <c r="N3701" s="1" t="s">
        <v>32</v>
      </c>
      <c r="O3701" s="1" t="s">
        <v>33</v>
      </c>
      <c r="P3701" s="1" t="s">
        <v>34</v>
      </c>
      <c r="Q3701" s="1" t="s">
        <v>34</v>
      </c>
      <c r="R3701" s="1" t="s">
        <v>35</v>
      </c>
      <c r="S3701" s="1" t="s">
        <v>126</v>
      </c>
      <c r="T3701" s="1">
        <v>1.00639569E8</v>
      </c>
      <c r="W3701" s="1" t="s">
        <v>436</v>
      </c>
      <c r="X3701" s="1" t="s">
        <v>4542</v>
      </c>
    </row>
    <row r="3702">
      <c r="A3702" s="1" t="s">
        <v>10694</v>
      </c>
      <c r="B3702" s="1" t="s">
        <v>10695</v>
      </c>
      <c r="C3702" s="1" t="s">
        <v>10696</v>
      </c>
      <c r="D3702" s="1" t="s">
        <v>103</v>
      </c>
      <c r="E3702" s="1" t="s">
        <v>29</v>
      </c>
      <c r="F3702" s="5">
        <v>200000.0</v>
      </c>
      <c r="G3702" s="1" t="s">
        <v>7016</v>
      </c>
      <c r="H3702" s="1" t="s">
        <v>1553</v>
      </c>
      <c r="I3702" s="1" t="s">
        <v>80</v>
      </c>
      <c r="K3702" s="1">
        <v>0.0</v>
      </c>
      <c r="L3702" s="1" t="s">
        <v>3422</v>
      </c>
      <c r="M3702" s="1" t="str">
        <f>VLOOKUP(L3702,'Copy of PMD Workday Constants -'!B3701:W4387,22,false)</f>
        <v>#N/A</v>
      </c>
      <c r="N3702" s="1" t="s">
        <v>32</v>
      </c>
      <c r="O3702" s="1" t="s">
        <v>33</v>
      </c>
      <c r="P3702" s="1" t="s">
        <v>173</v>
      </c>
      <c r="Q3702" s="1" t="s">
        <v>173</v>
      </c>
      <c r="R3702" s="1" t="s">
        <v>174</v>
      </c>
      <c r="T3702" s="1">
        <v>1.01141463E8</v>
      </c>
      <c r="X3702" s="1" t="s">
        <v>10697</v>
      </c>
    </row>
    <row r="3703">
      <c r="A3703" s="1" t="s">
        <v>10698</v>
      </c>
      <c r="B3703" s="1" t="s">
        <v>704</v>
      </c>
      <c r="C3703" s="1" t="s">
        <v>10699</v>
      </c>
      <c r="D3703" s="1" t="s">
        <v>103</v>
      </c>
      <c r="E3703" s="1" t="s">
        <v>29</v>
      </c>
      <c r="F3703" s="5">
        <v>200000.0</v>
      </c>
      <c r="G3703" s="1" t="s">
        <v>7016</v>
      </c>
      <c r="H3703" s="1" t="s">
        <v>3034</v>
      </c>
      <c r="I3703" s="1" t="s">
        <v>191</v>
      </c>
      <c r="K3703" s="1">
        <v>0.0</v>
      </c>
      <c r="L3703" s="1" t="s">
        <v>198</v>
      </c>
      <c r="M3703" s="1" t="str">
        <f>VLOOKUP(L3703,'Copy of PMD Workday Constants -'!B3702:W4388,22,false)</f>
        <v>#N/A</v>
      </c>
      <c r="N3703" s="1" t="s">
        <v>32</v>
      </c>
      <c r="O3703" s="1" t="s">
        <v>33</v>
      </c>
      <c r="P3703" s="1" t="s">
        <v>82</v>
      </c>
      <c r="Q3703" s="1" t="s">
        <v>82</v>
      </c>
      <c r="R3703" s="1" t="s">
        <v>83</v>
      </c>
      <c r="S3703" s="1" t="s">
        <v>180</v>
      </c>
      <c r="T3703" s="1">
        <v>1.00590896E8</v>
      </c>
      <c r="W3703" s="1" t="s">
        <v>85</v>
      </c>
      <c r="X3703" s="1" t="s">
        <v>3087</v>
      </c>
    </row>
    <row r="3704">
      <c r="A3704" s="1" t="s">
        <v>10700</v>
      </c>
      <c r="B3704" s="1" t="s">
        <v>573</v>
      </c>
      <c r="C3704" s="1" t="s">
        <v>10701</v>
      </c>
      <c r="D3704" s="1" t="s">
        <v>103</v>
      </c>
      <c r="E3704" s="1" t="s">
        <v>29</v>
      </c>
      <c r="F3704" s="5">
        <v>200000.0</v>
      </c>
      <c r="G3704" s="1" t="s">
        <v>7016</v>
      </c>
      <c r="H3704" s="1" t="s">
        <v>301</v>
      </c>
      <c r="I3704" s="1" t="s">
        <v>732</v>
      </c>
      <c r="K3704" s="1">
        <v>0.0</v>
      </c>
      <c r="L3704" s="1" t="s">
        <v>4644</v>
      </c>
      <c r="M3704" s="1" t="str">
        <f>VLOOKUP(L3704,'Copy of PMD Workday Constants -'!B3703:W4389,22,false)</f>
        <v>#N/A</v>
      </c>
      <c r="N3704" s="1" t="s">
        <v>32</v>
      </c>
      <c r="O3704" s="1" t="s">
        <v>33</v>
      </c>
      <c r="P3704" s="1" t="s">
        <v>210</v>
      </c>
      <c r="Q3704" s="1" t="s">
        <v>210</v>
      </c>
      <c r="R3704" s="1" t="s">
        <v>211</v>
      </c>
      <c r="S3704" s="1" t="s">
        <v>1313</v>
      </c>
      <c r="T3704" s="1">
        <v>1.00637587E8</v>
      </c>
      <c r="W3704" s="1" t="s">
        <v>577</v>
      </c>
      <c r="X3704" s="1" t="s">
        <v>7332</v>
      </c>
    </row>
    <row r="3705">
      <c r="A3705" s="1" t="s">
        <v>10702</v>
      </c>
      <c r="B3705" s="1" t="s">
        <v>10703</v>
      </c>
      <c r="C3705" s="1" t="s">
        <v>10704</v>
      </c>
      <c r="D3705" s="1" t="s">
        <v>51</v>
      </c>
      <c r="E3705" s="1" t="s">
        <v>29</v>
      </c>
      <c r="F3705" s="5">
        <v>200000.0</v>
      </c>
      <c r="G3705" s="1" t="s">
        <v>7016</v>
      </c>
      <c r="H3705" s="4">
        <v>44716.0</v>
      </c>
      <c r="I3705" s="1" t="s">
        <v>1349</v>
      </c>
      <c r="K3705" s="1">
        <v>0.0</v>
      </c>
      <c r="L3705" s="1" t="s">
        <v>1646</v>
      </c>
      <c r="M3705" s="1" t="str">
        <f>VLOOKUP(L3705,'Copy of PMD Workday Constants -'!B3704:W4390,22,false)</f>
        <v>#N/A</v>
      </c>
      <c r="N3705" s="1" t="s">
        <v>32</v>
      </c>
      <c r="O3705" s="1" t="s">
        <v>33</v>
      </c>
      <c r="P3705" s="1" t="s">
        <v>64</v>
      </c>
      <c r="Q3705" s="1" t="s">
        <v>64</v>
      </c>
      <c r="R3705" s="1" t="s">
        <v>65</v>
      </c>
      <c r="T3705" s="1">
        <v>1.00650657E8</v>
      </c>
      <c r="W3705" s="1" t="s">
        <v>308</v>
      </c>
      <c r="X3705" s="1" t="s">
        <v>1646</v>
      </c>
    </row>
    <row r="3706">
      <c r="A3706" s="1" t="s">
        <v>10705</v>
      </c>
      <c r="B3706" s="1" t="s">
        <v>10706</v>
      </c>
      <c r="C3706" s="1" t="s">
        <v>10707</v>
      </c>
      <c r="D3706" s="1" t="s">
        <v>103</v>
      </c>
      <c r="E3706" s="1" t="s">
        <v>29</v>
      </c>
      <c r="F3706" s="5">
        <v>200000.0</v>
      </c>
      <c r="G3706" s="1" t="s">
        <v>7016</v>
      </c>
      <c r="H3706" s="1" t="s">
        <v>865</v>
      </c>
      <c r="I3706" s="1" t="s">
        <v>526</v>
      </c>
      <c r="K3706" s="1">
        <v>0.0</v>
      </c>
      <c r="L3706" s="1" t="s">
        <v>737</v>
      </c>
      <c r="M3706" s="1" t="str">
        <f>VLOOKUP(L3706,'Copy of PMD Workday Constants -'!B3705:W4391,22,false)</f>
        <v>#N/A</v>
      </c>
      <c r="N3706" s="1" t="s">
        <v>32</v>
      </c>
      <c r="O3706" s="1" t="s">
        <v>33</v>
      </c>
      <c r="P3706" s="1" t="s">
        <v>112</v>
      </c>
      <c r="Q3706" s="1" t="s">
        <v>112</v>
      </c>
      <c r="R3706" s="1" t="s">
        <v>113</v>
      </c>
      <c r="S3706" s="1" t="s">
        <v>492</v>
      </c>
      <c r="T3706" s="1">
        <v>1.00629729E8</v>
      </c>
      <c r="W3706" s="1" t="s">
        <v>140</v>
      </c>
      <c r="X3706" s="1" t="s">
        <v>10708</v>
      </c>
    </row>
    <row r="3707">
      <c r="A3707" s="1" t="s">
        <v>10709</v>
      </c>
      <c r="B3707" s="1" t="s">
        <v>10710</v>
      </c>
      <c r="C3707" s="1" t="s">
        <v>10711</v>
      </c>
      <c r="D3707" s="1" t="s">
        <v>51</v>
      </c>
      <c r="E3707" s="1" t="s">
        <v>29</v>
      </c>
      <c r="F3707" s="5">
        <v>200000.0</v>
      </c>
      <c r="G3707" s="1" t="s">
        <v>7016</v>
      </c>
      <c r="H3707" s="4">
        <v>44840.0</v>
      </c>
      <c r="I3707" s="1" t="s">
        <v>80</v>
      </c>
      <c r="K3707" s="1">
        <v>0.0</v>
      </c>
      <c r="L3707" s="1" t="s">
        <v>7718</v>
      </c>
      <c r="M3707" s="1" t="str">
        <f>VLOOKUP(L3707,'Copy of PMD Workday Constants -'!B3706:W4392,22,false)</f>
        <v>#N/A</v>
      </c>
      <c r="N3707" s="1" t="s">
        <v>32</v>
      </c>
      <c r="O3707" s="1" t="s">
        <v>33</v>
      </c>
      <c r="P3707" s="1" t="s">
        <v>112</v>
      </c>
      <c r="Q3707" s="1" t="s">
        <v>112</v>
      </c>
      <c r="R3707" s="1" t="s">
        <v>113</v>
      </c>
      <c r="S3707" s="1" t="s">
        <v>134</v>
      </c>
      <c r="T3707" s="1">
        <v>1.00625107E8</v>
      </c>
      <c r="W3707" s="1" t="s">
        <v>74</v>
      </c>
      <c r="X3707" s="1" t="s">
        <v>251</v>
      </c>
    </row>
    <row r="3708">
      <c r="A3708" s="1" t="s">
        <v>10712</v>
      </c>
      <c r="B3708" s="1" t="s">
        <v>10713</v>
      </c>
      <c r="C3708" s="1" t="s">
        <v>10714</v>
      </c>
      <c r="D3708" s="1" t="s">
        <v>28</v>
      </c>
      <c r="E3708" s="1" t="s">
        <v>29</v>
      </c>
      <c r="F3708" s="5">
        <v>200000.0</v>
      </c>
      <c r="G3708" s="1" t="s">
        <v>7016</v>
      </c>
      <c r="H3708" s="1" t="s">
        <v>1161</v>
      </c>
      <c r="I3708" s="1" t="s">
        <v>510</v>
      </c>
      <c r="K3708" s="1">
        <v>0.0</v>
      </c>
      <c r="L3708" s="1" t="s">
        <v>7718</v>
      </c>
      <c r="M3708" s="1" t="str">
        <f>VLOOKUP(L3708,'Copy of PMD Workday Constants -'!B3707:W4393,22,false)</f>
        <v>#N/A</v>
      </c>
      <c r="N3708" s="1" t="s">
        <v>32</v>
      </c>
      <c r="O3708" s="1" t="s">
        <v>33</v>
      </c>
      <c r="P3708" s="1" t="s">
        <v>112</v>
      </c>
      <c r="Q3708" s="1" t="s">
        <v>112</v>
      </c>
      <c r="R3708" s="1" t="s">
        <v>113</v>
      </c>
      <c r="S3708" s="1" t="s">
        <v>134</v>
      </c>
      <c r="T3708" s="1">
        <v>1.00625107E8</v>
      </c>
      <c r="W3708" s="1" t="s">
        <v>74</v>
      </c>
      <c r="X3708" s="1" t="s">
        <v>977</v>
      </c>
    </row>
    <row r="3709">
      <c r="A3709" s="1" t="s">
        <v>10715</v>
      </c>
      <c r="B3709" s="1" t="s">
        <v>10716</v>
      </c>
      <c r="C3709" s="1" t="s">
        <v>10717</v>
      </c>
      <c r="D3709" s="1" t="s">
        <v>51</v>
      </c>
      <c r="E3709" s="1" t="s">
        <v>29</v>
      </c>
      <c r="F3709" s="5">
        <v>200000.0</v>
      </c>
      <c r="G3709" s="1" t="s">
        <v>7016</v>
      </c>
      <c r="H3709" s="1" t="s">
        <v>301</v>
      </c>
      <c r="I3709" s="1" t="s">
        <v>132</v>
      </c>
      <c r="K3709" s="1">
        <v>0.0</v>
      </c>
      <c r="L3709" s="1" t="s">
        <v>10718</v>
      </c>
      <c r="M3709" s="1" t="str">
        <f>VLOOKUP(L3709,'Copy of PMD Workday Constants -'!B3708:W4394,22,false)</f>
        <v>#N/A</v>
      </c>
      <c r="N3709" s="1" t="s">
        <v>32</v>
      </c>
      <c r="O3709" s="1" t="s">
        <v>33</v>
      </c>
      <c r="P3709" s="1" t="s">
        <v>64</v>
      </c>
      <c r="Q3709" s="1" t="s">
        <v>64</v>
      </c>
      <c r="R3709" s="1" t="s">
        <v>65</v>
      </c>
      <c r="S3709" s="1" t="s">
        <v>791</v>
      </c>
      <c r="T3709" s="1">
        <v>1.01230885E8</v>
      </c>
      <c r="W3709" s="1" t="s">
        <v>456</v>
      </c>
      <c r="X3709" s="1" t="s">
        <v>10718</v>
      </c>
    </row>
    <row r="3710">
      <c r="A3710" s="1" t="s">
        <v>10719</v>
      </c>
      <c r="B3710" s="1" t="s">
        <v>2199</v>
      </c>
      <c r="C3710" s="1" t="s">
        <v>10720</v>
      </c>
      <c r="D3710" s="1" t="s">
        <v>28</v>
      </c>
      <c r="E3710" s="1" t="s">
        <v>29</v>
      </c>
      <c r="F3710" s="5">
        <v>200000.0</v>
      </c>
      <c r="G3710" s="1" t="s">
        <v>7016</v>
      </c>
      <c r="H3710" s="4">
        <v>44810.0</v>
      </c>
      <c r="I3710" s="1" t="s">
        <v>152</v>
      </c>
      <c r="K3710" s="1">
        <v>0.0</v>
      </c>
      <c r="L3710" s="1" t="s">
        <v>9188</v>
      </c>
      <c r="M3710" s="1" t="str">
        <f>VLOOKUP(L3710,'Copy of PMD Workday Constants -'!B3709:W4395,22,false)</f>
        <v>#N/A</v>
      </c>
      <c r="N3710" s="1" t="s">
        <v>32</v>
      </c>
      <c r="O3710" s="1" t="s">
        <v>33</v>
      </c>
      <c r="P3710" s="1" t="s">
        <v>210</v>
      </c>
      <c r="Q3710" s="1" t="s">
        <v>210</v>
      </c>
      <c r="R3710" s="1" t="s">
        <v>211</v>
      </c>
      <c r="T3710" s="1">
        <v>1.01235519E8</v>
      </c>
      <c r="W3710" s="1" t="s">
        <v>258</v>
      </c>
      <c r="X3710" s="1" t="s">
        <v>9188</v>
      </c>
    </row>
    <row r="3711">
      <c r="A3711" s="1" t="s">
        <v>10721</v>
      </c>
      <c r="B3711" s="1" t="s">
        <v>2199</v>
      </c>
      <c r="C3711" s="1" t="s">
        <v>10722</v>
      </c>
      <c r="D3711" s="1" t="s">
        <v>28</v>
      </c>
      <c r="E3711" s="1" t="s">
        <v>29</v>
      </c>
      <c r="F3711" s="5">
        <v>200000.0</v>
      </c>
      <c r="G3711" s="1" t="s">
        <v>7016</v>
      </c>
      <c r="H3711" s="4">
        <v>44810.0</v>
      </c>
      <c r="I3711" s="1" t="s">
        <v>406</v>
      </c>
      <c r="K3711" s="1">
        <v>0.0</v>
      </c>
      <c r="L3711" s="1" t="s">
        <v>9188</v>
      </c>
      <c r="M3711" s="1" t="str">
        <f>VLOOKUP(L3711,'Copy of PMD Workday Constants -'!B3710:W4396,22,false)</f>
        <v>#N/A</v>
      </c>
      <c r="N3711" s="1" t="s">
        <v>32</v>
      </c>
      <c r="O3711" s="1" t="s">
        <v>33</v>
      </c>
      <c r="P3711" s="1" t="s">
        <v>210</v>
      </c>
      <c r="Q3711" s="1" t="s">
        <v>210</v>
      </c>
      <c r="R3711" s="1" t="s">
        <v>211</v>
      </c>
      <c r="T3711" s="1">
        <v>1.01235519E8</v>
      </c>
      <c r="W3711" s="1" t="s">
        <v>258</v>
      </c>
      <c r="X3711" s="1" t="s">
        <v>9188</v>
      </c>
    </row>
    <row r="3712">
      <c r="A3712" s="1" t="s">
        <v>10723</v>
      </c>
      <c r="B3712" s="1" t="s">
        <v>10724</v>
      </c>
      <c r="C3712" s="1" t="s">
        <v>10725</v>
      </c>
      <c r="D3712" s="1" t="s">
        <v>51</v>
      </c>
      <c r="E3712" s="1" t="s">
        <v>29</v>
      </c>
      <c r="F3712" s="5">
        <v>200000.0</v>
      </c>
      <c r="G3712" s="1" t="s">
        <v>7016</v>
      </c>
      <c r="H3712" s="1" t="s">
        <v>870</v>
      </c>
      <c r="I3712" s="1" t="s">
        <v>526</v>
      </c>
      <c r="K3712" s="1">
        <v>0.0</v>
      </c>
      <c r="L3712" s="1" t="s">
        <v>733</v>
      </c>
      <c r="M3712" s="1" t="str">
        <f>VLOOKUP(L3712,'Copy of PMD Workday Constants -'!B3711:W4397,22,false)</f>
        <v>#N/A</v>
      </c>
      <c r="N3712" s="1" t="s">
        <v>32</v>
      </c>
      <c r="O3712" s="1" t="s">
        <v>33</v>
      </c>
      <c r="P3712" s="1" t="s">
        <v>210</v>
      </c>
      <c r="Q3712" s="1" t="s">
        <v>210</v>
      </c>
      <c r="R3712" s="1" t="s">
        <v>211</v>
      </c>
      <c r="S3712" s="1" t="s">
        <v>416</v>
      </c>
      <c r="T3712" s="1">
        <v>1.00616656E8</v>
      </c>
      <c r="W3712" s="1" t="s">
        <v>56</v>
      </c>
      <c r="X3712" s="1" t="s">
        <v>733</v>
      </c>
    </row>
    <row r="3713">
      <c r="A3713" s="1" t="s">
        <v>10726</v>
      </c>
      <c r="B3713" s="1" t="s">
        <v>3973</v>
      </c>
      <c r="C3713" s="1" t="s">
        <v>10727</v>
      </c>
      <c r="D3713" s="1" t="s">
        <v>28</v>
      </c>
      <c r="E3713" s="1" t="s">
        <v>29</v>
      </c>
      <c r="F3713" s="5">
        <v>200000.0</v>
      </c>
      <c r="G3713" s="1" t="s">
        <v>7016</v>
      </c>
      <c r="H3713" s="1" t="s">
        <v>870</v>
      </c>
      <c r="I3713" s="1" t="s">
        <v>941</v>
      </c>
      <c r="K3713" s="1">
        <v>0.0</v>
      </c>
      <c r="L3713" s="1" t="s">
        <v>3975</v>
      </c>
      <c r="M3713" s="1" t="str">
        <f>VLOOKUP(L3713,'Copy of PMD Workday Constants -'!B3712:W4398,22,false)</f>
        <v>#N/A</v>
      </c>
      <c r="N3713" s="1" t="s">
        <v>32</v>
      </c>
      <c r="O3713" s="1" t="s">
        <v>33</v>
      </c>
      <c r="P3713" s="1" t="s">
        <v>210</v>
      </c>
      <c r="Q3713" s="1" t="s">
        <v>210</v>
      </c>
      <c r="R3713" s="1" t="s">
        <v>211</v>
      </c>
      <c r="S3713" s="1" t="s">
        <v>212</v>
      </c>
      <c r="T3713" s="1">
        <v>1.00623535E8</v>
      </c>
      <c r="W3713" s="1" t="s">
        <v>56</v>
      </c>
      <c r="X3713" s="1" t="s">
        <v>3975</v>
      </c>
    </row>
    <row r="3714">
      <c r="A3714" s="1" t="s">
        <v>10728</v>
      </c>
      <c r="B3714" s="1" t="s">
        <v>10729</v>
      </c>
      <c r="C3714" s="1" t="s">
        <v>10730</v>
      </c>
      <c r="D3714" s="1" t="s">
        <v>103</v>
      </c>
      <c r="E3714" s="1" t="s">
        <v>29</v>
      </c>
      <c r="F3714" s="5">
        <v>200000.0</v>
      </c>
      <c r="G3714" s="1" t="s">
        <v>7016</v>
      </c>
      <c r="H3714" s="1" t="s">
        <v>10731</v>
      </c>
      <c r="I3714" s="1" t="s">
        <v>302</v>
      </c>
      <c r="K3714" s="1">
        <v>0.0</v>
      </c>
      <c r="L3714" s="1" t="s">
        <v>10732</v>
      </c>
      <c r="M3714" s="1" t="str">
        <f>VLOOKUP(L3714,'Copy of PMD Workday Constants -'!B3713:W4399,22,false)</f>
        <v>#N/A</v>
      </c>
      <c r="N3714" s="1" t="s">
        <v>32</v>
      </c>
      <c r="O3714" s="1" t="s">
        <v>33</v>
      </c>
      <c r="P3714" s="1" t="s">
        <v>210</v>
      </c>
      <c r="Q3714" s="1" t="s">
        <v>210</v>
      </c>
      <c r="R3714" s="1" t="s">
        <v>211</v>
      </c>
      <c r="S3714" s="1" t="s">
        <v>601</v>
      </c>
      <c r="T3714" s="1">
        <v>1.00608282E8</v>
      </c>
      <c r="W3714" s="1" t="s">
        <v>258</v>
      </c>
      <c r="X3714" s="1" t="s">
        <v>10733</v>
      </c>
    </row>
    <row r="3715">
      <c r="A3715" s="1" t="s">
        <v>10734</v>
      </c>
      <c r="B3715" s="1" t="s">
        <v>2586</v>
      </c>
      <c r="C3715" s="1" t="s">
        <v>10735</v>
      </c>
      <c r="D3715" s="1" t="s">
        <v>28</v>
      </c>
      <c r="E3715" s="1" t="s">
        <v>29</v>
      </c>
      <c r="F3715" s="5">
        <v>200000.0</v>
      </c>
      <c r="G3715" s="1" t="s">
        <v>7016</v>
      </c>
      <c r="H3715" s="4">
        <v>44233.0</v>
      </c>
      <c r="I3715" s="1" t="s">
        <v>810</v>
      </c>
      <c r="K3715" s="1">
        <v>0.0</v>
      </c>
      <c r="L3715" s="1" t="s">
        <v>3734</v>
      </c>
      <c r="M3715" s="1" t="str">
        <f>VLOOKUP(L3715,'Copy of PMD Workday Constants -'!B3714:W4400,22,false)</f>
        <v>#N/A</v>
      </c>
      <c r="N3715" s="1" t="s">
        <v>32</v>
      </c>
      <c r="O3715" s="1" t="s">
        <v>33</v>
      </c>
      <c r="P3715" s="1" t="s">
        <v>173</v>
      </c>
      <c r="Q3715" s="1" t="s">
        <v>173</v>
      </c>
      <c r="R3715" s="1" t="s">
        <v>174</v>
      </c>
      <c r="T3715" s="1">
        <v>1.00589248E8</v>
      </c>
      <c r="W3715" s="1" t="s">
        <v>74</v>
      </c>
      <c r="X3715" s="1" t="s">
        <v>10736</v>
      </c>
    </row>
    <row r="3716">
      <c r="A3716" s="1" t="s">
        <v>10737</v>
      </c>
      <c r="B3716" s="1" t="s">
        <v>8798</v>
      </c>
      <c r="C3716" s="1" t="s">
        <v>10738</v>
      </c>
      <c r="D3716" s="1" t="s">
        <v>28</v>
      </c>
      <c r="E3716" s="1" t="s">
        <v>29</v>
      </c>
      <c r="F3716" s="5">
        <v>200000.0</v>
      </c>
      <c r="G3716" s="1" t="s">
        <v>7016</v>
      </c>
      <c r="H3716" s="4">
        <v>44716.0</v>
      </c>
      <c r="I3716" s="1" t="s">
        <v>132</v>
      </c>
      <c r="K3716" s="1">
        <v>0.0</v>
      </c>
      <c r="L3716" s="1" t="s">
        <v>1314</v>
      </c>
      <c r="M3716" s="1" t="str">
        <f>VLOOKUP(L3716,'Copy of PMD Workday Constants -'!B3715:W4401,22,false)</f>
        <v>#N/A</v>
      </c>
      <c r="N3716" s="1" t="s">
        <v>32</v>
      </c>
      <c r="O3716" s="1" t="s">
        <v>33</v>
      </c>
      <c r="P3716" s="1" t="s">
        <v>210</v>
      </c>
      <c r="Q3716" s="1" t="s">
        <v>210</v>
      </c>
      <c r="R3716" s="1" t="s">
        <v>211</v>
      </c>
      <c r="S3716" s="1" t="s">
        <v>1313</v>
      </c>
      <c r="T3716" s="1">
        <v>1.0059866E8</v>
      </c>
      <c r="W3716" s="1" t="s">
        <v>436</v>
      </c>
      <c r="X3716" s="1" t="s">
        <v>1314</v>
      </c>
    </row>
    <row r="3717">
      <c r="A3717" s="1" t="s">
        <v>10739</v>
      </c>
      <c r="B3717" s="1" t="s">
        <v>2263</v>
      </c>
      <c r="C3717" s="1" t="s">
        <v>10740</v>
      </c>
      <c r="D3717" s="1" t="s">
        <v>51</v>
      </c>
      <c r="E3717" s="1" t="s">
        <v>29</v>
      </c>
      <c r="F3717" s="5">
        <v>200000.0</v>
      </c>
      <c r="G3717" s="1" t="s">
        <v>7016</v>
      </c>
      <c r="H3717" s="1" t="s">
        <v>2069</v>
      </c>
      <c r="I3717" s="1" t="s">
        <v>1134</v>
      </c>
      <c r="K3717" s="1">
        <v>0.0</v>
      </c>
      <c r="L3717" s="1" t="s">
        <v>2655</v>
      </c>
      <c r="M3717" s="1" t="str">
        <f>VLOOKUP(L3717,'Copy of PMD Workday Constants -'!B3716:W4402,22,false)</f>
        <v>#N/A</v>
      </c>
      <c r="N3717" s="1" t="s">
        <v>32</v>
      </c>
      <c r="O3717" s="1" t="s">
        <v>33</v>
      </c>
      <c r="P3717" s="1" t="s">
        <v>210</v>
      </c>
      <c r="Q3717" s="1" t="s">
        <v>210</v>
      </c>
      <c r="R3717" s="1" t="s">
        <v>211</v>
      </c>
      <c r="T3717" s="1">
        <v>1.0062606E8</v>
      </c>
      <c r="W3717" s="1" t="s">
        <v>577</v>
      </c>
      <c r="X3717" s="1" t="s">
        <v>5385</v>
      </c>
    </row>
    <row r="3718">
      <c r="A3718" s="1" t="s">
        <v>10741</v>
      </c>
      <c r="B3718" s="1" t="s">
        <v>10742</v>
      </c>
      <c r="C3718" s="1" t="s">
        <v>10743</v>
      </c>
      <c r="D3718" s="1" t="s">
        <v>103</v>
      </c>
      <c r="E3718" s="1" t="s">
        <v>29</v>
      </c>
      <c r="F3718" s="5">
        <v>200000.0</v>
      </c>
      <c r="G3718" s="1" t="s">
        <v>7016</v>
      </c>
      <c r="H3718" s="4">
        <v>44899.0</v>
      </c>
      <c r="I3718" s="1" t="s">
        <v>80</v>
      </c>
      <c r="K3718" s="1">
        <v>0.0</v>
      </c>
      <c r="L3718" s="1" t="s">
        <v>499</v>
      </c>
      <c r="M3718" s="1" t="str">
        <f>VLOOKUP(L3718,'Copy of PMD Workday Constants -'!B3717:W4403,22,false)</f>
        <v>#N/A</v>
      </c>
      <c r="N3718" s="1" t="s">
        <v>32</v>
      </c>
      <c r="O3718" s="1" t="s">
        <v>33</v>
      </c>
      <c r="P3718" s="1" t="s">
        <v>34</v>
      </c>
      <c r="Q3718" s="1" t="s">
        <v>34</v>
      </c>
      <c r="R3718" s="1" t="s">
        <v>35</v>
      </c>
      <c r="T3718" s="1">
        <v>1.00627768E8</v>
      </c>
      <c r="W3718" s="1" t="s">
        <v>91</v>
      </c>
      <c r="X3718" s="1" t="s">
        <v>499</v>
      </c>
    </row>
    <row r="3719">
      <c r="A3719" s="1" t="s">
        <v>10744</v>
      </c>
      <c r="B3719" s="1" t="s">
        <v>7122</v>
      </c>
      <c r="C3719" s="1" t="s">
        <v>10745</v>
      </c>
      <c r="D3719" s="1" t="s">
        <v>51</v>
      </c>
      <c r="E3719" s="1" t="s">
        <v>29</v>
      </c>
      <c r="F3719" s="5">
        <v>200000.0</v>
      </c>
      <c r="G3719" s="1" t="s">
        <v>7016</v>
      </c>
      <c r="H3719" s="1" t="s">
        <v>556</v>
      </c>
      <c r="I3719" s="1" t="s">
        <v>104</v>
      </c>
      <c r="K3719" s="1">
        <v>0.0</v>
      </c>
      <c r="L3719" s="1" t="s">
        <v>198</v>
      </c>
      <c r="M3719" s="1" t="str">
        <f>VLOOKUP(L3719,'Copy of PMD Workday Constants -'!B3718:W4404,22,false)</f>
        <v>#N/A</v>
      </c>
      <c r="N3719" s="1" t="s">
        <v>32</v>
      </c>
      <c r="O3719" s="1" t="s">
        <v>33</v>
      </c>
      <c r="P3719" s="1" t="s">
        <v>82</v>
      </c>
      <c r="Q3719" s="1" t="s">
        <v>82</v>
      </c>
      <c r="R3719" s="1" t="s">
        <v>83</v>
      </c>
      <c r="S3719" s="1" t="s">
        <v>180</v>
      </c>
      <c r="T3719" s="1">
        <v>1.00590896E8</v>
      </c>
      <c r="W3719" s="1" t="s">
        <v>85</v>
      </c>
      <c r="X3719" s="1" t="s">
        <v>1986</v>
      </c>
    </row>
    <row r="3720">
      <c r="A3720" s="1" t="s">
        <v>10746</v>
      </c>
      <c r="B3720" s="1" t="s">
        <v>10747</v>
      </c>
      <c r="C3720" s="1" t="s">
        <v>10748</v>
      </c>
      <c r="D3720" s="1" t="s">
        <v>28</v>
      </c>
      <c r="E3720" s="1" t="s">
        <v>29</v>
      </c>
      <c r="F3720" s="5">
        <v>200000.0</v>
      </c>
      <c r="G3720" s="1" t="s">
        <v>7016</v>
      </c>
      <c r="H3720" s="1" t="s">
        <v>301</v>
      </c>
      <c r="I3720" s="1" t="s">
        <v>810</v>
      </c>
      <c r="K3720" s="1">
        <v>0.0</v>
      </c>
      <c r="L3720" s="1" t="s">
        <v>10749</v>
      </c>
      <c r="M3720" s="1" t="str">
        <f>VLOOKUP(L3720,'Copy of PMD Workday Constants -'!B3719:W4405,22,false)</f>
        <v>#N/A</v>
      </c>
      <c r="N3720" s="1" t="s">
        <v>32</v>
      </c>
      <c r="O3720" s="1" t="s">
        <v>33</v>
      </c>
      <c r="P3720" s="1" t="s">
        <v>54</v>
      </c>
      <c r="Q3720" s="1" t="s">
        <v>54</v>
      </c>
      <c r="R3720" s="1" t="s">
        <v>55</v>
      </c>
      <c r="T3720" s="1">
        <v>1.009043E8</v>
      </c>
      <c r="W3720" s="1" t="s">
        <v>258</v>
      </c>
      <c r="X3720" s="1" t="s">
        <v>10749</v>
      </c>
    </row>
    <row r="3721">
      <c r="A3721" s="1" t="s">
        <v>10750</v>
      </c>
      <c r="B3721" s="1" t="s">
        <v>93</v>
      </c>
      <c r="C3721" s="1" t="s">
        <v>10751</v>
      </c>
      <c r="D3721" s="1" t="s">
        <v>103</v>
      </c>
      <c r="E3721" s="1" t="s">
        <v>29</v>
      </c>
      <c r="F3721" s="5">
        <v>200000.0</v>
      </c>
      <c r="G3721" s="1" t="s">
        <v>7016</v>
      </c>
      <c r="H3721" s="4">
        <v>44870.0</v>
      </c>
      <c r="I3721" s="1" t="s">
        <v>80</v>
      </c>
      <c r="K3721" s="1">
        <v>0.0</v>
      </c>
      <c r="L3721" s="1" t="s">
        <v>232</v>
      </c>
      <c r="M3721" s="1" t="str">
        <f>VLOOKUP(L3721,'Copy of PMD Workday Constants -'!B3720:W4406,22,false)</f>
        <v>#N/A</v>
      </c>
      <c r="N3721" s="1" t="s">
        <v>32</v>
      </c>
      <c r="O3721" s="1" t="s">
        <v>33</v>
      </c>
      <c r="P3721" s="1" t="s">
        <v>64</v>
      </c>
      <c r="Q3721" s="1" t="s">
        <v>64</v>
      </c>
      <c r="R3721" s="1" t="s">
        <v>65</v>
      </c>
      <c r="T3721" s="1">
        <v>1.00882501E8</v>
      </c>
      <c r="U3721" s="1" t="s">
        <v>10752</v>
      </c>
      <c r="V3721" s="1" t="s">
        <v>187</v>
      </c>
      <c r="W3721" s="1" t="s">
        <v>56</v>
      </c>
      <c r="X3721" s="1" t="s">
        <v>10753</v>
      </c>
    </row>
    <row r="3722">
      <c r="A3722" s="1" t="s">
        <v>10754</v>
      </c>
      <c r="B3722" s="1" t="s">
        <v>2079</v>
      </c>
      <c r="C3722" s="1" t="s">
        <v>10755</v>
      </c>
      <c r="D3722" s="1" t="s">
        <v>28</v>
      </c>
      <c r="E3722" s="1" t="s">
        <v>29</v>
      </c>
      <c r="F3722" s="5">
        <v>200000.0</v>
      </c>
      <c r="G3722" s="1" t="s">
        <v>7016</v>
      </c>
      <c r="H3722" s="1" t="s">
        <v>1681</v>
      </c>
      <c r="I3722" s="1" t="s">
        <v>302</v>
      </c>
      <c r="K3722" s="1">
        <v>0.0</v>
      </c>
      <c r="L3722" s="1" t="s">
        <v>9795</v>
      </c>
      <c r="M3722" s="1" t="str">
        <f>VLOOKUP(L3722,'Copy of PMD Workday Constants -'!B3721:W4407,22,false)</f>
        <v>#N/A</v>
      </c>
      <c r="N3722" s="1" t="s">
        <v>32</v>
      </c>
      <c r="O3722" s="1" t="s">
        <v>33</v>
      </c>
      <c r="P3722" s="1" t="s">
        <v>210</v>
      </c>
      <c r="Q3722" s="1" t="s">
        <v>210</v>
      </c>
      <c r="R3722" s="1" t="s">
        <v>211</v>
      </c>
      <c r="S3722" s="1" t="s">
        <v>10756</v>
      </c>
      <c r="T3722" s="1">
        <v>1.00623111E8</v>
      </c>
      <c r="W3722" s="1" t="s">
        <v>258</v>
      </c>
      <c r="X3722" s="1" t="s">
        <v>10757</v>
      </c>
    </row>
    <row r="3723">
      <c r="A3723" s="1" t="s">
        <v>10758</v>
      </c>
      <c r="B3723" s="1" t="s">
        <v>3140</v>
      </c>
      <c r="C3723" s="1" t="s">
        <v>10759</v>
      </c>
      <c r="D3723" s="1" t="s">
        <v>28</v>
      </c>
      <c r="E3723" s="1" t="s">
        <v>29</v>
      </c>
      <c r="F3723" s="5">
        <v>200000.0</v>
      </c>
      <c r="G3723" s="1" t="s">
        <v>7016</v>
      </c>
      <c r="H3723" s="1" t="s">
        <v>6003</v>
      </c>
      <c r="I3723" s="1" t="s">
        <v>575</v>
      </c>
      <c r="K3723" s="1">
        <v>0.0</v>
      </c>
      <c r="L3723" s="1" t="s">
        <v>4794</v>
      </c>
      <c r="M3723" s="1" t="str">
        <f>VLOOKUP(L3723,'Copy of PMD Workday Constants -'!B3722:W4408,22,false)</f>
        <v>#N/A</v>
      </c>
      <c r="N3723" s="1" t="s">
        <v>32</v>
      </c>
      <c r="O3723" s="1" t="s">
        <v>33</v>
      </c>
      <c r="P3723" s="1" t="s">
        <v>173</v>
      </c>
      <c r="Q3723" s="1" t="s">
        <v>173</v>
      </c>
      <c r="R3723" s="1" t="s">
        <v>174</v>
      </c>
      <c r="S3723" s="1" t="s">
        <v>612</v>
      </c>
      <c r="T3723" s="1">
        <v>1.00875111E8</v>
      </c>
      <c r="W3723" s="1" t="s">
        <v>56</v>
      </c>
      <c r="X3723" s="1" t="s">
        <v>10300</v>
      </c>
    </row>
    <row r="3724">
      <c r="A3724" s="1" t="s">
        <v>10760</v>
      </c>
      <c r="B3724" s="1" t="s">
        <v>10761</v>
      </c>
      <c r="C3724" s="1" t="s">
        <v>10762</v>
      </c>
      <c r="D3724" s="1" t="s">
        <v>103</v>
      </c>
      <c r="E3724" s="1" t="s">
        <v>29</v>
      </c>
      <c r="F3724" s="5">
        <v>200000.0</v>
      </c>
      <c r="G3724" s="1" t="s">
        <v>7016</v>
      </c>
      <c r="H3724" s="1" t="s">
        <v>243</v>
      </c>
      <c r="I3724" s="1" t="s">
        <v>301</v>
      </c>
      <c r="K3724" s="1">
        <v>0.0</v>
      </c>
      <c r="L3724" s="1" t="s">
        <v>7847</v>
      </c>
      <c r="M3724" s="1" t="str">
        <f>VLOOKUP(L3724,'Copy of PMD Workday Constants -'!B3723:W4409,22,false)</f>
        <v>#N/A</v>
      </c>
      <c r="N3724" s="1" t="s">
        <v>32</v>
      </c>
      <c r="O3724" s="1" t="s">
        <v>33</v>
      </c>
      <c r="P3724" s="1" t="s">
        <v>5253</v>
      </c>
      <c r="Q3724" s="1" t="s">
        <v>5253</v>
      </c>
      <c r="R3724" s="1" t="s">
        <v>113</v>
      </c>
      <c r="S3724" s="1" t="s">
        <v>646</v>
      </c>
      <c r="T3724" s="1">
        <v>1.0065052E8</v>
      </c>
      <c r="W3724" s="1" t="s">
        <v>287</v>
      </c>
      <c r="X3724" s="1" t="s">
        <v>5569</v>
      </c>
    </row>
    <row r="3725">
      <c r="A3725" s="1" t="s">
        <v>10763</v>
      </c>
      <c r="B3725" s="1" t="s">
        <v>1118</v>
      </c>
      <c r="C3725" s="1" t="s">
        <v>10764</v>
      </c>
      <c r="D3725" s="1" t="s">
        <v>28</v>
      </c>
      <c r="E3725" s="1" t="s">
        <v>29</v>
      </c>
      <c r="F3725" s="5">
        <v>200000.0</v>
      </c>
      <c r="G3725" s="1" t="s">
        <v>7016</v>
      </c>
      <c r="H3725" s="4">
        <v>44686.0</v>
      </c>
      <c r="I3725" s="1" t="s">
        <v>2724</v>
      </c>
      <c r="K3725" s="1">
        <v>0.0</v>
      </c>
      <c r="L3725" s="1" t="s">
        <v>10765</v>
      </c>
      <c r="M3725" s="1" t="str">
        <f>VLOOKUP(L3725,'Copy of PMD Workday Constants -'!B3724:W4410,22,false)</f>
        <v>#N/A</v>
      </c>
      <c r="N3725" s="1" t="s">
        <v>32</v>
      </c>
      <c r="O3725" s="1" t="s">
        <v>33</v>
      </c>
      <c r="P3725" s="1" t="s">
        <v>222</v>
      </c>
      <c r="Q3725" s="1" t="s">
        <v>222</v>
      </c>
      <c r="R3725" s="1" t="s">
        <v>223</v>
      </c>
      <c r="T3725" s="1">
        <v>1.01138147E8</v>
      </c>
      <c r="W3725" s="1" t="s">
        <v>85</v>
      </c>
      <c r="X3725" s="1" t="s">
        <v>10765</v>
      </c>
    </row>
    <row r="3726">
      <c r="A3726" s="1" t="s">
        <v>10766</v>
      </c>
      <c r="B3726" s="1" t="s">
        <v>70</v>
      </c>
      <c r="C3726" s="1" t="s">
        <v>10767</v>
      </c>
      <c r="D3726" s="1" t="s">
        <v>51</v>
      </c>
      <c r="E3726" s="1" t="s">
        <v>29</v>
      </c>
      <c r="F3726" s="5">
        <v>200000.0</v>
      </c>
      <c r="G3726" s="1" t="s">
        <v>7016</v>
      </c>
      <c r="H3726" s="1" t="s">
        <v>9494</v>
      </c>
      <c r="I3726" s="1" t="s">
        <v>302</v>
      </c>
      <c r="K3726" s="1">
        <v>0.0</v>
      </c>
      <c r="L3726" s="1" t="s">
        <v>72</v>
      </c>
      <c r="M3726" s="1" t="str">
        <f>VLOOKUP(L3726,'Copy of PMD Workday Constants -'!B3725:W4411,22,false)</f>
        <v>#N/A</v>
      </c>
      <c r="N3726" s="1" t="s">
        <v>32</v>
      </c>
      <c r="O3726" s="1" t="s">
        <v>33</v>
      </c>
      <c r="P3726" s="1" t="s">
        <v>34</v>
      </c>
      <c r="Q3726" s="1" t="s">
        <v>34</v>
      </c>
      <c r="R3726" s="1" t="s">
        <v>35</v>
      </c>
      <c r="S3726" s="1" t="s">
        <v>126</v>
      </c>
      <c r="T3726" s="1">
        <v>1.0060843E8</v>
      </c>
      <c r="W3726" s="1" t="s">
        <v>74</v>
      </c>
      <c r="X3726" s="1" t="s">
        <v>72</v>
      </c>
    </row>
    <row r="3727">
      <c r="A3727" s="1" t="s">
        <v>10768</v>
      </c>
      <c r="B3727" s="1" t="s">
        <v>8324</v>
      </c>
      <c r="C3727" s="1" t="s">
        <v>10769</v>
      </c>
      <c r="D3727" s="1" t="s">
        <v>51</v>
      </c>
      <c r="E3727" s="1" t="s">
        <v>29</v>
      </c>
      <c r="F3727" s="5">
        <v>200000.0</v>
      </c>
      <c r="G3727" s="1" t="s">
        <v>7016</v>
      </c>
      <c r="H3727" s="4">
        <v>44810.0</v>
      </c>
      <c r="I3727" s="1" t="s">
        <v>302</v>
      </c>
      <c r="K3727" s="1">
        <v>0.0</v>
      </c>
      <c r="L3727" s="1" t="s">
        <v>1697</v>
      </c>
      <c r="M3727" s="1" t="str">
        <f>VLOOKUP(L3727,'Copy of PMD Workday Constants -'!B3726:W4412,22,false)</f>
        <v>#N/A</v>
      </c>
      <c r="N3727" s="1" t="s">
        <v>32</v>
      </c>
      <c r="O3727" s="1" t="s">
        <v>33</v>
      </c>
      <c r="P3727" s="1" t="s">
        <v>82</v>
      </c>
      <c r="Q3727" s="1" t="s">
        <v>82</v>
      </c>
      <c r="R3727" s="1" t="s">
        <v>83</v>
      </c>
      <c r="S3727" s="1" t="s">
        <v>180</v>
      </c>
      <c r="T3727" s="1">
        <v>1.00589728E8</v>
      </c>
      <c r="W3727" s="1" t="s">
        <v>85</v>
      </c>
      <c r="X3727" s="1" t="s">
        <v>10770</v>
      </c>
    </row>
    <row r="3728">
      <c r="A3728" s="1" t="s">
        <v>10771</v>
      </c>
      <c r="B3728" s="1" t="s">
        <v>1029</v>
      </c>
      <c r="C3728" s="1" t="s">
        <v>10772</v>
      </c>
      <c r="D3728" s="1" t="s">
        <v>103</v>
      </c>
      <c r="E3728" s="1" t="s">
        <v>29</v>
      </c>
      <c r="F3728" s="5">
        <v>200000.0</v>
      </c>
      <c r="G3728" s="1" t="s">
        <v>7016</v>
      </c>
      <c r="H3728" s="4">
        <v>44869.0</v>
      </c>
      <c r="I3728" s="1" t="s">
        <v>96</v>
      </c>
      <c r="K3728" s="1">
        <v>0.0</v>
      </c>
      <c r="L3728" s="1" t="s">
        <v>8174</v>
      </c>
      <c r="M3728" s="1" t="str">
        <f>VLOOKUP(L3728,'Copy of PMD Workday Constants -'!B3727:W4413,22,false)</f>
        <v>#N/A</v>
      </c>
      <c r="N3728" s="1" t="s">
        <v>32</v>
      </c>
      <c r="O3728" s="1" t="s">
        <v>33</v>
      </c>
      <c r="P3728" s="1" t="s">
        <v>82</v>
      </c>
      <c r="Q3728" s="1" t="s">
        <v>82</v>
      </c>
      <c r="R3728" s="1" t="s">
        <v>83</v>
      </c>
      <c r="S3728" s="1" t="s">
        <v>180</v>
      </c>
      <c r="T3728" s="1">
        <v>1.00609615E8</v>
      </c>
      <c r="W3728" s="1" t="s">
        <v>85</v>
      </c>
      <c r="X3728" s="1" t="s">
        <v>8174</v>
      </c>
    </row>
    <row r="3729">
      <c r="A3729" s="1" t="s">
        <v>10773</v>
      </c>
      <c r="B3729" s="1" t="s">
        <v>225</v>
      </c>
      <c r="C3729" s="1" t="s">
        <v>10774</v>
      </c>
      <c r="D3729" s="1" t="s">
        <v>51</v>
      </c>
      <c r="E3729" s="1" t="s">
        <v>29</v>
      </c>
      <c r="F3729" s="5">
        <v>200000.0</v>
      </c>
      <c r="G3729" s="1" t="s">
        <v>7016</v>
      </c>
      <c r="H3729" s="4">
        <v>44775.0</v>
      </c>
      <c r="I3729" s="4">
        <v>44752.0</v>
      </c>
      <c r="K3729" s="1">
        <v>0.0</v>
      </c>
      <c r="L3729" s="1" t="s">
        <v>228</v>
      </c>
      <c r="M3729" s="1" t="str">
        <f>VLOOKUP(L3729,'Copy of PMD Workday Constants -'!B3728:W4414,22,false)</f>
        <v>#N/A</v>
      </c>
      <c r="N3729" s="1" t="s">
        <v>32</v>
      </c>
      <c r="O3729" s="1" t="s">
        <v>33</v>
      </c>
      <c r="P3729" s="1" t="s">
        <v>64</v>
      </c>
      <c r="Q3729" s="1" t="s">
        <v>64</v>
      </c>
      <c r="R3729" s="1" t="s">
        <v>65</v>
      </c>
      <c r="S3729" s="1" t="s">
        <v>229</v>
      </c>
      <c r="T3729" s="1">
        <v>1.00650619E8</v>
      </c>
      <c r="W3729" s="1" t="s">
        <v>85</v>
      </c>
      <c r="X3729" s="1" t="s">
        <v>228</v>
      </c>
    </row>
    <row r="3730">
      <c r="A3730" s="1" t="s">
        <v>10775</v>
      </c>
      <c r="B3730" s="1" t="s">
        <v>9972</v>
      </c>
      <c r="C3730" s="1" t="s">
        <v>10776</v>
      </c>
      <c r="D3730" s="1" t="s">
        <v>103</v>
      </c>
      <c r="E3730" s="1" t="s">
        <v>29</v>
      </c>
      <c r="F3730" s="5">
        <v>200000.0</v>
      </c>
      <c r="G3730" s="1" t="s">
        <v>7016</v>
      </c>
      <c r="H3730" s="4">
        <v>44686.0</v>
      </c>
      <c r="I3730" s="1" t="s">
        <v>816</v>
      </c>
      <c r="K3730" s="1">
        <v>0.0</v>
      </c>
      <c r="L3730" s="1" t="s">
        <v>9456</v>
      </c>
      <c r="M3730" s="1" t="str">
        <f>VLOOKUP(L3730,'Copy of PMD Workday Constants -'!B3729:W4415,22,false)</f>
        <v>#N/A</v>
      </c>
      <c r="N3730" s="1" t="s">
        <v>32</v>
      </c>
      <c r="O3730" s="1" t="s">
        <v>33</v>
      </c>
      <c r="P3730" s="1" t="s">
        <v>222</v>
      </c>
      <c r="Q3730" s="1" t="s">
        <v>222</v>
      </c>
      <c r="R3730" s="1" t="s">
        <v>223</v>
      </c>
      <c r="S3730" s="1" t="s">
        <v>482</v>
      </c>
      <c r="T3730" s="1">
        <v>1.00609628E8</v>
      </c>
      <c r="W3730" s="1" t="s">
        <v>1801</v>
      </c>
      <c r="X3730" s="1" t="s">
        <v>10777</v>
      </c>
    </row>
    <row r="3731">
      <c r="A3731" s="1" t="s">
        <v>10778</v>
      </c>
      <c r="B3731" s="1" t="s">
        <v>485</v>
      </c>
      <c r="C3731" s="1" t="s">
        <v>10779</v>
      </c>
      <c r="D3731" s="1" t="s">
        <v>103</v>
      </c>
      <c r="E3731" s="1" t="s">
        <v>29</v>
      </c>
      <c r="F3731" s="5">
        <v>200000.0</v>
      </c>
      <c r="G3731" s="1" t="s">
        <v>7016</v>
      </c>
      <c r="H3731" s="1" t="s">
        <v>52</v>
      </c>
      <c r="I3731" s="1" t="s">
        <v>80</v>
      </c>
      <c r="K3731" s="1">
        <v>0.0</v>
      </c>
      <c r="L3731" s="1" t="s">
        <v>10780</v>
      </c>
      <c r="M3731" s="1" t="str">
        <f>VLOOKUP(L3731,'Copy of PMD Workday Constants -'!B3730:W4416,22,false)</f>
        <v>#N/A</v>
      </c>
      <c r="N3731" s="1" t="s">
        <v>32</v>
      </c>
      <c r="O3731" s="1" t="s">
        <v>33</v>
      </c>
      <c r="P3731" s="1" t="s">
        <v>222</v>
      </c>
      <c r="Q3731" s="1" t="s">
        <v>222</v>
      </c>
      <c r="R3731" s="1" t="s">
        <v>223</v>
      </c>
      <c r="S3731" s="1" t="s">
        <v>482</v>
      </c>
      <c r="T3731" s="1">
        <v>1.00608136E8</v>
      </c>
      <c r="W3731" s="1" t="s">
        <v>493</v>
      </c>
      <c r="X3731" s="1" t="s">
        <v>10781</v>
      </c>
    </row>
    <row r="3732">
      <c r="A3732" s="1" t="s">
        <v>10782</v>
      </c>
      <c r="B3732" s="1" t="s">
        <v>281</v>
      </c>
      <c r="C3732" s="1" t="s">
        <v>10783</v>
      </c>
      <c r="D3732" s="1" t="s">
        <v>28</v>
      </c>
      <c r="E3732" s="1" t="s">
        <v>29</v>
      </c>
      <c r="F3732" s="5">
        <v>200000.0</v>
      </c>
      <c r="G3732" s="1" t="s">
        <v>7016</v>
      </c>
      <c r="H3732" s="4">
        <v>44685.0</v>
      </c>
      <c r="I3732" s="1" t="s">
        <v>732</v>
      </c>
      <c r="K3732" s="1">
        <v>0.0</v>
      </c>
      <c r="L3732" s="1" t="s">
        <v>284</v>
      </c>
      <c r="M3732" s="1" t="str">
        <f>VLOOKUP(L3732,'Copy of PMD Workday Constants -'!B3731:W4417,22,false)</f>
        <v>#N/A</v>
      </c>
      <c r="N3732" s="1" t="s">
        <v>32</v>
      </c>
      <c r="O3732" s="1" t="s">
        <v>33</v>
      </c>
      <c r="P3732" s="1" t="s">
        <v>54</v>
      </c>
      <c r="Q3732" s="1" t="s">
        <v>54</v>
      </c>
      <c r="R3732" s="1" t="s">
        <v>55</v>
      </c>
      <c r="T3732" s="1">
        <v>1.00613095E8</v>
      </c>
      <c r="W3732" s="1" t="s">
        <v>287</v>
      </c>
      <c r="X3732" s="1" t="s">
        <v>10784</v>
      </c>
    </row>
    <row r="3733">
      <c r="A3733" s="1" t="s">
        <v>10785</v>
      </c>
      <c r="B3733" s="1" t="s">
        <v>489</v>
      </c>
      <c r="C3733" s="1" t="s">
        <v>10786</v>
      </c>
      <c r="D3733" s="1" t="s">
        <v>28</v>
      </c>
      <c r="E3733" s="1" t="s">
        <v>29</v>
      </c>
      <c r="F3733" s="5">
        <v>200000.0</v>
      </c>
      <c r="G3733" s="1" t="s">
        <v>7016</v>
      </c>
      <c r="H3733" s="1" t="s">
        <v>301</v>
      </c>
      <c r="I3733" s="4">
        <v>44989.0</v>
      </c>
      <c r="K3733" s="1">
        <v>0.0</v>
      </c>
      <c r="L3733" s="1" t="s">
        <v>847</v>
      </c>
      <c r="M3733" s="1" t="str">
        <f>VLOOKUP(L3733,'Copy of PMD Workday Constants -'!B3732:W4418,22,false)</f>
        <v>#N/A</v>
      </c>
      <c r="N3733" s="1" t="s">
        <v>32</v>
      </c>
      <c r="O3733" s="1" t="s">
        <v>33</v>
      </c>
      <c r="P3733" s="1" t="s">
        <v>173</v>
      </c>
      <c r="Q3733" s="1" t="s">
        <v>173</v>
      </c>
      <c r="R3733" s="1" t="s">
        <v>174</v>
      </c>
      <c r="T3733" s="1">
        <v>1.00586701E8</v>
      </c>
      <c r="W3733" s="1" t="s">
        <v>493</v>
      </c>
      <c r="X3733" s="1" t="s">
        <v>848</v>
      </c>
    </row>
    <row r="3734">
      <c r="A3734" s="1" t="s">
        <v>10787</v>
      </c>
      <c r="B3734" s="1" t="s">
        <v>615</v>
      </c>
      <c r="C3734" s="1" t="s">
        <v>10788</v>
      </c>
      <c r="D3734" s="1" t="s">
        <v>28</v>
      </c>
      <c r="E3734" s="1" t="s">
        <v>29</v>
      </c>
      <c r="F3734" s="5">
        <v>200000.0</v>
      </c>
      <c r="G3734" s="1" t="s">
        <v>7016</v>
      </c>
      <c r="H3734" s="1" t="s">
        <v>778</v>
      </c>
      <c r="I3734" s="1" t="s">
        <v>104</v>
      </c>
      <c r="K3734" s="1">
        <v>0.0</v>
      </c>
      <c r="L3734" s="1" t="s">
        <v>2699</v>
      </c>
      <c r="M3734" s="1" t="str">
        <f>VLOOKUP(L3734,'Copy of PMD Workday Constants -'!B3733:W4419,22,false)</f>
        <v>#N/A</v>
      </c>
      <c r="N3734" s="1" t="s">
        <v>32</v>
      </c>
      <c r="O3734" s="1" t="s">
        <v>33</v>
      </c>
      <c r="P3734" s="1" t="s">
        <v>34</v>
      </c>
      <c r="Q3734" s="1" t="s">
        <v>34</v>
      </c>
      <c r="R3734" s="1" t="s">
        <v>35</v>
      </c>
      <c r="S3734" s="1" t="s">
        <v>126</v>
      </c>
      <c r="T3734" s="1">
        <v>1.00610367E8</v>
      </c>
      <c r="W3734" s="1" t="s">
        <v>74</v>
      </c>
      <c r="X3734" s="1" t="s">
        <v>1381</v>
      </c>
    </row>
    <row r="3735">
      <c r="A3735" s="1" t="s">
        <v>10789</v>
      </c>
      <c r="B3735" s="1" t="s">
        <v>5586</v>
      </c>
      <c r="C3735" s="1" t="s">
        <v>10790</v>
      </c>
      <c r="D3735" s="1" t="s">
        <v>28</v>
      </c>
      <c r="E3735" s="1" t="s">
        <v>29</v>
      </c>
      <c r="F3735" s="5">
        <v>200000.0</v>
      </c>
      <c r="G3735" s="1" t="s">
        <v>7016</v>
      </c>
      <c r="H3735" s="1" t="s">
        <v>1469</v>
      </c>
      <c r="I3735" s="1" t="s">
        <v>80</v>
      </c>
      <c r="K3735" s="1">
        <v>0.0</v>
      </c>
      <c r="L3735" s="1" t="s">
        <v>3333</v>
      </c>
      <c r="M3735" s="1" t="str">
        <f>VLOOKUP(L3735,'Copy of PMD Workday Constants -'!B3734:W4420,22,false)</f>
        <v>#N/A</v>
      </c>
      <c r="N3735" s="1" t="s">
        <v>32</v>
      </c>
      <c r="O3735" s="1" t="s">
        <v>33</v>
      </c>
      <c r="P3735" s="1" t="s">
        <v>210</v>
      </c>
      <c r="Q3735" s="1" t="s">
        <v>210</v>
      </c>
      <c r="R3735" s="1" t="s">
        <v>211</v>
      </c>
      <c r="S3735" s="1" t="s">
        <v>212</v>
      </c>
      <c r="T3735" s="1">
        <v>1.00636461E8</v>
      </c>
      <c r="W3735" s="1" t="s">
        <v>56</v>
      </c>
      <c r="X3735" s="1" t="s">
        <v>3333</v>
      </c>
    </row>
    <row r="3736">
      <c r="A3736" s="1" t="s">
        <v>10791</v>
      </c>
      <c r="B3736" s="1" t="s">
        <v>10792</v>
      </c>
      <c r="C3736" s="1" t="s">
        <v>10793</v>
      </c>
      <c r="D3736" s="1" t="s">
        <v>51</v>
      </c>
      <c r="E3736" s="1" t="s">
        <v>29</v>
      </c>
      <c r="F3736" s="5">
        <v>200000.0</v>
      </c>
      <c r="G3736" s="1" t="s">
        <v>7016</v>
      </c>
      <c r="H3736" s="1" t="s">
        <v>4892</v>
      </c>
      <c r="I3736" s="1" t="s">
        <v>43</v>
      </c>
      <c r="K3736" s="1">
        <v>0.0</v>
      </c>
      <c r="L3736" s="1" t="s">
        <v>2655</v>
      </c>
      <c r="M3736" s="1" t="str">
        <f>VLOOKUP(L3736,'Copy of PMD Workday Constants -'!B3735:W4421,22,false)</f>
        <v>#N/A</v>
      </c>
      <c r="N3736" s="1" t="s">
        <v>32</v>
      </c>
      <c r="O3736" s="1" t="s">
        <v>33</v>
      </c>
      <c r="P3736" s="1" t="s">
        <v>210</v>
      </c>
      <c r="Q3736" s="1" t="s">
        <v>210</v>
      </c>
      <c r="R3736" s="1" t="s">
        <v>211</v>
      </c>
      <c r="S3736" s="1" t="s">
        <v>1313</v>
      </c>
      <c r="T3736" s="1">
        <v>1.0062606E8</v>
      </c>
      <c r="W3736" s="1" t="s">
        <v>436</v>
      </c>
      <c r="X3736" s="1" t="s">
        <v>10794</v>
      </c>
    </row>
    <row r="3737">
      <c r="A3737" s="1" t="s">
        <v>10795</v>
      </c>
      <c r="B3737" s="1" t="s">
        <v>4200</v>
      </c>
      <c r="C3737" s="1" t="s">
        <v>10796</v>
      </c>
      <c r="D3737" s="1" t="s">
        <v>103</v>
      </c>
      <c r="E3737" s="1" t="s">
        <v>29</v>
      </c>
      <c r="F3737" s="5">
        <v>200000.0</v>
      </c>
      <c r="G3737" s="1" t="s">
        <v>7016</v>
      </c>
      <c r="H3737" s="1" t="s">
        <v>4892</v>
      </c>
      <c r="I3737" s="1" t="s">
        <v>104</v>
      </c>
      <c r="K3737" s="1">
        <v>0.0</v>
      </c>
      <c r="L3737" s="1" t="s">
        <v>4202</v>
      </c>
      <c r="M3737" s="1" t="str">
        <f>VLOOKUP(L3737,'Copy of PMD Workday Constants -'!B3736:W4422,22,false)</f>
        <v>#N/A</v>
      </c>
      <c r="N3737" s="1" t="s">
        <v>32</v>
      </c>
      <c r="O3737" s="1" t="s">
        <v>33</v>
      </c>
      <c r="P3737" s="1" t="s">
        <v>173</v>
      </c>
      <c r="Q3737" s="1" t="s">
        <v>173</v>
      </c>
      <c r="R3737" s="1" t="s">
        <v>174</v>
      </c>
      <c r="S3737" s="1" t="s">
        <v>153</v>
      </c>
      <c r="T3737" s="1">
        <v>1.00914325E8</v>
      </c>
      <c r="W3737" s="1" t="s">
        <v>456</v>
      </c>
      <c r="X3737" s="1" t="s">
        <v>4202</v>
      </c>
    </row>
    <row r="3738">
      <c r="A3738" s="1" t="s">
        <v>10797</v>
      </c>
      <c r="B3738" s="1" t="s">
        <v>3478</v>
      </c>
      <c r="C3738" s="1" t="s">
        <v>10798</v>
      </c>
      <c r="D3738" s="1" t="s">
        <v>103</v>
      </c>
      <c r="E3738" s="1" t="s">
        <v>29</v>
      </c>
      <c r="F3738" s="5">
        <v>200000.0</v>
      </c>
      <c r="G3738" s="1" t="s">
        <v>7016</v>
      </c>
      <c r="H3738" s="1" t="s">
        <v>1681</v>
      </c>
      <c r="I3738" s="1" t="s">
        <v>104</v>
      </c>
      <c r="K3738" s="1">
        <v>0.0</v>
      </c>
      <c r="L3738" s="1" t="s">
        <v>3948</v>
      </c>
      <c r="M3738" s="1" t="str">
        <f>VLOOKUP(L3738,'Copy of PMD Workday Constants -'!B3737:W4423,22,false)</f>
        <v>#N/A</v>
      </c>
      <c r="N3738" s="1" t="s">
        <v>32</v>
      </c>
      <c r="O3738" s="1" t="s">
        <v>33</v>
      </c>
      <c r="P3738" s="1" t="s">
        <v>112</v>
      </c>
      <c r="Q3738" s="1" t="s">
        <v>112</v>
      </c>
      <c r="R3738" s="1" t="s">
        <v>113</v>
      </c>
      <c r="S3738" s="1" t="s">
        <v>114</v>
      </c>
      <c r="T3738" s="1">
        <v>1.00627224E8</v>
      </c>
      <c r="W3738" s="1" t="s">
        <v>947</v>
      </c>
      <c r="X3738" s="1" t="s">
        <v>10799</v>
      </c>
    </row>
    <row r="3739">
      <c r="A3739" s="1" t="s">
        <v>10800</v>
      </c>
      <c r="B3739" s="1" t="s">
        <v>4539</v>
      </c>
      <c r="C3739" s="1" t="s">
        <v>10801</v>
      </c>
      <c r="D3739" s="1" t="s">
        <v>28</v>
      </c>
      <c r="E3739" s="1" t="s">
        <v>29</v>
      </c>
      <c r="F3739" s="5">
        <v>200000.0</v>
      </c>
      <c r="G3739" s="1" t="s">
        <v>7016</v>
      </c>
      <c r="H3739" s="1" t="s">
        <v>2484</v>
      </c>
      <c r="I3739" s="1" t="s">
        <v>4378</v>
      </c>
      <c r="K3739" s="1">
        <v>0.0</v>
      </c>
      <c r="L3739" s="1" t="s">
        <v>4542</v>
      </c>
      <c r="M3739" s="1" t="str">
        <f>VLOOKUP(L3739,'Copy of PMD Workday Constants -'!B3738:W4424,22,false)</f>
        <v>#N/A</v>
      </c>
      <c r="N3739" s="1" t="s">
        <v>32</v>
      </c>
      <c r="O3739" s="1" t="s">
        <v>33</v>
      </c>
      <c r="P3739" s="1" t="s">
        <v>34</v>
      </c>
      <c r="Q3739" s="1" t="s">
        <v>34</v>
      </c>
      <c r="R3739" s="1" t="s">
        <v>35</v>
      </c>
      <c r="S3739" s="1" t="s">
        <v>126</v>
      </c>
      <c r="T3739" s="1">
        <v>1.00639569E8</v>
      </c>
      <c r="U3739" s="1" t="s">
        <v>4540</v>
      </c>
      <c r="V3739" s="1" t="s">
        <v>46</v>
      </c>
      <c r="W3739" s="1" t="s">
        <v>436</v>
      </c>
      <c r="X3739" s="1" t="s">
        <v>4542</v>
      </c>
    </row>
    <row r="3740">
      <c r="A3740" s="1" t="s">
        <v>10802</v>
      </c>
      <c r="B3740" s="1" t="s">
        <v>324</v>
      </c>
      <c r="C3740" s="1" t="s">
        <v>10803</v>
      </c>
      <c r="D3740" s="1" t="s">
        <v>103</v>
      </c>
      <c r="E3740" s="1" t="s">
        <v>29</v>
      </c>
      <c r="F3740" s="5">
        <v>200000.0</v>
      </c>
      <c r="G3740" s="1" t="s">
        <v>7016</v>
      </c>
      <c r="H3740" s="1" t="s">
        <v>2484</v>
      </c>
      <c r="I3740" s="1" t="s">
        <v>104</v>
      </c>
      <c r="K3740" s="1">
        <v>0.0</v>
      </c>
      <c r="L3740" s="1" t="s">
        <v>5194</v>
      </c>
      <c r="M3740" s="1" t="str">
        <f>VLOOKUP(L3740,'Copy of PMD Workday Constants -'!B3739:W4425,22,false)</f>
        <v>#N/A</v>
      </c>
      <c r="N3740" s="1" t="s">
        <v>32</v>
      </c>
      <c r="O3740" s="1" t="s">
        <v>33</v>
      </c>
      <c r="P3740" s="1" t="s">
        <v>173</v>
      </c>
      <c r="Q3740" s="1" t="s">
        <v>173</v>
      </c>
      <c r="R3740" s="1" t="s">
        <v>174</v>
      </c>
      <c r="S3740" s="1" t="s">
        <v>540</v>
      </c>
      <c r="T3740" s="1">
        <v>1.00609393E8</v>
      </c>
      <c r="U3740" s="1" t="s">
        <v>10804</v>
      </c>
      <c r="V3740" s="1" t="s">
        <v>187</v>
      </c>
      <c r="W3740" s="1" t="s">
        <v>56</v>
      </c>
      <c r="X3740" s="1" t="s">
        <v>2487</v>
      </c>
    </row>
    <row r="3741">
      <c r="A3741" s="1" t="s">
        <v>10805</v>
      </c>
      <c r="B3741" s="1" t="s">
        <v>6183</v>
      </c>
      <c r="C3741" s="1" t="s">
        <v>10806</v>
      </c>
      <c r="D3741" s="1" t="s">
        <v>28</v>
      </c>
      <c r="E3741" s="1" t="s">
        <v>29</v>
      </c>
      <c r="F3741" s="5">
        <v>200000.0</v>
      </c>
      <c r="G3741" s="1" t="s">
        <v>7016</v>
      </c>
      <c r="H3741" s="1" t="s">
        <v>2935</v>
      </c>
      <c r="I3741" s="1" t="s">
        <v>152</v>
      </c>
      <c r="K3741" s="1">
        <v>0.0</v>
      </c>
      <c r="L3741" s="1" t="s">
        <v>3043</v>
      </c>
      <c r="M3741" s="1" t="str">
        <f>VLOOKUP(L3741,'Copy of PMD Workday Constants -'!B3740:W4426,22,false)</f>
        <v>#N/A</v>
      </c>
      <c r="N3741" s="1" t="s">
        <v>32</v>
      </c>
      <c r="O3741" s="1" t="s">
        <v>33</v>
      </c>
      <c r="P3741" s="1" t="s">
        <v>222</v>
      </c>
      <c r="Q3741" s="1" t="s">
        <v>222</v>
      </c>
      <c r="R3741" s="1" t="s">
        <v>223</v>
      </c>
      <c r="S3741" s="1" t="s">
        <v>90</v>
      </c>
      <c r="T3741" s="1">
        <v>1.00638978E8</v>
      </c>
      <c r="W3741" s="1" t="s">
        <v>1303</v>
      </c>
      <c r="X3741" s="1" t="s">
        <v>239</v>
      </c>
    </row>
    <row r="3742">
      <c r="A3742" s="1" t="s">
        <v>10807</v>
      </c>
      <c r="B3742" s="1" t="s">
        <v>3257</v>
      </c>
      <c r="C3742" s="1" t="s">
        <v>10808</v>
      </c>
      <c r="D3742" s="1" t="s">
        <v>28</v>
      </c>
      <c r="E3742" s="1" t="s">
        <v>29</v>
      </c>
      <c r="F3742" s="5">
        <v>200000.0</v>
      </c>
      <c r="G3742" s="1" t="s">
        <v>7016</v>
      </c>
      <c r="H3742" s="1" t="s">
        <v>3042</v>
      </c>
      <c r="I3742" s="1" t="s">
        <v>152</v>
      </c>
      <c r="K3742" s="1">
        <v>0.0</v>
      </c>
      <c r="L3742" s="1" t="s">
        <v>1505</v>
      </c>
      <c r="M3742" s="1" t="str">
        <f>VLOOKUP(L3742,'Copy of PMD Workday Constants -'!B3741:W4427,22,false)</f>
        <v>#N/A</v>
      </c>
      <c r="N3742" s="1" t="s">
        <v>32</v>
      </c>
      <c r="O3742" s="1" t="s">
        <v>33</v>
      </c>
      <c r="P3742" s="1" t="s">
        <v>112</v>
      </c>
      <c r="Q3742" s="1" t="s">
        <v>112</v>
      </c>
      <c r="R3742" s="1" t="s">
        <v>113</v>
      </c>
      <c r="S3742" s="1" t="s">
        <v>455</v>
      </c>
      <c r="T3742" s="1">
        <v>1.00651554E8</v>
      </c>
      <c r="W3742" s="1" t="s">
        <v>456</v>
      </c>
      <c r="X3742" s="1" t="s">
        <v>1505</v>
      </c>
    </row>
    <row r="3743">
      <c r="A3743" s="1" t="s">
        <v>10809</v>
      </c>
      <c r="B3743" s="1" t="s">
        <v>554</v>
      </c>
      <c r="C3743" s="1" t="s">
        <v>10810</v>
      </c>
      <c r="D3743" s="1" t="s">
        <v>51</v>
      </c>
      <c r="E3743" s="1" t="s">
        <v>29</v>
      </c>
      <c r="F3743" s="5">
        <v>200000.0</v>
      </c>
      <c r="G3743" s="1" t="s">
        <v>7016</v>
      </c>
      <c r="H3743" s="4">
        <v>44173.0</v>
      </c>
      <c r="I3743" s="1" t="s">
        <v>302</v>
      </c>
      <c r="K3743" s="1">
        <v>0.0</v>
      </c>
      <c r="L3743" s="1" t="s">
        <v>1564</v>
      </c>
      <c r="M3743" s="1" t="str">
        <f>VLOOKUP(L3743,'Copy of PMD Workday Constants -'!B3742:W4428,22,false)</f>
        <v>#N/A</v>
      </c>
      <c r="N3743" s="1" t="s">
        <v>32</v>
      </c>
      <c r="O3743" s="1" t="s">
        <v>33</v>
      </c>
      <c r="P3743" s="1" t="s">
        <v>34</v>
      </c>
      <c r="Q3743" s="1" t="s">
        <v>34</v>
      </c>
      <c r="R3743" s="1" t="s">
        <v>35</v>
      </c>
      <c r="S3743" s="1" t="s">
        <v>383</v>
      </c>
      <c r="T3743" s="1">
        <v>1.00611316E8</v>
      </c>
      <c r="W3743" s="1" t="s">
        <v>1303</v>
      </c>
      <c r="X3743" s="1" t="s">
        <v>4937</v>
      </c>
    </row>
    <row r="3744">
      <c r="A3744" s="1" t="s">
        <v>10811</v>
      </c>
      <c r="B3744" s="1" t="s">
        <v>3154</v>
      </c>
      <c r="C3744" s="1" t="s">
        <v>10812</v>
      </c>
      <c r="D3744" s="1" t="s">
        <v>28</v>
      </c>
      <c r="E3744" s="1" t="s">
        <v>29</v>
      </c>
      <c r="F3744" s="5">
        <v>200000.0</v>
      </c>
      <c r="G3744" s="1" t="s">
        <v>7016</v>
      </c>
      <c r="H3744" s="1" t="s">
        <v>9395</v>
      </c>
      <c r="I3744" s="1" t="s">
        <v>810</v>
      </c>
      <c r="K3744" s="1">
        <v>0.0</v>
      </c>
      <c r="L3744" s="1" t="s">
        <v>2703</v>
      </c>
      <c r="M3744" s="1" t="str">
        <f>VLOOKUP(L3744,'Copy of PMD Workday Constants -'!B3743:W4429,22,false)</f>
        <v>#N/A</v>
      </c>
      <c r="N3744" s="1" t="s">
        <v>32</v>
      </c>
      <c r="O3744" s="1" t="s">
        <v>33</v>
      </c>
      <c r="P3744" s="1" t="s">
        <v>34</v>
      </c>
      <c r="Q3744" s="1" t="s">
        <v>34</v>
      </c>
      <c r="R3744" s="1" t="s">
        <v>35</v>
      </c>
      <c r="S3744" s="1" t="s">
        <v>383</v>
      </c>
      <c r="T3744" s="1">
        <v>1.00866856E8</v>
      </c>
      <c r="W3744" s="1" t="s">
        <v>147</v>
      </c>
      <c r="X3744" s="1" t="s">
        <v>2703</v>
      </c>
    </row>
    <row r="3745">
      <c r="A3745" s="1" t="s">
        <v>10813</v>
      </c>
      <c r="B3745" s="1" t="s">
        <v>7716</v>
      </c>
      <c r="C3745" s="1" t="s">
        <v>10814</v>
      </c>
      <c r="D3745" s="1" t="s">
        <v>51</v>
      </c>
      <c r="E3745" s="1" t="s">
        <v>29</v>
      </c>
      <c r="F3745" s="5">
        <v>200000.0</v>
      </c>
      <c r="G3745" s="1" t="s">
        <v>7016</v>
      </c>
      <c r="H3745" s="4">
        <v>44779.0</v>
      </c>
      <c r="I3745" s="1" t="s">
        <v>1187</v>
      </c>
      <c r="K3745" s="1">
        <v>0.0</v>
      </c>
      <c r="L3745" s="1" t="s">
        <v>2417</v>
      </c>
      <c r="M3745" s="1" t="str">
        <f>VLOOKUP(L3745,'Copy of PMD Workday Constants -'!B3744:W4430,22,false)</f>
        <v>#N/A</v>
      </c>
      <c r="N3745" s="1" t="s">
        <v>32</v>
      </c>
      <c r="O3745" s="1" t="s">
        <v>33</v>
      </c>
      <c r="P3745" s="1" t="s">
        <v>34</v>
      </c>
      <c r="Q3745" s="1" t="s">
        <v>34</v>
      </c>
      <c r="R3745" s="1" t="s">
        <v>35</v>
      </c>
      <c r="T3745" s="1">
        <v>1.00642238E8</v>
      </c>
      <c r="W3745" s="1" t="s">
        <v>74</v>
      </c>
      <c r="X3745" s="1" t="s">
        <v>10815</v>
      </c>
    </row>
    <row r="3746">
      <c r="A3746" s="1" t="s">
        <v>10816</v>
      </c>
      <c r="B3746" s="1" t="s">
        <v>10817</v>
      </c>
      <c r="C3746" s="1" t="s">
        <v>10818</v>
      </c>
      <c r="D3746" s="1" t="s">
        <v>51</v>
      </c>
      <c r="E3746" s="1" t="s">
        <v>29</v>
      </c>
      <c r="F3746" s="5">
        <v>200000.0</v>
      </c>
      <c r="G3746" s="1" t="s">
        <v>7016</v>
      </c>
      <c r="H3746" s="4">
        <v>44234.0</v>
      </c>
      <c r="I3746" s="4">
        <v>44689.0</v>
      </c>
      <c r="K3746" s="1">
        <v>0.0</v>
      </c>
      <c r="L3746" s="1" t="s">
        <v>3137</v>
      </c>
      <c r="M3746" s="1" t="str">
        <f>VLOOKUP(L3746,'Copy of PMD Workday Constants -'!B3745:W4431,22,false)</f>
        <v>#N/A</v>
      </c>
      <c r="N3746" s="1" t="s">
        <v>32</v>
      </c>
      <c r="O3746" s="1" t="s">
        <v>33</v>
      </c>
      <c r="P3746" s="1" t="s">
        <v>82</v>
      </c>
      <c r="Q3746" s="1" t="s">
        <v>82</v>
      </c>
      <c r="R3746" s="1" t="s">
        <v>83</v>
      </c>
      <c r="S3746" s="1" t="s">
        <v>180</v>
      </c>
      <c r="T3746" s="1">
        <v>1.00586452E8</v>
      </c>
      <c r="W3746" s="1" t="s">
        <v>85</v>
      </c>
      <c r="X3746" s="1" t="s">
        <v>9210</v>
      </c>
    </row>
    <row r="3747">
      <c r="A3747" s="1" t="s">
        <v>10819</v>
      </c>
      <c r="B3747" s="1" t="s">
        <v>4344</v>
      </c>
      <c r="C3747" s="1" t="s">
        <v>10820</v>
      </c>
      <c r="D3747" s="1" t="s">
        <v>28</v>
      </c>
      <c r="E3747" s="1" t="s">
        <v>29</v>
      </c>
      <c r="F3747" s="5">
        <v>200000.0</v>
      </c>
      <c r="G3747" s="1" t="s">
        <v>7016</v>
      </c>
      <c r="H3747" s="1" t="s">
        <v>2484</v>
      </c>
      <c r="I3747" s="1" t="s">
        <v>80</v>
      </c>
      <c r="K3747" s="1">
        <v>0.0</v>
      </c>
      <c r="L3747" s="1" t="s">
        <v>5161</v>
      </c>
      <c r="M3747" s="1" t="str">
        <f>VLOOKUP(L3747,'Copy of PMD Workday Constants -'!B3746:W4432,22,false)</f>
        <v>#N/A</v>
      </c>
      <c r="N3747" s="1" t="s">
        <v>32</v>
      </c>
      <c r="O3747" s="1" t="s">
        <v>33</v>
      </c>
      <c r="P3747" s="1" t="s">
        <v>112</v>
      </c>
      <c r="Q3747" s="1" t="s">
        <v>112</v>
      </c>
      <c r="R3747" s="1" t="s">
        <v>113</v>
      </c>
      <c r="S3747" s="1" t="s">
        <v>114</v>
      </c>
      <c r="T3747" s="1">
        <v>1.00591654E8</v>
      </c>
      <c r="W3747" s="1" t="s">
        <v>147</v>
      </c>
      <c r="X3747" s="1" t="s">
        <v>279</v>
      </c>
    </row>
    <row r="3748">
      <c r="A3748" s="1" t="s">
        <v>10821</v>
      </c>
      <c r="B3748" s="1" t="s">
        <v>3122</v>
      </c>
      <c r="C3748" s="1" t="s">
        <v>10822</v>
      </c>
      <c r="D3748" s="1" t="s">
        <v>51</v>
      </c>
      <c r="E3748" s="1" t="s">
        <v>29</v>
      </c>
      <c r="F3748" s="5">
        <v>200000.0</v>
      </c>
      <c r="G3748" s="1" t="s">
        <v>7016</v>
      </c>
      <c r="H3748" s="1" t="s">
        <v>2077</v>
      </c>
      <c r="I3748" s="1" t="s">
        <v>80</v>
      </c>
      <c r="K3748" s="1">
        <v>0.0</v>
      </c>
      <c r="L3748" s="1" t="s">
        <v>10823</v>
      </c>
      <c r="M3748" s="1" t="str">
        <f>VLOOKUP(L3748,'Copy of PMD Workday Constants -'!B3747:W4433,22,false)</f>
        <v>#N/A</v>
      </c>
      <c r="N3748" s="1" t="s">
        <v>32</v>
      </c>
      <c r="O3748" s="1" t="s">
        <v>33</v>
      </c>
      <c r="P3748" s="1" t="s">
        <v>210</v>
      </c>
      <c r="Q3748" s="1" t="s">
        <v>210</v>
      </c>
      <c r="R3748" s="1" t="s">
        <v>211</v>
      </c>
      <c r="T3748" s="1">
        <v>1.0061569E8</v>
      </c>
      <c r="W3748" s="1" t="s">
        <v>74</v>
      </c>
      <c r="X3748" s="1" t="s">
        <v>10824</v>
      </c>
    </row>
    <row r="3749">
      <c r="A3749" s="1" t="s">
        <v>10825</v>
      </c>
      <c r="B3749" s="1" t="s">
        <v>1234</v>
      </c>
      <c r="C3749" s="1" t="s">
        <v>10826</v>
      </c>
      <c r="D3749" s="1" t="s">
        <v>28</v>
      </c>
      <c r="E3749" s="1" t="s">
        <v>29</v>
      </c>
      <c r="F3749" s="5">
        <v>200000.0</v>
      </c>
      <c r="G3749" s="1" t="s">
        <v>7016</v>
      </c>
      <c r="H3749" s="1" t="s">
        <v>2069</v>
      </c>
      <c r="I3749" s="1" t="s">
        <v>9389</v>
      </c>
      <c r="K3749" s="1">
        <v>0.0</v>
      </c>
      <c r="L3749" s="1" t="s">
        <v>1819</v>
      </c>
      <c r="M3749" s="1" t="str">
        <f>VLOOKUP(L3749,'Copy of PMD Workday Constants -'!B3748:W4434,22,false)</f>
        <v>#N/A</v>
      </c>
      <c r="N3749" s="1" t="s">
        <v>32</v>
      </c>
      <c r="O3749" s="1" t="s">
        <v>33</v>
      </c>
      <c r="P3749" s="1" t="s">
        <v>82</v>
      </c>
      <c r="Q3749" s="1" t="s">
        <v>82</v>
      </c>
      <c r="R3749" s="1" t="s">
        <v>83</v>
      </c>
      <c r="S3749" s="1" t="s">
        <v>180</v>
      </c>
      <c r="T3749" s="1">
        <v>1.01025735E8</v>
      </c>
      <c r="W3749" s="1" t="s">
        <v>85</v>
      </c>
      <c r="X3749" s="1" t="s">
        <v>1692</v>
      </c>
    </row>
    <row r="3750">
      <c r="A3750" s="1" t="s">
        <v>10827</v>
      </c>
      <c r="B3750" s="1" t="s">
        <v>507</v>
      </c>
      <c r="C3750" s="1" t="s">
        <v>10828</v>
      </c>
      <c r="D3750" s="1" t="s">
        <v>28</v>
      </c>
      <c r="E3750" s="1" t="s">
        <v>29</v>
      </c>
      <c r="F3750" s="5">
        <v>200000.0</v>
      </c>
      <c r="G3750" s="1" t="s">
        <v>7016</v>
      </c>
      <c r="H3750" s="1" t="s">
        <v>434</v>
      </c>
      <c r="I3750" s="4">
        <v>44569.0</v>
      </c>
      <c r="K3750" s="1">
        <v>0.0</v>
      </c>
      <c r="L3750" s="1" t="s">
        <v>5415</v>
      </c>
      <c r="M3750" s="1" t="str">
        <f>VLOOKUP(L3750,'Copy of PMD Workday Constants -'!B3749:W4435,22,false)</f>
        <v>#N/A</v>
      </c>
      <c r="N3750" s="1" t="s">
        <v>32</v>
      </c>
      <c r="O3750" s="1" t="s">
        <v>33</v>
      </c>
      <c r="P3750" s="1" t="s">
        <v>222</v>
      </c>
      <c r="Q3750" s="1" t="s">
        <v>222</v>
      </c>
      <c r="R3750" s="1" t="s">
        <v>223</v>
      </c>
      <c r="S3750" s="1" t="s">
        <v>601</v>
      </c>
      <c r="T3750" s="1">
        <v>1.00933537E8</v>
      </c>
      <c r="W3750" s="1" t="s">
        <v>456</v>
      </c>
      <c r="X3750" s="1" t="s">
        <v>10829</v>
      </c>
    </row>
    <row r="3751">
      <c r="A3751" s="1" t="s">
        <v>10830</v>
      </c>
      <c r="B3751" s="1" t="s">
        <v>2641</v>
      </c>
      <c r="C3751" s="1" t="s">
        <v>3750</v>
      </c>
      <c r="D3751" s="1" t="s">
        <v>51</v>
      </c>
      <c r="E3751" s="1" t="s">
        <v>29</v>
      </c>
      <c r="F3751" s="5">
        <v>200000.0</v>
      </c>
      <c r="G3751" s="1" t="s">
        <v>7016</v>
      </c>
      <c r="H3751" s="4">
        <v>44540.0</v>
      </c>
      <c r="I3751" s="4">
        <v>44568.0</v>
      </c>
      <c r="K3751" s="1">
        <v>0.0</v>
      </c>
      <c r="L3751" s="1" t="s">
        <v>1525</v>
      </c>
      <c r="M3751" s="1" t="str">
        <f>VLOOKUP(L3751,'Copy of PMD Workday Constants -'!B3750:W4436,22,false)</f>
        <v>#N/A</v>
      </c>
      <c r="N3751" s="1" t="s">
        <v>32</v>
      </c>
      <c r="O3751" s="1" t="s">
        <v>33</v>
      </c>
      <c r="P3751" s="1" t="s">
        <v>34</v>
      </c>
      <c r="Q3751" s="1" t="s">
        <v>34</v>
      </c>
      <c r="R3751" s="1" t="s">
        <v>35</v>
      </c>
      <c r="S3751" s="1" t="s">
        <v>1166</v>
      </c>
      <c r="T3751" s="1">
        <v>1.00637597E8</v>
      </c>
      <c r="V3751" s="1" t="s">
        <v>67</v>
      </c>
      <c r="W3751" s="1" t="s">
        <v>456</v>
      </c>
      <c r="X3751" s="1" t="s">
        <v>1525</v>
      </c>
    </row>
    <row r="3752">
      <c r="A3752" s="1" t="s">
        <v>10831</v>
      </c>
      <c r="B3752" s="1" t="s">
        <v>615</v>
      </c>
      <c r="C3752" s="1" t="s">
        <v>10832</v>
      </c>
      <c r="D3752" s="1" t="s">
        <v>28</v>
      </c>
      <c r="E3752" s="1" t="s">
        <v>29</v>
      </c>
      <c r="F3752" s="5">
        <v>200000.0</v>
      </c>
      <c r="G3752" s="1" t="s">
        <v>7016</v>
      </c>
      <c r="H3752" s="1" t="s">
        <v>545</v>
      </c>
      <c r="I3752" s="1" t="s">
        <v>810</v>
      </c>
      <c r="K3752" s="1">
        <v>0.0</v>
      </c>
      <c r="L3752" s="1" t="s">
        <v>1380</v>
      </c>
      <c r="M3752" s="1" t="str">
        <f>VLOOKUP(L3752,'Copy of PMD Workday Constants -'!B3751:W4437,22,false)</f>
        <v>#N/A</v>
      </c>
      <c r="N3752" s="1" t="s">
        <v>32</v>
      </c>
      <c r="O3752" s="1" t="s">
        <v>33</v>
      </c>
      <c r="P3752" s="1" t="s">
        <v>34</v>
      </c>
      <c r="Q3752" s="1" t="s">
        <v>34</v>
      </c>
      <c r="R3752" s="1" t="s">
        <v>35</v>
      </c>
      <c r="S3752" s="1" t="s">
        <v>126</v>
      </c>
      <c r="T3752" s="1">
        <v>1.00587434E8</v>
      </c>
      <c r="W3752" s="1" t="s">
        <v>74</v>
      </c>
      <c r="X3752" s="1" t="s">
        <v>1381</v>
      </c>
    </row>
    <row r="3753">
      <c r="A3753" s="1" t="s">
        <v>10833</v>
      </c>
      <c r="B3753" s="1" t="s">
        <v>615</v>
      </c>
      <c r="C3753" s="1" t="s">
        <v>10834</v>
      </c>
      <c r="D3753" s="1" t="s">
        <v>28</v>
      </c>
      <c r="E3753" s="1" t="s">
        <v>29</v>
      </c>
      <c r="F3753" s="5">
        <v>200000.0</v>
      </c>
      <c r="G3753" s="1" t="s">
        <v>7016</v>
      </c>
      <c r="H3753" s="1" t="s">
        <v>545</v>
      </c>
      <c r="I3753" s="1" t="s">
        <v>810</v>
      </c>
      <c r="K3753" s="1">
        <v>0.0</v>
      </c>
      <c r="L3753" s="1" t="s">
        <v>1380</v>
      </c>
      <c r="M3753" s="1" t="str">
        <f>VLOOKUP(L3753,'Copy of PMD Workday Constants -'!B3752:W4438,22,false)</f>
        <v>#N/A</v>
      </c>
      <c r="N3753" s="1" t="s">
        <v>32</v>
      </c>
      <c r="O3753" s="1" t="s">
        <v>33</v>
      </c>
      <c r="P3753" s="1" t="s">
        <v>34</v>
      </c>
      <c r="Q3753" s="1" t="s">
        <v>34</v>
      </c>
      <c r="R3753" s="1" t="s">
        <v>35</v>
      </c>
      <c r="S3753" s="1" t="s">
        <v>126</v>
      </c>
      <c r="T3753" s="1">
        <v>1.00587434E8</v>
      </c>
      <c r="W3753" s="1" t="s">
        <v>74</v>
      </c>
      <c r="X3753" s="1" t="s">
        <v>1381</v>
      </c>
    </row>
    <row r="3754">
      <c r="A3754" s="1" t="s">
        <v>10835</v>
      </c>
      <c r="B3754" s="1" t="s">
        <v>751</v>
      </c>
      <c r="C3754" s="1" t="s">
        <v>10836</v>
      </c>
      <c r="D3754" s="1" t="s">
        <v>51</v>
      </c>
      <c r="E3754" s="1" t="s">
        <v>29</v>
      </c>
      <c r="F3754" s="5">
        <v>200000.0</v>
      </c>
      <c r="G3754" s="1" t="s">
        <v>7016</v>
      </c>
      <c r="H3754" s="4">
        <v>44810.0</v>
      </c>
      <c r="I3754" s="1" t="s">
        <v>132</v>
      </c>
      <c r="K3754" s="1">
        <v>0.0</v>
      </c>
      <c r="L3754" s="1" t="s">
        <v>198</v>
      </c>
      <c r="M3754" s="1" t="str">
        <f>VLOOKUP(L3754,'Copy of PMD Workday Constants -'!B3753:W4439,22,false)</f>
        <v>#N/A</v>
      </c>
      <c r="N3754" s="1" t="s">
        <v>32</v>
      </c>
      <c r="O3754" s="1" t="s">
        <v>33</v>
      </c>
      <c r="P3754" s="1" t="s">
        <v>82</v>
      </c>
      <c r="Q3754" s="1" t="s">
        <v>82</v>
      </c>
      <c r="R3754" s="1" t="s">
        <v>83</v>
      </c>
      <c r="S3754" s="1" t="s">
        <v>180</v>
      </c>
      <c r="T3754" s="1">
        <v>1.00590896E8</v>
      </c>
      <c r="W3754" s="1" t="s">
        <v>85</v>
      </c>
      <c r="X3754" s="1" t="s">
        <v>2497</v>
      </c>
    </row>
    <row r="3755">
      <c r="A3755" s="1" t="s">
        <v>10837</v>
      </c>
      <c r="B3755" s="1" t="s">
        <v>744</v>
      </c>
      <c r="C3755" s="1" t="s">
        <v>10838</v>
      </c>
      <c r="D3755" s="1" t="s">
        <v>28</v>
      </c>
      <c r="E3755" s="1" t="s">
        <v>29</v>
      </c>
      <c r="F3755" s="5">
        <v>200000.0</v>
      </c>
      <c r="G3755" s="1" t="s">
        <v>7016</v>
      </c>
      <c r="H3755" s="1" t="s">
        <v>9599</v>
      </c>
      <c r="I3755" s="1" t="s">
        <v>3052</v>
      </c>
      <c r="K3755" s="1">
        <v>0.0</v>
      </c>
      <c r="L3755" s="1" t="s">
        <v>255</v>
      </c>
      <c r="M3755" s="1" t="str">
        <f>VLOOKUP(L3755,'Copy of PMD Workday Constants -'!B3754:W4440,22,false)</f>
        <v>#N/A</v>
      </c>
      <c r="N3755" s="1" t="s">
        <v>32</v>
      </c>
      <c r="O3755" s="1" t="s">
        <v>33</v>
      </c>
      <c r="P3755" s="1" t="s">
        <v>112</v>
      </c>
      <c r="Q3755" s="1" t="s">
        <v>112</v>
      </c>
      <c r="R3755" s="1" t="s">
        <v>113</v>
      </c>
      <c r="S3755" s="1" t="s">
        <v>256</v>
      </c>
      <c r="T3755" s="1">
        <v>1.00659114E8</v>
      </c>
      <c r="W3755" s="1" t="s">
        <v>258</v>
      </c>
      <c r="X3755" s="1" t="s">
        <v>359</v>
      </c>
    </row>
    <row r="3756">
      <c r="A3756" s="1" t="s">
        <v>10839</v>
      </c>
      <c r="B3756" s="1" t="s">
        <v>2641</v>
      </c>
      <c r="C3756" s="1" t="s">
        <v>10840</v>
      </c>
      <c r="D3756" s="1" t="s">
        <v>51</v>
      </c>
      <c r="E3756" s="1" t="s">
        <v>29</v>
      </c>
      <c r="F3756" s="5">
        <v>200000.0</v>
      </c>
      <c r="G3756" s="1" t="s">
        <v>7016</v>
      </c>
      <c r="H3756" s="1" t="s">
        <v>1785</v>
      </c>
      <c r="I3756" s="1" t="s">
        <v>104</v>
      </c>
      <c r="K3756" s="1">
        <v>0.0</v>
      </c>
      <c r="L3756" s="1" t="s">
        <v>2970</v>
      </c>
      <c r="M3756" s="1" t="str">
        <f>VLOOKUP(L3756,'Copy of PMD Workday Constants -'!B3755:W4441,22,false)</f>
        <v>#N/A</v>
      </c>
      <c r="N3756" s="1" t="s">
        <v>32</v>
      </c>
      <c r="O3756" s="1" t="s">
        <v>33</v>
      </c>
      <c r="P3756" s="1" t="s">
        <v>173</v>
      </c>
      <c r="Q3756" s="1" t="s">
        <v>173</v>
      </c>
      <c r="R3756" s="1" t="s">
        <v>174</v>
      </c>
      <c r="S3756" s="1" t="s">
        <v>612</v>
      </c>
      <c r="T3756" s="1">
        <v>1.00616377E8</v>
      </c>
      <c r="W3756" s="1" t="s">
        <v>456</v>
      </c>
      <c r="X3756" s="1" t="s">
        <v>7684</v>
      </c>
    </row>
    <row r="3757">
      <c r="A3757" s="1" t="s">
        <v>10841</v>
      </c>
      <c r="B3757" s="1" t="s">
        <v>10842</v>
      </c>
      <c r="C3757" s="1" t="s">
        <v>10843</v>
      </c>
      <c r="D3757" s="1" t="s">
        <v>28</v>
      </c>
      <c r="E3757" s="1" t="s">
        <v>29</v>
      </c>
      <c r="F3757" s="5">
        <v>200000.0</v>
      </c>
      <c r="G3757" s="1" t="s">
        <v>7016</v>
      </c>
      <c r="H3757" s="1" t="s">
        <v>698</v>
      </c>
      <c r="I3757" s="1" t="s">
        <v>152</v>
      </c>
      <c r="K3757" s="1">
        <v>0.0</v>
      </c>
      <c r="L3757" s="1" t="s">
        <v>4342</v>
      </c>
      <c r="M3757" s="1" t="str">
        <f>VLOOKUP(L3757,'Copy of PMD Workday Constants -'!B3756:W4442,22,false)</f>
        <v>#N/A</v>
      </c>
      <c r="N3757" s="1" t="s">
        <v>32</v>
      </c>
      <c r="O3757" s="1" t="s">
        <v>33</v>
      </c>
      <c r="P3757" s="1" t="s">
        <v>210</v>
      </c>
      <c r="Q3757" s="1" t="s">
        <v>210</v>
      </c>
      <c r="R3757" s="1" t="s">
        <v>211</v>
      </c>
      <c r="T3757" s="1">
        <v>1.00585952E8</v>
      </c>
      <c r="W3757" s="1" t="s">
        <v>140</v>
      </c>
      <c r="X3757" s="1" t="s">
        <v>4342</v>
      </c>
    </row>
    <row r="3758">
      <c r="A3758" s="1" t="s">
        <v>10844</v>
      </c>
      <c r="B3758" s="1" t="s">
        <v>335</v>
      </c>
      <c r="C3758" s="1" t="s">
        <v>10845</v>
      </c>
      <c r="D3758" s="1" t="s">
        <v>79</v>
      </c>
      <c r="E3758" s="1" t="s">
        <v>29</v>
      </c>
      <c r="F3758" s="5">
        <v>200000.0</v>
      </c>
      <c r="G3758" s="1" t="s">
        <v>7016</v>
      </c>
      <c r="H3758" s="4">
        <v>44451.0</v>
      </c>
      <c r="I3758" s="1" t="s">
        <v>732</v>
      </c>
      <c r="K3758" s="1">
        <v>0.0</v>
      </c>
      <c r="L3758" s="1" t="s">
        <v>4051</v>
      </c>
      <c r="M3758" s="1" t="str">
        <f>VLOOKUP(L3758,'Copy of PMD Workday Constants -'!B3757:W4443,22,false)</f>
        <v>#N/A</v>
      </c>
      <c r="N3758" s="1" t="s">
        <v>32</v>
      </c>
      <c r="O3758" s="1" t="s">
        <v>33</v>
      </c>
      <c r="P3758" s="1" t="s">
        <v>112</v>
      </c>
      <c r="Q3758" s="1" t="s">
        <v>112</v>
      </c>
      <c r="R3758" s="1" t="s">
        <v>113</v>
      </c>
      <c r="S3758" s="1" t="s">
        <v>307</v>
      </c>
      <c r="T3758" s="1">
        <v>1.00694651E8</v>
      </c>
      <c r="W3758" s="1" t="s">
        <v>339</v>
      </c>
      <c r="X3758" s="1" t="s">
        <v>10846</v>
      </c>
    </row>
    <row r="3759">
      <c r="A3759" s="1" t="s">
        <v>10847</v>
      </c>
      <c r="B3759" s="1" t="s">
        <v>776</v>
      </c>
      <c r="C3759" s="1" t="s">
        <v>10848</v>
      </c>
      <c r="D3759" s="1" t="s">
        <v>28</v>
      </c>
      <c r="E3759" s="1" t="s">
        <v>29</v>
      </c>
      <c r="F3759" s="5">
        <v>200000.0</v>
      </c>
      <c r="G3759" s="1" t="s">
        <v>7016</v>
      </c>
      <c r="H3759" s="4">
        <v>44319.0</v>
      </c>
      <c r="I3759" s="1" t="s">
        <v>166</v>
      </c>
      <c r="K3759" s="1">
        <v>0.0</v>
      </c>
      <c r="L3759" s="1" t="s">
        <v>2547</v>
      </c>
      <c r="M3759" s="1" t="str">
        <f>VLOOKUP(L3759,'Copy of PMD Workday Constants -'!B3758:W4444,22,false)</f>
        <v>#N/A</v>
      </c>
      <c r="N3759" s="1" t="s">
        <v>32</v>
      </c>
      <c r="O3759" s="1" t="s">
        <v>33</v>
      </c>
      <c r="P3759" s="1" t="s">
        <v>64</v>
      </c>
      <c r="Q3759" s="1" t="s">
        <v>64</v>
      </c>
      <c r="R3759" s="1" t="s">
        <v>65</v>
      </c>
      <c r="S3759" s="1" t="s">
        <v>185</v>
      </c>
      <c r="T3759" s="1">
        <v>1.00592932E8</v>
      </c>
      <c r="W3759" s="1" t="s">
        <v>74</v>
      </c>
      <c r="X3759" s="1" t="s">
        <v>2547</v>
      </c>
    </row>
    <row r="3760">
      <c r="A3760" s="1" t="s">
        <v>10849</v>
      </c>
      <c r="B3760" s="1" t="s">
        <v>368</v>
      </c>
      <c r="C3760" s="1" t="s">
        <v>10850</v>
      </c>
      <c r="D3760" s="1" t="s">
        <v>28</v>
      </c>
      <c r="E3760" s="1" t="s">
        <v>29</v>
      </c>
      <c r="F3760" s="5">
        <v>200000.0</v>
      </c>
      <c r="G3760" s="1" t="s">
        <v>7016</v>
      </c>
      <c r="H3760" s="1" t="s">
        <v>1474</v>
      </c>
      <c r="I3760" s="1" t="s">
        <v>217</v>
      </c>
      <c r="K3760" s="1">
        <v>0.0</v>
      </c>
      <c r="L3760" s="1" t="s">
        <v>10851</v>
      </c>
      <c r="M3760" s="1" t="str">
        <f>VLOOKUP(L3760,'Copy of PMD Workday Constants -'!B3759:W4445,22,false)</f>
        <v>#N/A</v>
      </c>
      <c r="N3760" s="1" t="s">
        <v>32</v>
      </c>
      <c r="O3760" s="1" t="s">
        <v>33</v>
      </c>
      <c r="P3760" s="1" t="s">
        <v>222</v>
      </c>
      <c r="Q3760" s="1" t="s">
        <v>222</v>
      </c>
      <c r="R3760" s="1" t="s">
        <v>223</v>
      </c>
      <c r="T3760" s="1">
        <v>1.00592873E8</v>
      </c>
      <c r="W3760" s="1" t="s">
        <v>258</v>
      </c>
      <c r="X3760" s="1" t="s">
        <v>10851</v>
      </c>
    </row>
    <row r="3761">
      <c r="A3761" s="1" t="s">
        <v>10852</v>
      </c>
      <c r="B3761" s="1" t="s">
        <v>10853</v>
      </c>
      <c r="C3761" s="1" t="s">
        <v>10854</v>
      </c>
      <c r="D3761" s="1" t="s">
        <v>28</v>
      </c>
      <c r="E3761" s="1" t="s">
        <v>29</v>
      </c>
      <c r="F3761" s="5">
        <v>200000.0</v>
      </c>
      <c r="G3761" s="1" t="s">
        <v>7016</v>
      </c>
      <c r="H3761" s="4">
        <v>44809.0</v>
      </c>
      <c r="I3761" s="1" t="s">
        <v>132</v>
      </c>
      <c r="K3761" s="1">
        <v>0.0</v>
      </c>
      <c r="L3761" s="1" t="s">
        <v>667</v>
      </c>
      <c r="M3761" s="1" t="str">
        <f>VLOOKUP(L3761,'Copy of PMD Workday Constants -'!B3760:W4446,22,false)</f>
        <v>#N/A</v>
      </c>
      <c r="N3761" s="1" t="s">
        <v>32</v>
      </c>
      <c r="O3761" s="1" t="s">
        <v>33</v>
      </c>
      <c r="P3761" s="1" t="s">
        <v>112</v>
      </c>
      <c r="Q3761" s="1" t="s">
        <v>112</v>
      </c>
      <c r="R3761" s="1" t="s">
        <v>113</v>
      </c>
      <c r="S3761" s="1" t="s">
        <v>307</v>
      </c>
      <c r="T3761" s="1">
        <v>1.00616804E8</v>
      </c>
      <c r="W3761" s="1" t="s">
        <v>4719</v>
      </c>
      <c r="X3761" s="1" t="s">
        <v>667</v>
      </c>
    </row>
    <row r="3762">
      <c r="A3762" s="1" t="s">
        <v>10855</v>
      </c>
      <c r="B3762" s="1" t="s">
        <v>10856</v>
      </c>
      <c r="C3762" s="1" t="s">
        <v>10857</v>
      </c>
      <c r="D3762" s="1" t="s">
        <v>28</v>
      </c>
      <c r="E3762" s="1" t="s">
        <v>29</v>
      </c>
      <c r="F3762" s="5">
        <v>200000.0</v>
      </c>
      <c r="G3762" s="1" t="s">
        <v>7016</v>
      </c>
      <c r="H3762" s="1" t="s">
        <v>870</v>
      </c>
      <c r="I3762" s="1" t="s">
        <v>80</v>
      </c>
      <c r="K3762" s="1">
        <v>0.0</v>
      </c>
      <c r="L3762" s="1" t="s">
        <v>1170</v>
      </c>
      <c r="M3762" s="1" t="str">
        <f>VLOOKUP(L3762,'Copy of PMD Workday Constants -'!B3761:W4447,22,false)</f>
        <v>#N/A</v>
      </c>
      <c r="N3762" s="1" t="s">
        <v>32</v>
      </c>
      <c r="O3762" s="1" t="s">
        <v>33</v>
      </c>
      <c r="P3762" s="1" t="s">
        <v>112</v>
      </c>
      <c r="Q3762" s="1" t="s">
        <v>112</v>
      </c>
      <c r="R3762" s="1" t="s">
        <v>113</v>
      </c>
      <c r="S3762" s="1" t="s">
        <v>1336</v>
      </c>
      <c r="T3762" s="1">
        <v>1.00595231E8</v>
      </c>
      <c r="W3762" s="1" t="s">
        <v>74</v>
      </c>
      <c r="X3762" s="1" t="s">
        <v>3174</v>
      </c>
    </row>
    <row r="3763">
      <c r="A3763" s="1" t="s">
        <v>10858</v>
      </c>
      <c r="B3763" s="1" t="s">
        <v>5286</v>
      </c>
      <c r="C3763" s="1" t="s">
        <v>10859</v>
      </c>
      <c r="D3763" s="1" t="s">
        <v>28</v>
      </c>
      <c r="E3763" s="1" t="s">
        <v>29</v>
      </c>
      <c r="F3763" s="5">
        <v>200000.0</v>
      </c>
      <c r="G3763" s="1" t="s">
        <v>7016</v>
      </c>
      <c r="H3763" s="1" t="s">
        <v>870</v>
      </c>
      <c r="I3763" s="1" t="s">
        <v>80</v>
      </c>
      <c r="K3763" s="1">
        <v>0.0</v>
      </c>
      <c r="L3763" s="1" t="s">
        <v>1170</v>
      </c>
      <c r="M3763" s="1" t="str">
        <f>VLOOKUP(L3763,'Copy of PMD Workday Constants -'!B3762:W4448,22,false)</f>
        <v>#N/A</v>
      </c>
      <c r="N3763" s="1" t="s">
        <v>32</v>
      </c>
      <c r="O3763" s="1" t="s">
        <v>33</v>
      </c>
      <c r="P3763" s="1" t="s">
        <v>112</v>
      </c>
      <c r="Q3763" s="1" t="s">
        <v>112</v>
      </c>
      <c r="R3763" s="1" t="s">
        <v>113</v>
      </c>
      <c r="S3763" s="1" t="s">
        <v>1336</v>
      </c>
      <c r="T3763" s="1">
        <v>1.00595231E8</v>
      </c>
      <c r="W3763" s="1" t="s">
        <v>74</v>
      </c>
      <c r="X3763" s="1" t="s">
        <v>3174</v>
      </c>
    </row>
    <row r="3764">
      <c r="A3764" s="1" t="s">
        <v>10860</v>
      </c>
      <c r="B3764" s="1" t="s">
        <v>9144</v>
      </c>
      <c r="C3764" s="1" t="s">
        <v>10861</v>
      </c>
      <c r="D3764" s="1" t="s">
        <v>51</v>
      </c>
      <c r="E3764" s="1" t="s">
        <v>29</v>
      </c>
      <c r="F3764" s="5">
        <v>200000.0</v>
      </c>
      <c r="G3764" s="1" t="s">
        <v>7016</v>
      </c>
      <c r="H3764" s="4">
        <v>44807.0</v>
      </c>
      <c r="I3764" s="1" t="s">
        <v>302</v>
      </c>
      <c r="K3764" s="1">
        <v>0.0</v>
      </c>
      <c r="L3764" s="1" t="s">
        <v>9802</v>
      </c>
      <c r="M3764" s="1" t="str">
        <f>VLOOKUP(L3764,'Copy of PMD Workday Constants -'!B3763:W4449,22,false)</f>
        <v>#N/A</v>
      </c>
      <c r="N3764" s="1" t="s">
        <v>32</v>
      </c>
      <c r="O3764" s="1" t="s">
        <v>33</v>
      </c>
      <c r="P3764" s="1" t="s">
        <v>173</v>
      </c>
      <c r="Q3764" s="1" t="s">
        <v>173</v>
      </c>
      <c r="R3764" s="1" t="s">
        <v>174</v>
      </c>
      <c r="S3764" s="1" t="s">
        <v>416</v>
      </c>
      <c r="T3764" s="1">
        <v>1.0061717E8</v>
      </c>
      <c r="W3764" s="1" t="s">
        <v>147</v>
      </c>
      <c r="X3764" s="1" t="s">
        <v>9802</v>
      </c>
    </row>
    <row r="3765">
      <c r="A3765" s="1" t="s">
        <v>10862</v>
      </c>
      <c r="B3765" s="1" t="s">
        <v>1713</v>
      </c>
      <c r="C3765" s="1" t="s">
        <v>10863</v>
      </c>
      <c r="D3765" s="1" t="s">
        <v>103</v>
      </c>
      <c r="E3765" s="1" t="s">
        <v>29</v>
      </c>
      <c r="F3765" s="5">
        <v>200000.0</v>
      </c>
      <c r="G3765" s="1" t="s">
        <v>7016</v>
      </c>
      <c r="H3765" s="4">
        <v>43622.0</v>
      </c>
      <c r="I3765" s="4">
        <v>44689.0</v>
      </c>
      <c r="K3765" s="1">
        <v>0.0</v>
      </c>
      <c r="L3765" s="1" t="s">
        <v>1879</v>
      </c>
      <c r="M3765" s="1" t="str">
        <f>VLOOKUP(L3765,'Copy of PMD Workday Constants -'!B3764:W4450,22,false)</f>
        <v>#N/A</v>
      </c>
      <c r="N3765" s="1" t="s">
        <v>32</v>
      </c>
      <c r="O3765" s="1" t="s">
        <v>33</v>
      </c>
      <c r="P3765" s="1" t="s">
        <v>34</v>
      </c>
      <c r="Q3765" s="1" t="s">
        <v>34</v>
      </c>
      <c r="R3765" s="1" t="s">
        <v>35</v>
      </c>
      <c r="T3765" s="1">
        <v>1.00626539E8</v>
      </c>
      <c r="W3765" s="1" t="s">
        <v>91</v>
      </c>
      <c r="X3765" s="1" t="s">
        <v>1390</v>
      </c>
    </row>
    <row r="3766">
      <c r="A3766" s="1" t="s">
        <v>10864</v>
      </c>
      <c r="B3766" s="1" t="s">
        <v>2575</v>
      </c>
      <c r="C3766" s="1" t="s">
        <v>10865</v>
      </c>
      <c r="D3766" s="1" t="s">
        <v>51</v>
      </c>
      <c r="E3766" s="1" t="s">
        <v>29</v>
      </c>
      <c r="F3766" s="5">
        <v>200000.0</v>
      </c>
      <c r="G3766" s="1" t="s">
        <v>7016</v>
      </c>
      <c r="H3766" s="1" t="s">
        <v>1785</v>
      </c>
      <c r="I3766" s="1" t="s">
        <v>152</v>
      </c>
      <c r="K3766" s="1">
        <v>0.0</v>
      </c>
      <c r="L3766" s="1" t="s">
        <v>8174</v>
      </c>
      <c r="M3766" s="1" t="str">
        <f>VLOOKUP(L3766,'Copy of PMD Workday Constants -'!B3765:W4451,22,false)</f>
        <v>#N/A</v>
      </c>
      <c r="N3766" s="1" t="s">
        <v>32</v>
      </c>
      <c r="O3766" s="1" t="s">
        <v>33</v>
      </c>
      <c r="P3766" s="1" t="s">
        <v>82</v>
      </c>
      <c r="Q3766" s="1" t="s">
        <v>82</v>
      </c>
      <c r="R3766" s="1" t="s">
        <v>83</v>
      </c>
      <c r="S3766" s="1" t="s">
        <v>180</v>
      </c>
      <c r="T3766" s="1">
        <v>1.00609615E8</v>
      </c>
      <c r="W3766" s="1" t="s">
        <v>85</v>
      </c>
      <c r="X3766" s="1" t="s">
        <v>8174</v>
      </c>
    </row>
    <row r="3767">
      <c r="A3767" s="1" t="s">
        <v>10866</v>
      </c>
      <c r="B3767" s="1" t="s">
        <v>610</v>
      </c>
      <c r="C3767" s="1" t="s">
        <v>3638</v>
      </c>
      <c r="D3767" s="1" t="s">
        <v>51</v>
      </c>
      <c r="E3767" s="1" t="s">
        <v>29</v>
      </c>
      <c r="F3767" s="5">
        <v>200000.0</v>
      </c>
      <c r="G3767" s="1" t="s">
        <v>7016</v>
      </c>
      <c r="H3767" s="4">
        <v>44898.0</v>
      </c>
      <c r="I3767" s="1" t="s">
        <v>96</v>
      </c>
      <c r="K3767" s="1">
        <v>0.0</v>
      </c>
      <c r="L3767" s="1" t="s">
        <v>1510</v>
      </c>
      <c r="M3767" s="1" t="str">
        <f>VLOOKUP(L3767,'Copy of PMD Workday Constants -'!B3766:W4452,22,false)</f>
        <v>#N/A</v>
      </c>
      <c r="N3767" s="1" t="s">
        <v>32</v>
      </c>
      <c r="O3767" s="1" t="s">
        <v>33</v>
      </c>
      <c r="P3767" s="1" t="s">
        <v>222</v>
      </c>
      <c r="Q3767" s="1" t="s">
        <v>222</v>
      </c>
      <c r="R3767" s="1" t="s">
        <v>223</v>
      </c>
      <c r="S3767" s="1" t="s">
        <v>601</v>
      </c>
      <c r="T3767" s="1">
        <v>1.00711752E8</v>
      </c>
      <c r="W3767" s="1" t="s">
        <v>287</v>
      </c>
      <c r="X3767" s="1" t="s">
        <v>338</v>
      </c>
    </row>
    <row r="3768">
      <c r="A3768" s="1" t="s">
        <v>10867</v>
      </c>
      <c r="B3768" s="1" t="s">
        <v>4101</v>
      </c>
      <c r="C3768" s="1" t="s">
        <v>10868</v>
      </c>
      <c r="D3768" s="1" t="s">
        <v>28</v>
      </c>
      <c r="E3768" s="1" t="s">
        <v>29</v>
      </c>
      <c r="F3768" s="5">
        <v>200000.0</v>
      </c>
      <c r="G3768" s="1" t="s">
        <v>7016</v>
      </c>
      <c r="H3768" s="4">
        <v>44716.0</v>
      </c>
      <c r="I3768" s="1" t="s">
        <v>152</v>
      </c>
      <c r="K3768" s="1">
        <v>0.0</v>
      </c>
      <c r="L3768" s="1" t="s">
        <v>6578</v>
      </c>
      <c r="M3768" s="1" t="str">
        <f>VLOOKUP(L3768,'Copy of PMD Workday Constants -'!B3767:W4453,22,false)</f>
        <v>#N/A</v>
      </c>
      <c r="N3768" s="1" t="s">
        <v>32</v>
      </c>
      <c r="O3768" s="1" t="s">
        <v>33</v>
      </c>
      <c r="P3768" s="1" t="s">
        <v>222</v>
      </c>
      <c r="Q3768" s="1" t="s">
        <v>222</v>
      </c>
      <c r="R3768" s="1" t="s">
        <v>223</v>
      </c>
      <c r="S3768" s="1" t="s">
        <v>482</v>
      </c>
      <c r="T3768" s="1">
        <v>1.00597339E8</v>
      </c>
      <c r="W3768" s="1" t="s">
        <v>456</v>
      </c>
      <c r="X3768" s="1" t="s">
        <v>6579</v>
      </c>
    </row>
    <row r="3769">
      <c r="A3769" s="1" t="s">
        <v>10869</v>
      </c>
      <c r="B3769" s="1" t="s">
        <v>2212</v>
      </c>
      <c r="C3769" s="1" t="s">
        <v>10870</v>
      </c>
      <c r="D3769" s="1" t="s">
        <v>103</v>
      </c>
      <c r="E3769" s="1" t="s">
        <v>29</v>
      </c>
      <c r="F3769" s="5">
        <v>200000.0</v>
      </c>
      <c r="G3769" s="1" t="s">
        <v>7016</v>
      </c>
      <c r="H3769" s="4">
        <v>44810.0</v>
      </c>
      <c r="I3769" s="1" t="s">
        <v>248</v>
      </c>
      <c r="K3769" s="1">
        <v>0.0</v>
      </c>
      <c r="L3769" s="1" t="s">
        <v>7062</v>
      </c>
      <c r="M3769" s="1" t="str">
        <f>VLOOKUP(L3769,'Copy of PMD Workday Constants -'!B3768:W4454,22,false)</f>
        <v>#N/A</v>
      </c>
      <c r="N3769" s="1" t="s">
        <v>32</v>
      </c>
      <c r="O3769" s="1" t="s">
        <v>33</v>
      </c>
      <c r="P3769" s="1" t="s">
        <v>222</v>
      </c>
      <c r="Q3769" s="1" t="s">
        <v>222</v>
      </c>
      <c r="R3769" s="1" t="s">
        <v>223</v>
      </c>
      <c r="S3769" s="1" t="s">
        <v>482</v>
      </c>
      <c r="T3769" s="1">
        <v>1.00614969E8</v>
      </c>
      <c r="W3769" s="1" t="s">
        <v>85</v>
      </c>
      <c r="X3769" s="1" t="s">
        <v>10871</v>
      </c>
    </row>
    <row r="3770">
      <c r="A3770" s="1" t="s">
        <v>10872</v>
      </c>
      <c r="B3770" s="1" t="s">
        <v>10873</v>
      </c>
      <c r="C3770" s="1" t="s">
        <v>10874</v>
      </c>
      <c r="D3770" s="1" t="s">
        <v>51</v>
      </c>
      <c r="E3770" s="1" t="s">
        <v>29</v>
      </c>
      <c r="F3770" s="5">
        <v>200000.0</v>
      </c>
      <c r="G3770" s="1" t="s">
        <v>7016</v>
      </c>
      <c r="H3770" s="1" t="s">
        <v>810</v>
      </c>
      <c r="I3770" s="1" t="s">
        <v>217</v>
      </c>
      <c r="K3770" s="1">
        <v>0.0</v>
      </c>
      <c r="L3770" s="1" t="s">
        <v>5558</v>
      </c>
      <c r="M3770" s="1" t="str">
        <f>VLOOKUP(L3770,'Copy of PMD Workday Constants -'!B3769:W4455,22,false)</f>
        <v>#N/A</v>
      </c>
      <c r="N3770" s="1" t="s">
        <v>32</v>
      </c>
      <c r="O3770" s="1" t="s">
        <v>33</v>
      </c>
      <c r="P3770" s="1" t="s">
        <v>222</v>
      </c>
      <c r="Q3770" s="1" t="s">
        <v>222</v>
      </c>
      <c r="R3770" s="1" t="s">
        <v>223</v>
      </c>
      <c r="S3770" s="1" t="s">
        <v>482</v>
      </c>
      <c r="T3770" s="1">
        <v>1.00652479E8</v>
      </c>
      <c r="W3770" s="1" t="s">
        <v>47</v>
      </c>
      <c r="X3770" s="1" t="s">
        <v>10875</v>
      </c>
    </row>
    <row r="3771">
      <c r="A3771" s="1" t="s">
        <v>10876</v>
      </c>
      <c r="B3771" s="1" t="s">
        <v>2670</v>
      </c>
      <c r="C3771" s="1" t="s">
        <v>10877</v>
      </c>
      <c r="D3771" s="1" t="s">
        <v>103</v>
      </c>
      <c r="E3771" s="1" t="s">
        <v>29</v>
      </c>
      <c r="F3771" s="5">
        <v>200000.0</v>
      </c>
      <c r="G3771" s="1" t="s">
        <v>7016</v>
      </c>
      <c r="H3771" s="4">
        <v>44779.0</v>
      </c>
      <c r="I3771" s="1" t="s">
        <v>96</v>
      </c>
      <c r="K3771" s="1">
        <v>0.0</v>
      </c>
      <c r="L3771" s="1" t="s">
        <v>2672</v>
      </c>
      <c r="M3771" s="1" t="str">
        <f>VLOOKUP(L3771,'Copy of PMD Workday Constants -'!B3770:W4456,22,false)</f>
        <v>#N/A</v>
      </c>
      <c r="N3771" s="1" t="s">
        <v>32</v>
      </c>
      <c r="O3771" s="1" t="s">
        <v>33</v>
      </c>
      <c r="P3771" s="1" t="s">
        <v>173</v>
      </c>
      <c r="Q3771" s="1" t="s">
        <v>173</v>
      </c>
      <c r="R3771" s="1" t="s">
        <v>174</v>
      </c>
      <c r="T3771" s="1">
        <v>1.00607244E8</v>
      </c>
      <c r="W3771" s="1" t="s">
        <v>493</v>
      </c>
      <c r="X3771" s="1" t="s">
        <v>5993</v>
      </c>
    </row>
    <row r="3772">
      <c r="A3772" s="1" t="s">
        <v>10878</v>
      </c>
      <c r="B3772" s="1" t="s">
        <v>5369</v>
      </c>
      <c r="C3772" s="1" t="s">
        <v>10879</v>
      </c>
      <c r="D3772" s="1" t="s">
        <v>103</v>
      </c>
      <c r="E3772" s="1" t="s">
        <v>29</v>
      </c>
      <c r="F3772" s="5">
        <v>200000.0</v>
      </c>
      <c r="G3772" s="1" t="s">
        <v>7016</v>
      </c>
      <c r="H3772" s="1" t="s">
        <v>1708</v>
      </c>
      <c r="I3772" s="1" t="s">
        <v>104</v>
      </c>
      <c r="K3772" s="1">
        <v>0.0</v>
      </c>
      <c r="L3772" s="1" t="s">
        <v>3727</v>
      </c>
      <c r="M3772" s="1" t="str">
        <f>VLOOKUP(L3772,'Copy of PMD Workday Constants -'!B3771:W4457,22,false)</f>
        <v>#N/A</v>
      </c>
      <c r="N3772" s="1" t="s">
        <v>32</v>
      </c>
      <c r="O3772" s="1" t="s">
        <v>33</v>
      </c>
      <c r="P3772" s="1" t="s">
        <v>222</v>
      </c>
      <c r="Q3772" s="1" t="s">
        <v>222</v>
      </c>
      <c r="R3772" s="1" t="s">
        <v>223</v>
      </c>
      <c r="S3772" s="1" t="s">
        <v>482</v>
      </c>
      <c r="T3772" s="1">
        <v>1.00611158E8</v>
      </c>
      <c r="W3772" s="1" t="s">
        <v>74</v>
      </c>
      <c r="X3772" s="1" t="s">
        <v>3727</v>
      </c>
    </row>
    <row r="3773">
      <c r="A3773" s="1" t="s">
        <v>10880</v>
      </c>
      <c r="B3773" s="1" t="s">
        <v>1703</v>
      </c>
      <c r="C3773" s="1" t="s">
        <v>10881</v>
      </c>
      <c r="D3773" s="1" t="s">
        <v>51</v>
      </c>
      <c r="E3773" s="1" t="s">
        <v>29</v>
      </c>
      <c r="F3773" s="5">
        <v>200000.0</v>
      </c>
      <c r="G3773" s="1" t="s">
        <v>7016</v>
      </c>
      <c r="H3773" s="1" t="s">
        <v>1785</v>
      </c>
      <c r="I3773" s="1" t="s">
        <v>80</v>
      </c>
      <c r="K3773" s="1">
        <v>0.0</v>
      </c>
      <c r="L3773" s="1" t="s">
        <v>5415</v>
      </c>
      <c r="M3773" s="1" t="str">
        <f>VLOOKUP(L3773,'Copy of PMD Workday Constants -'!B3772:W4458,22,false)</f>
        <v>#N/A</v>
      </c>
      <c r="N3773" s="1" t="s">
        <v>32</v>
      </c>
      <c r="O3773" s="1" t="s">
        <v>33</v>
      </c>
      <c r="P3773" s="1" t="s">
        <v>222</v>
      </c>
      <c r="Q3773" s="1" t="s">
        <v>222</v>
      </c>
      <c r="R3773" s="1" t="s">
        <v>223</v>
      </c>
      <c r="S3773" s="1" t="s">
        <v>601</v>
      </c>
      <c r="T3773" s="1">
        <v>1.00933537E8</v>
      </c>
      <c r="W3773" s="1" t="s">
        <v>456</v>
      </c>
      <c r="X3773" s="1" t="s">
        <v>7966</v>
      </c>
    </row>
    <row r="3774">
      <c r="A3774" s="1" t="s">
        <v>10882</v>
      </c>
      <c r="B3774" s="1" t="s">
        <v>7465</v>
      </c>
      <c r="C3774" s="1" t="s">
        <v>10883</v>
      </c>
      <c r="D3774" s="1" t="s">
        <v>28</v>
      </c>
      <c r="E3774" s="1" t="s">
        <v>29</v>
      </c>
      <c r="F3774" s="5">
        <v>200000.0</v>
      </c>
      <c r="G3774" s="1" t="s">
        <v>7016</v>
      </c>
      <c r="H3774" s="4">
        <v>44779.0</v>
      </c>
      <c r="I3774" s="1" t="s">
        <v>302</v>
      </c>
      <c r="K3774" s="1">
        <v>0.0</v>
      </c>
      <c r="L3774" s="1" t="s">
        <v>909</v>
      </c>
      <c r="M3774" s="1" t="str">
        <f>VLOOKUP(L3774,'Copy of PMD Workday Constants -'!B3773:W4459,22,false)</f>
        <v>#N/A</v>
      </c>
      <c r="N3774" s="1" t="s">
        <v>32</v>
      </c>
      <c r="O3774" s="1" t="s">
        <v>33</v>
      </c>
      <c r="P3774" s="1" t="s">
        <v>82</v>
      </c>
      <c r="Q3774" s="1" t="s">
        <v>82</v>
      </c>
      <c r="R3774" s="1" t="s">
        <v>83</v>
      </c>
      <c r="S3774" s="1" t="s">
        <v>84</v>
      </c>
      <c r="T3774" s="1">
        <v>1.00649698E8</v>
      </c>
      <c r="X3774" s="1" t="s">
        <v>909</v>
      </c>
    </row>
    <row r="3775">
      <c r="A3775" s="1" t="s">
        <v>10884</v>
      </c>
      <c r="B3775" s="1" t="s">
        <v>615</v>
      </c>
      <c r="C3775" s="1" t="s">
        <v>10885</v>
      </c>
      <c r="D3775" s="1" t="s">
        <v>51</v>
      </c>
      <c r="E3775" s="1" t="s">
        <v>29</v>
      </c>
      <c r="F3775" s="5">
        <v>200000.0</v>
      </c>
      <c r="G3775" s="1" t="s">
        <v>7016</v>
      </c>
      <c r="H3775" s="1" t="s">
        <v>52</v>
      </c>
      <c r="I3775" s="1" t="s">
        <v>152</v>
      </c>
      <c r="K3775" s="1">
        <v>0.0</v>
      </c>
      <c r="L3775" s="1" t="s">
        <v>618</v>
      </c>
      <c r="M3775" s="1" t="str">
        <f>VLOOKUP(L3775,'Copy of PMD Workday Constants -'!B3774:W4460,22,false)</f>
        <v>#N/A</v>
      </c>
      <c r="N3775" s="1" t="s">
        <v>32</v>
      </c>
      <c r="O3775" s="1" t="s">
        <v>33</v>
      </c>
      <c r="P3775" s="1" t="s">
        <v>173</v>
      </c>
      <c r="Q3775" s="1" t="s">
        <v>173</v>
      </c>
      <c r="R3775" s="1" t="s">
        <v>174</v>
      </c>
      <c r="T3775" s="1">
        <v>1.00591141E8</v>
      </c>
      <c r="W3775" s="1" t="s">
        <v>74</v>
      </c>
      <c r="X3775" s="1" t="s">
        <v>1381</v>
      </c>
    </row>
    <row r="3776">
      <c r="A3776" s="1" t="s">
        <v>10886</v>
      </c>
      <c r="B3776" s="1" t="s">
        <v>615</v>
      </c>
      <c r="C3776" s="1" t="s">
        <v>10887</v>
      </c>
      <c r="D3776" s="1" t="s">
        <v>28</v>
      </c>
      <c r="E3776" s="1" t="s">
        <v>29</v>
      </c>
      <c r="F3776" s="5">
        <v>200000.0</v>
      </c>
      <c r="G3776" s="1" t="s">
        <v>7016</v>
      </c>
      <c r="H3776" s="1" t="s">
        <v>52</v>
      </c>
      <c r="I3776" s="1" t="s">
        <v>152</v>
      </c>
      <c r="K3776" s="1">
        <v>0.0</v>
      </c>
      <c r="L3776" s="1" t="s">
        <v>618</v>
      </c>
      <c r="M3776" s="1" t="str">
        <f>VLOOKUP(L3776,'Copy of PMD Workday Constants -'!B3775:W4461,22,false)</f>
        <v>#N/A</v>
      </c>
      <c r="N3776" s="1" t="s">
        <v>32</v>
      </c>
      <c r="O3776" s="1" t="s">
        <v>33</v>
      </c>
      <c r="P3776" s="1" t="s">
        <v>173</v>
      </c>
      <c r="Q3776" s="1" t="s">
        <v>173</v>
      </c>
      <c r="R3776" s="1" t="s">
        <v>174</v>
      </c>
      <c r="T3776" s="1">
        <v>1.00591141E8</v>
      </c>
      <c r="W3776" s="1" t="s">
        <v>74</v>
      </c>
      <c r="X3776" s="1" t="s">
        <v>1381</v>
      </c>
    </row>
    <row r="3777">
      <c r="A3777" s="1" t="s">
        <v>10888</v>
      </c>
      <c r="B3777" s="1" t="s">
        <v>554</v>
      </c>
      <c r="C3777" s="1" t="s">
        <v>10889</v>
      </c>
      <c r="D3777" s="1" t="s">
        <v>28</v>
      </c>
      <c r="E3777" s="1" t="s">
        <v>29</v>
      </c>
      <c r="F3777" s="5">
        <v>200000.0</v>
      </c>
      <c r="G3777" s="1" t="s">
        <v>7016</v>
      </c>
      <c r="H3777" s="1" t="s">
        <v>1662</v>
      </c>
      <c r="I3777" s="1" t="s">
        <v>732</v>
      </c>
      <c r="K3777" s="1">
        <v>0.0</v>
      </c>
      <c r="L3777" s="1" t="s">
        <v>3100</v>
      </c>
      <c r="M3777" s="1" t="str">
        <f>VLOOKUP(L3777,'Copy of PMD Workday Constants -'!B3776:W4462,22,false)</f>
        <v>#N/A</v>
      </c>
      <c r="N3777" s="1" t="s">
        <v>32</v>
      </c>
      <c r="O3777" s="1" t="s">
        <v>33</v>
      </c>
      <c r="P3777" s="1" t="s">
        <v>210</v>
      </c>
      <c r="Q3777" s="1" t="s">
        <v>210</v>
      </c>
      <c r="R3777" s="1" t="s">
        <v>211</v>
      </c>
      <c r="T3777" s="1">
        <v>1.01093101E8</v>
      </c>
      <c r="W3777" s="1" t="s">
        <v>1303</v>
      </c>
      <c r="X3777" s="1" t="s">
        <v>3100</v>
      </c>
    </row>
    <row r="3778">
      <c r="A3778" s="1" t="s">
        <v>10890</v>
      </c>
      <c r="B3778" s="1" t="s">
        <v>615</v>
      </c>
      <c r="C3778" s="1" t="s">
        <v>10891</v>
      </c>
      <c r="D3778" s="1" t="s">
        <v>28</v>
      </c>
      <c r="E3778" s="1" t="s">
        <v>29</v>
      </c>
      <c r="F3778" s="5">
        <v>200000.0</v>
      </c>
      <c r="G3778" s="1" t="s">
        <v>7016</v>
      </c>
      <c r="H3778" s="1" t="s">
        <v>52</v>
      </c>
      <c r="I3778" s="1" t="s">
        <v>152</v>
      </c>
      <c r="K3778" s="1">
        <v>0.0</v>
      </c>
      <c r="L3778" s="1" t="s">
        <v>618</v>
      </c>
      <c r="M3778" s="1" t="str">
        <f>VLOOKUP(L3778,'Copy of PMD Workday Constants -'!B3777:W4463,22,false)</f>
        <v>#N/A</v>
      </c>
      <c r="N3778" s="1" t="s">
        <v>32</v>
      </c>
      <c r="O3778" s="1" t="s">
        <v>33</v>
      </c>
      <c r="P3778" s="1" t="s">
        <v>173</v>
      </c>
      <c r="Q3778" s="1" t="s">
        <v>173</v>
      </c>
      <c r="R3778" s="1" t="s">
        <v>174</v>
      </c>
      <c r="T3778" s="1">
        <v>1.00591141E8</v>
      </c>
      <c r="W3778" s="1" t="s">
        <v>74</v>
      </c>
      <c r="X3778" s="1" t="s">
        <v>1381</v>
      </c>
    </row>
    <row r="3779">
      <c r="A3779" s="1" t="s">
        <v>10892</v>
      </c>
      <c r="B3779" s="1" t="s">
        <v>776</v>
      </c>
      <c r="C3779" s="1" t="s">
        <v>10893</v>
      </c>
      <c r="D3779" s="1" t="s">
        <v>103</v>
      </c>
      <c r="E3779" s="1" t="s">
        <v>29</v>
      </c>
      <c r="F3779" s="5">
        <v>200000.0</v>
      </c>
      <c r="G3779" s="1" t="s">
        <v>7016</v>
      </c>
      <c r="H3779" s="4">
        <v>44261.0</v>
      </c>
      <c r="I3779" s="1" t="s">
        <v>80</v>
      </c>
      <c r="K3779" s="1">
        <v>0.0</v>
      </c>
      <c r="L3779" s="1" t="s">
        <v>3845</v>
      </c>
      <c r="M3779" s="1" t="str">
        <f>VLOOKUP(L3779,'Copy of PMD Workday Constants -'!B3778:W4464,22,false)</f>
        <v>#N/A</v>
      </c>
      <c r="N3779" s="1" t="s">
        <v>32</v>
      </c>
      <c r="O3779" s="1" t="s">
        <v>33</v>
      </c>
      <c r="P3779" s="1" t="s">
        <v>112</v>
      </c>
      <c r="Q3779" s="1" t="s">
        <v>112</v>
      </c>
      <c r="R3779" s="1" t="s">
        <v>113</v>
      </c>
      <c r="S3779" s="1" t="s">
        <v>134</v>
      </c>
      <c r="T3779" s="1">
        <v>1.00638855E8</v>
      </c>
      <c r="W3779" s="1" t="s">
        <v>74</v>
      </c>
      <c r="X3779" s="1" t="s">
        <v>10894</v>
      </c>
    </row>
    <row r="3780">
      <c r="A3780" s="1" t="s">
        <v>10895</v>
      </c>
      <c r="B3780" s="1" t="s">
        <v>615</v>
      </c>
      <c r="C3780" s="1" t="s">
        <v>10896</v>
      </c>
      <c r="D3780" s="1" t="s">
        <v>28</v>
      </c>
      <c r="E3780" s="1" t="s">
        <v>29</v>
      </c>
      <c r="F3780" s="5">
        <v>200000.0</v>
      </c>
      <c r="G3780" s="1" t="s">
        <v>7016</v>
      </c>
      <c r="H3780" s="1" t="s">
        <v>52</v>
      </c>
      <c r="I3780" s="1" t="s">
        <v>152</v>
      </c>
      <c r="K3780" s="1">
        <v>0.0</v>
      </c>
      <c r="L3780" s="1" t="s">
        <v>618</v>
      </c>
      <c r="M3780" s="1" t="str">
        <f>VLOOKUP(L3780,'Copy of PMD Workday Constants -'!B3779:W4465,22,false)</f>
        <v>#N/A</v>
      </c>
      <c r="N3780" s="1" t="s">
        <v>32</v>
      </c>
      <c r="O3780" s="1" t="s">
        <v>33</v>
      </c>
      <c r="P3780" s="1" t="s">
        <v>173</v>
      </c>
      <c r="Q3780" s="1" t="s">
        <v>173</v>
      </c>
      <c r="R3780" s="1" t="s">
        <v>174</v>
      </c>
      <c r="T3780" s="1">
        <v>1.00591141E8</v>
      </c>
      <c r="W3780" s="1" t="s">
        <v>74</v>
      </c>
      <c r="X3780" s="1" t="s">
        <v>1381</v>
      </c>
    </row>
    <row r="3781">
      <c r="A3781" s="1" t="s">
        <v>10897</v>
      </c>
      <c r="B3781" s="1" t="s">
        <v>10898</v>
      </c>
      <c r="C3781" s="1" t="s">
        <v>10899</v>
      </c>
      <c r="D3781" s="1" t="s">
        <v>103</v>
      </c>
      <c r="E3781" s="1" t="s">
        <v>29</v>
      </c>
      <c r="F3781" s="5">
        <v>200000.0</v>
      </c>
      <c r="G3781" s="1" t="s">
        <v>7016</v>
      </c>
      <c r="H3781" s="4">
        <v>44899.0</v>
      </c>
      <c r="I3781" s="1" t="s">
        <v>692</v>
      </c>
      <c r="K3781" s="1">
        <v>0.0</v>
      </c>
      <c r="L3781" s="1" t="s">
        <v>3476</v>
      </c>
      <c r="M3781" s="1" t="str">
        <f>VLOOKUP(L3781,'Copy of PMD Workday Constants -'!B3780:W4466,22,false)</f>
        <v>#N/A</v>
      </c>
      <c r="N3781" s="1" t="s">
        <v>32</v>
      </c>
      <c r="O3781" s="1" t="s">
        <v>33</v>
      </c>
      <c r="P3781" s="1" t="s">
        <v>112</v>
      </c>
      <c r="Q3781" s="1" t="s">
        <v>112</v>
      </c>
      <c r="R3781" s="1" t="s">
        <v>113</v>
      </c>
      <c r="S3781" s="1" t="s">
        <v>114</v>
      </c>
      <c r="T3781" s="1">
        <v>1.00702554E8</v>
      </c>
      <c r="W3781" s="1" t="s">
        <v>147</v>
      </c>
      <c r="X3781" s="1" t="s">
        <v>3476</v>
      </c>
    </row>
    <row r="3782">
      <c r="A3782" s="1" t="s">
        <v>10900</v>
      </c>
      <c r="B3782" s="1" t="s">
        <v>772</v>
      </c>
      <c r="C3782" s="1" t="s">
        <v>10901</v>
      </c>
      <c r="D3782" s="1" t="s">
        <v>28</v>
      </c>
      <c r="E3782" s="1" t="s">
        <v>29</v>
      </c>
      <c r="F3782" s="5">
        <v>200000.0</v>
      </c>
      <c r="G3782" s="1" t="s">
        <v>7016</v>
      </c>
      <c r="H3782" s="1" t="s">
        <v>1323</v>
      </c>
      <c r="I3782" s="1" t="s">
        <v>104</v>
      </c>
      <c r="K3782" s="1">
        <v>0.0</v>
      </c>
      <c r="L3782" s="1" t="s">
        <v>1324</v>
      </c>
      <c r="M3782" s="1" t="str">
        <f>VLOOKUP(L3782,'Copy of PMD Workday Constants -'!B3781:W4467,22,false)</f>
        <v>#N/A</v>
      </c>
      <c r="N3782" s="1" t="s">
        <v>32</v>
      </c>
      <c r="O3782" s="1" t="s">
        <v>33</v>
      </c>
      <c r="P3782" s="1" t="s">
        <v>34</v>
      </c>
      <c r="Q3782" s="1" t="s">
        <v>34</v>
      </c>
      <c r="R3782" s="1" t="s">
        <v>35</v>
      </c>
      <c r="S3782" s="1" t="s">
        <v>36</v>
      </c>
      <c r="T3782" s="1">
        <v>1.00613915E8</v>
      </c>
      <c r="W3782" s="1" t="s">
        <v>37</v>
      </c>
      <c r="X3782" s="1" t="s">
        <v>977</v>
      </c>
    </row>
    <row r="3783">
      <c r="A3783" s="1" t="s">
        <v>10902</v>
      </c>
      <c r="B3783" s="1" t="s">
        <v>6453</v>
      </c>
      <c r="C3783" s="1" t="s">
        <v>10903</v>
      </c>
      <c r="D3783" s="1" t="s">
        <v>51</v>
      </c>
      <c r="E3783" s="1" t="s">
        <v>29</v>
      </c>
      <c r="F3783" s="5">
        <v>200000.0</v>
      </c>
      <c r="G3783" s="1" t="s">
        <v>7016</v>
      </c>
      <c r="H3783" s="1" t="s">
        <v>1662</v>
      </c>
      <c r="I3783" s="1" t="s">
        <v>248</v>
      </c>
      <c r="K3783" s="1">
        <v>0.0</v>
      </c>
      <c r="L3783" s="1" t="s">
        <v>3100</v>
      </c>
      <c r="M3783" s="1" t="str">
        <f>VLOOKUP(L3783,'Copy of PMD Workday Constants -'!B3782:W4468,22,false)</f>
        <v>#N/A</v>
      </c>
      <c r="N3783" s="1" t="s">
        <v>32</v>
      </c>
      <c r="O3783" s="1" t="s">
        <v>33</v>
      </c>
      <c r="P3783" s="1" t="s">
        <v>210</v>
      </c>
      <c r="Q3783" s="1" t="s">
        <v>210</v>
      </c>
      <c r="R3783" s="1" t="s">
        <v>211</v>
      </c>
      <c r="T3783" s="1">
        <v>1.01093101E8</v>
      </c>
      <c r="W3783" s="1" t="s">
        <v>250</v>
      </c>
      <c r="X3783" s="1" t="s">
        <v>3100</v>
      </c>
    </row>
    <row r="3784">
      <c r="A3784" s="1" t="s">
        <v>10904</v>
      </c>
      <c r="B3784" s="1" t="s">
        <v>4986</v>
      </c>
      <c r="C3784" s="1" t="s">
        <v>10903</v>
      </c>
      <c r="D3784" s="1" t="s">
        <v>28</v>
      </c>
      <c r="E3784" s="1" t="s">
        <v>29</v>
      </c>
      <c r="F3784" s="5">
        <v>200000.0</v>
      </c>
      <c r="G3784" s="1" t="s">
        <v>7016</v>
      </c>
      <c r="H3784" s="1" t="s">
        <v>1662</v>
      </c>
      <c r="I3784" s="4">
        <v>44840.0</v>
      </c>
      <c r="K3784" s="1">
        <v>0.0</v>
      </c>
      <c r="L3784" s="1" t="s">
        <v>3100</v>
      </c>
      <c r="M3784" s="1" t="str">
        <f>VLOOKUP(L3784,'Copy of PMD Workday Constants -'!B3783:W4469,22,false)</f>
        <v>#N/A</v>
      </c>
      <c r="N3784" s="1" t="s">
        <v>32</v>
      </c>
      <c r="O3784" s="1" t="s">
        <v>33</v>
      </c>
      <c r="P3784" s="1" t="s">
        <v>210</v>
      </c>
      <c r="Q3784" s="1" t="s">
        <v>210</v>
      </c>
      <c r="R3784" s="1" t="s">
        <v>211</v>
      </c>
      <c r="T3784" s="1">
        <v>1.01093101E8</v>
      </c>
      <c r="W3784" s="1" t="s">
        <v>147</v>
      </c>
      <c r="X3784" s="1" t="s">
        <v>3100</v>
      </c>
    </row>
    <row r="3785">
      <c r="A3785" s="1" t="s">
        <v>10905</v>
      </c>
      <c r="B3785" s="1" t="s">
        <v>373</v>
      </c>
      <c r="C3785" s="1" t="s">
        <v>10906</v>
      </c>
      <c r="D3785" s="1" t="s">
        <v>51</v>
      </c>
      <c r="E3785" s="1" t="s">
        <v>29</v>
      </c>
      <c r="F3785" s="5">
        <v>200000.0</v>
      </c>
      <c r="G3785" s="1" t="s">
        <v>7016</v>
      </c>
      <c r="H3785" s="4">
        <v>44717.0</v>
      </c>
      <c r="I3785" s="1" t="s">
        <v>406</v>
      </c>
      <c r="K3785" s="1">
        <v>0.0</v>
      </c>
      <c r="L3785" s="1" t="s">
        <v>4045</v>
      </c>
      <c r="M3785" s="1" t="str">
        <f>VLOOKUP(L3785,'Copy of PMD Workday Constants -'!B3784:W4470,22,false)</f>
        <v>#N/A</v>
      </c>
      <c r="N3785" s="1" t="s">
        <v>32</v>
      </c>
      <c r="O3785" s="1" t="s">
        <v>33</v>
      </c>
      <c r="P3785" s="1" t="s">
        <v>64</v>
      </c>
      <c r="Q3785" s="1" t="s">
        <v>64</v>
      </c>
      <c r="R3785" s="1" t="s">
        <v>65</v>
      </c>
      <c r="T3785" s="1">
        <v>1.00655236E8</v>
      </c>
      <c r="W3785" s="1" t="s">
        <v>258</v>
      </c>
      <c r="X3785" s="1" t="s">
        <v>8231</v>
      </c>
    </row>
    <row r="3786">
      <c r="A3786" s="1" t="s">
        <v>10907</v>
      </c>
      <c r="B3786" s="1" t="s">
        <v>293</v>
      </c>
      <c r="C3786" s="1" t="s">
        <v>10908</v>
      </c>
      <c r="D3786" s="1" t="s">
        <v>28</v>
      </c>
      <c r="E3786" s="1" t="s">
        <v>29</v>
      </c>
      <c r="F3786" s="5">
        <v>200000.0</v>
      </c>
      <c r="G3786" s="1" t="s">
        <v>7016</v>
      </c>
      <c r="H3786" s="1" t="s">
        <v>698</v>
      </c>
      <c r="I3786" s="1" t="s">
        <v>302</v>
      </c>
      <c r="K3786" s="1">
        <v>0.0</v>
      </c>
      <c r="L3786" s="1" t="s">
        <v>2991</v>
      </c>
      <c r="M3786" s="1" t="str">
        <f>VLOOKUP(L3786,'Copy of PMD Workday Constants -'!B3785:W4471,22,false)</f>
        <v>#N/A</v>
      </c>
      <c r="N3786" s="1" t="s">
        <v>32</v>
      </c>
      <c r="O3786" s="1" t="s">
        <v>33</v>
      </c>
      <c r="P3786" s="1" t="s">
        <v>210</v>
      </c>
      <c r="Q3786" s="1" t="s">
        <v>210</v>
      </c>
      <c r="R3786" s="1" t="s">
        <v>211</v>
      </c>
      <c r="S3786" s="1" t="s">
        <v>297</v>
      </c>
      <c r="T3786" s="1">
        <v>1.00647935E8</v>
      </c>
      <c r="W3786" s="1" t="s">
        <v>258</v>
      </c>
      <c r="X3786" s="1" t="s">
        <v>2991</v>
      </c>
    </row>
    <row r="3787">
      <c r="A3787" s="1" t="s">
        <v>10909</v>
      </c>
      <c r="B3787" s="1" t="s">
        <v>631</v>
      </c>
      <c r="C3787" s="1" t="s">
        <v>10910</v>
      </c>
      <c r="D3787" s="1" t="s">
        <v>51</v>
      </c>
      <c r="E3787" s="1" t="s">
        <v>29</v>
      </c>
      <c r="F3787" s="5">
        <v>200000.0</v>
      </c>
      <c r="G3787" s="1" t="s">
        <v>7016</v>
      </c>
      <c r="H3787" s="1" t="s">
        <v>1708</v>
      </c>
      <c r="I3787" s="4">
        <v>44903.0</v>
      </c>
      <c r="K3787" s="1">
        <v>0.0</v>
      </c>
      <c r="L3787" s="1" t="s">
        <v>8045</v>
      </c>
      <c r="M3787" s="1" t="str">
        <f>VLOOKUP(L3787,'Copy of PMD Workday Constants -'!B3786:W4472,22,false)</f>
        <v>#N/A</v>
      </c>
      <c r="N3787" s="1" t="s">
        <v>32</v>
      </c>
      <c r="O3787" s="1" t="s">
        <v>33</v>
      </c>
      <c r="P3787" s="1" t="s">
        <v>112</v>
      </c>
      <c r="Q3787" s="1" t="s">
        <v>112</v>
      </c>
      <c r="R3787" s="1" t="s">
        <v>113</v>
      </c>
      <c r="S3787" s="1" t="s">
        <v>36</v>
      </c>
      <c r="T3787" s="1">
        <v>1.00624615E8</v>
      </c>
      <c r="W3787" s="1" t="s">
        <v>37</v>
      </c>
      <c r="X3787" s="1" t="s">
        <v>8045</v>
      </c>
    </row>
    <row r="3788">
      <c r="A3788" s="1" t="s">
        <v>10911</v>
      </c>
      <c r="B3788" s="1" t="s">
        <v>1882</v>
      </c>
      <c r="C3788" s="1" t="s">
        <v>10912</v>
      </c>
      <c r="D3788" s="1" t="s">
        <v>28</v>
      </c>
      <c r="E3788" s="1" t="s">
        <v>29</v>
      </c>
      <c r="F3788" s="5">
        <v>200000.0</v>
      </c>
      <c r="G3788" s="1" t="s">
        <v>7016</v>
      </c>
      <c r="H3788" s="4">
        <v>44540.0</v>
      </c>
      <c r="I3788" s="1" t="s">
        <v>80</v>
      </c>
      <c r="K3788" s="1">
        <v>0.0</v>
      </c>
      <c r="L3788" s="1" t="s">
        <v>825</v>
      </c>
      <c r="M3788" s="1" t="str">
        <f>VLOOKUP(L3788,'Copy of PMD Workday Constants -'!B3787:W4473,22,false)</f>
        <v>#N/A</v>
      </c>
      <c r="N3788" s="1" t="s">
        <v>32</v>
      </c>
      <c r="O3788" s="1" t="s">
        <v>33</v>
      </c>
      <c r="P3788" s="1" t="s">
        <v>112</v>
      </c>
      <c r="Q3788" s="1" t="s">
        <v>112</v>
      </c>
      <c r="R3788" s="1" t="s">
        <v>113</v>
      </c>
      <c r="S3788" s="1" t="s">
        <v>307</v>
      </c>
      <c r="T3788" s="1">
        <v>1.00621664E8</v>
      </c>
      <c r="W3788" s="1" t="s">
        <v>47</v>
      </c>
      <c r="X3788" s="1" t="s">
        <v>6482</v>
      </c>
    </row>
    <row r="3789">
      <c r="A3789" s="1" t="s">
        <v>10913</v>
      </c>
      <c r="B3789" s="1" t="s">
        <v>8979</v>
      </c>
      <c r="C3789" s="1" t="s">
        <v>10914</v>
      </c>
      <c r="D3789" s="1" t="s">
        <v>28</v>
      </c>
      <c r="E3789" s="1" t="s">
        <v>29</v>
      </c>
      <c r="F3789" s="5">
        <v>200000.0</v>
      </c>
      <c r="G3789" s="1" t="s">
        <v>7016</v>
      </c>
      <c r="H3789" s="4">
        <v>44747.0</v>
      </c>
      <c r="I3789" s="1" t="s">
        <v>191</v>
      </c>
      <c r="K3789" s="1">
        <v>0.0</v>
      </c>
      <c r="L3789" s="1" t="s">
        <v>4785</v>
      </c>
      <c r="M3789" s="1" t="str">
        <f>VLOOKUP(L3789,'Copy of PMD Workday Constants -'!B3788:W4474,22,false)</f>
        <v>#N/A</v>
      </c>
      <c r="N3789" s="1" t="s">
        <v>32</v>
      </c>
      <c r="O3789" s="1" t="s">
        <v>33</v>
      </c>
      <c r="P3789" s="1" t="s">
        <v>173</v>
      </c>
      <c r="Q3789" s="1" t="s">
        <v>173</v>
      </c>
      <c r="R3789" s="1" t="s">
        <v>174</v>
      </c>
      <c r="T3789" s="1">
        <v>1.00609226E8</v>
      </c>
      <c r="W3789" s="1" t="s">
        <v>308</v>
      </c>
      <c r="X3789" s="1" t="s">
        <v>4352</v>
      </c>
    </row>
    <row r="3790">
      <c r="A3790" s="1" t="s">
        <v>10915</v>
      </c>
      <c r="B3790" s="1" t="s">
        <v>7174</v>
      </c>
      <c r="C3790" s="1" t="s">
        <v>10916</v>
      </c>
      <c r="D3790" s="1" t="s">
        <v>28</v>
      </c>
      <c r="E3790" s="1" t="s">
        <v>29</v>
      </c>
      <c r="F3790" s="5">
        <v>200000.0</v>
      </c>
      <c r="G3790" s="1" t="s">
        <v>7016</v>
      </c>
      <c r="H3790" s="1" t="s">
        <v>1662</v>
      </c>
      <c r="I3790" s="1" t="s">
        <v>732</v>
      </c>
      <c r="K3790" s="1">
        <v>0.0</v>
      </c>
      <c r="L3790" s="1" t="s">
        <v>3100</v>
      </c>
      <c r="M3790" s="1" t="str">
        <f>VLOOKUP(L3790,'Copy of PMD Workday Constants -'!B3789:W4475,22,false)</f>
        <v>#N/A</v>
      </c>
      <c r="N3790" s="1" t="s">
        <v>32</v>
      </c>
      <c r="O3790" s="1" t="s">
        <v>33</v>
      </c>
      <c r="P3790" s="1" t="s">
        <v>210</v>
      </c>
      <c r="Q3790" s="1" t="s">
        <v>210</v>
      </c>
      <c r="R3790" s="1" t="s">
        <v>211</v>
      </c>
      <c r="S3790" s="1" t="s">
        <v>612</v>
      </c>
      <c r="T3790" s="1">
        <v>1.01093101E8</v>
      </c>
      <c r="W3790" s="1" t="s">
        <v>140</v>
      </c>
      <c r="X3790" s="1" t="s">
        <v>3100</v>
      </c>
    </row>
    <row r="3791">
      <c r="A3791" s="1" t="s">
        <v>10917</v>
      </c>
      <c r="B3791" s="1" t="s">
        <v>10918</v>
      </c>
      <c r="C3791" s="1" t="s">
        <v>10919</v>
      </c>
      <c r="D3791" s="1" t="s">
        <v>51</v>
      </c>
      <c r="E3791" s="1" t="s">
        <v>29</v>
      </c>
      <c r="F3791" s="5">
        <v>200000.0</v>
      </c>
      <c r="G3791" s="1" t="s">
        <v>7016</v>
      </c>
      <c r="H3791" s="1" t="s">
        <v>1765</v>
      </c>
      <c r="I3791" s="1" t="s">
        <v>104</v>
      </c>
      <c r="K3791" s="1">
        <v>0.0</v>
      </c>
      <c r="L3791" s="1" t="s">
        <v>198</v>
      </c>
      <c r="M3791" s="1" t="str">
        <f>VLOOKUP(L3791,'Copy of PMD Workday Constants -'!B3790:W4476,22,false)</f>
        <v>#N/A</v>
      </c>
      <c r="N3791" s="1" t="s">
        <v>32</v>
      </c>
      <c r="O3791" s="1" t="s">
        <v>33</v>
      </c>
      <c r="P3791" s="1" t="s">
        <v>82</v>
      </c>
      <c r="Q3791" s="1" t="s">
        <v>82</v>
      </c>
      <c r="R3791" s="1" t="s">
        <v>83</v>
      </c>
      <c r="S3791" s="1" t="s">
        <v>180</v>
      </c>
      <c r="T3791" s="1">
        <v>1.00590896E8</v>
      </c>
      <c r="W3791" s="1" t="s">
        <v>85</v>
      </c>
      <c r="X3791" s="1" t="s">
        <v>5357</v>
      </c>
    </row>
    <row r="3792">
      <c r="A3792" s="1" t="s">
        <v>10920</v>
      </c>
      <c r="B3792" s="1" t="s">
        <v>673</v>
      </c>
      <c r="C3792" s="1" t="s">
        <v>10921</v>
      </c>
      <c r="D3792" s="1" t="s">
        <v>51</v>
      </c>
      <c r="E3792" s="1" t="s">
        <v>29</v>
      </c>
      <c r="F3792" s="5">
        <v>200000.0</v>
      </c>
      <c r="G3792" s="1" t="s">
        <v>7016</v>
      </c>
      <c r="H3792" s="4">
        <v>44294.0</v>
      </c>
      <c r="I3792" s="1" t="s">
        <v>217</v>
      </c>
      <c r="K3792" s="1">
        <v>0.0</v>
      </c>
      <c r="L3792" s="1" t="s">
        <v>1611</v>
      </c>
      <c r="M3792" s="1" t="str">
        <f>VLOOKUP(L3792,'Copy of PMD Workday Constants -'!B3791:W4477,22,false)</f>
        <v>#N/A</v>
      </c>
      <c r="N3792" s="1" t="s">
        <v>32</v>
      </c>
      <c r="O3792" s="1" t="s">
        <v>33</v>
      </c>
      <c r="P3792" s="1" t="s">
        <v>34</v>
      </c>
      <c r="Q3792" s="1" t="s">
        <v>34</v>
      </c>
      <c r="R3792" s="1" t="s">
        <v>35</v>
      </c>
      <c r="S3792" s="1" t="s">
        <v>126</v>
      </c>
      <c r="T3792" s="1">
        <v>1.00645852E8</v>
      </c>
      <c r="W3792" s="1" t="s">
        <v>47</v>
      </c>
      <c r="X3792" s="1" t="s">
        <v>675</v>
      </c>
    </row>
    <row r="3793">
      <c r="A3793" s="1" t="s">
        <v>10922</v>
      </c>
      <c r="B3793" s="1" t="s">
        <v>669</v>
      </c>
      <c r="C3793" s="1" t="s">
        <v>10923</v>
      </c>
      <c r="D3793" s="1" t="s">
        <v>28</v>
      </c>
      <c r="E3793" s="1" t="s">
        <v>29</v>
      </c>
      <c r="F3793" s="5">
        <v>200000.0</v>
      </c>
      <c r="G3793" s="1" t="s">
        <v>7016</v>
      </c>
      <c r="H3793" s="1" t="s">
        <v>1140</v>
      </c>
      <c r="I3793" s="1" t="s">
        <v>941</v>
      </c>
      <c r="K3793" s="1">
        <v>0.0</v>
      </c>
      <c r="L3793" s="1" t="s">
        <v>105</v>
      </c>
      <c r="M3793" s="1" t="str">
        <f>VLOOKUP(L3793,'Copy of PMD Workday Constants -'!B3792:W4478,22,false)</f>
        <v>#N/A</v>
      </c>
      <c r="N3793" s="1" t="s">
        <v>32</v>
      </c>
      <c r="O3793" s="1" t="s">
        <v>33</v>
      </c>
      <c r="P3793" s="1" t="s">
        <v>34</v>
      </c>
      <c r="Q3793" s="1" t="s">
        <v>34</v>
      </c>
      <c r="R3793" s="1" t="s">
        <v>35</v>
      </c>
      <c r="S3793" s="1" t="s">
        <v>36</v>
      </c>
      <c r="T3793" s="1">
        <v>1.00651722E8</v>
      </c>
      <c r="W3793" s="1" t="s">
        <v>37</v>
      </c>
      <c r="X3793" s="1" t="s">
        <v>105</v>
      </c>
    </row>
    <row r="3794">
      <c r="A3794" s="1" t="s">
        <v>10924</v>
      </c>
      <c r="B3794" s="1" t="s">
        <v>5369</v>
      </c>
      <c r="C3794" s="1" t="s">
        <v>10925</v>
      </c>
      <c r="D3794" s="1" t="s">
        <v>28</v>
      </c>
      <c r="E3794" s="1" t="s">
        <v>29</v>
      </c>
      <c r="F3794" s="5">
        <v>200000.0</v>
      </c>
      <c r="G3794" s="1" t="s">
        <v>7016</v>
      </c>
      <c r="H3794" s="4">
        <v>44748.0</v>
      </c>
      <c r="I3794" s="1" t="s">
        <v>104</v>
      </c>
      <c r="K3794" s="1">
        <v>0.0</v>
      </c>
      <c r="L3794" s="1" t="s">
        <v>1170</v>
      </c>
      <c r="M3794" s="1" t="str">
        <f>VLOOKUP(L3794,'Copy of PMD Workday Constants -'!B3793:W4479,22,false)</f>
        <v>#N/A</v>
      </c>
      <c r="N3794" s="1" t="s">
        <v>32</v>
      </c>
      <c r="O3794" s="1" t="s">
        <v>33</v>
      </c>
      <c r="P3794" s="1" t="s">
        <v>112</v>
      </c>
      <c r="Q3794" s="1" t="s">
        <v>112</v>
      </c>
      <c r="R3794" s="1" t="s">
        <v>113</v>
      </c>
      <c r="T3794" s="1">
        <v>1.00595231E8</v>
      </c>
      <c r="W3794" s="1" t="s">
        <v>74</v>
      </c>
      <c r="X3794" s="1" t="s">
        <v>1381</v>
      </c>
    </row>
    <row r="3795">
      <c r="A3795" s="1" t="s">
        <v>10926</v>
      </c>
      <c r="B3795" s="1" t="s">
        <v>3122</v>
      </c>
      <c r="C3795" s="1" t="s">
        <v>10927</v>
      </c>
      <c r="D3795" s="1" t="s">
        <v>51</v>
      </c>
      <c r="E3795" s="1" t="s">
        <v>29</v>
      </c>
      <c r="F3795" s="5">
        <v>200000.0</v>
      </c>
      <c r="G3795" s="1" t="s">
        <v>7016</v>
      </c>
      <c r="H3795" s="4">
        <v>44748.0</v>
      </c>
      <c r="I3795" s="1" t="s">
        <v>1369</v>
      </c>
      <c r="K3795" s="1">
        <v>0.0</v>
      </c>
      <c r="L3795" s="1" t="s">
        <v>10824</v>
      </c>
      <c r="M3795" s="1" t="str">
        <f>VLOOKUP(L3795,'Copy of PMD Workday Constants -'!B3794:W4480,22,false)</f>
        <v>#N/A</v>
      </c>
      <c r="N3795" s="1" t="s">
        <v>32</v>
      </c>
      <c r="O3795" s="1" t="s">
        <v>33</v>
      </c>
      <c r="P3795" s="1" t="s">
        <v>210</v>
      </c>
      <c r="Q3795" s="1" t="s">
        <v>210</v>
      </c>
      <c r="R3795" s="1" t="s">
        <v>211</v>
      </c>
      <c r="S3795" s="1" t="s">
        <v>10756</v>
      </c>
      <c r="T3795" s="1">
        <v>1.0096162E8</v>
      </c>
      <c r="W3795" s="1" t="s">
        <v>74</v>
      </c>
      <c r="X3795" s="1" t="s">
        <v>10928</v>
      </c>
    </row>
    <row r="3796">
      <c r="A3796" s="1" t="s">
        <v>10929</v>
      </c>
      <c r="B3796" s="1" t="s">
        <v>1305</v>
      </c>
      <c r="C3796" s="1" t="s">
        <v>10930</v>
      </c>
      <c r="D3796" s="1" t="s">
        <v>28</v>
      </c>
      <c r="E3796" s="1" t="s">
        <v>29</v>
      </c>
      <c r="F3796" s="5">
        <v>200000.0</v>
      </c>
      <c r="G3796" s="1" t="s">
        <v>7016</v>
      </c>
      <c r="H3796" s="4">
        <v>44748.0</v>
      </c>
      <c r="I3796" s="1" t="s">
        <v>406</v>
      </c>
      <c r="K3796" s="1">
        <v>0.0</v>
      </c>
      <c r="L3796" s="1" t="s">
        <v>1308</v>
      </c>
      <c r="M3796" s="1" t="str">
        <f>VLOOKUP(L3796,'Copy of PMD Workday Constants -'!B3795:W4481,22,false)</f>
        <v>#N/A</v>
      </c>
      <c r="N3796" s="1" t="s">
        <v>32</v>
      </c>
      <c r="O3796" s="1" t="s">
        <v>33</v>
      </c>
      <c r="P3796" s="1" t="s">
        <v>173</v>
      </c>
      <c r="Q3796" s="1" t="s">
        <v>173</v>
      </c>
      <c r="R3796" s="1" t="s">
        <v>174</v>
      </c>
      <c r="T3796" s="1">
        <v>1.00653074E8</v>
      </c>
      <c r="W3796" s="1" t="s">
        <v>456</v>
      </c>
      <c r="X3796" s="1" t="s">
        <v>106</v>
      </c>
    </row>
    <row r="3797">
      <c r="A3797" s="1" t="s">
        <v>10931</v>
      </c>
      <c r="B3797" s="1" t="s">
        <v>10932</v>
      </c>
      <c r="C3797" s="1" t="s">
        <v>10933</v>
      </c>
      <c r="D3797" s="1" t="s">
        <v>103</v>
      </c>
      <c r="E3797" s="1" t="s">
        <v>29</v>
      </c>
      <c r="F3797" s="5">
        <v>200000.0</v>
      </c>
      <c r="G3797" s="1" t="s">
        <v>7016</v>
      </c>
      <c r="H3797" s="1" t="s">
        <v>4625</v>
      </c>
      <c r="I3797" s="1" t="s">
        <v>132</v>
      </c>
      <c r="K3797" s="1">
        <v>0.0</v>
      </c>
      <c r="L3797" s="1" t="s">
        <v>4785</v>
      </c>
      <c r="M3797" s="1" t="str">
        <f>VLOOKUP(L3797,'Copy of PMD Workday Constants -'!B3796:W4482,22,false)</f>
        <v>#N/A</v>
      </c>
      <c r="N3797" s="1" t="s">
        <v>32</v>
      </c>
      <c r="O3797" s="1" t="s">
        <v>33</v>
      </c>
      <c r="P3797" s="1" t="s">
        <v>173</v>
      </c>
      <c r="Q3797" s="1" t="s">
        <v>173</v>
      </c>
      <c r="R3797" s="1" t="s">
        <v>174</v>
      </c>
      <c r="T3797" s="1">
        <v>1.00609226E8</v>
      </c>
      <c r="W3797" s="1" t="s">
        <v>74</v>
      </c>
      <c r="X3797" s="1" t="s">
        <v>10934</v>
      </c>
    </row>
    <row r="3798">
      <c r="A3798" s="1" t="s">
        <v>10935</v>
      </c>
      <c r="B3798" s="1" t="s">
        <v>1402</v>
      </c>
      <c r="C3798" s="1" t="s">
        <v>10936</v>
      </c>
      <c r="D3798" s="1" t="s">
        <v>28</v>
      </c>
      <c r="E3798" s="1" t="s">
        <v>29</v>
      </c>
      <c r="F3798" s="5">
        <v>200000.0</v>
      </c>
      <c r="G3798" s="1" t="s">
        <v>7016</v>
      </c>
      <c r="H3798" s="1" t="s">
        <v>10937</v>
      </c>
      <c r="I3798" s="4">
        <v>45170.0</v>
      </c>
      <c r="K3798" s="1">
        <v>0.0</v>
      </c>
      <c r="L3798" s="1" t="s">
        <v>3137</v>
      </c>
      <c r="M3798" s="1" t="str">
        <f>VLOOKUP(L3798,'Copy of PMD Workday Constants -'!B3797:W4483,22,false)</f>
        <v>#N/A</v>
      </c>
      <c r="N3798" s="1" t="s">
        <v>32</v>
      </c>
      <c r="O3798" s="1" t="s">
        <v>33</v>
      </c>
      <c r="P3798" s="1" t="s">
        <v>82</v>
      </c>
      <c r="Q3798" s="1" t="s">
        <v>82</v>
      </c>
      <c r="R3798" s="1" t="s">
        <v>83</v>
      </c>
      <c r="S3798" s="1" t="s">
        <v>180</v>
      </c>
      <c r="T3798" s="1">
        <v>1.00586452E8</v>
      </c>
      <c r="W3798" s="1" t="s">
        <v>85</v>
      </c>
      <c r="X3798" s="1" t="s">
        <v>3138</v>
      </c>
    </row>
    <row r="3799">
      <c r="A3799" s="1" t="s">
        <v>10938</v>
      </c>
      <c r="B3799" s="1" t="s">
        <v>1109</v>
      </c>
      <c r="C3799" s="1" t="s">
        <v>10939</v>
      </c>
      <c r="D3799" s="1" t="s">
        <v>28</v>
      </c>
      <c r="E3799" s="1" t="s">
        <v>29</v>
      </c>
      <c r="F3799" s="5">
        <v>200000.0</v>
      </c>
      <c r="G3799" s="1" t="s">
        <v>7016</v>
      </c>
      <c r="H3799" s="1" t="s">
        <v>283</v>
      </c>
      <c r="I3799" s="1" t="s">
        <v>191</v>
      </c>
      <c r="K3799" s="1">
        <v>0.0</v>
      </c>
      <c r="L3799" s="1" t="s">
        <v>2556</v>
      </c>
      <c r="M3799" s="1" t="str">
        <f>VLOOKUP(L3799,'Copy of PMD Workday Constants -'!B3798:W4484,22,false)</f>
        <v>#N/A</v>
      </c>
      <c r="N3799" s="1" t="s">
        <v>32</v>
      </c>
      <c r="O3799" s="1" t="s">
        <v>33</v>
      </c>
      <c r="P3799" s="1" t="s">
        <v>82</v>
      </c>
      <c r="Q3799" s="1" t="s">
        <v>82</v>
      </c>
      <c r="R3799" s="1" t="s">
        <v>83</v>
      </c>
      <c r="S3799" s="1" t="s">
        <v>84</v>
      </c>
      <c r="T3799" s="1">
        <v>1.01082364E8</v>
      </c>
      <c r="U3799" s="1" t="s">
        <v>10940</v>
      </c>
      <c r="V3799" s="1" t="s">
        <v>187</v>
      </c>
      <c r="W3799" s="1" t="s">
        <v>85</v>
      </c>
      <c r="X3799" s="1" t="s">
        <v>3714</v>
      </c>
    </row>
    <row r="3800">
      <c r="A3800" s="1" t="s">
        <v>10941</v>
      </c>
      <c r="B3800" s="1" t="s">
        <v>615</v>
      </c>
      <c r="C3800" s="1" t="s">
        <v>10942</v>
      </c>
      <c r="D3800" s="1" t="s">
        <v>28</v>
      </c>
      <c r="E3800" s="1" t="s">
        <v>29</v>
      </c>
      <c r="F3800" s="5">
        <v>200000.0</v>
      </c>
      <c r="G3800" s="1" t="s">
        <v>7016</v>
      </c>
      <c r="H3800" s="1" t="s">
        <v>6546</v>
      </c>
      <c r="I3800" s="1" t="s">
        <v>152</v>
      </c>
      <c r="K3800" s="1">
        <v>0.0</v>
      </c>
      <c r="L3800" s="1" t="s">
        <v>618</v>
      </c>
      <c r="M3800" s="1" t="str">
        <f>VLOOKUP(L3800,'Copy of PMD Workday Constants -'!B3799:W4485,22,false)</f>
        <v>#N/A</v>
      </c>
      <c r="N3800" s="1" t="s">
        <v>32</v>
      </c>
      <c r="O3800" s="1" t="s">
        <v>33</v>
      </c>
      <c r="P3800" s="1" t="s">
        <v>173</v>
      </c>
      <c r="Q3800" s="1" t="s">
        <v>173</v>
      </c>
      <c r="R3800" s="1" t="s">
        <v>174</v>
      </c>
      <c r="T3800" s="1">
        <v>1.00591141E8</v>
      </c>
      <c r="W3800" s="1" t="s">
        <v>74</v>
      </c>
      <c r="X3800" s="1" t="s">
        <v>1381</v>
      </c>
    </row>
    <row r="3801">
      <c r="A3801" s="1" t="s">
        <v>10943</v>
      </c>
      <c r="B3801" s="1" t="s">
        <v>615</v>
      </c>
      <c r="C3801" s="1" t="s">
        <v>10944</v>
      </c>
      <c r="D3801" s="1" t="s">
        <v>28</v>
      </c>
      <c r="E3801" s="1" t="s">
        <v>29</v>
      </c>
      <c r="F3801" s="5">
        <v>200000.0</v>
      </c>
      <c r="G3801" s="1" t="s">
        <v>7016</v>
      </c>
      <c r="H3801" s="1" t="s">
        <v>6546</v>
      </c>
      <c r="I3801" s="1" t="s">
        <v>152</v>
      </c>
      <c r="K3801" s="1">
        <v>0.0</v>
      </c>
      <c r="L3801" s="1" t="s">
        <v>618</v>
      </c>
      <c r="M3801" s="1" t="str">
        <f>VLOOKUP(L3801,'Copy of PMD Workday Constants -'!B3800:W4486,22,false)</f>
        <v>#N/A</v>
      </c>
      <c r="N3801" s="1" t="s">
        <v>32</v>
      </c>
      <c r="O3801" s="1" t="s">
        <v>33</v>
      </c>
      <c r="P3801" s="1" t="s">
        <v>173</v>
      </c>
      <c r="Q3801" s="1" t="s">
        <v>173</v>
      </c>
      <c r="R3801" s="1" t="s">
        <v>174</v>
      </c>
      <c r="T3801" s="1">
        <v>1.00591141E8</v>
      </c>
      <c r="W3801" s="1" t="s">
        <v>74</v>
      </c>
      <c r="X3801" s="1" t="s">
        <v>1381</v>
      </c>
    </row>
    <row r="3802">
      <c r="A3802" s="1" t="s">
        <v>10945</v>
      </c>
      <c r="B3802" s="1" t="s">
        <v>615</v>
      </c>
      <c r="C3802" s="1" t="s">
        <v>10946</v>
      </c>
      <c r="D3802" s="1" t="s">
        <v>28</v>
      </c>
      <c r="E3802" s="1" t="s">
        <v>29</v>
      </c>
      <c r="F3802" s="5">
        <v>200000.0</v>
      </c>
      <c r="G3802" s="1" t="s">
        <v>7016</v>
      </c>
      <c r="H3802" s="1" t="s">
        <v>6546</v>
      </c>
      <c r="I3802" s="1" t="s">
        <v>152</v>
      </c>
      <c r="K3802" s="1">
        <v>0.0</v>
      </c>
      <c r="L3802" s="1" t="s">
        <v>618</v>
      </c>
      <c r="M3802" s="1" t="str">
        <f>VLOOKUP(L3802,'Copy of PMD Workday Constants -'!B3801:W4487,22,false)</f>
        <v>#N/A</v>
      </c>
      <c r="N3802" s="1" t="s">
        <v>32</v>
      </c>
      <c r="O3802" s="1" t="s">
        <v>33</v>
      </c>
      <c r="P3802" s="1" t="s">
        <v>173</v>
      </c>
      <c r="Q3802" s="1" t="s">
        <v>173</v>
      </c>
      <c r="R3802" s="1" t="s">
        <v>174</v>
      </c>
      <c r="T3802" s="1">
        <v>1.00591141E8</v>
      </c>
      <c r="W3802" s="1" t="s">
        <v>74</v>
      </c>
      <c r="X3802" s="1" t="s">
        <v>1381</v>
      </c>
    </row>
    <row r="3803">
      <c r="A3803" s="1" t="s">
        <v>10947</v>
      </c>
      <c r="B3803" s="1" t="s">
        <v>3293</v>
      </c>
      <c r="C3803" s="1" t="s">
        <v>10948</v>
      </c>
      <c r="D3803" s="1" t="s">
        <v>28</v>
      </c>
      <c r="E3803" s="1" t="s">
        <v>29</v>
      </c>
      <c r="F3803" s="5">
        <v>200000.0</v>
      </c>
      <c r="G3803" s="1" t="s">
        <v>7016</v>
      </c>
      <c r="H3803" s="4">
        <v>44472.0</v>
      </c>
      <c r="I3803" s="1" t="s">
        <v>301</v>
      </c>
      <c r="K3803" s="1">
        <v>0.0</v>
      </c>
      <c r="L3803" s="1" t="s">
        <v>146</v>
      </c>
      <c r="M3803" s="1" t="str">
        <f>VLOOKUP(L3803,'Copy of PMD Workday Constants -'!B3802:W4488,22,false)</f>
        <v>#N/A</v>
      </c>
      <c r="N3803" s="1" t="s">
        <v>32</v>
      </c>
      <c r="O3803" s="1" t="s">
        <v>33</v>
      </c>
      <c r="P3803" s="1" t="s">
        <v>64</v>
      </c>
      <c r="Q3803" s="1" t="s">
        <v>64</v>
      </c>
      <c r="R3803" s="1" t="s">
        <v>65</v>
      </c>
      <c r="S3803" s="1" t="s">
        <v>98</v>
      </c>
      <c r="T3803" s="1">
        <v>1.00651441E8</v>
      </c>
      <c r="W3803" s="1" t="s">
        <v>56</v>
      </c>
      <c r="X3803" s="1" t="s">
        <v>10949</v>
      </c>
    </row>
    <row r="3804">
      <c r="A3804" s="1" t="s">
        <v>10950</v>
      </c>
      <c r="B3804" s="1" t="s">
        <v>70</v>
      </c>
      <c r="C3804" s="1" t="s">
        <v>10951</v>
      </c>
      <c r="D3804" s="1" t="s">
        <v>103</v>
      </c>
      <c r="E3804" s="1" t="s">
        <v>29</v>
      </c>
      <c r="F3804" s="5">
        <v>200000.0</v>
      </c>
      <c r="G3804" s="1" t="s">
        <v>7016</v>
      </c>
      <c r="H3804" s="1" t="s">
        <v>10952</v>
      </c>
      <c r="I3804" s="1" t="s">
        <v>80</v>
      </c>
      <c r="K3804" s="1">
        <v>0.0</v>
      </c>
      <c r="L3804" s="1" t="s">
        <v>72</v>
      </c>
      <c r="M3804" s="1" t="str">
        <f>VLOOKUP(L3804,'Copy of PMD Workday Constants -'!B3803:W4489,22,false)</f>
        <v>#N/A</v>
      </c>
      <c r="N3804" s="1" t="s">
        <v>32</v>
      </c>
      <c r="O3804" s="1" t="s">
        <v>33</v>
      </c>
      <c r="P3804" s="1" t="s">
        <v>34</v>
      </c>
      <c r="Q3804" s="1" t="s">
        <v>34</v>
      </c>
      <c r="R3804" s="1" t="s">
        <v>35</v>
      </c>
      <c r="S3804" s="1" t="s">
        <v>126</v>
      </c>
      <c r="T3804" s="1">
        <v>1.0060843E8</v>
      </c>
      <c r="W3804" s="1" t="s">
        <v>74</v>
      </c>
      <c r="X3804" s="1" t="s">
        <v>72</v>
      </c>
    </row>
    <row r="3805">
      <c r="A3805" s="1" t="s">
        <v>10953</v>
      </c>
      <c r="B3805" s="1" t="s">
        <v>10954</v>
      </c>
      <c r="C3805" s="1" t="s">
        <v>10955</v>
      </c>
      <c r="D3805" s="1" t="s">
        <v>28</v>
      </c>
      <c r="E3805" s="1" t="s">
        <v>29</v>
      </c>
      <c r="F3805" s="5">
        <v>200000.0</v>
      </c>
      <c r="G3805" s="1" t="s">
        <v>7016</v>
      </c>
      <c r="H3805" s="4">
        <v>44717.0</v>
      </c>
      <c r="I3805" s="1" t="s">
        <v>302</v>
      </c>
      <c r="K3805" s="1">
        <v>0.0</v>
      </c>
      <c r="L3805" s="1" t="s">
        <v>6791</v>
      </c>
      <c r="M3805" s="1" t="str">
        <f>VLOOKUP(L3805,'Copy of PMD Workday Constants -'!B3804:W4490,22,false)</f>
        <v>#N/A</v>
      </c>
      <c r="N3805" s="1" t="s">
        <v>32</v>
      </c>
      <c r="O3805" s="1" t="s">
        <v>33</v>
      </c>
      <c r="P3805" s="1" t="s">
        <v>82</v>
      </c>
      <c r="Q3805" s="1" t="s">
        <v>82</v>
      </c>
      <c r="R3805" s="1" t="s">
        <v>83</v>
      </c>
      <c r="S3805" s="1" t="s">
        <v>84</v>
      </c>
      <c r="T3805" s="1">
        <v>1.00594243E8</v>
      </c>
      <c r="W3805" s="1" t="s">
        <v>85</v>
      </c>
      <c r="X3805" s="1" t="s">
        <v>7194</v>
      </c>
    </row>
    <row r="3806">
      <c r="A3806" s="1" t="s">
        <v>10956</v>
      </c>
      <c r="B3806" s="1" t="s">
        <v>1029</v>
      </c>
      <c r="C3806" s="1" t="s">
        <v>10957</v>
      </c>
      <c r="D3806" s="1" t="s">
        <v>28</v>
      </c>
      <c r="E3806" s="1" t="s">
        <v>29</v>
      </c>
      <c r="F3806" s="5">
        <v>200000.0</v>
      </c>
      <c r="G3806" s="1" t="s">
        <v>7016</v>
      </c>
      <c r="H3806" s="1" t="s">
        <v>1245</v>
      </c>
      <c r="I3806" s="4">
        <v>44689.0</v>
      </c>
      <c r="K3806" s="1">
        <v>0.0</v>
      </c>
      <c r="L3806" s="1" t="s">
        <v>7602</v>
      </c>
      <c r="M3806" s="1" t="str">
        <f>VLOOKUP(L3806,'Copy of PMD Workday Constants -'!B3805:W4491,22,false)</f>
        <v>#N/A</v>
      </c>
      <c r="N3806" s="1" t="s">
        <v>32</v>
      </c>
      <c r="O3806" s="1" t="s">
        <v>33</v>
      </c>
      <c r="P3806" s="1" t="s">
        <v>82</v>
      </c>
      <c r="Q3806" s="1" t="s">
        <v>82</v>
      </c>
      <c r="R3806" s="1" t="s">
        <v>83</v>
      </c>
      <c r="S3806" s="1" t="s">
        <v>84</v>
      </c>
      <c r="T3806" s="1">
        <v>1.00654066E8</v>
      </c>
      <c r="W3806" s="1" t="s">
        <v>85</v>
      </c>
      <c r="X3806" s="1" t="s">
        <v>7602</v>
      </c>
    </row>
    <row r="3807">
      <c r="A3807" s="1" t="s">
        <v>10958</v>
      </c>
      <c r="B3807" s="1" t="s">
        <v>353</v>
      </c>
      <c r="C3807" s="1" t="s">
        <v>10959</v>
      </c>
      <c r="D3807" s="1" t="s">
        <v>28</v>
      </c>
      <c r="E3807" s="1" t="s">
        <v>29</v>
      </c>
      <c r="F3807" s="5">
        <v>200000.0</v>
      </c>
      <c r="G3807" s="1" t="s">
        <v>7016</v>
      </c>
      <c r="H3807" s="1" t="s">
        <v>1849</v>
      </c>
      <c r="I3807" s="1" t="s">
        <v>302</v>
      </c>
      <c r="K3807" s="1">
        <v>0.0</v>
      </c>
      <c r="L3807" s="1" t="s">
        <v>1790</v>
      </c>
      <c r="M3807" s="1" t="str">
        <f>VLOOKUP(L3807,'Copy of PMD Workday Constants -'!B3806:W4492,22,false)</f>
        <v>#N/A</v>
      </c>
      <c r="N3807" s="1" t="s">
        <v>32</v>
      </c>
      <c r="O3807" s="1" t="s">
        <v>33</v>
      </c>
      <c r="P3807" s="1" t="s">
        <v>222</v>
      </c>
      <c r="Q3807" s="1" t="s">
        <v>222</v>
      </c>
      <c r="R3807" s="1" t="s">
        <v>223</v>
      </c>
      <c r="S3807" s="1" t="s">
        <v>256</v>
      </c>
      <c r="T3807" s="1">
        <v>1.00645232E8</v>
      </c>
      <c r="U3807" s="1" t="s">
        <v>10960</v>
      </c>
      <c r="V3807" s="1" t="s">
        <v>46</v>
      </c>
      <c r="W3807" s="1" t="s">
        <v>258</v>
      </c>
      <c r="X3807" s="1" t="s">
        <v>2202</v>
      </c>
    </row>
    <row r="3808">
      <c r="A3808" s="1" t="s">
        <v>10961</v>
      </c>
      <c r="B3808" s="1" t="s">
        <v>8453</v>
      </c>
      <c r="C3808" s="1" t="s">
        <v>10962</v>
      </c>
      <c r="D3808" s="1" t="s">
        <v>103</v>
      </c>
      <c r="E3808" s="1" t="s">
        <v>29</v>
      </c>
      <c r="F3808" s="5">
        <v>200000.0</v>
      </c>
      <c r="G3808" s="1" t="s">
        <v>7016</v>
      </c>
      <c r="H3808" s="1" t="s">
        <v>1134</v>
      </c>
      <c r="I3808" s="1" t="s">
        <v>43</v>
      </c>
      <c r="K3808" s="1">
        <v>0.0</v>
      </c>
      <c r="L3808" s="1" t="s">
        <v>968</v>
      </c>
      <c r="M3808" s="1" t="str">
        <f>VLOOKUP(L3808,'Copy of PMD Workday Constants -'!B3807:W4493,22,false)</f>
        <v>#N/A</v>
      </c>
      <c r="N3808" s="1" t="s">
        <v>32</v>
      </c>
      <c r="O3808" s="1" t="s">
        <v>33</v>
      </c>
      <c r="P3808" s="1" t="s">
        <v>210</v>
      </c>
      <c r="Q3808" s="1" t="s">
        <v>210</v>
      </c>
      <c r="R3808" s="1" t="s">
        <v>211</v>
      </c>
      <c r="T3808" s="1">
        <v>1.00647262E8</v>
      </c>
      <c r="W3808" s="1" t="s">
        <v>56</v>
      </c>
      <c r="X3808" s="1" t="s">
        <v>1558</v>
      </c>
    </row>
    <row r="3809">
      <c r="A3809" s="1" t="s">
        <v>10963</v>
      </c>
      <c r="B3809" s="1" t="s">
        <v>10964</v>
      </c>
      <c r="C3809" s="1" t="s">
        <v>10965</v>
      </c>
      <c r="D3809" s="1" t="s">
        <v>28</v>
      </c>
      <c r="E3809" s="1" t="s">
        <v>29</v>
      </c>
      <c r="F3809" s="5">
        <v>200000.0</v>
      </c>
      <c r="G3809" s="1" t="s">
        <v>7016</v>
      </c>
      <c r="H3809" s="4">
        <v>44900.0</v>
      </c>
      <c r="I3809" s="1" t="s">
        <v>104</v>
      </c>
      <c r="K3809" s="1">
        <v>0.0</v>
      </c>
      <c r="L3809" s="1" t="s">
        <v>1170</v>
      </c>
      <c r="M3809" s="1" t="str">
        <f>VLOOKUP(L3809,'Copy of PMD Workday Constants -'!B3808:W4494,22,false)</f>
        <v>#N/A</v>
      </c>
      <c r="N3809" s="1" t="s">
        <v>32</v>
      </c>
      <c r="O3809" s="1" t="s">
        <v>33</v>
      </c>
      <c r="P3809" s="1" t="s">
        <v>112</v>
      </c>
      <c r="Q3809" s="1" t="s">
        <v>112</v>
      </c>
      <c r="R3809" s="1" t="s">
        <v>113</v>
      </c>
      <c r="S3809" s="1" t="s">
        <v>1336</v>
      </c>
      <c r="T3809" s="1">
        <v>1.00595231E8</v>
      </c>
      <c r="W3809" s="1" t="s">
        <v>947</v>
      </c>
      <c r="X3809" s="1" t="s">
        <v>1170</v>
      </c>
    </row>
    <row r="3810">
      <c r="A3810" s="1" t="s">
        <v>10966</v>
      </c>
      <c r="B3810" s="1" t="s">
        <v>765</v>
      </c>
      <c r="C3810" s="1" t="s">
        <v>10967</v>
      </c>
      <c r="D3810" s="1" t="s">
        <v>103</v>
      </c>
      <c r="E3810" s="1" t="s">
        <v>29</v>
      </c>
      <c r="F3810" s="5">
        <v>200000.0</v>
      </c>
      <c r="G3810" s="1" t="s">
        <v>7016</v>
      </c>
      <c r="H3810" s="1" t="s">
        <v>301</v>
      </c>
      <c r="I3810" s="1" t="s">
        <v>1134</v>
      </c>
      <c r="K3810" s="1">
        <v>0.0</v>
      </c>
      <c r="L3810" s="1" t="s">
        <v>1525</v>
      </c>
      <c r="M3810" s="1" t="str">
        <f>VLOOKUP(L3810,'Copy of PMD Workday Constants -'!B3809:W4495,22,false)</f>
        <v>#N/A</v>
      </c>
      <c r="N3810" s="1" t="s">
        <v>32</v>
      </c>
      <c r="O3810" s="1" t="s">
        <v>33</v>
      </c>
      <c r="P3810" s="1" t="s">
        <v>34</v>
      </c>
      <c r="Q3810" s="1" t="s">
        <v>34</v>
      </c>
      <c r="R3810" s="1" t="s">
        <v>35</v>
      </c>
      <c r="S3810" s="1" t="s">
        <v>1166</v>
      </c>
      <c r="T3810" s="1">
        <v>1.00637597E8</v>
      </c>
      <c r="U3810" s="1" t="s">
        <v>10968</v>
      </c>
      <c r="V3810" s="1" t="s">
        <v>781</v>
      </c>
      <c r="W3810" s="1" t="s">
        <v>456</v>
      </c>
      <c r="X3810" s="1" t="s">
        <v>1525</v>
      </c>
    </row>
    <row r="3811">
      <c r="A3811" s="1" t="s">
        <v>10969</v>
      </c>
      <c r="B3811" s="1" t="s">
        <v>5409</v>
      </c>
      <c r="C3811" s="1" t="s">
        <v>10970</v>
      </c>
      <c r="D3811" s="1" t="s">
        <v>28</v>
      </c>
      <c r="E3811" s="1" t="s">
        <v>29</v>
      </c>
      <c r="F3811" s="5">
        <v>200000.0</v>
      </c>
      <c r="G3811" s="1" t="s">
        <v>7016</v>
      </c>
      <c r="H3811" s="1" t="s">
        <v>375</v>
      </c>
      <c r="I3811" s="1" t="s">
        <v>152</v>
      </c>
      <c r="K3811" s="1">
        <v>0.0</v>
      </c>
      <c r="L3811" s="1" t="s">
        <v>491</v>
      </c>
      <c r="M3811" s="1" t="str">
        <f>VLOOKUP(L3811,'Copy of PMD Workday Constants -'!B3810:W4496,22,false)</f>
        <v>#N/A</v>
      </c>
      <c r="N3811" s="1" t="s">
        <v>32</v>
      </c>
      <c r="O3811" s="1" t="s">
        <v>33</v>
      </c>
      <c r="P3811" s="1" t="s">
        <v>112</v>
      </c>
      <c r="Q3811" s="1" t="s">
        <v>112</v>
      </c>
      <c r="R3811" s="1" t="s">
        <v>113</v>
      </c>
      <c r="S3811" s="1" t="s">
        <v>492</v>
      </c>
      <c r="T3811" s="1">
        <v>1.00623914E8</v>
      </c>
      <c r="W3811" s="1" t="s">
        <v>74</v>
      </c>
      <c r="X3811" s="1" t="s">
        <v>1806</v>
      </c>
    </row>
    <row r="3812">
      <c r="A3812" s="1" t="s">
        <v>10971</v>
      </c>
      <c r="B3812" s="1" t="s">
        <v>1997</v>
      </c>
      <c r="C3812" s="1" t="s">
        <v>10972</v>
      </c>
      <c r="D3812" s="1" t="s">
        <v>103</v>
      </c>
      <c r="E3812" s="1" t="s">
        <v>29</v>
      </c>
      <c r="F3812" s="5">
        <v>200000.0</v>
      </c>
      <c r="G3812" s="1" t="s">
        <v>7016</v>
      </c>
      <c r="H3812" s="1" t="s">
        <v>569</v>
      </c>
      <c r="I3812" s="1" t="s">
        <v>132</v>
      </c>
      <c r="K3812" s="1">
        <v>0.0</v>
      </c>
      <c r="L3812" s="1" t="s">
        <v>4365</v>
      </c>
      <c r="M3812" s="1" t="str">
        <f>VLOOKUP(L3812,'Copy of PMD Workday Constants -'!B3811:W4497,22,false)</f>
        <v>#N/A</v>
      </c>
      <c r="N3812" s="1" t="s">
        <v>32</v>
      </c>
      <c r="O3812" s="1" t="s">
        <v>33</v>
      </c>
      <c r="P3812" s="1" t="s">
        <v>173</v>
      </c>
      <c r="Q3812" s="1" t="s">
        <v>173</v>
      </c>
      <c r="R3812" s="1" t="s">
        <v>174</v>
      </c>
      <c r="T3812" s="1">
        <v>1.0066064E8</v>
      </c>
      <c r="W3812" s="1" t="s">
        <v>947</v>
      </c>
      <c r="X3812" s="1" t="s">
        <v>1999</v>
      </c>
    </row>
    <row r="3813">
      <c r="A3813" s="1" t="s">
        <v>10973</v>
      </c>
      <c r="B3813" s="1" t="s">
        <v>1539</v>
      </c>
      <c r="C3813" s="1" t="s">
        <v>6434</v>
      </c>
      <c r="D3813" s="1" t="s">
        <v>51</v>
      </c>
      <c r="E3813" s="1" t="s">
        <v>29</v>
      </c>
      <c r="F3813" s="5">
        <v>200000.0</v>
      </c>
      <c r="G3813" s="1" t="s">
        <v>7016</v>
      </c>
      <c r="H3813" s="1" t="s">
        <v>4322</v>
      </c>
      <c r="I3813" s="4">
        <v>44601.0</v>
      </c>
      <c r="K3813" s="1">
        <v>0.0</v>
      </c>
      <c r="L3813" s="1" t="s">
        <v>1525</v>
      </c>
      <c r="M3813" s="1" t="str">
        <f>VLOOKUP(L3813,'Copy of PMD Workday Constants -'!B3812:W4498,22,false)</f>
        <v>#N/A</v>
      </c>
      <c r="N3813" s="1" t="s">
        <v>32</v>
      </c>
      <c r="O3813" s="1" t="s">
        <v>33</v>
      </c>
      <c r="P3813" s="1" t="s">
        <v>34</v>
      </c>
      <c r="Q3813" s="1" t="s">
        <v>34</v>
      </c>
      <c r="R3813" s="1" t="s">
        <v>35</v>
      </c>
      <c r="S3813" s="1" t="s">
        <v>1166</v>
      </c>
      <c r="T3813" s="1">
        <v>1.00637597E8</v>
      </c>
      <c r="V3813" s="1" t="s">
        <v>67</v>
      </c>
      <c r="W3813" s="1" t="s">
        <v>456</v>
      </c>
      <c r="X3813" s="1" t="s">
        <v>1525</v>
      </c>
    </row>
    <row r="3814">
      <c r="A3814" s="1" t="s">
        <v>10974</v>
      </c>
      <c r="B3814" s="1" t="s">
        <v>8221</v>
      </c>
      <c r="C3814" s="1" t="s">
        <v>10975</v>
      </c>
      <c r="D3814" s="1" t="s">
        <v>51</v>
      </c>
      <c r="E3814" s="1" t="s">
        <v>29</v>
      </c>
      <c r="F3814" s="5">
        <v>200000.0</v>
      </c>
      <c r="G3814" s="1" t="s">
        <v>7016</v>
      </c>
      <c r="H3814" s="1" t="s">
        <v>434</v>
      </c>
      <c r="I3814" s="1" t="s">
        <v>301</v>
      </c>
      <c r="K3814" s="1">
        <v>0.0</v>
      </c>
      <c r="L3814" s="1" t="s">
        <v>2093</v>
      </c>
      <c r="M3814" s="1" t="str">
        <f>VLOOKUP(L3814,'Copy of PMD Workday Constants -'!B3813:W4499,22,false)</f>
        <v>#N/A</v>
      </c>
      <c r="N3814" s="1" t="s">
        <v>32</v>
      </c>
      <c r="O3814" s="1" t="s">
        <v>33</v>
      </c>
      <c r="P3814" s="1" t="s">
        <v>222</v>
      </c>
      <c r="Q3814" s="1" t="s">
        <v>222</v>
      </c>
      <c r="R3814" s="1" t="s">
        <v>223</v>
      </c>
      <c r="S3814" s="1" t="s">
        <v>646</v>
      </c>
      <c r="T3814" s="1">
        <v>1.00612055E8</v>
      </c>
      <c r="W3814" s="1" t="s">
        <v>74</v>
      </c>
      <c r="X3814" s="1" t="s">
        <v>2093</v>
      </c>
    </row>
    <row r="3815">
      <c r="A3815" s="1" t="s">
        <v>10976</v>
      </c>
      <c r="B3815" s="1" t="s">
        <v>10977</v>
      </c>
      <c r="C3815" s="1" t="s">
        <v>10978</v>
      </c>
      <c r="D3815" s="1" t="s">
        <v>28</v>
      </c>
      <c r="E3815" s="1" t="s">
        <v>29</v>
      </c>
      <c r="F3815" s="5">
        <v>200000.0</v>
      </c>
      <c r="G3815" s="1" t="s">
        <v>7016</v>
      </c>
      <c r="H3815" s="4">
        <v>44298.0</v>
      </c>
      <c r="I3815" s="1" t="s">
        <v>661</v>
      </c>
      <c r="K3815" s="1">
        <v>0.0</v>
      </c>
      <c r="L3815" s="1" t="s">
        <v>8174</v>
      </c>
      <c r="M3815" s="1" t="str">
        <f>VLOOKUP(L3815,'Copy of PMD Workday Constants -'!B3814:W4500,22,false)</f>
        <v>#N/A</v>
      </c>
      <c r="N3815" s="1" t="s">
        <v>32</v>
      </c>
      <c r="O3815" s="1" t="s">
        <v>33</v>
      </c>
      <c r="P3815" s="1" t="s">
        <v>82</v>
      </c>
      <c r="Q3815" s="1" t="s">
        <v>82</v>
      </c>
      <c r="R3815" s="1" t="s">
        <v>83</v>
      </c>
      <c r="S3815" s="1" t="s">
        <v>180</v>
      </c>
      <c r="T3815" s="1">
        <v>1.00609615E8</v>
      </c>
      <c r="W3815" s="1" t="s">
        <v>85</v>
      </c>
      <c r="X3815" s="1" t="s">
        <v>8174</v>
      </c>
    </row>
    <row r="3816">
      <c r="A3816" s="1" t="s">
        <v>10979</v>
      </c>
      <c r="B3816" s="1" t="s">
        <v>1624</v>
      </c>
      <c r="C3816" s="1" t="s">
        <v>10980</v>
      </c>
      <c r="D3816" s="1" t="s">
        <v>103</v>
      </c>
      <c r="E3816" s="1" t="s">
        <v>29</v>
      </c>
      <c r="F3816" s="5">
        <v>200000.0</v>
      </c>
      <c r="G3816" s="1" t="s">
        <v>7016</v>
      </c>
      <c r="H3816" s="1" t="s">
        <v>509</v>
      </c>
      <c r="I3816" s="1" t="s">
        <v>104</v>
      </c>
      <c r="K3816" s="1">
        <v>0.0</v>
      </c>
      <c r="L3816" s="1" t="s">
        <v>1308</v>
      </c>
      <c r="M3816" s="1" t="str">
        <f>VLOOKUP(L3816,'Copy of PMD Workday Constants -'!B3815:W4501,22,false)</f>
        <v>#N/A</v>
      </c>
      <c r="N3816" s="1" t="s">
        <v>32</v>
      </c>
      <c r="O3816" s="1" t="s">
        <v>33</v>
      </c>
      <c r="P3816" s="1" t="s">
        <v>173</v>
      </c>
      <c r="Q3816" s="1" t="s">
        <v>173</v>
      </c>
      <c r="R3816" s="1" t="s">
        <v>174</v>
      </c>
      <c r="T3816" s="1">
        <v>1.00653074E8</v>
      </c>
      <c r="W3816" s="1" t="s">
        <v>456</v>
      </c>
      <c r="X3816" s="1" t="s">
        <v>7048</v>
      </c>
    </row>
    <row r="3817">
      <c r="A3817" s="1" t="s">
        <v>10981</v>
      </c>
      <c r="B3817" s="1" t="s">
        <v>1657</v>
      </c>
      <c r="C3817" s="1" t="s">
        <v>10982</v>
      </c>
      <c r="D3817" s="1" t="s">
        <v>51</v>
      </c>
      <c r="E3817" s="1" t="s">
        <v>29</v>
      </c>
      <c r="F3817" s="5">
        <v>200000.0</v>
      </c>
      <c r="G3817" s="1" t="s">
        <v>7016</v>
      </c>
      <c r="H3817" s="1" t="s">
        <v>569</v>
      </c>
      <c r="I3817" s="1" t="s">
        <v>132</v>
      </c>
      <c r="K3817" s="1">
        <v>0.0</v>
      </c>
      <c r="L3817" s="1" t="s">
        <v>2983</v>
      </c>
      <c r="M3817" s="1" t="str">
        <f>VLOOKUP(L3817,'Copy of PMD Workday Constants -'!B3816:W4502,22,false)</f>
        <v>#N/A</v>
      </c>
      <c r="N3817" s="1" t="s">
        <v>32</v>
      </c>
      <c r="O3817" s="1" t="s">
        <v>33</v>
      </c>
      <c r="P3817" s="1" t="s">
        <v>34</v>
      </c>
      <c r="Q3817" s="1" t="s">
        <v>34</v>
      </c>
      <c r="R3817" s="1" t="s">
        <v>35</v>
      </c>
      <c r="T3817" s="1">
        <v>1.00650568E8</v>
      </c>
      <c r="W3817" s="1" t="s">
        <v>147</v>
      </c>
      <c r="X3817" s="1" t="s">
        <v>10983</v>
      </c>
    </row>
    <row r="3818">
      <c r="A3818" s="1" t="s">
        <v>10984</v>
      </c>
      <c r="B3818" s="1" t="s">
        <v>10985</v>
      </c>
      <c r="C3818" s="1" t="s">
        <v>10986</v>
      </c>
      <c r="D3818" s="1" t="s">
        <v>51</v>
      </c>
      <c r="E3818" s="1" t="s">
        <v>29</v>
      </c>
      <c r="F3818" s="5">
        <v>200000.0</v>
      </c>
      <c r="G3818" s="1" t="s">
        <v>7016</v>
      </c>
      <c r="H3818" s="4">
        <v>43842.0</v>
      </c>
      <c r="I3818" s="4">
        <v>44749.0</v>
      </c>
      <c r="K3818" s="1">
        <v>0.0</v>
      </c>
      <c r="L3818" s="1" t="s">
        <v>956</v>
      </c>
      <c r="M3818" s="1" t="str">
        <f>VLOOKUP(L3818,'Copy of PMD Workday Constants -'!B3817:W4503,22,false)</f>
        <v>#N/A</v>
      </c>
      <c r="N3818" s="1" t="s">
        <v>32</v>
      </c>
      <c r="O3818" s="1" t="s">
        <v>33</v>
      </c>
      <c r="P3818" s="1" t="s">
        <v>173</v>
      </c>
      <c r="Q3818" s="1" t="s">
        <v>173</v>
      </c>
      <c r="R3818" s="1" t="s">
        <v>174</v>
      </c>
      <c r="S3818" s="1" t="s">
        <v>612</v>
      </c>
      <c r="T3818" s="1">
        <v>1.00623421E8</v>
      </c>
      <c r="W3818" s="1" t="s">
        <v>147</v>
      </c>
      <c r="X3818" s="1" t="s">
        <v>3809</v>
      </c>
    </row>
    <row r="3819">
      <c r="A3819" s="1" t="s">
        <v>10987</v>
      </c>
      <c r="B3819" s="1" t="s">
        <v>3126</v>
      </c>
      <c r="C3819" s="1" t="s">
        <v>10988</v>
      </c>
      <c r="D3819" s="1" t="s">
        <v>51</v>
      </c>
      <c r="E3819" s="1" t="s">
        <v>29</v>
      </c>
      <c r="F3819" s="5">
        <v>200000.0</v>
      </c>
      <c r="G3819" s="1" t="s">
        <v>7016</v>
      </c>
      <c r="H3819" s="4">
        <v>44809.0</v>
      </c>
      <c r="I3819" s="1" t="s">
        <v>80</v>
      </c>
      <c r="K3819" s="1">
        <v>0.0</v>
      </c>
      <c r="L3819" s="1" t="s">
        <v>1770</v>
      </c>
      <c r="M3819" s="1" t="str">
        <f>VLOOKUP(L3819,'Copy of PMD Workday Constants -'!B3818:W4504,22,false)</f>
        <v>#N/A</v>
      </c>
      <c r="N3819" s="1" t="s">
        <v>32</v>
      </c>
      <c r="O3819" s="1" t="s">
        <v>33</v>
      </c>
      <c r="P3819" s="1" t="s">
        <v>210</v>
      </c>
      <c r="Q3819" s="1" t="s">
        <v>210</v>
      </c>
      <c r="R3819" s="1" t="s">
        <v>211</v>
      </c>
      <c r="T3819" s="1">
        <v>1.00593918E8</v>
      </c>
      <c r="W3819" s="1" t="s">
        <v>37</v>
      </c>
      <c r="X3819" s="1" t="s">
        <v>10989</v>
      </c>
    </row>
    <row r="3820">
      <c r="A3820" s="1" t="s">
        <v>10990</v>
      </c>
      <c r="B3820" s="1" t="s">
        <v>10991</v>
      </c>
      <c r="C3820" s="1" t="s">
        <v>10992</v>
      </c>
      <c r="D3820" s="1" t="s">
        <v>28</v>
      </c>
      <c r="E3820" s="1" t="s">
        <v>29</v>
      </c>
      <c r="F3820" s="5">
        <v>200000.0</v>
      </c>
      <c r="G3820" s="1" t="s">
        <v>7016</v>
      </c>
      <c r="H3820" s="1" t="s">
        <v>1733</v>
      </c>
      <c r="I3820" s="1" t="s">
        <v>43</v>
      </c>
      <c r="K3820" s="1">
        <v>0.0</v>
      </c>
      <c r="L3820" s="1" t="s">
        <v>203</v>
      </c>
      <c r="M3820" s="1" t="str">
        <f>VLOOKUP(L3820,'Copy of PMD Workday Constants -'!B3819:W4505,22,false)</f>
        <v>#N/A</v>
      </c>
      <c r="N3820" s="1" t="s">
        <v>32</v>
      </c>
      <c r="O3820" s="1" t="s">
        <v>33</v>
      </c>
      <c r="P3820" s="1" t="s">
        <v>112</v>
      </c>
      <c r="Q3820" s="1" t="s">
        <v>112</v>
      </c>
      <c r="R3820" s="1" t="s">
        <v>113</v>
      </c>
      <c r="S3820" s="1" t="s">
        <v>204</v>
      </c>
      <c r="T3820" s="1">
        <v>1.01200292E8</v>
      </c>
      <c r="W3820" s="1" t="s">
        <v>4719</v>
      </c>
      <c r="X3820" s="1" t="s">
        <v>203</v>
      </c>
    </row>
    <row r="3821">
      <c r="A3821" s="1" t="s">
        <v>10993</v>
      </c>
      <c r="B3821" s="1" t="s">
        <v>507</v>
      </c>
      <c r="C3821" s="1" t="s">
        <v>10994</v>
      </c>
      <c r="D3821" s="1" t="s">
        <v>103</v>
      </c>
      <c r="E3821" s="1" t="s">
        <v>29</v>
      </c>
      <c r="F3821" s="5">
        <v>200000.0</v>
      </c>
      <c r="G3821" s="1" t="s">
        <v>7016</v>
      </c>
      <c r="H3821" s="4">
        <v>44900.0</v>
      </c>
      <c r="I3821" s="1" t="s">
        <v>104</v>
      </c>
      <c r="K3821" s="1">
        <v>0.0</v>
      </c>
      <c r="L3821" s="1" t="s">
        <v>5415</v>
      </c>
      <c r="M3821" s="1" t="str">
        <f>VLOOKUP(L3821,'Copy of PMD Workday Constants -'!B3820:W4506,22,false)</f>
        <v>#N/A</v>
      </c>
      <c r="N3821" s="1" t="s">
        <v>32</v>
      </c>
      <c r="O3821" s="1" t="s">
        <v>33</v>
      </c>
      <c r="P3821" s="1" t="s">
        <v>222</v>
      </c>
      <c r="Q3821" s="1" t="s">
        <v>222</v>
      </c>
      <c r="R3821" s="1" t="s">
        <v>223</v>
      </c>
      <c r="S3821" s="1" t="s">
        <v>1166</v>
      </c>
      <c r="T3821" s="1">
        <v>1.00933537E8</v>
      </c>
      <c r="W3821" s="1" t="s">
        <v>456</v>
      </c>
      <c r="X3821" s="1" t="s">
        <v>10995</v>
      </c>
    </row>
    <row r="3822">
      <c r="A3822" s="1" t="s">
        <v>10996</v>
      </c>
      <c r="B3822" s="1" t="s">
        <v>10477</v>
      </c>
      <c r="C3822" s="1" t="s">
        <v>10997</v>
      </c>
      <c r="D3822" s="1" t="s">
        <v>51</v>
      </c>
      <c r="E3822" s="1" t="s">
        <v>29</v>
      </c>
      <c r="F3822" s="5">
        <v>200000.0</v>
      </c>
      <c r="G3822" s="1" t="s">
        <v>7016</v>
      </c>
      <c r="H3822" s="4">
        <v>44779.0</v>
      </c>
      <c r="I3822" s="1" t="s">
        <v>80</v>
      </c>
      <c r="K3822" s="1">
        <v>0.0</v>
      </c>
      <c r="L3822" s="1" t="s">
        <v>499</v>
      </c>
      <c r="M3822" s="1" t="str">
        <f>VLOOKUP(L3822,'Copy of PMD Workday Constants -'!B3821:W4507,22,false)</f>
        <v>#N/A</v>
      </c>
      <c r="N3822" s="1" t="s">
        <v>32</v>
      </c>
      <c r="O3822" s="1" t="s">
        <v>33</v>
      </c>
      <c r="P3822" s="1" t="s">
        <v>34</v>
      </c>
      <c r="Q3822" s="1" t="s">
        <v>34</v>
      </c>
      <c r="R3822" s="1" t="s">
        <v>35</v>
      </c>
      <c r="T3822" s="1">
        <v>1.00627768E8</v>
      </c>
      <c r="W3822" s="1" t="s">
        <v>37</v>
      </c>
      <c r="X3822" s="1" t="s">
        <v>5348</v>
      </c>
    </row>
    <row r="3823">
      <c r="A3823" s="1" t="s">
        <v>10998</v>
      </c>
      <c r="B3823" s="1" t="s">
        <v>913</v>
      </c>
      <c r="C3823" s="1" t="s">
        <v>10999</v>
      </c>
      <c r="D3823" s="1" t="s">
        <v>28</v>
      </c>
      <c r="E3823" s="1" t="s">
        <v>29</v>
      </c>
      <c r="F3823" s="5">
        <v>200000.0</v>
      </c>
      <c r="G3823" s="1" t="s">
        <v>7016</v>
      </c>
      <c r="H3823" s="4">
        <v>44717.0</v>
      </c>
      <c r="I3823" s="1" t="s">
        <v>414</v>
      </c>
      <c r="K3823" s="1">
        <v>0.0</v>
      </c>
      <c r="L3823" s="1" t="s">
        <v>915</v>
      </c>
      <c r="M3823" s="1" t="str">
        <f>VLOOKUP(L3823,'Copy of PMD Workday Constants -'!B3822:W4508,22,false)</f>
        <v>#N/A</v>
      </c>
      <c r="N3823" s="1" t="s">
        <v>32</v>
      </c>
      <c r="O3823" s="1" t="s">
        <v>33</v>
      </c>
      <c r="P3823" s="1" t="s">
        <v>112</v>
      </c>
      <c r="Q3823" s="1" t="s">
        <v>112</v>
      </c>
      <c r="R3823" s="1" t="s">
        <v>113</v>
      </c>
      <c r="S3823" s="1" t="s">
        <v>153</v>
      </c>
      <c r="T3823" s="1">
        <v>1.00592304E8</v>
      </c>
      <c r="W3823" s="1" t="s">
        <v>85</v>
      </c>
      <c r="X3823" s="1" t="s">
        <v>4352</v>
      </c>
    </row>
    <row r="3824">
      <c r="A3824" s="1" t="s">
        <v>11000</v>
      </c>
      <c r="B3824" s="1" t="s">
        <v>87</v>
      </c>
      <c r="C3824" s="1" t="s">
        <v>11001</v>
      </c>
      <c r="D3824" s="1" t="s">
        <v>103</v>
      </c>
      <c r="E3824" s="1" t="s">
        <v>29</v>
      </c>
      <c r="F3824" s="5">
        <v>200000.0</v>
      </c>
      <c r="G3824" s="1" t="s">
        <v>7016</v>
      </c>
      <c r="H3824" s="4">
        <v>44871.0</v>
      </c>
      <c r="I3824" s="1" t="s">
        <v>2485</v>
      </c>
      <c r="K3824" s="1">
        <v>0.0</v>
      </c>
      <c r="L3824" s="1" t="s">
        <v>1587</v>
      </c>
      <c r="M3824" s="1" t="str">
        <f>VLOOKUP(L3824,'Copy of PMD Workday Constants -'!B3823:W4509,22,false)</f>
        <v>#N/A</v>
      </c>
      <c r="N3824" s="1" t="s">
        <v>32</v>
      </c>
      <c r="O3824" s="1" t="s">
        <v>33</v>
      </c>
      <c r="P3824" s="1" t="s">
        <v>64</v>
      </c>
      <c r="Q3824" s="1" t="s">
        <v>64</v>
      </c>
      <c r="R3824" s="1" t="s">
        <v>65</v>
      </c>
      <c r="S3824" s="1" t="s">
        <v>1336</v>
      </c>
      <c r="T3824" s="1">
        <v>1.01141441E8</v>
      </c>
      <c r="U3824" s="1" t="s">
        <v>11002</v>
      </c>
      <c r="V3824" s="1" t="s">
        <v>187</v>
      </c>
      <c r="W3824" s="1" t="s">
        <v>91</v>
      </c>
      <c r="X3824" s="1" t="s">
        <v>11003</v>
      </c>
    </row>
    <row r="3825">
      <c r="A3825" s="1" t="s">
        <v>11004</v>
      </c>
      <c r="B3825" s="1" t="s">
        <v>129</v>
      </c>
      <c r="C3825" s="1" t="s">
        <v>11005</v>
      </c>
      <c r="D3825" s="1" t="s">
        <v>28</v>
      </c>
      <c r="E3825" s="1" t="s">
        <v>29</v>
      </c>
      <c r="F3825" s="5">
        <v>200000.0</v>
      </c>
      <c r="G3825" s="1" t="s">
        <v>7016</v>
      </c>
      <c r="H3825" s="4">
        <v>44779.0</v>
      </c>
      <c r="I3825" s="1" t="s">
        <v>80</v>
      </c>
      <c r="K3825" s="1">
        <v>0.0</v>
      </c>
      <c r="L3825" s="1" t="s">
        <v>1357</v>
      </c>
      <c r="M3825" s="1" t="str">
        <f>VLOOKUP(L3825,'Copy of PMD Workday Constants -'!B3824:W4510,22,false)</f>
        <v>#N/A</v>
      </c>
      <c r="N3825" s="1" t="s">
        <v>32</v>
      </c>
      <c r="O3825" s="1" t="s">
        <v>33</v>
      </c>
      <c r="P3825" s="1" t="s">
        <v>64</v>
      </c>
      <c r="Q3825" s="1" t="s">
        <v>64</v>
      </c>
      <c r="R3825" s="1" t="s">
        <v>65</v>
      </c>
      <c r="T3825" s="1">
        <v>1.00589587E8</v>
      </c>
      <c r="W3825" s="1" t="s">
        <v>74</v>
      </c>
      <c r="X3825" s="1" t="s">
        <v>1357</v>
      </c>
    </row>
    <row r="3826">
      <c r="A3826" s="1" t="s">
        <v>11006</v>
      </c>
      <c r="B3826" s="1" t="s">
        <v>11007</v>
      </c>
      <c r="C3826" s="1" t="s">
        <v>11008</v>
      </c>
      <c r="D3826" s="1" t="s">
        <v>28</v>
      </c>
      <c r="E3826" s="1" t="s">
        <v>29</v>
      </c>
      <c r="F3826" s="5">
        <v>200000.0</v>
      </c>
      <c r="G3826" s="1" t="s">
        <v>7016</v>
      </c>
      <c r="H3826" s="1" t="s">
        <v>2994</v>
      </c>
      <c r="I3826" s="1" t="s">
        <v>80</v>
      </c>
      <c r="K3826" s="1">
        <v>0.0</v>
      </c>
      <c r="L3826" s="1" t="s">
        <v>1282</v>
      </c>
      <c r="M3826" s="1" t="str">
        <f>VLOOKUP(L3826,'Copy of PMD Workday Constants -'!B3825:W4511,22,false)</f>
        <v>#N/A</v>
      </c>
      <c r="N3826" s="1" t="s">
        <v>32</v>
      </c>
      <c r="O3826" s="1" t="s">
        <v>33</v>
      </c>
      <c r="P3826" s="1" t="s">
        <v>34</v>
      </c>
      <c r="Q3826" s="1" t="s">
        <v>34</v>
      </c>
      <c r="R3826" s="1" t="s">
        <v>35</v>
      </c>
      <c r="S3826" s="1" t="s">
        <v>1166</v>
      </c>
      <c r="T3826" s="1">
        <v>1.006096E8</v>
      </c>
      <c r="X3826" s="1" t="s">
        <v>1283</v>
      </c>
    </row>
    <row r="3827">
      <c r="A3827" s="1" t="s">
        <v>11009</v>
      </c>
      <c r="B3827" s="1" t="s">
        <v>3270</v>
      </c>
      <c r="C3827" s="1" t="s">
        <v>11010</v>
      </c>
      <c r="D3827" s="1" t="s">
        <v>51</v>
      </c>
      <c r="E3827" s="1" t="s">
        <v>29</v>
      </c>
      <c r="F3827" s="5">
        <v>200000.0</v>
      </c>
      <c r="G3827" s="1" t="s">
        <v>7016</v>
      </c>
      <c r="H3827" s="1" t="s">
        <v>11011</v>
      </c>
      <c r="I3827" s="1" t="s">
        <v>302</v>
      </c>
      <c r="K3827" s="1">
        <v>0.0</v>
      </c>
      <c r="L3827" s="1" t="s">
        <v>1278</v>
      </c>
      <c r="M3827" s="1" t="str">
        <f>VLOOKUP(L3827,'Copy of PMD Workday Constants -'!B3826:W4512,22,false)</f>
        <v>#N/A</v>
      </c>
      <c r="N3827" s="1" t="s">
        <v>32</v>
      </c>
      <c r="O3827" s="1" t="s">
        <v>33</v>
      </c>
      <c r="P3827" s="1" t="s">
        <v>112</v>
      </c>
      <c r="Q3827" s="1" t="s">
        <v>112</v>
      </c>
      <c r="R3827" s="1" t="s">
        <v>113</v>
      </c>
      <c r="S3827" s="1" t="s">
        <v>134</v>
      </c>
      <c r="T3827" s="1">
        <v>1.00626753E8</v>
      </c>
      <c r="W3827" s="1" t="s">
        <v>74</v>
      </c>
      <c r="X3827" s="1" t="s">
        <v>1278</v>
      </c>
    </row>
    <row r="3828">
      <c r="A3828" s="1" t="s">
        <v>11012</v>
      </c>
      <c r="B3828" s="1" t="s">
        <v>2236</v>
      </c>
      <c r="C3828" s="1" t="s">
        <v>11013</v>
      </c>
      <c r="D3828" s="1" t="s">
        <v>28</v>
      </c>
      <c r="E3828" s="1" t="s">
        <v>29</v>
      </c>
      <c r="F3828" s="5">
        <v>200000.0</v>
      </c>
      <c r="G3828" s="1" t="s">
        <v>7016</v>
      </c>
      <c r="H3828" s="1" t="s">
        <v>2622</v>
      </c>
      <c r="I3828" s="4">
        <v>44569.0</v>
      </c>
      <c r="K3828" s="1">
        <v>0.0</v>
      </c>
      <c r="L3828" s="1" t="s">
        <v>9851</v>
      </c>
      <c r="M3828" s="1" t="str">
        <f>VLOOKUP(L3828,'Copy of PMD Workday Constants -'!B3827:W4513,22,false)</f>
        <v>#N/A</v>
      </c>
      <c r="N3828" s="1" t="s">
        <v>32</v>
      </c>
      <c r="O3828" s="1" t="s">
        <v>33</v>
      </c>
      <c r="P3828" s="1" t="s">
        <v>34</v>
      </c>
      <c r="Q3828" s="1" t="s">
        <v>34</v>
      </c>
      <c r="R3828" s="1" t="s">
        <v>35</v>
      </c>
      <c r="T3828" s="1">
        <v>1.00633795E8</v>
      </c>
      <c r="W3828" s="1" t="s">
        <v>258</v>
      </c>
      <c r="X3828" s="1" t="s">
        <v>4937</v>
      </c>
    </row>
    <row r="3829">
      <c r="A3829" s="1" t="s">
        <v>11014</v>
      </c>
      <c r="B3829" s="1" t="s">
        <v>3026</v>
      </c>
      <c r="C3829" s="1" t="s">
        <v>11015</v>
      </c>
      <c r="D3829" s="1" t="s">
        <v>28</v>
      </c>
      <c r="E3829" s="1" t="s">
        <v>29</v>
      </c>
      <c r="F3829" s="5">
        <v>200000.0</v>
      </c>
      <c r="G3829" s="1" t="s">
        <v>7016</v>
      </c>
      <c r="H3829" s="1" t="s">
        <v>2622</v>
      </c>
      <c r="I3829" s="4">
        <v>44601.0</v>
      </c>
      <c r="K3829" s="1">
        <v>0.0</v>
      </c>
      <c r="L3829" s="1" t="s">
        <v>2703</v>
      </c>
      <c r="M3829" s="1" t="str">
        <f>VLOOKUP(L3829,'Copy of PMD Workday Constants -'!B3828:W4514,22,false)</f>
        <v>#N/A</v>
      </c>
      <c r="N3829" s="1" t="s">
        <v>32</v>
      </c>
      <c r="O3829" s="1" t="s">
        <v>33</v>
      </c>
      <c r="P3829" s="1" t="s">
        <v>34</v>
      </c>
      <c r="Q3829" s="1" t="s">
        <v>34</v>
      </c>
      <c r="R3829" s="1" t="s">
        <v>35</v>
      </c>
      <c r="S3829" s="1" t="s">
        <v>383</v>
      </c>
      <c r="T3829" s="1">
        <v>1.00866856E8</v>
      </c>
      <c r="W3829" s="1" t="s">
        <v>258</v>
      </c>
      <c r="X3829" s="1" t="s">
        <v>4937</v>
      </c>
    </row>
    <row r="3830">
      <c r="A3830" s="1" t="s">
        <v>11016</v>
      </c>
      <c r="B3830" s="1" t="s">
        <v>2641</v>
      </c>
      <c r="C3830" s="1" t="s">
        <v>11017</v>
      </c>
      <c r="D3830" s="1" t="s">
        <v>51</v>
      </c>
      <c r="E3830" s="1" t="s">
        <v>29</v>
      </c>
      <c r="F3830" s="5">
        <v>200000.0</v>
      </c>
      <c r="G3830" s="1" t="s">
        <v>7016</v>
      </c>
      <c r="H3830" s="1" t="s">
        <v>1785</v>
      </c>
      <c r="I3830" s="1" t="s">
        <v>104</v>
      </c>
      <c r="K3830" s="1">
        <v>0.0</v>
      </c>
      <c r="L3830" s="1" t="s">
        <v>2970</v>
      </c>
      <c r="M3830" s="1" t="str">
        <f>VLOOKUP(L3830,'Copy of PMD Workday Constants -'!B3829:W4515,22,false)</f>
        <v>#N/A</v>
      </c>
      <c r="N3830" s="1" t="s">
        <v>32</v>
      </c>
      <c r="O3830" s="1" t="s">
        <v>33</v>
      </c>
      <c r="P3830" s="1" t="s">
        <v>173</v>
      </c>
      <c r="Q3830" s="1" t="s">
        <v>173</v>
      </c>
      <c r="R3830" s="1" t="s">
        <v>174</v>
      </c>
      <c r="S3830" s="1" t="s">
        <v>612</v>
      </c>
      <c r="T3830" s="1">
        <v>1.00616377E8</v>
      </c>
      <c r="W3830" s="1" t="s">
        <v>456</v>
      </c>
      <c r="X3830" s="1" t="s">
        <v>3756</v>
      </c>
    </row>
    <row r="3831">
      <c r="A3831" s="1" t="s">
        <v>11018</v>
      </c>
      <c r="B3831" s="1" t="s">
        <v>615</v>
      </c>
      <c r="C3831" s="1" t="s">
        <v>11019</v>
      </c>
      <c r="D3831" s="1" t="s">
        <v>28</v>
      </c>
      <c r="E3831" s="1" t="s">
        <v>29</v>
      </c>
      <c r="F3831" s="5">
        <v>200000.0</v>
      </c>
      <c r="G3831" s="1" t="s">
        <v>7016</v>
      </c>
      <c r="H3831" s="1" t="s">
        <v>1785</v>
      </c>
      <c r="I3831" s="1" t="s">
        <v>132</v>
      </c>
      <c r="K3831" s="1">
        <v>0.0</v>
      </c>
      <c r="L3831" s="1" t="s">
        <v>1823</v>
      </c>
      <c r="M3831" s="1" t="str">
        <f>VLOOKUP(L3831,'Copy of PMD Workday Constants -'!B3830:W4516,22,false)</f>
        <v>#N/A</v>
      </c>
      <c r="N3831" s="1" t="s">
        <v>32</v>
      </c>
      <c r="O3831" s="1" t="s">
        <v>33</v>
      </c>
      <c r="P3831" s="1" t="s">
        <v>222</v>
      </c>
      <c r="Q3831" s="1" t="s">
        <v>222</v>
      </c>
      <c r="R3831" s="1" t="s">
        <v>223</v>
      </c>
      <c r="S3831" s="1" t="s">
        <v>601</v>
      </c>
      <c r="T3831" s="1">
        <v>1.0064195E8</v>
      </c>
      <c r="W3831" s="1" t="s">
        <v>74</v>
      </c>
      <c r="X3831" s="1" t="s">
        <v>11020</v>
      </c>
    </row>
    <row r="3832">
      <c r="A3832" s="1" t="s">
        <v>11021</v>
      </c>
      <c r="B3832" s="1" t="s">
        <v>49</v>
      </c>
      <c r="C3832" s="1" t="s">
        <v>11022</v>
      </c>
      <c r="D3832" s="1" t="s">
        <v>28</v>
      </c>
      <c r="E3832" s="1" t="s">
        <v>29</v>
      </c>
      <c r="F3832" s="5">
        <v>200000.0</v>
      </c>
      <c r="G3832" s="1" t="s">
        <v>7016</v>
      </c>
      <c r="H3832" s="1" t="s">
        <v>4593</v>
      </c>
      <c r="I3832" s="1" t="s">
        <v>575</v>
      </c>
      <c r="K3832" s="1">
        <v>0.0</v>
      </c>
      <c r="L3832" s="1" t="s">
        <v>3333</v>
      </c>
      <c r="M3832" s="1" t="str">
        <f>VLOOKUP(L3832,'Copy of PMD Workday Constants -'!B3831:W4517,22,false)</f>
        <v>#N/A</v>
      </c>
      <c r="N3832" s="1" t="s">
        <v>32</v>
      </c>
      <c r="O3832" s="1" t="s">
        <v>33</v>
      </c>
      <c r="P3832" s="1" t="s">
        <v>210</v>
      </c>
      <c r="Q3832" s="1" t="s">
        <v>210</v>
      </c>
      <c r="R3832" s="1" t="s">
        <v>211</v>
      </c>
      <c r="S3832" s="1" t="s">
        <v>212</v>
      </c>
      <c r="T3832" s="1">
        <v>1.00636461E8</v>
      </c>
      <c r="W3832" s="1" t="s">
        <v>56</v>
      </c>
      <c r="X3832" s="1" t="s">
        <v>3333</v>
      </c>
    </row>
    <row r="3833">
      <c r="A3833" s="1" t="s">
        <v>11023</v>
      </c>
      <c r="B3833" s="1" t="s">
        <v>11024</v>
      </c>
      <c r="C3833" s="1" t="s">
        <v>11025</v>
      </c>
      <c r="D3833" s="1" t="s">
        <v>51</v>
      </c>
      <c r="E3833" s="1" t="s">
        <v>29</v>
      </c>
      <c r="F3833" s="5">
        <v>200000.0</v>
      </c>
      <c r="G3833" s="1" t="s">
        <v>7016</v>
      </c>
      <c r="H3833" s="1" t="s">
        <v>1524</v>
      </c>
      <c r="I3833" s="4">
        <v>44931.0</v>
      </c>
      <c r="K3833" s="1">
        <v>0.0</v>
      </c>
      <c r="L3833" s="1" t="s">
        <v>1165</v>
      </c>
      <c r="M3833" s="1" t="str">
        <f>VLOOKUP(L3833,'Copy of PMD Workday Constants -'!B3832:W4518,22,false)</f>
        <v>#N/A</v>
      </c>
      <c r="N3833" s="1" t="s">
        <v>32</v>
      </c>
      <c r="O3833" s="1" t="s">
        <v>33</v>
      </c>
      <c r="P3833" s="1" t="s">
        <v>34</v>
      </c>
      <c r="Q3833" s="1" t="s">
        <v>34</v>
      </c>
      <c r="R3833" s="1" t="s">
        <v>35</v>
      </c>
      <c r="S3833" s="1" t="s">
        <v>1166</v>
      </c>
      <c r="T3833" s="1">
        <v>1.00586863E8</v>
      </c>
      <c r="W3833" s="1" t="s">
        <v>456</v>
      </c>
      <c r="X3833" s="1" t="s">
        <v>1167</v>
      </c>
    </row>
    <row r="3834">
      <c r="A3834" s="1" t="s">
        <v>11026</v>
      </c>
      <c r="B3834" s="1" t="s">
        <v>1373</v>
      </c>
      <c r="C3834" s="1" t="s">
        <v>11027</v>
      </c>
      <c r="D3834" s="1" t="s">
        <v>28</v>
      </c>
      <c r="E3834" s="1" t="s">
        <v>29</v>
      </c>
      <c r="F3834" s="5">
        <v>200000.0</v>
      </c>
      <c r="G3834" s="1" t="s">
        <v>7016</v>
      </c>
      <c r="H3834" s="4">
        <v>44837.0</v>
      </c>
      <c r="I3834" s="1" t="s">
        <v>80</v>
      </c>
      <c r="K3834" s="1">
        <v>0.0</v>
      </c>
      <c r="L3834" s="1" t="s">
        <v>3297</v>
      </c>
      <c r="M3834" s="1" t="str">
        <f>VLOOKUP(L3834,'Copy of PMD Workday Constants -'!B3833:W4519,22,false)</f>
        <v>#N/A</v>
      </c>
      <c r="N3834" s="1" t="s">
        <v>32</v>
      </c>
      <c r="O3834" s="1" t="s">
        <v>33</v>
      </c>
      <c r="P3834" s="1" t="s">
        <v>54</v>
      </c>
      <c r="Q3834" s="1" t="s">
        <v>54</v>
      </c>
      <c r="R3834" s="1" t="s">
        <v>55</v>
      </c>
      <c r="S3834" s="1" t="s">
        <v>701</v>
      </c>
      <c r="T3834" s="1">
        <v>1.00609005E8</v>
      </c>
      <c r="W3834" s="1" t="s">
        <v>74</v>
      </c>
      <c r="X3834" s="1" t="s">
        <v>11028</v>
      </c>
    </row>
    <row r="3835">
      <c r="A3835" s="1" t="s">
        <v>11029</v>
      </c>
      <c r="B3835" s="1" t="s">
        <v>756</v>
      </c>
      <c r="C3835" s="1" t="s">
        <v>11030</v>
      </c>
      <c r="D3835" s="1" t="s">
        <v>103</v>
      </c>
      <c r="E3835" s="1" t="s">
        <v>29</v>
      </c>
      <c r="F3835" s="5">
        <v>200000.0</v>
      </c>
      <c r="G3835" s="1" t="s">
        <v>7016</v>
      </c>
      <c r="H3835" s="4">
        <v>44900.0</v>
      </c>
      <c r="I3835" s="1" t="s">
        <v>80</v>
      </c>
      <c r="K3835" s="1">
        <v>0.0</v>
      </c>
      <c r="L3835" s="1" t="s">
        <v>6773</v>
      </c>
      <c r="M3835" s="1" t="str">
        <f>VLOOKUP(L3835,'Copy of PMD Workday Constants -'!B3834:W4520,22,false)</f>
        <v>#N/A</v>
      </c>
      <c r="N3835" s="1" t="s">
        <v>32</v>
      </c>
      <c r="O3835" s="1" t="s">
        <v>33</v>
      </c>
      <c r="P3835" s="1" t="s">
        <v>173</v>
      </c>
      <c r="Q3835" s="1" t="s">
        <v>173</v>
      </c>
      <c r="R3835" s="1" t="s">
        <v>174</v>
      </c>
      <c r="T3835" s="1">
        <v>1.00686054E8</v>
      </c>
      <c r="W3835" s="1" t="s">
        <v>74</v>
      </c>
      <c r="X3835" s="1" t="s">
        <v>6773</v>
      </c>
    </row>
    <row r="3836">
      <c r="A3836" s="1" t="s">
        <v>11031</v>
      </c>
      <c r="B3836" s="1" t="s">
        <v>11032</v>
      </c>
      <c r="C3836" s="1" t="s">
        <v>11033</v>
      </c>
      <c r="D3836" s="1" t="s">
        <v>28</v>
      </c>
      <c r="E3836" s="1" t="s">
        <v>29</v>
      </c>
      <c r="F3836" s="5">
        <v>200000.0</v>
      </c>
      <c r="G3836" s="1" t="s">
        <v>7016</v>
      </c>
      <c r="H3836" s="1" t="s">
        <v>3018</v>
      </c>
      <c r="I3836" s="1" t="s">
        <v>80</v>
      </c>
      <c r="K3836" s="1">
        <v>0.0</v>
      </c>
      <c r="L3836" s="1" t="s">
        <v>1739</v>
      </c>
      <c r="M3836" s="1" t="str">
        <f>VLOOKUP(L3836,'Copy of PMD Workday Constants -'!B3835:W4521,22,false)</f>
        <v>#N/A</v>
      </c>
      <c r="N3836" s="1" t="s">
        <v>32</v>
      </c>
      <c r="O3836" s="1" t="s">
        <v>33</v>
      </c>
      <c r="P3836" s="1" t="s">
        <v>210</v>
      </c>
      <c r="Q3836" s="1" t="s">
        <v>210</v>
      </c>
      <c r="R3836" s="1" t="s">
        <v>211</v>
      </c>
      <c r="S3836" s="1" t="s">
        <v>416</v>
      </c>
      <c r="T3836" s="1">
        <v>1.00964362E8</v>
      </c>
      <c r="W3836" s="1" t="s">
        <v>56</v>
      </c>
      <c r="X3836" s="1" t="s">
        <v>2569</v>
      </c>
    </row>
    <row r="3837">
      <c r="A3837" s="1" t="s">
        <v>11034</v>
      </c>
      <c r="B3837" s="1" t="s">
        <v>2333</v>
      </c>
      <c r="C3837" s="1" t="s">
        <v>11035</v>
      </c>
      <c r="D3837" s="1" t="s">
        <v>51</v>
      </c>
      <c r="E3837" s="1" t="s">
        <v>29</v>
      </c>
      <c r="F3837" s="5">
        <v>200000.0</v>
      </c>
      <c r="G3837" s="1" t="s">
        <v>7016</v>
      </c>
      <c r="H3837" s="4">
        <v>44809.0</v>
      </c>
      <c r="I3837" s="4">
        <v>44626.0</v>
      </c>
      <c r="K3837" s="1">
        <v>0.0</v>
      </c>
      <c r="L3837" s="1" t="s">
        <v>2339</v>
      </c>
      <c r="M3837" s="1" t="str">
        <f>VLOOKUP(L3837,'Copy of PMD Workday Constants -'!B3836:W4522,22,false)</f>
        <v>#N/A</v>
      </c>
      <c r="N3837" s="1" t="s">
        <v>32</v>
      </c>
      <c r="O3837" s="1" t="s">
        <v>33</v>
      </c>
      <c r="P3837" s="1" t="s">
        <v>210</v>
      </c>
      <c r="Q3837" s="1" t="s">
        <v>210</v>
      </c>
      <c r="R3837" s="1" t="s">
        <v>211</v>
      </c>
      <c r="T3837" s="1">
        <v>1.00647488E8</v>
      </c>
      <c r="W3837" s="1" t="s">
        <v>258</v>
      </c>
      <c r="X3837" s="1" t="s">
        <v>2339</v>
      </c>
    </row>
    <row r="3838">
      <c r="A3838" s="1" t="s">
        <v>11036</v>
      </c>
      <c r="B3838" s="1" t="s">
        <v>3973</v>
      </c>
      <c r="C3838" s="1" t="s">
        <v>11037</v>
      </c>
      <c r="D3838" s="1" t="s">
        <v>28</v>
      </c>
      <c r="E3838" s="1" t="s">
        <v>29</v>
      </c>
      <c r="F3838" s="5">
        <v>200000.0</v>
      </c>
      <c r="G3838" s="1" t="s">
        <v>7016</v>
      </c>
      <c r="H3838" s="1" t="s">
        <v>3777</v>
      </c>
      <c r="I3838" s="1" t="s">
        <v>264</v>
      </c>
      <c r="K3838" s="1">
        <v>0.0</v>
      </c>
      <c r="L3838" s="1" t="s">
        <v>5194</v>
      </c>
      <c r="M3838" s="1" t="str">
        <f>VLOOKUP(L3838,'Copy of PMD Workday Constants -'!B3837:W4523,22,false)</f>
        <v>#N/A</v>
      </c>
      <c r="N3838" s="1" t="s">
        <v>32</v>
      </c>
      <c r="O3838" s="1" t="s">
        <v>33</v>
      </c>
      <c r="P3838" s="1" t="s">
        <v>173</v>
      </c>
      <c r="Q3838" s="1" t="s">
        <v>173</v>
      </c>
      <c r="R3838" s="1" t="s">
        <v>174</v>
      </c>
      <c r="S3838" s="1" t="s">
        <v>540</v>
      </c>
      <c r="T3838" s="1">
        <v>1.00609393E8</v>
      </c>
      <c r="W3838" s="1" t="s">
        <v>56</v>
      </c>
      <c r="X3838" s="1" t="s">
        <v>11038</v>
      </c>
    </row>
    <row r="3839">
      <c r="A3839" s="1" t="s">
        <v>11039</v>
      </c>
      <c r="B3839" s="1" t="s">
        <v>747</v>
      </c>
      <c r="C3839" s="1" t="s">
        <v>11040</v>
      </c>
      <c r="D3839" s="1" t="s">
        <v>51</v>
      </c>
      <c r="E3839" s="1" t="s">
        <v>29</v>
      </c>
      <c r="F3839" s="5">
        <v>200000.0</v>
      </c>
      <c r="G3839" s="1" t="s">
        <v>7016</v>
      </c>
      <c r="H3839" s="1" t="s">
        <v>375</v>
      </c>
      <c r="I3839" s="1" t="s">
        <v>80</v>
      </c>
      <c r="K3839" s="1">
        <v>0.0</v>
      </c>
      <c r="L3839" s="1" t="s">
        <v>1324</v>
      </c>
      <c r="M3839" s="1" t="str">
        <f>VLOOKUP(L3839,'Copy of PMD Workday Constants -'!B3838:W4524,22,false)</f>
        <v>#N/A</v>
      </c>
      <c r="N3839" s="1" t="s">
        <v>32</v>
      </c>
      <c r="O3839" s="1" t="s">
        <v>33</v>
      </c>
      <c r="P3839" s="1" t="s">
        <v>34</v>
      </c>
      <c r="Q3839" s="1" t="s">
        <v>34</v>
      </c>
      <c r="R3839" s="1" t="s">
        <v>35</v>
      </c>
      <c r="T3839" s="1">
        <v>1.00613915E8</v>
      </c>
      <c r="W3839" s="1" t="s">
        <v>37</v>
      </c>
      <c r="X3839" s="1" t="s">
        <v>2043</v>
      </c>
    </row>
    <row r="3840">
      <c r="A3840" s="1" t="s">
        <v>11041</v>
      </c>
      <c r="B3840" s="1" t="s">
        <v>11042</v>
      </c>
      <c r="C3840" s="1" t="s">
        <v>11043</v>
      </c>
      <c r="D3840" s="1" t="s">
        <v>28</v>
      </c>
      <c r="E3840" s="1" t="s">
        <v>29</v>
      </c>
      <c r="F3840" s="5">
        <v>200000.0</v>
      </c>
      <c r="G3840" s="1" t="s">
        <v>7016</v>
      </c>
      <c r="H3840" s="4">
        <v>44598.0</v>
      </c>
      <c r="I3840" s="1" t="s">
        <v>132</v>
      </c>
      <c r="K3840" s="1">
        <v>0.0</v>
      </c>
      <c r="L3840" s="1" t="s">
        <v>3480</v>
      </c>
      <c r="M3840" s="1" t="str">
        <f>VLOOKUP(L3840,'Copy of PMD Workday Constants -'!B3839:W4525,22,false)</f>
        <v>#N/A</v>
      </c>
      <c r="N3840" s="1" t="s">
        <v>32</v>
      </c>
      <c r="O3840" s="1" t="s">
        <v>33</v>
      </c>
      <c r="P3840" s="1" t="s">
        <v>112</v>
      </c>
      <c r="Q3840" s="1" t="s">
        <v>112</v>
      </c>
      <c r="R3840" s="1" t="s">
        <v>113</v>
      </c>
      <c r="S3840" s="1" t="s">
        <v>134</v>
      </c>
      <c r="T3840" s="1">
        <v>1.00628223E8</v>
      </c>
      <c r="W3840" s="1" t="s">
        <v>115</v>
      </c>
      <c r="X3840" s="1" t="s">
        <v>3435</v>
      </c>
    </row>
    <row r="3841">
      <c r="A3841" s="1" t="s">
        <v>11044</v>
      </c>
      <c r="B3841" s="1" t="s">
        <v>9873</v>
      </c>
      <c r="C3841" s="1" t="s">
        <v>11045</v>
      </c>
      <c r="D3841" s="1" t="s">
        <v>103</v>
      </c>
      <c r="E3841" s="1" t="s">
        <v>29</v>
      </c>
      <c r="F3841" s="5">
        <v>200000.0</v>
      </c>
      <c r="G3841" s="1" t="s">
        <v>7016</v>
      </c>
      <c r="H3841" s="1" t="s">
        <v>1570</v>
      </c>
      <c r="I3841" s="4">
        <v>44569.0</v>
      </c>
      <c r="K3841" s="1">
        <v>0.0</v>
      </c>
      <c r="L3841" s="1" t="s">
        <v>5404</v>
      </c>
      <c r="M3841" s="1" t="str">
        <f>VLOOKUP(L3841,'Copy of PMD Workday Constants -'!B3840:W4526,22,false)</f>
        <v>#N/A</v>
      </c>
      <c r="N3841" s="1" t="s">
        <v>32</v>
      </c>
      <c r="O3841" s="1" t="s">
        <v>33</v>
      </c>
      <c r="P3841" s="1" t="s">
        <v>64</v>
      </c>
      <c r="Q3841" s="1" t="s">
        <v>64</v>
      </c>
      <c r="R3841" s="1" t="s">
        <v>65</v>
      </c>
      <c r="S3841" s="1" t="s">
        <v>98</v>
      </c>
      <c r="T3841" s="1">
        <v>1.00650453E8</v>
      </c>
      <c r="W3841" s="1" t="s">
        <v>56</v>
      </c>
      <c r="X3841" s="1" t="s">
        <v>11046</v>
      </c>
    </row>
    <row r="3842">
      <c r="A3842" s="1" t="s">
        <v>11047</v>
      </c>
      <c r="B3842" s="1" t="s">
        <v>11048</v>
      </c>
      <c r="C3842" s="1" t="s">
        <v>11049</v>
      </c>
      <c r="D3842" s="1" t="s">
        <v>28</v>
      </c>
      <c r="E3842" s="1" t="s">
        <v>29</v>
      </c>
      <c r="F3842" s="5">
        <v>200000.0</v>
      </c>
      <c r="G3842" s="1" t="s">
        <v>7016</v>
      </c>
      <c r="H3842" s="1" t="s">
        <v>3443</v>
      </c>
      <c r="I3842" s="1" t="s">
        <v>43</v>
      </c>
      <c r="K3842" s="1">
        <v>0.0</v>
      </c>
      <c r="L3842" s="1" t="s">
        <v>8174</v>
      </c>
      <c r="M3842" s="1" t="str">
        <f>VLOOKUP(L3842,'Copy of PMD Workday Constants -'!B3841:W4527,22,false)</f>
        <v>#N/A</v>
      </c>
      <c r="N3842" s="1" t="s">
        <v>32</v>
      </c>
      <c r="O3842" s="1" t="s">
        <v>33</v>
      </c>
      <c r="P3842" s="1" t="s">
        <v>82</v>
      </c>
      <c r="Q3842" s="1" t="s">
        <v>82</v>
      </c>
      <c r="R3842" s="1" t="s">
        <v>83</v>
      </c>
      <c r="S3842" s="1" t="s">
        <v>180</v>
      </c>
      <c r="T3842" s="1">
        <v>1.00609615E8</v>
      </c>
      <c r="W3842" s="1" t="s">
        <v>85</v>
      </c>
      <c r="X3842" s="1" t="s">
        <v>8174</v>
      </c>
    </row>
    <row r="3843">
      <c r="A3843" s="1" t="s">
        <v>11050</v>
      </c>
      <c r="B3843" s="1" t="s">
        <v>11051</v>
      </c>
      <c r="C3843" s="1" t="s">
        <v>11052</v>
      </c>
      <c r="D3843" s="1" t="s">
        <v>103</v>
      </c>
      <c r="E3843" s="1" t="s">
        <v>29</v>
      </c>
      <c r="F3843" s="5">
        <v>200000.0</v>
      </c>
      <c r="G3843" s="1" t="s">
        <v>7016</v>
      </c>
      <c r="H3843" s="4">
        <v>44840.0</v>
      </c>
      <c r="I3843" s="1" t="s">
        <v>732</v>
      </c>
      <c r="K3843" s="1">
        <v>0.0</v>
      </c>
      <c r="L3843" s="1" t="s">
        <v>11053</v>
      </c>
      <c r="M3843" s="1" t="str">
        <f>VLOOKUP(L3843,'Copy of PMD Workday Constants -'!B3842:W4528,22,false)</f>
        <v>#N/A</v>
      </c>
      <c r="N3843" s="1" t="s">
        <v>32</v>
      </c>
      <c r="O3843" s="1" t="s">
        <v>33</v>
      </c>
      <c r="P3843" s="1" t="s">
        <v>64</v>
      </c>
      <c r="Q3843" s="1" t="s">
        <v>64</v>
      </c>
      <c r="R3843" s="1" t="s">
        <v>65</v>
      </c>
      <c r="T3843" s="1">
        <v>1.01156917E8</v>
      </c>
      <c r="W3843" s="1" t="s">
        <v>140</v>
      </c>
      <c r="X3843" s="1" t="s">
        <v>11054</v>
      </c>
    </row>
    <row r="3844">
      <c r="A3844" s="1" t="s">
        <v>11055</v>
      </c>
      <c r="B3844" s="1" t="s">
        <v>7842</v>
      </c>
      <c r="C3844" s="1" t="s">
        <v>11056</v>
      </c>
      <c r="D3844" s="1" t="s">
        <v>51</v>
      </c>
      <c r="E3844" s="1" t="s">
        <v>29</v>
      </c>
      <c r="F3844" s="5">
        <v>200000.0</v>
      </c>
      <c r="G3844" s="1" t="s">
        <v>7016</v>
      </c>
      <c r="H3844" s="4">
        <v>44355.0</v>
      </c>
      <c r="I3844" s="1" t="s">
        <v>80</v>
      </c>
      <c r="K3844" s="1">
        <v>0.0</v>
      </c>
      <c r="L3844" s="1" t="s">
        <v>4419</v>
      </c>
      <c r="M3844" s="1" t="str">
        <f>VLOOKUP(L3844,'Copy of PMD Workday Constants -'!B3843:W4529,22,false)</f>
        <v>#N/A</v>
      </c>
      <c r="N3844" s="1" t="s">
        <v>32</v>
      </c>
      <c r="O3844" s="1" t="s">
        <v>33</v>
      </c>
      <c r="P3844" s="1" t="s">
        <v>222</v>
      </c>
      <c r="Q3844" s="1" t="s">
        <v>222</v>
      </c>
      <c r="R3844" s="1" t="s">
        <v>223</v>
      </c>
      <c r="S3844" s="1" t="s">
        <v>482</v>
      </c>
      <c r="T3844" s="1">
        <v>1.01059844E8</v>
      </c>
      <c r="W3844" s="1" t="s">
        <v>258</v>
      </c>
      <c r="X3844" s="1" t="s">
        <v>4419</v>
      </c>
    </row>
    <row r="3845">
      <c r="A3845" s="1" t="s">
        <v>11057</v>
      </c>
      <c r="B3845" s="1" t="s">
        <v>1144</v>
      </c>
      <c r="C3845" s="1" t="s">
        <v>11058</v>
      </c>
      <c r="D3845" s="1" t="s">
        <v>28</v>
      </c>
      <c r="E3845" s="1" t="s">
        <v>29</v>
      </c>
      <c r="F3845" s="5">
        <v>200000.0</v>
      </c>
      <c r="G3845" s="1" t="s">
        <v>7016</v>
      </c>
      <c r="H3845" s="1" t="s">
        <v>3574</v>
      </c>
      <c r="I3845" s="1" t="s">
        <v>191</v>
      </c>
      <c r="K3845" s="1">
        <v>0.0</v>
      </c>
      <c r="L3845" s="1" t="s">
        <v>3969</v>
      </c>
      <c r="M3845" s="1" t="str">
        <f>VLOOKUP(L3845,'Copy of PMD Workday Constants -'!B3844:W4530,22,false)</f>
        <v>#N/A</v>
      </c>
      <c r="N3845" s="1" t="s">
        <v>32</v>
      </c>
      <c r="O3845" s="1" t="s">
        <v>33</v>
      </c>
      <c r="P3845" s="1" t="s">
        <v>34</v>
      </c>
      <c r="Q3845" s="1" t="s">
        <v>34</v>
      </c>
      <c r="R3845" s="1" t="s">
        <v>35</v>
      </c>
      <c r="S3845" s="1" t="s">
        <v>36</v>
      </c>
      <c r="T3845" s="1">
        <v>1.00592741E8</v>
      </c>
      <c r="W3845" s="1" t="s">
        <v>37</v>
      </c>
      <c r="X3845" s="1" t="s">
        <v>3969</v>
      </c>
    </row>
    <row r="3846">
      <c r="A3846" s="1" t="s">
        <v>11059</v>
      </c>
      <c r="B3846" s="1" t="s">
        <v>7200</v>
      </c>
      <c r="C3846" s="1" t="s">
        <v>11060</v>
      </c>
      <c r="D3846" s="1" t="s">
        <v>103</v>
      </c>
      <c r="E3846" s="1" t="s">
        <v>29</v>
      </c>
      <c r="F3846" s="5">
        <v>200000.0</v>
      </c>
      <c r="G3846" s="1" t="s">
        <v>7016</v>
      </c>
      <c r="H3846" s="1" t="s">
        <v>4625</v>
      </c>
      <c r="I3846" s="1" t="s">
        <v>80</v>
      </c>
      <c r="K3846" s="1">
        <v>0.0</v>
      </c>
      <c r="L3846" s="1" t="s">
        <v>1587</v>
      </c>
      <c r="M3846" s="1" t="str">
        <f>VLOOKUP(L3846,'Copy of PMD Workday Constants -'!B3845:W4531,22,false)</f>
        <v>#N/A</v>
      </c>
      <c r="N3846" s="1" t="s">
        <v>32</v>
      </c>
      <c r="O3846" s="1" t="s">
        <v>33</v>
      </c>
      <c r="P3846" s="1" t="s">
        <v>64</v>
      </c>
      <c r="Q3846" s="1" t="s">
        <v>64</v>
      </c>
      <c r="R3846" s="1" t="s">
        <v>65</v>
      </c>
      <c r="S3846" s="1" t="s">
        <v>1336</v>
      </c>
      <c r="T3846" s="1">
        <v>1.01141441E8</v>
      </c>
      <c r="W3846" s="1" t="s">
        <v>391</v>
      </c>
      <c r="X3846" s="1" t="s">
        <v>11061</v>
      </c>
    </row>
    <row r="3847">
      <c r="A3847" s="1" t="s">
        <v>11062</v>
      </c>
      <c r="B3847" s="1" t="s">
        <v>610</v>
      </c>
      <c r="C3847" s="1" t="s">
        <v>11063</v>
      </c>
      <c r="D3847" s="1" t="s">
        <v>28</v>
      </c>
      <c r="E3847" s="1" t="s">
        <v>29</v>
      </c>
      <c r="F3847" s="5">
        <v>200000.0</v>
      </c>
      <c r="G3847" s="1" t="s">
        <v>7016</v>
      </c>
      <c r="H3847" s="1" t="s">
        <v>1672</v>
      </c>
      <c r="I3847" s="1" t="s">
        <v>43</v>
      </c>
      <c r="K3847" s="1">
        <v>0.0</v>
      </c>
      <c r="L3847" s="1" t="s">
        <v>2174</v>
      </c>
      <c r="M3847" s="1" t="str">
        <f>VLOOKUP(L3847,'Copy of PMD Workday Constants -'!B3846:W4532,22,false)</f>
        <v>#N/A</v>
      </c>
      <c r="N3847" s="1" t="s">
        <v>32</v>
      </c>
      <c r="O3847" s="1" t="s">
        <v>33</v>
      </c>
      <c r="P3847" s="1" t="s">
        <v>112</v>
      </c>
      <c r="Q3847" s="1" t="s">
        <v>112</v>
      </c>
      <c r="R3847" s="1" t="s">
        <v>113</v>
      </c>
      <c r="S3847" s="1" t="s">
        <v>134</v>
      </c>
      <c r="T3847" s="1">
        <v>1.00631322E8</v>
      </c>
      <c r="W3847" s="1" t="s">
        <v>947</v>
      </c>
      <c r="X3847" s="1" t="s">
        <v>1068</v>
      </c>
    </row>
    <row r="3848">
      <c r="A3848" s="1" t="s">
        <v>11064</v>
      </c>
      <c r="B3848" s="1" t="s">
        <v>160</v>
      </c>
      <c r="C3848" s="1" t="s">
        <v>11065</v>
      </c>
      <c r="D3848" s="1" t="s">
        <v>28</v>
      </c>
      <c r="E3848" s="1" t="s">
        <v>29</v>
      </c>
      <c r="F3848" s="5">
        <v>200000.0</v>
      </c>
      <c r="G3848" s="1" t="s">
        <v>7016</v>
      </c>
      <c r="H3848" s="4">
        <v>43323.0</v>
      </c>
      <c r="I3848" s="1" t="s">
        <v>302</v>
      </c>
      <c r="K3848" s="1">
        <v>0.0</v>
      </c>
      <c r="L3848" s="1" t="s">
        <v>570</v>
      </c>
      <c r="M3848" s="1" t="str">
        <f>VLOOKUP(L3848,'Copy of PMD Workday Constants -'!B3847:W4533,22,false)</f>
        <v>#N/A</v>
      </c>
      <c r="N3848" s="1" t="s">
        <v>32</v>
      </c>
      <c r="O3848" s="1" t="s">
        <v>33</v>
      </c>
      <c r="P3848" s="1" t="s">
        <v>112</v>
      </c>
      <c r="Q3848" s="1" t="s">
        <v>112</v>
      </c>
      <c r="R3848" s="1" t="s">
        <v>113</v>
      </c>
      <c r="S3848" s="1" t="s">
        <v>120</v>
      </c>
      <c r="T3848" s="1">
        <v>1.00625415E8</v>
      </c>
      <c r="W3848" s="1" t="s">
        <v>56</v>
      </c>
      <c r="X3848" s="1" t="s">
        <v>4243</v>
      </c>
    </row>
    <row r="3849">
      <c r="A3849" s="1" t="s">
        <v>11066</v>
      </c>
      <c r="B3849" s="1" t="s">
        <v>9622</v>
      </c>
      <c r="C3849" s="1" t="s">
        <v>11067</v>
      </c>
      <c r="D3849" s="1" t="s">
        <v>28</v>
      </c>
      <c r="E3849" s="1" t="s">
        <v>29</v>
      </c>
      <c r="F3849" s="5">
        <v>200000.0</v>
      </c>
      <c r="G3849" s="1" t="s">
        <v>7016</v>
      </c>
      <c r="H3849" s="4">
        <v>44541.0</v>
      </c>
      <c r="I3849" s="1" t="s">
        <v>80</v>
      </c>
      <c r="K3849" s="1">
        <v>0.0</v>
      </c>
      <c r="L3849" s="1" t="s">
        <v>3765</v>
      </c>
      <c r="M3849" s="1" t="str">
        <f>VLOOKUP(L3849,'Copy of PMD Workday Constants -'!B3848:W4534,22,false)</f>
        <v>#N/A</v>
      </c>
      <c r="N3849" s="1" t="s">
        <v>32</v>
      </c>
      <c r="O3849" s="1" t="s">
        <v>33</v>
      </c>
      <c r="P3849" s="1" t="s">
        <v>64</v>
      </c>
      <c r="Q3849" s="1" t="s">
        <v>64</v>
      </c>
      <c r="R3849" s="1" t="s">
        <v>65</v>
      </c>
      <c r="S3849" s="1" t="s">
        <v>1336</v>
      </c>
      <c r="T3849" s="1">
        <v>1.00649472E8</v>
      </c>
      <c r="W3849" s="1" t="s">
        <v>493</v>
      </c>
      <c r="X3849" s="1" t="s">
        <v>4873</v>
      </c>
    </row>
    <row r="3850">
      <c r="A3850" s="1" t="s">
        <v>11068</v>
      </c>
      <c r="B3850" s="1" t="s">
        <v>11069</v>
      </c>
      <c r="C3850" s="1" t="s">
        <v>11070</v>
      </c>
      <c r="D3850" s="1" t="s">
        <v>28</v>
      </c>
      <c r="E3850" s="1" t="s">
        <v>29</v>
      </c>
      <c r="F3850" s="5">
        <v>200000.0</v>
      </c>
      <c r="G3850" s="1" t="s">
        <v>7016</v>
      </c>
      <c r="H3850" s="1" t="s">
        <v>405</v>
      </c>
      <c r="I3850" s="1" t="s">
        <v>227</v>
      </c>
      <c r="K3850" s="1">
        <v>0.0</v>
      </c>
      <c r="L3850" s="1" t="s">
        <v>2163</v>
      </c>
      <c r="M3850" s="1" t="str">
        <f>VLOOKUP(L3850,'Copy of PMD Workday Constants -'!B3849:W4535,22,false)</f>
        <v>#N/A</v>
      </c>
      <c r="N3850" s="1" t="s">
        <v>32</v>
      </c>
      <c r="O3850" s="1" t="s">
        <v>33</v>
      </c>
      <c r="P3850" s="1" t="s">
        <v>210</v>
      </c>
      <c r="Q3850" s="1" t="s">
        <v>210</v>
      </c>
      <c r="R3850" s="1" t="s">
        <v>211</v>
      </c>
      <c r="S3850" s="1" t="s">
        <v>1336</v>
      </c>
      <c r="T3850" s="1">
        <v>1.00608366E8</v>
      </c>
      <c r="W3850" s="1" t="s">
        <v>436</v>
      </c>
      <c r="X3850" s="1" t="s">
        <v>4480</v>
      </c>
    </row>
    <row r="3851">
      <c r="A3851" s="1" t="s">
        <v>11071</v>
      </c>
      <c r="B3851" s="1" t="s">
        <v>317</v>
      </c>
      <c r="C3851" s="1" t="s">
        <v>11072</v>
      </c>
      <c r="D3851" s="1" t="s">
        <v>51</v>
      </c>
      <c r="E3851" s="1" t="s">
        <v>29</v>
      </c>
      <c r="F3851" s="5">
        <v>200000.0</v>
      </c>
      <c r="G3851" s="1" t="s">
        <v>7016</v>
      </c>
      <c r="H3851" s="1" t="s">
        <v>1042</v>
      </c>
      <c r="I3851" s="4">
        <v>44601.0</v>
      </c>
      <c r="K3851" s="1">
        <v>0.0</v>
      </c>
      <c r="L3851" s="1" t="s">
        <v>7463</v>
      </c>
      <c r="M3851" s="1" t="str">
        <f>VLOOKUP(L3851,'Copy of PMD Workday Constants -'!B3850:W4536,22,false)</f>
        <v>#N/A</v>
      </c>
      <c r="N3851" s="1" t="s">
        <v>32</v>
      </c>
      <c r="O3851" s="1" t="s">
        <v>33</v>
      </c>
      <c r="P3851" s="1" t="s">
        <v>64</v>
      </c>
      <c r="Q3851" s="1" t="s">
        <v>64</v>
      </c>
      <c r="R3851" s="1" t="s">
        <v>65</v>
      </c>
      <c r="S3851" s="1" t="s">
        <v>229</v>
      </c>
      <c r="T3851" s="1">
        <v>1.00650162E8</v>
      </c>
      <c r="W3851" s="1" t="s">
        <v>85</v>
      </c>
      <c r="X3851" s="1" t="s">
        <v>3623</v>
      </c>
    </row>
    <row r="3852">
      <c r="A3852" s="1" t="s">
        <v>11073</v>
      </c>
      <c r="B3852" s="1" t="s">
        <v>2790</v>
      </c>
      <c r="C3852" s="1" t="s">
        <v>11074</v>
      </c>
      <c r="D3852" s="1" t="s">
        <v>51</v>
      </c>
      <c r="E3852" s="1" t="s">
        <v>29</v>
      </c>
      <c r="F3852" s="5">
        <v>200000.0</v>
      </c>
      <c r="G3852" s="1" t="s">
        <v>7016</v>
      </c>
      <c r="H3852" s="1" t="s">
        <v>5552</v>
      </c>
      <c r="I3852" s="1" t="s">
        <v>302</v>
      </c>
      <c r="K3852" s="1">
        <v>0.0</v>
      </c>
      <c r="L3852" s="1" t="s">
        <v>1031</v>
      </c>
      <c r="M3852" s="1" t="str">
        <f>VLOOKUP(L3852,'Copy of PMD Workday Constants -'!B3851:W4537,22,false)</f>
        <v>#N/A</v>
      </c>
      <c r="N3852" s="1" t="s">
        <v>32</v>
      </c>
      <c r="O3852" s="1" t="s">
        <v>33</v>
      </c>
      <c r="P3852" s="1" t="s">
        <v>64</v>
      </c>
      <c r="Q3852" s="1" t="s">
        <v>64</v>
      </c>
      <c r="R3852" s="1" t="s">
        <v>65</v>
      </c>
      <c r="S3852" s="1" t="s">
        <v>229</v>
      </c>
      <c r="T3852" s="1">
        <v>1.00879751E8</v>
      </c>
      <c r="W3852" s="1" t="s">
        <v>85</v>
      </c>
      <c r="X3852" s="1" t="s">
        <v>3841</v>
      </c>
    </row>
    <row r="3853">
      <c r="A3853" s="1" t="s">
        <v>11075</v>
      </c>
      <c r="B3853" s="1" t="s">
        <v>10842</v>
      </c>
      <c r="C3853" s="1" t="s">
        <v>11076</v>
      </c>
      <c r="D3853" s="1" t="s">
        <v>103</v>
      </c>
      <c r="E3853" s="1" t="s">
        <v>29</v>
      </c>
      <c r="F3853" s="5">
        <v>200000.0</v>
      </c>
      <c r="G3853" s="1" t="s">
        <v>7016</v>
      </c>
      <c r="H3853" s="4">
        <v>44686.0</v>
      </c>
      <c r="I3853" s="1" t="s">
        <v>526</v>
      </c>
      <c r="K3853" s="1">
        <v>0.0</v>
      </c>
      <c r="L3853" s="1" t="s">
        <v>4342</v>
      </c>
      <c r="M3853" s="1" t="str">
        <f>VLOOKUP(L3853,'Copy of PMD Workday Constants -'!B3852:W4538,22,false)</f>
        <v>#N/A</v>
      </c>
      <c r="N3853" s="1" t="s">
        <v>32</v>
      </c>
      <c r="O3853" s="1" t="s">
        <v>33</v>
      </c>
      <c r="P3853" s="1" t="s">
        <v>210</v>
      </c>
      <c r="Q3853" s="1" t="s">
        <v>210</v>
      </c>
      <c r="R3853" s="1" t="s">
        <v>211</v>
      </c>
      <c r="T3853" s="1">
        <v>1.00585952E8</v>
      </c>
      <c r="W3853" s="1" t="s">
        <v>140</v>
      </c>
      <c r="X3853" s="1" t="s">
        <v>11077</v>
      </c>
    </row>
    <row r="3854">
      <c r="A3854" s="1" t="s">
        <v>11078</v>
      </c>
      <c r="B3854" s="1" t="s">
        <v>485</v>
      </c>
      <c r="C3854" s="1" t="s">
        <v>11079</v>
      </c>
      <c r="D3854" s="1" t="s">
        <v>103</v>
      </c>
      <c r="E3854" s="1" t="s">
        <v>29</v>
      </c>
      <c r="F3854" s="5">
        <v>200000.0</v>
      </c>
      <c r="G3854" s="1" t="s">
        <v>7016</v>
      </c>
      <c r="H3854" s="4">
        <v>44598.0</v>
      </c>
      <c r="I3854" s="1" t="s">
        <v>80</v>
      </c>
      <c r="K3854" s="1">
        <v>0.0</v>
      </c>
      <c r="L3854" s="1" t="s">
        <v>10780</v>
      </c>
      <c r="M3854" s="1" t="str">
        <f>VLOOKUP(L3854,'Copy of PMD Workday Constants -'!B3853:W4539,22,false)</f>
        <v>#N/A</v>
      </c>
      <c r="N3854" s="1" t="s">
        <v>32</v>
      </c>
      <c r="O3854" s="1" t="s">
        <v>33</v>
      </c>
      <c r="P3854" s="1" t="s">
        <v>222</v>
      </c>
      <c r="Q3854" s="1" t="s">
        <v>222</v>
      </c>
      <c r="R3854" s="1" t="s">
        <v>223</v>
      </c>
      <c r="S3854" s="1" t="s">
        <v>482</v>
      </c>
      <c r="T3854" s="1">
        <v>1.00608136E8</v>
      </c>
      <c r="W3854" s="1" t="s">
        <v>947</v>
      </c>
      <c r="X3854" s="1" t="s">
        <v>10781</v>
      </c>
    </row>
    <row r="3855">
      <c r="A3855" s="1" t="s">
        <v>11080</v>
      </c>
      <c r="B3855" s="1" t="s">
        <v>87</v>
      </c>
      <c r="C3855" s="1" t="s">
        <v>11081</v>
      </c>
      <c r="D3855" s="1" t="s">
        <v>28</v>
      </c>
      <c r="E3855" s="1" t="s">
        <v>29</v>
      </c>
      <c r="F3855" s="5">
        <v>200000.0</v>
      </c>
      <c r="G3855" s="1" t="s">
        <v>7016</v>
      </c>
      <c r="H3855" s="1" t="s">
        <v>460</v>
      </c>
      <c r="I3855" s="1" t="s">
        <v>80</v>
      </c>
      <c r="K3855" s="1">
        <v>0.0</v>
      </c>
      <c r="L3855" s="1" t="s">
        <v>1587</v>
      </c>
      <c r="M3855" s="1" t="str">
        <f>VLOOKUP(L3855,'Copy of PMD Workday Constants -'!B3854:W4540,22,false)</f>
        <v>#N/A</v>
      </c>
      <c r="N3855" s="1" t="s">
        <v>32</v>
      </c>
      <c r="O3855" s="1" t="s">
        <v>33</v>
      </c>
      <c r="P3855" s="1" t="s">
        <v>64</v>
      </c>
      <c r="Q3855" s="1" t="s">
        <v>64</v>
      </c>
      <c r="R3855" s="1" t="s">
        <v>65</v>
      </c>
      <c r="S3855" s="1" t="s">
        <v>1336</v>
      </c>
      <c r="T3855" s="1">
        <v>1.01141441E8</v>
      </c>
      <c r="W3855" s="1" t="s">
        <v>91</v>
      </c>
      <c r="X3855" s="1" t="s">
        <v>1587</v>
      </c>
    </row>
    <row r="3856">
      <c r="A3856" s="1" t="s">
        <v>11082</v>
      </c>
      <c r="B3856" s="1" t="s">
        <v>3257</v>
      </c>
      <c r="C3856" s="1" t="s">
        <v>11083</v>
      </c>
      <c r="D3856" s="1" t="s">
        <v>28</v>
      </c>
      <c r="E3856" s="1" t="s">
        <v>29</v>
      </c>
      <c r="F3856" s="5">
        <v>200000.0</v>
      </c>
      <c r="G3856" s="1" t="s">
        <v>7016</v>
      </c>
      <c r="H3856" s="1" t="s">
        <v>9074</v>
      </c>
      <c r="I3856" s="1" t="s">
        <v>302</v>
      </c>
      <c r="K3856" s="1">
        <v>0.0</v>
      </c>
      <c r="L3856" s="1" t="s">
        <v>1505</v>
      </c>
      <c r="M3856" s="1" t="str">
        <f>VLOOKUP(L3856,'Copy of PMD Workday Constants -'!B3855:W4541,22,false)</f>
        <v>#N/A</v>
      </c>
      <c r="N3856" s="1" t="s">
        <v>32</v>
      </c>
      <c r="O3856" s="1" t="s">
        <v>33</v>
      </c>
      <c r="P3856" s="1" t="s">
        <v>112</v>
      </c>
      <c r="Q3856" s="1" t="s">
        <v>112</v>
      </c>
      <c r="R3856" s="1" t="s">
        <v>113</v>
      </c>
      <c r="S3856" s="1" t="s">
        <v>455</v>
      </c>
      <c r="T3856" s="1">
        <v>1.00651554E8</v>
      </c>
      <c r="W3856" s="1" t="s">
        <v>456</v>
      </c>
      <c r="X3856" s="1" t="s">
        <v>106</v>
      </c>
    </row>
    <row r="3857">
      <c r="A3857" s="1" t="s">
        <v>11084</v>
      </c>
      <c r="B3857" s="1" t="s">
        <v>918</v>
      </c>
      <c r="C3857" s="1" t="s">
        <v>11085</v>
      </c>
      <c r="D3857" s="1" t="s">
        <v>51</v>
      </c>
      <c r="E3857" s="1" t="s">
        <v>29</v>
      </c>
      <c r="F3857" s="5">
        <v>200000.0</v>
      </c>
      <c r="G3857" s="1" t="s">
        <v>7016</v>
      </c>
      <c r="H3857" s="1" t="s">
        <v>460</v>
      </c>
      <c r="I3857" s="1" t="s">
        <v>865</v>
      </c>
      <c r="K3857" s="1">
        <v>0.0</v>
      </c>
      <c r="L3857" s="1" t="s">
        <v>3656</v>
      </c>
      <c r="M3857" s="1" t="str">
        <f>VLOOKUP(L3857,'Copy of PMD Workday Constants -'!B3856:W4542,22,false)</f>
        <v>#N/A</v>
      </c>
      <c r="N3857" s="1" t="s">
        <v>32</v>
      </c>
      <c r="O3857" s="1" t="s">
        <v>33</v>
      </c>
      <c r="P3857" s="1" t="s">
        <v>210</v>
      </c>
      <c r="Q3857" s="1" t="s">
        <v>210</v>
      </c>
      <c r="R3857" s="1" t="s">
        <v>211</v>
      </c>
      <c r="T3857" s="1">
        <v>1.00658814E8</v>
      </c>
      <c r="W3857" s="1" t="s">
        <v>56</v>
      </c>
      <c r="X3857" s="1" t="s">
        <v>11086</v>
      </c>
    </row>
    <row r="3858">
      <c r="A3858" s="1" t="s">
        <v>11087</v>
      </c>
      <c r="B3858" s="1" t="s">
        <v>26</v>
      </c>
      <c r="C3858" s="1" t="s">
        <v>11088</v>
      </c>
      <c r="D3858" s="1" t="s">
        <v>28</v>
      </c>
      <c r="E3858" s="1" t="s">
        <v>29</v>
      </c>
      <c r="F3858" s="5">
        <v>200000.0</v>
      </c>
      <c r="G3858" s="1" t="s">
        <v>7016</v>
      </c>
      <c r="H3858" s="1" t="s">
        <v>170</v>
      </c>
      <c r="I3858" s="1" t="s">
        <v>302</v>
      </c>
      <c r="K3858" s="1">
        <v>0.0</v>
      </c>
      <c r="L3858" s="1" t="s">
        <v>986</v>
      </c>
      <c r="M3858" s="1" t="str">
        <f>VLOOKUP(L3858,'Copy of PMD Workday Constants -'!B3857:W4543,22,false)</f>
        <v>#N/A</v>
      </c>
      <c r="N3858" s="1" t="s">
        <v>32</v>
      </c>
      <c r="O3858" s="1" t="s">
        <v>33</v>
      </c>
      <c r="P3858" s="1" t="s">
        <v>64</v>
      </c>
      <c r="Q3858" s="1" t="s">
        <v>64</v>
      </c>
      <c r="R3858" s="1" t="s">
        <v>65</v>
      </c>
      <c r="T3858" s="1">
        <v>1.00651901E8</v>
      </c>
      <c r="W3858" s="1" t="s">
        <v>37</v>
      </c>
      <c r="X3858" s="1" t="s">
        <v>11089</v>
      </c>
    </row>
    <row r="3859">
      <c r="A3859" s="1" t="s">
        <v>11090</v>
      </c>
      <c r="B3859" s="1" t="s">
        <v>324</v>
      </c>
      <c r="C3859" s="1" t="s">
        <v>11091</v>
      </c>
      <c r="D3859" s="1" t="s">
        <v>51</v>
      </c>
      <c r="E3859" s="1" t="s">
        <v>29</v>
      </c>
      <c r="F3859" s="5">
        <v>200000.0</v>
      </c>
      <c r="G3859" s="1" t="s">
        <v>7016</v>
      </c>
      <c r="H3859" s="4">
        <v>44538.0</v>
      </c>
      <c r="I3859" s="4">
        <v>44718.0</v>
      </c>
      <c r="K3859" s="1">
        <v>0.0</v>
      </c>
      <c r="L3859" s="1" t="s">
        <v>3728</v>
      </c>
      <c r="M3859" s="1" t="str">
        <f>VLOOKUP(L3859,'Copy of PMD Workday Constants -'!B3858:W4544,22,false)</f>
        <v>#N/A</v>
      </c>
      <c r="N3859" s="1" t="s">
        <v>32</v>
      </c>
      <c r="O3859" s="1" t="s">
        <v>33</v>
      </c>
      <c r="P3859" s="1" t="s">
        <v>222</v>
      </c>
      <c r="Q3859" s="1" t="s">
        <v>222</v>
      </c>
      <c r="R3859" s="1" t="s">
        <v>223</v>
      </c>
      <c r="S3859" s="1" t="s">
        <v>482</v>
      </c>
      <c r="T3859" s="1">
        <v>1.00638965E8</v>
      </c>
      <c r="W3859" s="1" t="s">
        <v>56</v>
      </c>
      <c r="X3859" s="1" t="s">
        <v>3728</v>
      </c>
    </row>
    <row r="3860">
      <c r="A3860" s="1" t="s">
        <v>11092</v>
      </c>
      <c r="B3860" s="1" t="s">
        <v>11093</v>
      </c>
      <c r="C3860" s="1" t="s">
        <v>11094</v>
      </c>
      <c r="D3860" s="1" t="s">
        <v>28</v>
      </c>
      <c r="E3860" s="1" t="s">
        <v>29</v>
      </c>
      <c r="F3860" s="5">
        <v>200000.0</v>
      </c>
      <c r="G3860" s="1" t="s">
        <v>7016</v>
      </c>
      <c r="H3860" s="4">
        <v>44867.0</v>
      </c>
      <c r="I3860" s="1" t="s">
        <v>80</v>
      </c>
      <c r="K3860" s="1">
        <v>0.0</v>
      </c>
      <c r="L3860" s="1" t="s">
        <v>10780</v>
      </c>
      <c r="M3860" s="1" t="str">
        <f>VLOOKUP(L3860,'Copy of PMD Workday Constants -'!B3859:W4545,22,false)</f>
        <v>#N/A</v>
      </c>
      <c r="N3860" s="1" t="s">
        <v>32</v>
      </c>
      <c r="O3860" s="1" t="s">
        <v>33</v>
      </c>
      <c r="P3860" s="1" t="s">
        <v>222</v>
      </c>
      <c r="Q3860" s="1" t="s">
        <v>222</v>
      </c>
      <c r="R3860" s="1" t="s">
        <v>223</v>
      </c>
      <c r="S3860" s="1" t="s">
        <v>482</v>
      </c>
      <c r="T3860" s="1">
        <v>1.00608136E8</v>
      </c>
      <c r="W3860" s="1" t="s">
        <v>947</v>
      </c>
      <c r="X3860" s="1" t="s">
        <v>10780</v>
      </c>
    </row>
    <row r="3861">
      <c r="A3861" s="1" t="s">
        <v>11095</v>
      </c>
      <c r="B3861" s="1" t="s">
        <v>1609</v>
      </c>
      <c r="C3861" s="1" t="s">
        <v>11096</v>
      </c>
      <c r="D3861" s="1" t="s">
        <v>28</v>
      </c>
      <c r="E3861" s="1" t="s">
        <v>29</v>
      </c>
      <c r="F3861" s="5">
        <v>200000.0</v>
      </c>
      <c r="G3861" s="1" t="s">
        <v>7016</v>
      </c>
      <c r="H3861" s="1" t="s">
        <v>11097</v>
      </c>
      <c r="I3861" s="1" t="s">
        <v>166</v>
      </c>
      <c r="K3861" s="1">
        <v>0.0</v>
      </c>
      <c r="L3861" s="1" t="s">
        <v>3480</v>
      </c>
      <c r="M3861" s="1" t="str">
        <f>VLOOKUP(L3861,'Copy of PMD Workday Constants -'!B3860:W4546,22,false)</f>
        <v>#N/A</v>
      </c>
      <c r="N3861" s="1" t="s">
        <v>32</v>
      </c>
      <c r="O3861" s="1" t="s">
        <v>33</v>
      </c>
      <c r="P3861" s="1" t="s">
        <v>112</v>
      </c>
      <c r="Q3861" s="1" t="s">
        <v>112</v>
      </c>
      <c r="R3861" s="1" t="s">
        <v>113</v>
      </c>
      <c r="S3861" s="1" t="s">
        <v>307</v>
      </c>
      <c r="T3861" s="1">
        <v>1.00628223E8</v>
      </c>
      <c r="W3861" s="1" t="s">
        <v>391</v>
      </c>
      <c r="X3861" s="1" t="s">
        <v>3480</v>
      </c>
    </row>
    <row r="3862">
      <c r="A3862" s="1" t="s">
        <v>11098</v>
      </c>
      <c r="B3862" s="1" t="s">
        <v>143</v>
      </c>
      <c r="C3862" s="1" t="s">
        <v>11099</v>
      </c>
      <c r="D3862" s="1" t="s">
        <v>103</v>
      </c>
      <c r="E3862" s="1" t="s">
        <v>29</v>
      </c>
      <c r="F3862" s="5">
        <v>200000.0</v>
      </c>
      <c r="G3862" s="1" t="s">
        <v>7016</v>
      </c>
      <c r="H3862" s="1" t="s">
        <v>460</v>
      </c>
      <c r="I3862" s="1" t="s">
        <v>732</v>
      </c>
      <c r="K3862" s="1">
        <v>0.0</v>
      </c>
      <c r="L3862" s="1" t="s">
        <v>3948</v>
      </c>
      <c r="M3862" s="1" t="str">
        <f>VLOOKUP(L3862,'Copy of PMD Workday Constants -'!B3861:W4547,22,false)</f>
        <v>#N/A</v>
      </c>
      <c r="N3862" s="1" t="s">
        <v>32</v>
      </c>
      <c r="O3862" s="1" t="s">
        <v>33</v>
      </c>
      <c r="P3862" s="1" t="s">
        <v>112</v>
      </c>
      <c r="Q3862" s="1" t="s">
        <v>112</v>
      </c>
      <c r="R3862" s="1" t="s">
        <v>113</v>
      </c>
      <c r="S3862" s="1" t="s">
        <v>114</v>
      </c>
      <c r="T3862" s="1">
        <v>1.00627224E8</v>
      </c>
      <c r="W3862" s="1" t="s">
        <v>147</v>
      </c>
      <c r="X3862" s="1" t="s">
        <v>11100</v>
      </c>
    </row>
    <row r="3863">
      <c r="A3863" s="1" t="s">
        <v>11101</v>
      </c>
      <c r="B3863" s="1" t="s">
        <v>11102</v>
      </c>
      <c r="C3863" s="1" t="s">
        <v>11103</v>
      </c>
      <c r="D3863" s="1" t="s">
        <v>103</v>
      </c>
      <c r="E3863" s="1" t="s">
        <v>29</v>
      </c>
      <c r="F3863" s="5">
        <v>200000.0</v>
      </c>
      <c r="G3863" s="1" t="s">
        <v>7016</v>
      </c>
      <c r="H3863" s="1" t="s">
        <v>2855</v>
      </c>
      <c r="I3863" s="1" t="s">
        <v>104</v>
      </c>
      <c r="K3863" s="1">
        <v>0.0</v>
      </c>
      <c r="L3863" s="1" t="s">
        <v>198</v>
      </c>
      <c r="M3863" s="1" t="str">
        <f>VLOOKUP(L3863,'Copy of PMD Workday Constants -'!B3862:W4548,22,false)</f>
        <v>#N/A</v>
      </c>
      <c r="N3863" s="1" t="s">
        <v>32</v>
      </c>
      <c r="O3863" s="1" t="s">
        <v>33</v>
      </c>
      <c r="P3863" s="1" t="s">
        <v>82</v>
      </c>
      <c r="Q3863" s="1" t="s">
        <v>82</v>
      </c>
      <c r="R3863" s="1" t="s">
        <v>83</v>
      </c>
      <c r="S3863" s="1" t="s">
        <v>180</v>
      </c>
      <c r="T3863" s="1">
        <v>1.00590896E8</v>
      </c>
      <c r="W3863" s="1" t="s">
        <v>85</v>
      </c>
      <c r="X3863" s="1" t="s">
        <v>2244</v>
      </c>
    </row>
    <row r="3864">
      <c r="A3864" s="1" t="s">
        <v>11104</v>
      </c>
      <c r="B3864" s="1" t="s">
        <v>7187</v>
      </c>
      <c r="C3864" s="1" t="s">
        <v>11105</v>
      </c>
      <c r="D3864" s="1" t="s">
        <v>51</v>
      </c>
      <c r="E3864" s="1" t="s">
        <v>29</v>
      </c>
      <c r="F3864" s="5">
        <v>200000.0</v>
      </c>
      <c r="G3864" s="1" t="s">
        <v>7016</v>
      </c>
      <c r="H3864" s="1" t="s">
        <v>556</v>
      </c>
      <c r="I3864" s="1" t="s">
        <v>302</v>
      </c>
      <c r="K3864" s="1">
        <v>0.0</v>
      </c>
      <c r="L3864" s="1" t="s">
        <v>2325</v>
      </c>
      <c r="M3864" s="1" t="str">
        <f>VLOOKUP(L3864,'Copy of PMD Workday Constants -'!B3863:W4549,22,false)</f>
        <v>#N/A</v>
      </c>
      <c r="N3864" s="1" t="s">
        <v>32</v>
      </c>
      <c r="O3864" s="1" t="s">
        <v>33</v>
      </c>
      <c r="P3864" s="1" t="s">
        <v>82</v>
      </c>
      <c r="Q3864" s="1" t="s">
        <v>82</v>
      </c>
      <c r="R3864" s="1" t="s">
        <v>83</v>
      </c>
      <c r="S3864" s="1" t="s">
        <v>180</v>
      </c>
      <c r="T3864" s="1">
        <v>1.00628181E8</v>
      </c>
      <c r="W3864" s="1" t="s">
        <v>85</v>
      </c>
      <c r="X3864" s="1" t="s">
        <v>11106</v>
      </c>
    </row>
    <row r="3865">
      <c r="A3865" s="1" t="s">
        <v>11107</v>
      </c>
      <c r="B3865" s="1" t="s">
        <v>2277</v>
      </c>
      <c r="C3865" s="1" t="s">
        <v>11108</v>
      </c>
      <c r="D3865" s="1" t="s">
        <v>28</v>
      </c>
      <c r="E3865" s="1" t="s">
        <v>29</v>
      </c>
      <c r="F3865" s="5">
        <v>200000.0</v>
      </c>
      <c r="G3865" s="1" t="s">
        <v>7016</v>
      </c>
      <c r="H3865" s="1" t="s">
        <v>4388</v>
      </c>
      <c r="I3865" s="1" t="s">
        <v>80</v>
      </c>
      <c r="K3865" s="1">
        <v>0.0</v>
      </c>
      <c r="L3865" s="1" t="s">
        <v>1790</v>
      </c>
      <c r="M3865" s="1" t="str">
        <f>VLOOKUP(L3865,'Copy of PMD Workday Constants -'!B3864:W4550,22,false)</f>
        <v>#N/A</v>
      </c>
      <c r="N3865" s="1" t="s">
        <v>32</v>
      </c>
      <c r="O3865" s="1" t="s">
        <v>33</v>
      </c>
      <c r="P3865" s="1" t="s">
        <v>222</v>
      </c>
      <c r="Q3865" s="1" t="s">
        <v>222</v>
      </c>
      <c r="R3865" s="1" t="s">
        <v>223</v>
      </c>
      <c r="S3865" s="1" t="s">
        <v>601</v>
      </c>
      <c r="T3865" s="1">
        <v>1.00645232E8</v>
      </c>
      <c r="W3865" s="1" t="s">
        <v>258</v>
      </c>
      <c r="X3865" s="1" t="s">
        <v>1791</v>
      </c>
    </row>
    <row r="3866">
      <c r="A3866" s="1" t="s">
        <v>11109</v>
      </c>
      <c r="B3866" s="1" t="s">
        <v>2277</v>
      </c>
      <c r="C3866" s="1" t="s">
        <v>11110</v>
      </c>
      <c r="D3866" s="1" t="s">
        <v>51</v>
      </c>
      <c r="E3866" s="1" t="s">
        <v>29</v>
      </c>
      <c r="F3866" s="5">
        <v>200000.0</v>
      </c>
      <c r="G3866" s="1" t="s">
        <v>7016</v>
      </c>
      <c r="H3866" s="1" t="s">
        <v>11111</v>
      </c>
      <c r="I3866" s="1" t="s">
        <v>80</v>
      </c>
      <c r="K3866" s="1">
        <v>0.0</v>
      </c>
      <c r="L3866" s="1" t="s">
        <v>1790</v>
      </c>
      <c r="M3866" s="1" t="str">
        <f>VLOOKUP(L3866,'Copy of PMD Workday Constants -'!B3865:W4551,22,false)</f>
        <v>#N/A</v>
      </c>
      <c r="N3866" s="1" t="s">
        <v>32</v>
      </c>
      <c r="O3866" s="1" t="s">
        <v>33</v>
      </c>
      <c r="P3866" s="1" t="s">
        <v>222</v>
      </c>
      <c r="Q3866" s="1" t="s">
        <v>222</v>
      </c>
      <c r="R3866" s="1" t="s">
        <v>223</v>
      </c>
      <c r="S3866" s="1" t="s">
        <v>601</v>
      </c>
      <c r="T3866" s="1">
        <v>1.00645232E8</v>
      </c>
      <c r="W3866" s="1" t="s">
        <v>258</v>
      </c>
      <c r="X3866" s="1" t="s">
        <v>11112</v>
      </c>
    </row>
    <row r="3867">
      <c r="A3867" s="1" t="s">
        <v>11113</v>
      </c>
      <c r="B3867" s="1" t="s">
        <v>5797</v>
      </c>
      <c r="C3867" s="1" t="s">
        <v>11114</v>
      </c>
      <c r="D3867" s="1" t="s">
        <v>51</v>
      </c>
      <c r="E3867" s="1" t="s">
        <v>29</v>
      </c>
      <c r="F3867" s="5">
        <v>200000.0</v>
      </c>
      <c r="G3867" s="1" t="s">
        <v>7016</v>
      </c>
      <c r="H3867" s="4">
        <v>44389.0</v>
      </c>
      <c r="I3867" s="1" t="s">
        <v>104</v>
      </c>
      <c r="K3867" s="1">
        <v>0.0</v>
      </c>
      <c r="L3867" s="1" t="s">
        <v>6081</v>
      </c>
      <c r="M3867" s="1" t="str">
        <f>VLOOKUP(L3867,'Copy of PMD Workday Constants -'!B3866:W4552,22,false)</f>
        <v>#N/A</v>
      </c>
      <c r="N3867" s="1" t="s">
        <v>32</v>
      </c>
      <c r="O3867" s="1" t="s">
        <v>33</v>
      </c>
      <c r="P3867" s="1" t="s">
        <v>222</v>
      </c>
      <c r="Q3867" s="1" t="s">
        <v>222</v>
      </c>
      <c r="R3867" s="1" t="s">
        <v>223</v>
      </c>
      <c r="S3867" s="1" t="s">
        <v>285</v>
      </c>
      <c r="T3867" s="1">
        <v>1.00632043E8</v>
      </c>
      <c r="W3867" s="1" t="s">
        <v>47</v>
      </c>
      <c r="X3867" s="1" t="s">
        <v>11115</v>
      </c>
    </row>
    <row r="3868">
      <c r="A3868" s="1" t="s">
        <v>11116</v>
      </c>
      <c r="B3868" s="1" t="s">
        <v>913</v>
      </c>
      <c r="C3868" s="1" t="s">
        <v>11117</v>
      </c>
      <c r="D3868" s="1" t="s">
        <v>28</v>
      </c>
      <c r="E3868" s="1" t="s">
        <v>29</v>
      </c>
      <c r="F3868" s="5">
        <v>200000.0</v>
      </c>
      <c r="G3868" s="1" t="s">
        <v>7016</v>
      </c>
      <c r="H3868" s="1" t="s">
        <v>1064</v>
      </c>
      <c r="I3868" s="1" t="s">
        <v>264</v>
      </c>
      <c r="K3868" s="1">
        <v>0.0</v>
      </c>
      <c r="L3868" s="1" t="s">
        <v>192</v>
      </c>
      <c r="M3868" s="1" t="str">
        <f>VLOOKUP(L3868,'Copy of PMD Workday Constants -'!B3867:W4553,22,false)</f>
        <v>#N/A</v>
      </c>
      <c r="N3868" s="1" t="s">
        <v>32</v>
      </c>
      <c r="O3868" s="1" t="s">
        <v>33</v>
      </c>
      <c r="P3868" s="1" t="s">
        <v>82</v>
      </c>
      <c r="Q3868" s="1" t="s">
        <v>82</v>
      </c>
      <c r="R3868" s="1" t="s">
        <v>83</v>
      </c>
      <c r="S3868" s="1" t="s">
        <v>84</v>
      </c>
      <c r="T3868" s="1">
        <v>1.00650575E8</v>
      </c>
      <c r="W3868" s="1" t="s">
        <v>85</v>
      </c>
      <c r="X3868" s="1" t="s">
        <v>916</v>
      </c>
    </row>
    <row r="3869">
      <c r="A3869" s="1" t="s">
        <v>11118</v>
      </c>
      <c r="B3869" s="1" t="s">
        <v>4473</v>
      </c>
      <c r="C3869" s="1" t="s">
        <v>11119</v>
      </c>
      <c r="D3869" s="1" t="s">
        <v>103</v>
      </c>
      <c r="E3869" s="1" t="s">
        <v>29</v>
      </c>
      <c r="F3869" s="5">
        <v>200000.0</v>
      </c>
      <c r="G3869" s="1" t="s">
        <v>7016</v>
      </c>
      <c r="H3869" s="4">
        <v>44656.0</v>
      </c>
      <c r="I3869" s="1" t="s">
        <v>1842</v>
      </c>
      <c r="K3869" s="1">
        <v>0.0</v>
      </c>
      <c r="L3869" s="1" t="s">
        <v>1770</v>
      </c>
      <c r="M3869" s="1" t="str">
        <f>VLOOKUP(L3869,'Copy of PMD Workday Constants -'!B3868:W4554,22,false)</f>
        <v>#N/A</v>
      </c>
      <c r="N3869" s="1" t="s">
        <v>32</v>
      </c>
      <c r="O3869" s="1" t="s">
        <v>33</v>
      </c>
      <c r="P3869" s="1" t="s">
        <v>210</v>
      </c>
      <c r="Q3869" s="1" t="s">
        <v>210</v>
      </c>
      <c r="R3869" s="1" t="s">
        <v>211</v>
      </c>
      <c r="S3869" s="1" t="s">
        <v>1313</v>
      </c>
      <c r="T3869" s="1">
        <v>1.00593918E8</v>
      </c>
      <c r="W3869" s="1" t="s">
        <v>436</v>
      </c>
      <c r="X3869" s="1" t="s">
        <v>1314</v>
      </c>
    </row>
    <row r="3870">
      <c r="A3870" s="1" t="s">
        <v>11120</v>
      </c>
      <c r="B3870" s="1" t="s">
        <v>11121</v>
      </c>
      <c r="C3870" s="1" t="s">
        <v>11122</v>
      </c>
      <c r="D3870" s="1" t="s">
        <v>28</v>
      </c>
      <c r="E3870" s="1" t="s">
        <v>29</v>
      </c>
      <c r="F3870" s="5">
        <v>200000.0</v>
      </c>
      <c r="G3870" s="1" t="s">
        <v>7016</v>
      </c>
      <c r="H3870" s="4">
        <v>44870.0</v>
      </c>
      <c r="I3870" s="1" t="s">
        <v>80</v>
      </c>
      <c r="K3870" s="1">
        <v>0.0</v>
      </c>
      <c r="L3870" s="1" t="s">
        <v>1646</v>
      </c>
      <c r="M3870" s="1" t="str">
        <f>VLOOKUP(L3870,'Copy of PMD Workday Constants -'!B3869:W4555,22,false)</f>
        <v>#N/A</v>
      </c>
      <c r="N3870" s="1" t="s">
        <v>32</v>
      </c>
      <c r="O3870" s="1" t="s">
        <v>33</v>
      </c>
      <c r="P3870" s="1" t="s">
        <v>64</v>
      </c>
      <c r="Q3870" s="1" t="s">
        <v>64</v>
      </c>
      <c r="R3870" s="1" t="s">
        <v>65</v>
      </c>
      <c r="T3870" s="1">
        <v>1.00650657E8</v>
      </c>
      <c r="W3870" s="1" t="s">
        <v>47</v>
      </c>
      <c r="X3870" s="1" t="s">
        <v>675</v>
      </c>
    </row>
    <row r="3871">
      <c r="A3871" s="1" t="s">
        <v>11123</v>
      </c>
      <c r="B3871" s="1" t="s">
        <v>7465</v>
      </c>
      <c r="C3871" s="1" t="s">
        <v>11124</v>
      </c>
      <c r="D3871" s="1" t="s">
        <v>51</v>
      </c>
      <c r="E3871" s="1" t="s">
        <v>29</v>
      </c>
      <c r="F3871" s="5">
        <v>200000.0</v>
      </c>
      <c r="G3871" s="1" t="s">
        <v>7016</v>
      </c>
      <c r="H3871" s="4">
        <v>44869.0</v>
      </c>
      <c r="I3871" s="4">
        <v>44568.0</v>
      </c>
      <c r="K3871" s="1">
        <v>0.0</v>
      </c>
      <c r="L3871" s="1" t="s">
        <v>3935</v>
      </c>
      <c r="M3871" s="1" t="str">
        <f>VLOOKUP(L3871,'Copy of PMD Workday Constants -'!B3870:W4556,22,false)</f>
        <v>#N/A</v>
      </c>
      <c r="N3871" s="1" t="s">
        <v>32</v>
      </c>
      <c r="O3871" s="1" t="s">
        <v>33</v>
      </c>
      <c r="P3871" s="1" t="s">
        <v>82</v>
      </c>
      <c r="Q3871" s="1" t="s">
        <v>82</v>
      </c>
      <c r="R3871" s="1" t="s">
        <v>83</v>
      </c>
      <c r="S3871" s="1" t="s">
        <v>84</v>
      </c>
      <c r="T3871" s="1">
        <v>1.01088146E8</v>
      </c>
      <c r="X3871" s="1" t="s">
        <v>3935</v>
      </c>
    </row>
    <row r="3872">
      <c r="A3872" s="1" t="s">
        <v>11125</v>
      </c>
      <c r="B3872" s="1" t="s">
        <v>11126</v>
      </c>
      <c r="C3872" s="1" t="s">
        <v>11127</v>
      </c>
      <c r="D3872" s="1" t="s">
        <v>103</v>
      </c>
      <c r="E3872" s="1" t="s">
        <v>29</v>
      </c>
      <c r="F3872" s="5">
        <v>200000.0</v>
      </c>
      <c r="G3872" s="1" t="s">
        <v>7016</v>
      </c>
      <c r="H3872" s="1" t="s">
        <v>698</v>
      </c>
      <c r="I3872" s="1" t="s">
        <v>104</v>
      </c>
      <c r="K3872" s="1">
        <v>0.0</v>
      </c>
      <c r="L3872" s="1" t="s">
        <v>203</v>
      </c>
      <c r="M3872" s="1" t="str">
        <f>VLOOKUP(L3872,'Copy of PMD Workday Constants -'!B3871:W4557,22,false)</f>
        <v>#N/A</v>
      </c>
      <c r="N3872" s="1" t="s">
        <v>32</v>
      </c>
      <c r="O3872" s="1" t="s">
        <v>33</v>
      </c>
      <c r="P3872" s="1" t="s">
        <v>112</v>
      </c>
      <c r="Q3872" s="1" t="s">
        <v>112</v>
      </c>
      <c r="R3872" s="1" t="s">
        <v>113</v>
      </c>
      <c r="S3872" s="1" t="s">
        <v>455</v>
      </c>
      <c r="T3872" s="1">
        <v>1.01200292E8</v>
      </c>
      <c r="W3872" s="1" t="s">
        <v>456</v>
      </c>
      <c r="X3872" s="1" t="s">
        <v>11128</v>
      </c>
    </row>
    <row r="3873">
      <c r="A3873" s="1" t="s">
        <v>11129</v>
      </c>
      <c r="B3873" s="1" t="s">
        <v>3257</v>
      </c>
      <c r="C3873" s="1" t="s">
        <v>11130</v>
      </c>
      <c r="D3873" s="1" t="s">
        <v>51</v>
      </c>
      <c r="E3873" s="1" t="s">
        <v>29</v>
      </c>
      <c r="F3873" s="5">
        <v>200000.0</v>
      </c>
      <c r="G3873" s="1" t="s">
        <v>7016</v>
      </c>
      <c r="H3873" s="1" t="s">
        <v>9750</v>
      </c>
      <c r="I3873" s="1" t="s">
        <v>302</v>
      </c>
      <c r="K3873" s="1">
        <v>0.0</v>
      </c>
      <c r="L3873" s="1" t="s">
        <v>3499</v>
      </c>
      <c r="M3873" s="1" t="str">
        <f>VLOOKUP(L3873,'Copy of PMD Workday Constants -'!B3872:W4558,22,false)</f>
        <v>#N/A</v>
      </c>
      <c r="N3873" s="1" t="s">
        <v>32</v>
      </c>
      <c r="O3873" s="1" t="s">
        <v>33</v>
      </c>
      <c r="P3873" s="1" t="s">
        <v>222</v>
      </c>
      <c r="Q3873" s="1" t="s">
        <v>222</v>
      </c>
      <c r="R3873" s="1" t="s">
        <v>223</v>
      </c>
      <c r="S3873" s="1" t="s">
        <v>601</v>
      </c>
      <c r="T3873" s="1">
        <v>1.00662113E8</v>
      </c>
      <c r="W3873" s="1" t="s">
        <v>456</v>
      </c>
      <c r="X3873" s="1" t="s">
        <v>7862</v>
      </c>
    </row>
    <row r="3874">
      <c r="A3874" s="1" t="s">
        <v>11131</v>
      </c>
      <c r="B3874" s="1" t="s">
        <v>26</v>
      </c>
      <c r="C3874" s="1" t="s">
        <v>11132</v>
      </c>
      <c r="D3874" s="1" t="s">
        <v>51</v>
      </c>
      <c r="E3874" s="1" t="s">
        <v>29</v>
      </c>
      <c r="F3874" s="5">
        <v>200000.0</v>
      </c>
      <c r="G3874" s="1" t="s">
        <v>7016</v>
      </c>
      <c r="H3874" s="1" t="s">
        <v>1518</v>
      </c>
      <c r="I3874" s="1" t="s">
        <v>96</v>
      </c>
      <c r="K3874" s="1">
        <v>0.0</v>
      </c>
      <c r="L3874" s="1" t="s">
        <v>4290</v>
      </c>
      <c r="M3874" s="1" t="str">
        <f>VLOOKUP(L3874,'Copy of PMD Workday Constants -'!B3873:W4559,22,false)</f>
        <v>#N/A</v>
      </c>
      <c r="N3874" s="1" t="s">
        <v>32</v>
      </c>
      <c r="O3874" s="1" t="s">
        <v>33</v>
      </c>
      <c r="P3874" s="1" t="s">
        <v>173</v>
      </c>
      <c r="Q3874" s="1" t="s">
        <v>173</v>
      </c>
      <c r="R3874" s="1" t="s">
        <v>174</v>
      </c>
      <c r="S3874" s="1" t="s">
        <v>153</v>
      </c>
      <c r="T3874" s="1">
        <v>1.00660061E8</v>
      </c>
      <c r="W3874" s="1" t="s">
        <v>37</v>
      </c>
      <c r="X3874" s="1" t="s">
        <v>4290</v>
      </c>
    </row>
    <row r="3875">
      <c r="A3875" s="1" t="s">
        <v>11133</v>
      </c>
      <c r="B3875" s="1" t="s">
        <v>11134</v>
      </c>
      <c r="C3875" s="1" t="s">
        <v>11135</v>
      </c>
      <c r="D3875" s="1" t="s">
        <v>28</v>
      </c>
      <c r="E3875" s="1" t="s">
        <v>29</v>
      </c>
      <c r="F3875" s="5">
        <v>200000.0</v>
      </c>
      <c r="G3875" s="1" t="s">
        <v>7016</v>
      </c>
      <c r="H3875" s="1" t="s">
        <v>556</v>
      </c>
      <c r="I3875" s="1" t="s">
        <v>104</v>
      </c>
      <c r="K3875" s="1">
        <v>0.0</v>
      </c>
      <c r="L3875" s="1" t="s">
        <v>5881</v>
      </c>
      <c r="M3875" s="1" t="str">
        <f>VLOOKUP(L3875,'Copy of PMD Workday Constants -'!B3874:W4560,22,false)</f>
        <v>#N/A</v>
      </c>
      <c r="N3875" s="1" t="s">
        <v>32</v>
      </c>
      <c r="O3875" s="1" t="s">
        <v>33</v>
      </c>
      <c r="P3875" s="1" t="s">
        <v>64</v>
      </c>
      <c r="Q3875" s="1" t="s">
        <v>64</v>
      </c>
      <c r="R3875" s="1" t="s">
        <v>65</v>
      </c>
      <c r="S3875" s="1" t="s">
        <v>1336</v>
      </c>
      <c r="T3875" s="1">
        <v>1.01230882E8</v>
      </c>
      <c r="W3875" s="1" t="s">
        <v>436</v>
      </c>
      <c r="X3875" s="1" t="s">
        <v>11136</v>
      </c>
    </row>
    <row r="3876">
      <c r="A3876" s="1" t="s">
        <v>11137</v>
      </c>
      <c r="B3876" s="1" t="s">
        <v>11138</v>
      </c>
      <c r="C3876" s="1" t="s">
        <v>11139</v>
      </c>
      <c r="D3876" s="1" t="s">
        <v>51</v>
      </c>
      <c r="E3876" s="1" t="s">
        <v>29</v>
      </c>
      <c r="F3876" s="5">
        <v>200000.0</v>
      </c>
      <c r="G3876" s="1" t="s">
        <v>7016</v>
      </c>
      <c r="H3876" s="4">
        <v>44807.0</v>
      </c>
      <c r="I3876" s="1" t="s">
        <v>302</v>
      </c>
      <c r="K3876" s="1">
        <v>0.0</v>
      </c>
      <c r="L3876" s="1" t="s">
        <v>1525</v>
      </c>
      <c r="M3876" s="1" t="str">
        <f>VLOOKUP(L3876,'Copy of PMD Workday Constants -'!B3875:W4561,22,false)</f>
        <v>#N/A</v>
      </c>
      <c r="N3876" s="1" t="s">
        <v>32</v>
      </c>
      <c r="O3876" s="1" t="s">
        <v>33</v>
      </c>
      <c r="P3876" s="1" t="s">
        <v>34</v>
      </c>
      <c r="Q3876" s="1" t="s">
        <v>34</v>
      </c>
      <c r="R3876" s="1" t="s">
        <v>35</v>
      </c>
      <c r="S3876" s="1" t="s">
        <v>1166</v>
      </c>
      <c r="T3876" s="1">
        <v>1.00637597E8</v>
      </c>
      <c r="W3876" s="1" t="s">
        <v>456</v>
      </c>
      <c r="X3876" s="1" t="s">
        <v>1525</v>
      </c>
    </row>
    <row r="3877">
      <c r="A3877" s="1" t="s">
        <v>11140</v>
      </c>
      <c r="B3877" s="1" t="s">
        <v>4162</v>
      </c>
      <c r="C3877" s="1" t="s">
        <v>11141</v>
      </c>
      <c r="D3877" s="1" t="s">
        <v>51</v>
      </c>
      <c r="E3877" s="1" t="s">
        <v>29</v>
      </c>
      <c r="F3877" s="5">
        <v>200000.0</v>
      </c>
      <c r="G3877" s="1" t="s">
        <v>7016</v>
      </c>
      <c r="H3877" s="1" t="s">
        <v>5674</v>
      </c>
      <c r="I3877" s="4">
        <v>44569.0</v>
      </c>
      <c r="K3877" s="1">
        <v>0.0</v>
      </c>
      <c r="L3877" s="1" t="s">
        <v>2154</v>
      </c>
      <c r="M3877" s="1" t="str">
        <f>VLOOKUP(L3877,'Copy of PMD Workday Constants -'!B3876:W4562,22,false)</f>
        <v>#N/A</v>
      </c>
      <c r="N3877" s="1" t="s">
        <v>32</v>
      </c>
      <c r="O3877" s="1" t="s">
        <v>33</v>
      </c>
      <c r="P3877" s="1" t="s">
        <v>173</v>
      </c>
      <c r="Q3877" s="1" t="s">
        <v>173</v>
      </c>
      <c r="R3877" s="1" t="s">
        <v>174</v>
      </c>
      <c r="S3877" s="1" t="s">
        <v>612</v>
      </c>
      <c r="T3877" s="1">
        <v>1.00639477E8</v>
      </c>
      <c r="U3877" s="1" t="s">
        <v>11142</v>
      </c>
      <c r="V3877" s="1" t="s">
        <v>781</v>
      </c>
      <c r="W3877" s="1" t="s">
        <v>308</v>
      </c>
      <c r="X3877" s="1" t="s">
        <v>7418</v>
      </c>
    </row>
    <row r="3878">
      <c r="A3878" s="1" t="s">
        <v>11143</v>
      </c>
      <c r="B3878" s="1" t="s">
        <v>7187</v>
      </c>
      <c r="C3878" s="1" t="s">
        <v>11144</v>
      </c>
      <c r="D3878" s="1" t="s">
        <v>28</v>
      </c>
      <c r="E3878" s="1" t="s">
        <v>29</v>
      </c>
      <c r="F3878" s="5">
        <v>200000.0</v>
      </c>
      <c r="G3878" s="1" t="s">
        <v>7016</v>
      </c>
      <c r="H3878" s="1" t="s">
        <v>2290</v>
      </c>
      <c r="I3878" s="1" t="s">
        <v>302</v>
      </c>
      <c r="K3878" s="1">
        <v>0.0</v>
      </c>
      <c r="L3878" s="1" t="s">
        <v>3137</v>
      </c>
      <c r="M3878" s="1" t="str">
        <f>VLOOKUP(L3878,'Copy of PMD Workday Constants -'!B3877:W4563,22,false)</f>
        <v>#N/A</v>
      </c>
      <c r="N3878" s="1" t="s">
        <v>32</v>
      </c>
      <c r="O3878" s="1" t="s">
        <v>33</v>
      </c>
      <c r="P3878" s="1" t="s">
        <v>82</v>
      </c>
      <c r="Q3878" s="1" t="s">
        <v>82</v>
      </c>
      <c r="R3878" s="1" t="s">
        <v>83</v>
      </c>
      <c r="S3878" s="1" t="s">
        <v>180</v>
      </c>
      <c r="T3878" s="1">
        <v>1.00586452E8</v>
      </c>
      <c r="W3878" s="1" t="s">
        <v>85</v>
      </c>
      <c r="X3878" s="1" t="s">
        <v>4406</v>
      </c>
    </row>
    <row r="3879">
      <c r="A3879" s="1" t="s">
        <v>11145</v>
      </c>
      <c r="B3879" s="1" t="s">
        <v>4687</v>
      </c>
      <c r="C3879" s="1" t="s">
        <v>11146</v>
      </c>
      <c r="D3879" s="1" t="s">
        <v>28</v>
      </c>
      <c r="E3879" s="1" t="s">
        <v>29</v>
      </c>
      <c r="F3879" s="5">
        <v>200000.0</v>
      </c>
      <c r="G3879" s="1" t="s">
        <v>7016</v>
      </c>
      <c r="H3879" s="1" t="s">
        <v>2510</v>
      </c>
      <c r="I3879" s="1" t="s">
        <v>4147</v>
      </c>
      <c r="K3879" s="1">
        <v>0.0</v>
      </c>
      <c r="L3879" s="1" t="s">
        <v>1677</v>
      </c>
      <c r="M3879" s="1" t="str">
        <f>VLOOKUP(L3879,'Copy of PMD Workday Constants -'!B3878:W4564,22,false)</f>
        <v>#N/A</v>
      </c>
      <c r="N3879" s="1" t="s">
        <v>32</v>
      </c>
      <c r="O3879" s="1" t="s">
        <v>33</v>
      </c>
      <c r="P3879" s="1" t="s">
        <v>54</v>
      </c>
      <c r="Q3879" s="1" t="s">
        <v>54</v>
      </c>
      <c r="R3879" s="1" t="s">
        <v>55</v>
      </c>
      <c r="T3879" s="1">
        <v>1.00623248E8</v>
      </c>
      <c r="W3879" s="1" t="s">
        <v>74</v>
      </c>
      <c r="X3879" s="1" t="s">
        <v>11147</v>
      </c>
    </row>
    <row r="3880">
      <c r="A3880" s="1" t="s">
        <v>11148</v>
      </c>
      <c r="B3880" s="1" t="s">
        <v>1664</v>
      </c>
      <c r="C3880" s="1" t="s">
        <v>11149</v>
      </c>
      <c r="D3880" s="1" t="s">
        <v>28</v>
      </c>
      <c r="E3880" s="1" t="s">
        <v>29</v>
      </c>
      <c r="F3880" s="5">
        <v>200000.0</v>
      </c>
      <c r="G3880" s="1" t="s">
        <v>7016</v>
      </c>
      <c r="H3880" s="1" t="s">
        <v>460</v>
      </c>
      <c r="I3880" s="1" t="s">
        <v>8093</v>
      </c>
      <c r="K3880" s="1">
        <v>0.0</v>
      </c>
      <c r="L3880" s="1" t="s">
        <v>956</v>
      </c>
      <c r="M3880" s="1" t="str">
        <f>VLOOKUP(L3880,'Copy of PMD Workday Constants -'!B3879:W4565,22,false)</f>
        <v>#N/A</v>
      </c>
      <c r="N3880" s="1" t="s">
        <v>32</v>
      </c>
      <c r="O3880" s="1" t="s">
        <v>33</v>
      </c>
      <c r="P3880" s="1" t="s">
        <v>173</v>
      </c>
      <c r="Q3880" s="1" t="s">
        <v>173</v>
      </c>
      <c r="R3880" s="1" t="s">
        <v>174</v>
      </c>
      <c r="T3880" s="1">
        <v>1.00623421E8</v>
      </c>
      <c r="W3880" s="1" t="s">
        <v>147</v>
      </c>
      <c r="X3880" s="1" t="s">
        <v>4696</v>
      </c>
    </row>
    <row r="3881">
      <c r="A3881" s="1" t="s">
        <v>11150</v>
      </c>
      <c r="B3881" s="1" t="s">
        <v>3293</v>
      </c>
      <c r="C3881" s="1" t="s">
        <v>11151</v>
      </c>
      <c r="D3881" s="1" t="s">
        <v>28</v>
      </c>
      <c r="E3881" s="1" t="s">
        <v>29</v>
      </c>
      <c r="F3881" s="5">
        <v>200000.0</v>
      </c>
      <c r="G3881" s="1" t="s">
        <v>7016</v>
      </c>
      <c r="H3881" s="4">
        <v>44563.0</v>
      </c>
      <c r="I3881" s="1" t="s">
        <v>132</v>
      </c>
      <c r="K3881" s="1">
        <v>0.0</v>
      </c>
      <c r="L3881" s="1" t="s">
        <v>1790</v>
      </c>
      <c r="M3881" s="1" t="str">
        <f>VLOOKUP(L3881,'Copy of PMD Workday Constants -'!B3880:W4566,22,false)</f>
        <v>#N/A</v>
      </c>
      <c r="N3881" s="1" t="s">
        <v>32</v>
      </c>
      <c r="O3881" s="1" t="s">
        <v>33</v>
      </c>
      <c r="P3881" s="1" t="s">
        <v>222</v>
      </c>
      <c r="Q3881" s="1" t="s">
        <v>222</v>
      </c>
      <c r="R3881" s="1" t="s">
        <v>223</v>
      </c>
      <c r="S3881" s="1" t="s">
        <v>601</v>
      </c>
      <c r="T3881" s="1">
        <v>1.00645232E8</v>
      </c>
      <c r="W3881" s="1" t="s">
        <v>56</v>
      </c>
      <c r="X3881" s="1" t="s">
        <v>640</v>
      </c>
    </row>
    <row r="3882">
      <c r="A3882" s="1" t="s">
        <v>11152</v>
      </c>
      <c r="B3882" s="1" t="s">
        <v>489</v>
      </c>
      <c r="C3882" s="1" t="s">
        <v>11153</v>
      </c>
      <c r="D3882" s="1" t="s">
        <v>28</v>
      </c>
      <c r="E3882" s="1" t="s">
        <v>29</v>
      </c>
      <c r="F3882" s="5">
        <v>200000.0</v>
      </c>
      <c r="G3882" s="1" t="s">
        <v>7016</v>
      </c>
      <c r="H3882" s="4">
        <v>44717.0</v>
      </c>
      <c r="I3882" s="1" t="s">
        <v>152</v>
      </c>
      <c r="K3882" s="1">
        <v>0.0</v>
      </c>
      <c r="L3882" s="1" t="s">
        <v>4679</v>
      </c>
      <c r="M3882" s="1" t="str">
        <f>VLOOKUP(L3882,'Copy of PMD Workday Constants -'!B3881:W4567,22,false)</f>
        <v>#N/A</v>
      </c>
      <c r="N3882" s="1" t="s">
        <v>32</v>
      </c>
      <c r="O3882" s="1" t="s">
        <v>33</v>
      </c>
      <c r="P3882" s="1" t="s">
        <v>222</v>
      </c>
      <c r="Q3882" s="1" t="s">
        <v>222</v>
      </c>
      <c r="R3882" s="1" t="s">
        <v>223</v>
      </c>
      <c r="T3882" s="1">
        <v>1.00620023E8</v>
      </c>
      <c r="W3882" s="1" t="s">
        <v>493</v>
      </c>
      <c r="X3882" s="1" t="s">
        <v>4700</v>
      </c>
    </row>
    <row r="3883">
      <c r="A3883" s="1" t="s">
        <v>11154</v>
      </c>
      <c r="B3883" s="1" t="s">
        <v>3293</v>
      </c>
      <c r="C3883" s="1" t="s">
        <v>11155</v>
      </c>
      <c r="D3883" s="1" t="s">
        <v>28</v>
      </c>
      <c r="E3883" s="1" t="s">
        <v>29</v>
      </c>
      <c r="F3883" s="5">
        <v>200000.0</v>
      </c>
      <c r="G3883" s="1" t="s">
        <v>7016</v>
      </c>
      <c r="H3883" s="4">
        <v>44563.0</v>
      </c>
      <c r="I3883" s="1" t="s">
        <v>152</v>
      </c>
      <c r="K3883" s="1">
        <v>0.0</v>
      </c>
      <c r="L3883" s="1" t="s">
        <v>1790</v>
      </c>
      <c r="M3883" s="1" t="str">
        <f>VLOOKUP(L3883,'Copy of PMD Workday Constants -'!B3882:W4568,22,false)</f>
        <v>#N/A</v>
      </c>
      <c r="N3883" s="1" t="s">
        <v>32</v>
      </c>
      <c r="O3883" s="1" t="s">
        <v>33</v>
      </c>
      <c r="P3883" s="1" t="s">
        <v>222</v>
      </c>
      <c r="Q3883" s="1" t="s">
        <v>222</v>
      </c>
      <c r="R3883" s="1" t="s">
        <v>223</v>
      </c>
      <c r="S3883" s="1" t="s">
        <v>601</v>
      </c>
      <c r="T3883" s="1">
        <v>1.00645232E8</v>
      </c>
      <c r="W3883" s="1" t="s">
        <v>56</v>
      </c>
      <c r="X3883" s="1" t="s">
        <v>640</v>
      </c>
    </row>
    <row r="3884">
      <c r="A3884" s="1" t="s">
        <v>11156</v>
      </c>
      <c r="B3884" s="1" t="s">
        <v>10651</v>
      </c>
      <c r="C3884" s="1" t="s">
        <v>1606</v>
      </c>
      <c r="D3884" s="1" t="s">
        <v>28</v>
      </c>
      <c r="E3884" s="1" t="s">
        <v>29</v>
      </c>
      <c r="F3884" s="5">
        <v>200000.0</v>
      </c>
      <c r="G3884" s="1" t="s">
        <v>7016</v>
      </c>
      <c r="H3884" s="4">
        <v>44656.0</v>
      </c>
      <c r="I3884" s="4">
        <v>44932.0</v>
      </c>
      <c r="K3884" s="1">
        <v>0.0</v>
      </c>
      <c r="L3884" s="1" t="s">
        <v>1165</v>
      </c>
      <c r="M3884" s="1" t="str">
        <f>VLOOKUP(L3884,'Copy of PMD Workday Constants -'!B3883:W4569,22,false)</f>
        <v>#N/A</v>
      </c>
      <c r="N3884" s="1" t="s">
        <v>32</v>
      </c>
      <c r="O3884" s="1" t="s">
        <v>33</v>
      </c>
      <c r="P3884" s="1" t="s">
        <v>34</v>
      </c>
      <c r="Q3884" s="1" t="s">
        <v>34</v>
      </c>
      <c r="R3884" s="1" t="s">
        <v>35</v>
      </c>
      <c r="S3884" s="1" t="s">
        <v>1166</v>
      </c>
      <c r="T3884" s="1">
        <v>1.00586863E8</v>
      </c>
      <c r="W3884" s="1" t="s">
        <v>456</v>
      </c>
      <c r="X3884" s="1" t="s">
        <v>1607</v>
      </c>
    </row>
    <row r="3885">
      <c r="A3885" s="1" t="s">
        <v>11157</v>
      </c>
      <c r="B3885" s="1" t="s">
        <v>1112</v>
      </c>
      <c r="C3885" s="1" t="s">
        <v>11158</v>
      </c>
      <c r="D3885" s="1" t="s">
        <v>103</v>
      </c>
      <c r="E3885" s="1" t="s">
        <v>29</v>
      </c>
      <c r="F3885" s="5">
        <v>200000.0</v>
      </c>
      <c r="G3885" s="1" t="s">
        <v>7016</v>
      </c>
      <c r="H3885" s="4">
        <v>44567.0</v>
      </c>
      <c r="I3885" s="1" t="s">
        <v>421</v>
      </c>
      <c r="K3885" s="1">
        <v>0.0</v>
      </c>
      <c r="L3885" s="1" t="s">
        <v>11159</v>
      </c>
      <c r="M3885" s="1" t="str">
        <f>VLOOKUP(L3885,'Copy of PMD Workday Constants -'!B3884:W4570,22,false)</f>
        <v>#N/A</v>
      </c>
      <c r="N3885" s="1" t="s">
        <v>32</v>
      </c>
      <c r="O3885" s="1" t="s">
        <v>33</v>
      </c>
      <c r="P3885" s="1" t="s">
        <v>222</v>
      </c>
      <c r="Q3885" s="1" t="s">
        <v>222</v>
      </c>
      <c r="R3885" s="1" t="s">
        <v>223</v>
      </c>
      <c r="S3885" s="1" t="s">
        <v>601</v>
      </c>
      <c r="T3885" s="1">
        <v>1.00602248E8</v>
      </c>
      <c r="W3885" s="1" t="s">
        <v>56</v>
      </c>
      <c r="X3885" s="1" t="s">
        <v>11160</v>
      </c>
    </row>
    <row r="3886">
      <c r="A3886" s="1" t="s">
        <v>11161</v>
      </c>
      <c r="B3886" s="1" t="s">
        <v>11162</v>
      </c>
      <c r="C3886" s="1" t="s">
        <v>11163</v>
      </c>
      <c r="D3886" s="1" t="s">
        <v>51</v>
      </c>
      <c r="E3886" s="1" t="s">
        <v>29</v>
      </c>
      <c r="F3886" s="5">
        <v>200000.0</v>
      </c>
      <c r="G3886" s="1" t="s">
        <v>7016</v>
      </c>
      <c r="H3886" s="1" t="s">
        <v>1765</v>
      </c>
      <c r="I3886" s="1" t="s">
        <v>810</v>
      </c>
      <c r="K3886" s="1">
        <v>0.0</v>
      </c>
      <c r="L3886" s="1" t="s">
        <v>2699</v>
      </c>
      <c r="M3886" s="1" t="str">
        <f>VLOOKUP(L3886,'Copy of PMD Workday Constants -'!B3885:W4571,22,false)</f>
        <v>#N/A</v>
      </c>
      <c r="N3886" s="1" t="s">
        <v>32</v>
      </c>
      <c r="O3886" s="1" t="s">
        <v>33</v>
      </c>
      <c r="P3886" s="1" t="s">
        <v>34</v>
      </c>
      <c r="Q3886" s="1" t="s">
        <v>34</v>
      </c>
      <c r="R3886" s="1" t="s">
        <v>35</v>
      </c>
      <c r="S3886" s="1" t="s">
        <v>126</v>
      </c>
      <c r="T3886" s="1">
        <v>1.00610367E8</v>
      </c>
      <c r="X3886" s="1" t="s">
        <v>11164</v>
      </c>
    </row>
    <row r="3887">
      <c r="A3887" s="1" t="s">
        <v>11165</v>
      </c>
      <c r="B3887" s="1" t="s">
        <v>8437</v>
      </c>
      <c r="C3887" s="1" t="s">
        <v>1606</v>
      </c>
      <c r="D3887" s="1" t="s">
        <v>28</v>
      </c>
      <c r="E3887" s="1" t="s">
        <v>29</v>
      </c>
      <c r="F3887" s="5">
        <v>200000.0</v>
      </c>
      <c r="G3887" s="1" t="s">
        <v>7016</v>
      </c>
      <c r="H3887" s="4">
        <v>44656.0</v>
      </c>
      <c r="I3887" s="1" t="s">
        <v>1687</v>
      </c>
      <c r="K3887" s="1">
        <v>0.0</v>
      </c>
      <c r="L3887" s="1" t="s">
        <v>1165</v>
      </c>
      <c r="M3887" s="1" t="str">
        <f>VLOOKUP(L3887,'Copy of PMD Workday Constants -'!B3886:W4572,22,false)</f>
        <v>#N/A</v>
      </c>
      <c r="N3887" s="1" t="s">
        <v>32</v>
      </c>
      <c r="O3887" s="1" t="s">
        <v>33</v>
      </c>
      <c r="P3887" s="1" t="s">
        <v>34</v>
      </c>
      <c r="Q3887" s="1" t="s">
        <v>34</v>
      </c>
      <c r="R3887" s="1" t="s">
        <v>35</v>
      </c>
      <c r="S3887" s="1" t="s">
        <v>1166</v>
      </c>
      <c r="T3887" s="1">
        <v>1.00586863E8</v>
      </c>
      <c r="W3887" s="1" t="s">
        <v>147</v>
      </c>
      <c r="X3887" s="1" t="s">
        <v>1607</v>
      </c>
    </row>
    <row r="3888">
      <c r="A3888" s="1" t="s">
        <v>11166</v>
      </c>
      <c r="B3888" s="1" t="s">
        <v>3166</v>
      </c>
      <c r="C3888" s="1" t="s">
        <v>11167</v>
      </c>
      <c r="D3888" s="1" t="s">
        <v>103</v>
      </c>
      <c r="E3888" s="1" t="s">
        <v>29</v>
      </c>
      <c r="F3888" s="5">
        <v>200000.0</v>
      </c>
      <c r="G3888" s="1" t="s">
        <v>7016</v>
      </c>
      <c r="H3888" s="1" t="s">
        <v>460</v>
      </c>
      <c r="I3888" s="1" t="s">
        <v>104</v>
      </c>
      <c r="K3888" s="1">
        <v>0.0</v>
      </c>
      <c r="L3888" s="1" t="s">
        <v>9802</v>
      </c>
      <c r="M3888" s="1" t="str">
        <f>VLOOKUP(L3888,'Copy of PMD Workday Constants -'!B3887:W4573,22,false)</f>
        <v>#N/A</v>
      </c>
      <c r="N3888" s="1" t="s">
        <v>32</v>
      </c>
      <c r="O3888" s="1" t="s">
        <v>33</v>
      </c>
      <c r="P3888" s="1" t="s">
        <v>173</v>
      </c>
      <c r="Q3888" s="1" t="s">
        <v>173</v>
      </c>
      <c r="R3888" s="1" t="s">
        <v>174</v>
      </c>
      <c r="S3888" s="1" t="s">
        <v>612</v>
      </c>
      <c r="T3888" s="1">
        <v>1.0061717E8</v>
      </c>
      <c r="W3888" s="1" t="s">
        <v>1303</v>
      </c>
      <c r="X3888" s="1" t="s">
        <v>3066</v>
      </c>
    </row>
    <row r="3889">
      <c r="A3889" s="1" t="s">
        <v>11168</v>
      </c>
      <c r="B3889" s="1" t="s">
        <v>4687</v>
      </c>
      <c r="C3889" s="1" t="s">
        <v>11169</v>
      </c>
      <c r="D3889" s="1" t="s">
        <v>28</v>
      </c>
      <c r="E3889" s="1" t="s">
        <v>29</v>
      </c>
      <c r="F3889" s="5">
        <v>200000.0</v>
      </c>
      <c r="G3889" s="1" t="s">
        <v>7016</v>
      </c>
      <c r="H3889" s="1" t="s">
        <v>2510</v>
      </c>
      <c r="I3889" s="1" t="s">
        <v>593</v>
      </c>
      <c r="K3889" s="1">
        <v>0.0</v>
      </c>
      <c r="L3889" s="1" t="s">
        <v>1344</v>
      </c>
      <c r="M3889" s="1" t="str">
        <f>VLOOKUP(L3889,'Copy of PMD Workday Constants -'!B3888:W4574,22,false)</f>
        <v>#N/A</v>
      </c>
      <c r="N3889" s="1" t="s">
        <v>32</v>
      </c>
      <c r="O3889" s="1" t="s">
        <v>33</v>
      </c>
      <c r="P3889" s="1" t="s">
        <v>112</v>
      </c>
      <c r="Q3889" s="1" t="s">
        <v>112</v>
      </c>
      <c r="R3889" s="1" t="s">
        <v>113</v>
      </c>
      <c r="S3889" s="1" t="s">
        <v>134</v>
      </c>
      <c r="T3889" s="1">
        <v>1.0061941E8</v>
      </c>
      <c r="W3889" s="1" t="s">
        <v>74</v>
      </c>
      <c r="X3889" s="1" t="s">
        <v>11147</v>
      </c>
    </row>
    <row r="3890">
      <c r="A3890" s="1" t="s">
        <v>11170</v>
      </c>
      <c r="B3890" s="1" t="s">
        <v>4687</v>
      </c>
      <c r="C3890" s="1" t="s">
        <v>11171</v>
      </c>
      <c r="D3890" s="1" t="s">
        <v>28</v>
      </c>
      <c r="E3890" s="1" t="s">
        <v>29</v>
      </c>
      <c r="F3890" s="5">
        <v>200000.0</v>
      </c>
      <c r="G3890" s="1" t="s">
        <v>7016</v>
      </c>
      <c r="H3890" s="1" t="s">
        <v>2510</v>
      </c>
      <c r="I3890" s="1" t="s">
        <v>593</v>
      </c>
      <c r="K3890" s="1">
        <v>0.0</v>
      </c>
      <c r="L3890" s="1" t="s">
        <v>4438</v>
      </c>
      <c r="M3890" s="1" t="str">
        <f>VLOOKUP(L3890,'Copy of PMD Workday Constants -'!B3889:W4575,22,false)</f>
        <v>#N/A</v>
      </c>
      <c r="N3890" s="1" t="s">
        <v>32</v>
      </c>
      <c r="O3890" s="1" t="s">
        <v>33</v>
      </c>
      <c r="P3890" s="1" t="s">
        <v>34</v>
      </c>
      <c r="Q3890" s="1" t="s">
        <v>34</v>
      </c>
      <c r="R3890" s="1" t="s">
        <v>35</v>
      </c>
      <c r="T3890" s="1">
        <v>1.01088701E8</v>
      </c>
      <c r="W3890" s="1" t="s">
        <v>74</v>
      </c>
      <c r="X3890" s="1" t="s">
        <v>11147</v>
      </c>
    </row>
    <row r="3891">
      <c r="A3891" s="1" t="s">
        <v>11172</v>
      </c>
      <c r="B3891" s="1" t="s">
        <v>5509</v>
      </c>
      <c r="C3891" s="1" t="s">
        <v>11173</v>
      </c>
      <c r="D3891" s="1" t="s">
        <v>51</v>
      </c>
      <c r="E3891" s="1" t="s">
        <v>29</v>
      </c>
      <c r="F3891" s="5">
        <v>200000.0</v>
      </c>
      <c r="G3891" s="1" t="s">
        <v>7016</v>
      </c>
      <c r="H3891" s="1" t="s">
        <v>4650</v>
      </c>
      <c r="I3891" s="1" t="s">
        <v>80</v>
      </c>
      <c r="K3891" s="1">
        <v>0.0</v>
      </c>
      <c r="L3891" s="1" t="s">
        <v>4723</v>
      </c>
      <c r="M3891" s="1" t="str">
        <f>VLOOKUP(L3891,'Copy of PMD Workday Constants -'!B3890:W4576,22,false)</f>
        <v>#N/A</v>
      </c>
      <c r="N3891" s="1" t="s">
        <v>32</v>
      </c>
      <c r="O3891" s="1" t="s">
        <v>33</v>
      </c>
      <c r="P3891" s="1" t="s">
        <v>210</v>
      </c>
      <c r="Q3891" s="1" t="s">
        <v>210</v>
      </c>
      <c r="R3891" s="1" t="s">
        <v>211</v>
      </c>
      <c r="S3891" s="1" t="s">
        <v>1313</v>
      </c>
      <c r="T3891" s="1">
        <v>1.00585834E8</v>
      </c>
      <c r="W3891" s="1" t="s">
        <v>436</v>
      </c>
      <c r="X3891" s="1" t="s">
        <v>4723</v>
      </c>
    </row>
    <row r="3892">
      <c r="A3892" s="1" t="s">
        <v>11174</v>
      </c>
      <c r="B3892" s="1" t="s">
        <v>1664</v>
      </c>
      <c r="C3892" s="1" t="s">
        <v>7636</v>
      </c>
      <c r="D3892" s="1" t="s">
        <v>28</v>
      </c>
      <c r="E3892" s="1" t="s">
        <v>29</v>
      </c>
      <c r="F3892" s="5">
        <v>200000.0</v>
      </c>
      <c r="G3892" s="1" t="s">
        <v>7016</v>
      </c>
      <c r="H3892" s="4">
        <v>44081.0</v>
      </c>
      <c r="I3892" s="1" t="s">
        <v>575</v>
      </c>
      <c r="K3892" s="1">
        <v>0.0</v>
      </c>
      <c r="L3892" s="1" t="s">
        <v>963</v>
      </c>
      <c r="M3892" s="1" t="str">
        <f>VLOOKUP(L3892,'Copy of PMD Workday Constants -'!B3891:W4577,22,false)</f>
        <v>#N/A</v>
      </c>
      <c r="N3892" s="1" t="s">
        <v>32</v>
      </c>
      <c r="O3892" s="1" t="s">
        <v>33</v>
      </c>
      <c r="P3892" s="1" t="s">
        <v>173</v>
      </c>
      <c r="Q3892" s="1" t="s">
        <v>173</v>
      </c>
      <c r="R3892" s="1" t="s">
        <v>174</v>
      </c>
      <c r="S3892" s="1" t="s">
        <v>612</v>
      </c>
      <c r="T3892" s="1">
        <v>1.00708984E8</v>
      </c>
      <c r="W3892" s="1" t="s">
        <v>147</v>
      </c>
      <c r="X3892" s="1" t="s">
        <v>11175</v>
      </c>
    </row>
    <row r="3893">
      <c r="A3893" s="1" t="s">
        <v>11176</v>
      </c>
      <c r="B3893" s="1" t="s">
        <v>11177</v>
      </c>
      <c r="C3893" s="1" t="s">
        <v>11178</v>
      </c>
      <c r="D3893" s="1" t="s">
        <v>28</v>
      </c>
      <c r="E3893" s="1" t="s">
        <v>29</v>
      </c>
      <c r="F3893" s="5">
        <v>200000.0</v>
      </c>
      <c r="G3893" s="1" t="s">
        <v>7016</v>
      </c>
      <c r="H3893" s="1" t="s">
        <v>11179</v>
      </c>
      <c r="I3893" s="1" t="s">
        <v>104</v>
      </c>
      <c r="K3893" s="1">
        <v>0.0</v>
      </c>
      <c r="L3893" s="1" t="s">
        <v>2602</v>
      </c>
      <c r="M3893" s="1" t="str">
        <f>VLOOKUP(L3893,'Copy of PMD Workday Constants -'!B3892:W4578,22,false)</f>
        <v>#N/A</v>
      </c>
      <c r="N3893" s="1" t="s">
        <v>32</v>
      </c>
      <c r="O3893" s="1" t="s">
        <v>33</v>
      </c>
      <c r="P3893" s="1" t="s">
        <v>173</v>
      </c>
      <c r="Q3893" s="1" t="s">
        <v>173</v>
      </c>
      <c r="R3893" s="1" t="s">
        <v>174</v>
      </c>
      <c r="S3893" s="1" t="s">
        <v>8242</v>
      </c>
      <c r="T3893" s="1">
        <v>1.00611351E8</v>
      </c>
      <c r="W3893" s="1" t="s">
        <v>436</v>
      </c>
      <c r="X3893" s="1" t="s">
        <v>2914</v>
      </c>
    </row>
    <row r="3894">
      <c r="A3894" s="1" t="s">
        <v>11180</v>
      </c>
      <c r="B3894" s="1" t="s">
        <v>3521</v>
      </c>
      <c r="C3894" s="1" t="s">
        <v>11181</v>
      </c>
      <c r="D3894" s="1" t="s">
        <v>103</v>
      </c>
      <c r="E3894" s="1" t="s">
        <v>29</v>
      </c>
      <c r="F3894" s="5">
        <v>200000.0</v>
      </c>
      <c r="G3894" s="1" t="s">
        <v>7016</v>
      </c>
      <c r="H3894" s="1" t="s">
        <v>4413</v>
      </c>
      <c r="I3894" s="1" t="s">
        <v>96</v>
      </c>
      <c r="K3894" s="1">
        <v>0.0</v>
      </c>
      <c r="L3894" s="1" t="s">
        <v>909</v>
      </c>
      <c r="M3894" s="1" t="str">
        <f>VLOOKUP(L3894,'Copy of PMD Workday Constants -'!B3893:W4579,22,false)</f>
        <v>#N/A</v>
      </c>
      <c r="N3894" s="1" t="s">
        <v>32</v>
      </c>
      <c r="O3894" s="1" t="s">
        <v>33</v>
      </c>
      <c r="P3894" s="1" t="s">
        <v>82</v>
      </c>
      <c r="Q3894" s="1" t="s">
        <v>82</v>
      </c>
      <c r="R3894" s="1" t="s">
        <v>83</v>
      </c>
      <c r="S3894" s="1" t="s">
        <v>84</v>
      </c>
      <c r="T3894" s="1">
        <v>1.00649698E8</v>
      </c>
      <c r="W3894" s="1" t="s">
        <v>85</v>
      </c>
      <c r="X3894" s="1" t="s">
        <v>1534</v>
      </c>
    </row>
    <row r="3895">
      <c r="A3895" s="1" t="s">
        <v>11182</v>
      </c>
      <c r="B3895" s="1" t="s">
        <v>341</v>
      </c>
      <c r="C3895" s="1" t="s">
        <v>11183</v>
      </c>
      <c r="D3895" s="1" t="s">
        <v>28</v>
      </c>
      <c r="E3895" s="1" t="s">
        <v>29</v>
      </c>
      <c r="F3895" s="5">
        <v>200000.0</v>
      </c>
      <c r="G3895" s="1" t="s">
        <v>7016</v>
      </c>
      <c r="H3895" s="4">
        <v>44541.0</v>
      </c>
      <c r="I3895" s="4">
        <v>44567.0</v>
      </c>
      <c r="K3895" s="1">
        <v>0.0</v>
      </c>
      <c r="L3895" s="1" t="s">
        <v>415</v>
      </c>
      <c r="M3895" s="1" t="str">
        <f>VLOOKUP(L3895,'Copy of PMD Workday Constants -'!B3894:W4580,22,false)</f>
        <v>#N/A</v>
      </c>
      <c r="N3895" s="1" t="s">
        <v>32</v>
      </c>
      <c r="O3895" s="1" t="s">
        <v>33</v>
      </c>
      <c r="P3895" s="1" t="s">
        <v>210</v>
      </c>
      <c r="Q3895" s="1" t="s">
        <v>210</v>
      </c>
      <c r="R3895" s="1" t="s">
        <v>211</v>
      </c>
      <c r="T3895" s="1">
        <v>1.00650375E8</v>
      </c>
      <c r="W3895" s="1" t="s">
        <v>85</v>
      </c>
      <c r="X3895" s="1" t="s">
        <v>415</v>
      </c>
    </row>
    <row r="3896">
      <c r="A3896" s="1" t="s">
        <v>11184</v>
      </c>
      <c r="B3896" s="1" t="s">
        <v>907</v>
      </c>
      <c r="C3896" s="1" t="s">
        <v>11185</v>
      </c>
      <c r="D3896" s="1" t="s">
        <v>28</v>
      </c>
      <c r="E3896" s="1" t="s">
        <v>29</v>
      </c>
      <c r="F3896" s="5">
        <v>200000.0</v>
      </c>
      <c r="G3896" s="1" t="s">
        <v>7016</v>
      </c>
      <c r="H3896" s="1" t="s">
        <v>2142</v>
      </c>
      <c r="I3896" s="1" t="s">
        <v>941</v>
      </c>
      <c r="K3896" s="1">
        <v>0.0</v>
      </c>
      <c r="L3896" s="1" t="s">
        <v>2983</v>
      </c>
      <c r="M3896" s="1" t="str">
        <f>VLOOKUP(L3896,'Copy of PMD Workday Constants -'!B3895:W4581,22,false)</f>
        <v>#N/A</v>
      </c>
      <c r="N3896" s="1" t="s">
        <v>32</v>
      </c>
      <c r="O3896" s="1" t="s">
        <v>33</v>
      </c>
      <c r="P3896" s="1" t="s">
        <v>34</v>
      </c>
      <c r="Q3896" s="1" t="s">
        <v>34</v>
      </c>
      <c r="R3896" s="1" t="s">
        <v>35</v>
      </c>
      <c r="T3896" s="1">
        <v>1.00650568E8</v>
      </c>
      <c r="W3896" s="1" t="s">
        <v>140</v>
      </c>
      <c r="X3896" s="1" t="s">
        <v>11186</v>
      </c>
    </row>
    <row r="3897">
      <c r="A3897" s="1" t="s">
        <v>11187</v>
      </c>
      <c r="B3897" s="1" t="s">
        <v>11188</v>
      </c>
      <c r="C3897" s="1" t="s">
        <v>11189</v>
      </c>
      <c r="D3897" s="1" t="s">
        <v>28</v>
      </c>
      <c r="E3897" s="1" t="s">
        <v>29</v>
      </c>
      <c r="F3897" s="5">
        <v>200000.0</v>
      </c>
      <c r="G3897" s="1" t="s">
        <v>7016</v>
      </c>
      <c r="H3897" s="4">
        <v>44564.0</v>
      </c>
      <c r="I3897" s="1" t="s">
        <v>132</v>
      </c>
      <c r="K3897" s="1">
        <v>0.0</v>
      </c>
      <c r="L3897" s="1" t="s">
        <v>1314</v>
      </c>
      <c r="M3897" s="1" t="str">
        <f>VLOOKUP(L3897,'Copy of PMD Workday Constants -'!B3896:W4582,22,false)</f>
        <v>#N/A</v>
      </c>
      <c r="N3897" s="1" t="s">
        <v>32</v>
      </c>
      <c r="O3897" s="1" t="s">
        <v>33</v>
      </c>
      <c r="P3897" s="1" t="s">
        <v>210</v>
      </c>
      <c r="Q3897" s="1" t="s">
        <v>210</v>
      </c>
      <c r="R3897" s="1" t="s">
        <v>211</v>
      </c>
      <c r="S3897" s="1" t="s">
        <v>1313</v>
      </c>
      <c r="T3897" s="1">
        <v>1.0059866E8</v>
      </c>
      <c r="W3897" s="1" t="s">
        <v>56</v>
      </c>
      <c r="X3897" s="1" t="s">
        <v>1314</v>
      </c>
    </row>
    <row r="3898">
      <c r="A3898" s="1" t="s">
        <v>11190</v>
      </c>
      <c r="B3898" s="1" t="s">
        <v>11191</v>
      </c>
      <c r="C3898" s="1" t="s">
        <v>11192</v>
      </c>
      <c r="D3898" s="1" t="s">
        <v>28</v>
      </c>
      <c r="E3898" s="1" t="s">
        <v>29</v>
      </c>
      <c r="F3898" s="5">
        <v>200000.0</v>
      </c>
      <c r="G3898" s="1" t="s">
        <v>7016</v>
      </c>
      <c r="H3898" s="1" t="s">
        <v>3007</v>
      </c>
      <c r="I3898" s="1" t="s">
        <v>96</v>
      </c>
      <c r="K3898" s="1">
        <v>0.0</v>
      </c>
      <c r="L3898" s="1" t="s">
        <v>2630</v>
      </c>
      <c r="M3898" s="1" t="str">
        <f>VLOOKUP(L3898,'Copy of PMD Workday Constants -'!B3897:W4583,22,false)</f>
        <v>#N/A</v>
      </c>
      <c r="N3898" s="1" t="s">
        <v>32</v>
      </c>
      <c r="O3898" s="1" t="s">
        <v>33</v>
      </c>
      <c r="P3898" s="1" t="s">
        <v>34</v>
      </c>
      <c r="Q3898" s="1" t="s">
        <v>34</v>
      </c>
      <c r="R3898" s="1" t="s">
        <v>35</v>
      </c>
      <c r="S3898" s="1" t="s">
        <v>1166</v>
      </c>
      <c r="T3898" s="1">
        <v>1.00606975E8</v>
      </c>
      <c r="W3898" s="1" t="s">
        <v>456</v>
      </c>
      <c r="X3898" s="1" t="s">
        <v>4015</v>
      </c>
    </row>
    <row r="3899">
      <c r="A3899" s="1" t="s">
        <v>11193</v>
      </c>
      <c r="B3899" s="1" t="s">
        <v>11194</v>
      </c>
      <c r="C3899" s="1" t="s">
        <v>11195</v>
      </c>
      <c r="D3899" s="1" t="s">
        <v>28</v>
      </c>
      <c r="E3899" s="1" t="s">
        <v>29</v>
      </c>
      <c r="F3899" s="5">
        <v>200000.0</v>
      </c>
      <c r="G3899" s="1" t="s">
        <v>7016</v>
      </c>
      <c r="H3899" s="1" t="s">
        <v>1436</v>
      </c>
      <c r="I3899" s="1" t="s">
        <v>80</v>
      </c>
      <c r="K3899" s="1">
        <v>0.0</v>
      </c>
      <c r="L3899" s="1" t="s">
        <v>2201</v>
      </c>
      <c r="M3899" s="1" t="str">
        <f>VLOOKUP(L3899,'Copy of PMD Workday Constants -'!B3898:W4584,22,false)</f>
        <v>#N/A</v>
      </c>
      <c r="N3899" s="1" t="s">
        <v>32</v>
      </c>
      <c r="O3899" s="1" t="s">
        <v>33</v>
      </c>
      <c r="P3899" s="1" t="s">
        <v>64</v>
      </c>
      <c r="Q3899" s="1" t="s">
        <v>64</v>
      </c>
      <c r="R3899" s="1" t="s">
        <v>65</v>
      </c>
      <c r="S3899" s="1" t="s">
        <v>1496</v>
      </c>
      <c r="T3899" s="1">
        <v>1.00649936E8</v>
      </c>
      <c r="W3899" s="1" t="s">
        <v>577</v>
      </c>
      <c r="X3899" s="1" t="s">
        <v>2201</v>
      </c>
    </row>
    <row r="3900">
      <c r="A3900" s="1" t="s">
        <v>11196</v>
      </c>
      <c r="B3900" s="1" t="s">
        <v>11197</v>
      </c>
      <c r="C3900" s="1" t="s">
        <v>11198</v>
      </c>
      <c r="D3900" s="1" t="s">
        <v>28</v>
      </c>
      <c r="E3900" s="1" t="s">
        <v>29</v>
      </c>
      <c r="F3900" s="5">
        <v>200000.0</v>
      </c>
      <c r="G3900" s="1" t="s">
        <v>7016</v>
      </c>
      <c r="H3900" s="4">
        <v>44748.0</v>
      </c>
      <c r="I3900" s="1" t="s">
        <v>80</v>
      </c>
      <c r="K3900" s="1">
        <v>0.0</v>
      </c>
      <c r="L3900" s="1" t="s">
        <v>7088</v>
      </c>
      <c r="M3900" s="1" t="str">
        <f>VLOOKUP(L3900,'Copy of PMD Workday Constants -'!B3899:W4585,22,false)</f>
        <v>#N/A</v>
      </c>
      <c r="N3900" s="1" t="s">
        <v>32</v>
      </c>
      <c r="O3900" s="1" t="s">
        <v>33</v>
      </c>
      <c r="P3900" s="1" t="s">
        <v>54</v>
      </c>
      <c r="Q3900" s="1" t="s">
        <v>54</v>
      </c>
      <c r="R3900" s="1" t="s">
        <v>55</v>
      </c>
      <c r="T3900" s="1">
        <v>1.00659145E8</v>
      </c>
      <c r="W3900" s="1" t="s">
        <v>74</v>
      </c>
      <c r="X3900" s="1" t="s">
        <v>11199</v>
      </c>
    </row>
    <row r="3901">
      <c r="A3901" s="1" t="s">
        <v>11200</v>
      </c>
      <c r="B3901" s="1" t="s">
        <v>3040</v>
      </c>
      <c r="C3901" s="1" t="s">
        <v>11201</v>
      </c>
      <c r="D3901" s="1" t="s">
        <v>28</v>
      </c>
      <c r="E3901" s="1" t="s">
        <v>29</v>
      </c>
      <c r="F3901" s="5">
        <v>200000.0</v>
      </c>
      <c r="G3901" s="1" t="s">
        <v>7016</v>
      </c>
      <c r="H3901" s="1" t="s">
        <v>131</v>
      </c>
      <c r="I3901" s="1" t="s">
        <v>132</v>
      </c>
      <c r="K3901" s="1">
        <v>0.0</v>
      </c>
      <c r="L3901" s="1" t="s">
        <v>7276</v>
      </c>
      <c r="M3901" s="1" t="str">
        <f>VLOOKUP(L3901,'Copy of PMD Workday Constants -'!B3900:W4586,22,false)</f>
        <v>#N/A</v>
      </c>
      <c r="N3901" s="1" t="s">
        <v>32</v>
      </c>
      <c r="O3901" s="1" t="s">
        <v>33</v>
      </c>
      <c r="P3901" s="1" t="s">
        <v>64</v>
      </c>
      <c r="Q3901" s="1" t="s">
        <v>64</v>
      </c>
      <c r="R3901" s="1" t="s">
        <v>65</v>
      </c>
      <c r="S3901" s="1" t="s">
        <v>9125</v>
      </c>
      <c r="T3901" s="1">
        <v>1.00587219E8</v>
      </c>
      <c r="W3901" s="1" t="s">
        <v>308</v>
      </c>
      <c r="X3901" s="1" t="s">
        <v>11202</v>
      </c>
    </row>
    <row r="3902">
      <c r="A3902" s="1" t="s">
        <v>11203</v>
      </c>
      <c r="B3902" s="1" t="s">
        <v>1373</v>
      </c>
      <c r="C3902" s="1" t="s">
        <v>11204</v>
      </c>
      <c r="D3902" s="1" t="s">
        <v>28</v>
      </c>
      <c r="E3902" s="1" t="s">
        <v>29</v>
      </c>
      <c r="F3902" s="5">
        <v>200000.0</v>
      </c>
      <c r="G3902" s="1" t="s">
        <v>7016</v>
      </c>
      <c r="H3902" s="1" t="s">
        <v>537</v>
      </c>
      <c r="I3902" s="1" t="s">
        <v>301</v>
      </c>
      <c r="K3902" s="1">
        <v>0.0</v>
      </c>
      <c r="L3902" s="1" t="s">
        <v>2699</v>
      </c>
      <c r="M3902" s="1" t="str">
        <f>VLOOKUP(L3902,'Copy of PMD Workday Constants -'!B3901:W4587,22,false)</f>
        <v>#N/A</v>
      </c>
      <c r="N3902" s="1" t="s">
        <v>32</v>
      </c>
      <c r="O3902" s="1" t="s">
        <v>33</v>
      </c>
      <c r="P3902" s="1" t="s">
        <v>34</v>
      </c>
      <c r="Q3902" s="1" t="s">
        <v>34</v>
      </c>
      <c r="R3902" s="1" t="s">
        <v>35</v>
      </c>
      <c r="S3902" s="1" t="s">
        <v>126</v>
      </c>
      <c r="T3902" s="1">
        <v>1.00610367E8</v>
      </c>
      <c r="W3902" s="1" t="s">
        <v>74</v>
      </c>
      <c r="X3902" s="1" t="s">
        <v>11205</v>
      </c>
    </row>
    <row r="3903">
      <c r="A3903" s="1" t="s">
        <v>11206</v>
      </c>
      <c r="B3903" s="1" t="s">
        <v>11207</v>
      </c>
      <c r="C3903" s="1" t="s">
        <v>11208</v>
      </c>
      <c r="D3903" s="1" t="s">
        <v>28</v>
      </c>
      <c r="E3903" s="1" t="s">
        <v>29</v>
      </c>
      <c r="F3903" s="5">
        <v>200000.0</v>
      </c>
      <c r="G3903" s="1" t="s">
        <v>7016</v>
      </c>
      <c r="H3903" s="1" t="s">
        <v>442</v>
      </c>
      <c r="I3903" s="1" t="s">
        <v>96</v>
      </c>
      <c r="K3903" s="1">
        <v>0.0</v>
      </c>
      <c r="L3903" s="1" t="s">
        <v>4873</v>
      </c>
      <c r="M3903" s="1" t="str">
        <f>VLOOKUP(L3903,'Copy of PMD Workday Constants -'!B3902:W4588,22,false)</f>
        <v>#N/A</v>
      </c>
      <c r="N3903" s="1" t="s">
        <v>32</v>
      </c>
      <c r="O3903" s="1" t="s">
        <v>33</v>
      </c>
      <c r="P3903" s="1" t="s">
        <v>34</v>
      </c>
      <c r="Q3903" s="1" t="s">
        <v>34</v>
      </c>
      <c r="R3903" s="1" t="s">
        <v>35</v>
      </c>
      <c r="T3903" s="1">
        <v>1.00587881E8</v>
      </c>
      <c r="W3903" s="1" t="s">
        <v>37</v>
      </c>
      <c r="X3903" s="1" t="s">
        <v>4873</v>
      </c>
    </row>
    <row r="3904">
      <c r="A3904" s="1" t="s">
        <v>11209</v>
      </c>
      <c r="B3904" s="1" t="s">
        <v>3973</v>
      </c>
      <c r="C3904" s="1" t="s">
        <v>11210</v>
      </c>
      <c r="D3904" s="1" t="s">
        <v>28</v>
      </c>
      <c r="E3904" s="1" t="s">
        <v>29</v>
      </c>
      <c r="F3904" s="5">
        <v>200000.0</v>
      </c>
      <c r="G3904" s="1" t="s">
        <v>7016</v>
      </c>
      <c r="H3904" s="4">
        <v>44656.0</v>
      </c>
      <c r="I3904" s="1" t="s">
        <v>104</v>
      </c>
      <c r="K3904" s="1">
        <v>0.0</v>
      </c>
      <c r="L3904" s="1" t="s">
        <v>3975</v>
      </c>
      <c r="M3904" s="1" t="str">
        <f>VLOOKUP(L3904,'Copy of PMD Workday Constants -'!B3903:W4589,22,false)</f>
        <v>#N/A</v>
      </c>
      <c r="N3904" s="1" t="s">
        <v>32</v>
      </c>
      <c r="O3904" s="1" t="s">
        <v>33</v>
      </c>
      <c r="P3904" s="1" t="s">
        <v>210</v>
      </c>
      <c r="Q3904" s="1" t="s">
        <v>210</v>
      </c>
      <c r="R3904" s="1" t="s">
        <v>211</v>
      </c>
      <c r="S3904" s="1" t="s">
        <v>212</v>
      </c>
      <c r="T3904" s="1">
        <v>1.00623535E8</v>
      </c>
      <c r="W3904" s="1" t="s">
        <v>56</v>
      </c>
      <c r="X3904" s="1" t="s">
        <v>3975</v>
      </c>
    </row>
    <row r="3905">
      <c r="A3905" s="1" t="s">
        <v>11211</v>
      </c>
      <c r="B3905" s="1" t="s">
        <v>800</v>
      </c>
      <c r="C3905" s="1" t="s">
        <v>11212</v>
      </c>
      <c r="D3905" s="1" t="s">
        <v>103</v>
      </c>
      <c r="E3905" s="1" t="s">
        <v>29</v>
      </c>
      <c r="F3905" s="5">
        <v>200000.0</v>
      </c>
      <c r="G3905" s="1" t="s">
        <v>7016</v>
      </c>
      <c r="H3905" s="1" t="s">
        <v>110</v>
      </c>
      <c r="I3905" s="1" t="s">
        <v>80</v>
      </c>
      <c r="K3905" s="1">
        <v>0.0</v>
      </c>
      <c r="L3905" s="1" t="s">
        <v>4925</v>
      </c>
      <c r="M3905" s="1" t="str">
        <f>VLOOKUP(L3905,'Copy of PMD Workday Constants -'!B3904:W4590,22,false)</f>
        <v>#N/A</v>
      </c>
      <c r="N3905" s="1" t="s">
        <v>32</v>
      </c>
      <c r="O3905" s="1" t="s">
        <v>33</v>
      </c>
      <c r="P3905" s="1" t="s">
        <v>210</v>
      </c>
      <c r="Q3905" s="1" t="s">
        <v>210</v>
      </c>
      <c r="R3905" s="1" t="s">
        <v>211</v>
      </c>
      <c r="S3905" s="1" t="s">
        <v>212</v>
      </c>
      <c r="T3905" s="1">
        <v>1.00646035E8</v>
      </c>
      <c r="W3905" s="1" t="s">
        <v>56</v>
      </c>
      <c r="X3905" s="1" t="s">
        <v>4925</v>
      </c>
    </row>
    <row r="3906">
      <c r="A3906" s="1" t="s">
        <v>11213</v>
      </c>
      <c r="B3906" s="1" t="s">
        <v>580</v>
      </c>
      <c r="C3906" s="1" t="s">
        <v>11214</v>
      </c>
      <c r="D3906" s="1" t="s">
        <v>51</v>
      </c>
      <c r="E3906" s="1" t="s">
        <v>29</v>
      </c>
      <c r="F3906" s="5">
        <v>200000.0</v>
      </c>
      <c r="G3906" s="1" t="s">
        <v>7016</v>
      </c>
      <c r="H3906" s="1" t="s">
        <v>1245</v>
      </c>
      <c r="I3906" s="4">
        <v>44570.0</v>
      </c>
      <c r="K3906" s="1">
        <v>0.0</v>
      </c>
      <c r="L3906" s="1" t="s">
        <v>1098</v>
      </c>
      <c r="M3906" s="1" t="str">
        <f>VLOOKUP(L3906,'Copy of PMD Workday Constants -'!B3905:W4591,22,false)</f>
        <v>#N/A</v>
      </c>
      <c r="N3906" s="1" t="s">
        <v>32</v>
      </c>
      <c r="O3906" s="1" t="s">
        <v>33</v>
      </c>
      <c r="P3906" s="1" t="s">
        <v>173</v>
      </c>
      <c r="Q3906" s="1" t="s">
        <v>173</v>
      </c>
      <c r="R3906" s="1" t="s">
        <v>174</v>
      </c>
      <c r="T3906" s="1">
        <v>1.00609827E8</v>
      </c>
      <c r="W3906" s="1" t="s">
        <v>456</v>
      </c>
      <c r="X3906" s="1" t="s">
        <v>11215</v>
      </c>
    </row>
    <row r="3907">
      <c r="A3907" s="1" t="s">
        <v>11216</v>
      </c>
      <c r="B3907" s="1" t="s">
        <v>8743</v>
      </c>
      <c r="C3907" s="1" t="s">
        <v>11217</v>
      </c>
      <c r="D3907" s="1" t="s">
        <v>28</v>
      </c>
      <c r="E3907" s="1" t="s">
        <v>29</v>
      </c>
      <c r="F3907" s="5">
        <v>200000.0</v>
      </c>
      <c r="G3907" s="1" t="s">
        <v>7016</v>
      </c>
      <c r="H3907" s="1" t="s">
        <v>4346</v>
      </c>
      <c r="I3907" s="1" t="s">
        <v>9451</v>
      </c>
      <c r="K3907" s="1">
        <v>0.0</v>
      </c>
      <c r="L3907" s="1" t="s">
        <v>2042</v>
      </c>
      <c r="M3907" s="1" t="str">
        <f>VLOOKUP(L3907,'Copy of PMD Workday Constants -'!B3906:W4592,22,false)</f>
        <v>#N/A</v>
      </c>
      <c r="N3907" s="1" t="s">
        <v>32</v>
      </c>
      <c r="O3907" s="1" t="s">
        <v>33</v>
      </c>
      <c r="P3907" s="1" t="s">
        <v>34</v>
      </c>
      <c r="Q3907" s="1" t="s">
        <v>34</v>
      </c>
      <c r="R3907" s="1" t="s">
        <v>35</v>
      </c>
      <c r="S3907" s="1" t="s">
        <v>126</v>
      </c>
      <c r="T3907" s="1">
        <v>1.00611284E8</v>
      </c>
      <c r="W3907" s="1" t="s">
        <v>74</v>
      </c>
      <c r="X3907" s="1" t="s">
        <v>6139</v>
      </c>
    </row>
    <row r="3908">
      <c r="A3908" s="1" t="s">
        <v>11218</v>
      </c>
      <c r="B3908" s="1" t="s">
        <v>11219</v>
      </c>
      <c r="C3908" s="1" t="s">
        <v>11220</v>
      </c>
      <c r="D3908" s="1" t="s">
        <v>51</v>
      </c>
      <c r="E3908" s="1" t="s">
        <v>29</v>
      </c>
      <c r="F3908" s="5">
        <v>200000.0</v>
      </c>
      <c r="G3908" s="1" t="s">
        <v>7016</v>
      </c>
      <c r="H3908" s="1" t="s">
        <v>3781</v>
      </c>
      <c r="I3908" s="1" t="s">
        <v>80</v>
      </c>
      <c r="K3908" s="1">
        <v>0.0</v>
      </c>
      <c r="L3908" s="1" t="s">
        <v>3137</v>
      </c>
      <c r="M3908" s="1" t="str">
        <f>VLOOKUP(L3908,'Copy of PMD Workday Constants -'!B3907:W4593,22,false)</f>
        <v>#N/A</v>
      </c>
      <c r="N3908" s="1" t="s">
        <v>32</v>
      </c>
      <c r="O3908" s="1" t="s">
        <v>33</v>
      </c>
      <c r="P3908" s="1" t="s">
        <v>82</v>
      </c>
      <c r="Q3908" s="1" t="s">
        <v>82</v>
      </c>
      <c r="R3908" s="1" t="s">
        <v>83</v>
      </c>
      <c r="S3908" s="1" t="s">
        <v>180</v>
      </c>
      <c r="T3908" s="1">
        <v>1.00586452E8</v>
      </c>
      <c r="W3908" s="1" t="s">
        <v>2098</v>
      </c>
      <c r="X3908" s="1" t="s">
        <v>5126</v>
      </c>
    </row>
    <row r="3909">
      <c r="A3909" s="1" t="s">
        <v>11221</v>
      </c>
      <c r="B3909" s="1" t="s">
        <v>8043</v>
      </c>
      <c r="C3909" s="1" t="s">
        <v>11222</v>
      </c>
      <c r="D3909" s="1" t="s">
        <v>28</v>
      </c>
      <c r="E3909" s="1" t="s">
        <v>29</v>
      </c>
      <c r="F3909" s="5">
        <v>200000.0</v>
      </c>
      <c r="G3909" s="1" t="s">
        <v>7016</v>
      </c>
      <c r="H3909" s="1" t="s">
        <v>4625</v>
      </c>
      <c r="I3909" s="1" t="s">
        <v>732</v>
      </c>
      <c r="K3909" s="1">
        <v>0.0</v>
      </c>
      <c r="L3909" s="1" t="s">
        <v>1249</v>
      </c>
      <c r="M3909" s="1" t="str">
        <f>VLOOKUP(L3909,'Copy of PMD Workday Constants -'!B3908:W4594,22,false)</f>
        <v>#N/A</v>
      </c>
      <c r="N3909" s="1" t="s">
        <v>32</v>
      </c>
      <c r="O3909" s="1" t="s">
        <v>33</v>
      </c>
      <c r="P3909" s="1" t="s">
        <v>222</v>
      </c>
      <c r="Q3909" s="1" t="s">
        <v>222</v>
      </c>
      <c r="R3909" s="1" t="s">
        <v>223</v>
      </c>
      <c r="S3909" s="1" t="s">
        <v>646</v>
      </c>
      <c r="T3909" s="1">
        <v>1.00609871E8</v>
      </c>
      <c r="U3909" s="1" t="s">
        <v>11223</v>
      </c>
      <c r="V3909" s="1" t="s">
        <v>187</v>
      </c>
      <c r="W3909" s="1" t="s">
        <v>493</v>
      </c>
      <c r="X3909" s="1" t="s">
        <v>1250</v>
      </c>
    </row>
    <row r="3910">
      <c r="A3910" s="1" t="s">
        <v>11224</v>
      </c>
      <c r="B3910" s="1" t="s">
        <v>6161</v>
      </c>
      <c r="C3910" s="1" t="s">
        <v>11225</v>
      </c>
      <c r="D3910" s="1" t="s">
        <v>28</v>
      </c>
      <c r="E3910" s="1" t="s">
        <v>29</v>
      </c>
      <c r="F3910" s="5">
        <v>200000.0</v>
      </c>
      <c r="G3910" s="1" t="s">
        <v>7016</v>
      </c>
      <c r="H3910" s="4">
        <v>44511.0</v>
      </c>
      <c r="I3910" s="1" t="s">
        <v>43</v>
      </c>
      <c r="K3910" s="1">
        <v>0.0</v>
      </c>
      <c r="L3910" s="1" t="s">
        <v>2310</v>
      </c>
      <c r="M3910" s="1" t="str">
        <f>VLOOKUP(L3910,'Copy of PMD Workday Constants -'!B3909:W4595,22,false)</f>
        <v>#N/A</v>
      </c>
      <c r="N3910" s="1" t="s">
        <v>32</v>
      </c>
      <c r="O3910" s="1" t="s">
        <v>33</v>
      </c>
      <c r="P3910" s="1" t="s">
        <v>82</v>
      </c>
      <c r="Q3910" s="1" t="s">
        <v>82</v>
      </c>
      <c r="R3910" s="1" t="s">
        <v>83</v>
      </c>
      <c r="S3910" s="1" t="s">
        <v>180</v>
      </c>
      <c r="T3910" s="1">
        <v>1.01078216E8</v>
      </c>
      <c r="W3910" s="1" t="s">
        <v>85</v>
      </c>
      <c r="X3910" s="1" t="s">
        <v>2310</v>
      </c>
    </row>
    <row r="3911">
      <c r="A3911" s="1" t="s">
        <v>11226</v>
      </c>
      <c r="B3911" s="1" t="s">
        <v>7899</v>
      </c>
      <c r="C3911" s="1" t="s">
        <v>11227</v>
      </c>
      <c r="D3911" s="1" t="s">
        <v>28</v>
      </c>
      <c r="E3911" s="1" t="s">
        <v>29</v>
      </c>
      <c r="F3911" s="5">
        <v>200000.0</v>
      </c>
      <c r="G3911" s="1" t="s">
        <v>7016</v>
      </c>
      <c r="H3911" s="1" t="s">
        <v>480</v>
      </c>
      <c r="I3911" s="4">
        <v>44568.0</v>
      </c>
      <c r="K3911" s="1">
        <v>0.0</v>
      </c>
      <c r="L3911" s="1" t="s">
        <v>3788</v>
      </c>
      <c r="M3911" s="1" t="str">
        <f>VLOOKUP(L3911,'Copy of PMD Workday Constants -'!B3910:W4596,22,false)</f>
        <v>#N/A</v>
      </c>
      <c r="N3911" s="1" t="s">
        <v>32</v>
      </c>
      <c r="O3911" s="1" t="s">
        <v>33</v>
      </c>
      <c r="P3911" s="1" t="s">
        <v>64</v>
      </c>
      <c r="Q3911" s="1" t="s">
        <v>64</v>
      </c>
      <c r="R3911" s="1" t="s">
        <v>65</v>
      </c>
      <c r="S3911" s="1" t="s">
        <v>185</v>
      </c>
      <c r="T3911" s="1">
        <v>1.00652316E8</v>
      </c>
      <c r="W3911" s="1" t="s">
        <v>74</v>
      </c>
      <c r="X3911" s="1" t="s">
        <v>3788</v>
      </c>
    </row>
    <row r="3912">
      <c r="A3912" s="1" t="s">
        <v>11228</v>
      </c>
      <c r="B3912" s="1" t="s">
        <v>11229</v>
      </c>
      <c r="C3912" s="1" t="s">
        <v>7146</v>
      </c>
      <c r="D3912" s="1" t="s">
        <v>51</v>
      </c>
      <c r="E3912" s="1" t="s">
        <v>29</v>
      </c>
      <c r="F3912" s="5">
        <v>200000.0</v>
      </c>
      <c r="G3912" s="1" t="s">
        <v>7016</v>
      </c>
      <c r="H3912" s="1" t="s">
        <v>11230</v>
      </c>
      <c r="I3912" s="1" t="s">
        <v>302</v>
      </c>
      <c r="K3912" s="1">
        <v>0.0</v>
      </c>
      <c r="L3912" s="1" t="s">
        <v>4365</v>
      </c>
      <c r="M3912" s="1" t="str">
        <f>VLOOKUP(L3912,'Copy of PMD Workday Constants -'!B3911:W4597,22,false)</f>
        <v>#N/A</v>
      </c>
      <c r="N3912" s="1" t="s">
        <v>32</v>
      </c>
      <c r="O3912" s="1" t="s">
        <v>33</v>
      </c>
      <c r="P3912" s="1" t="s">
        <v>173</v>
      </c>
      <c r="Q3912" s="1" t="s">
        <v>173</v>
      </c>
      <c r="R3912" s="1" t="s">
        <v>174</v>
      </c>
      <c r="S3912" s="1" t="s">
        <v>492</v>
      </c>
      <c r="T3912" s="1">
        <v>1.0066064E8</v>
      </c>
      <c r="W3912" s="1" t="s">
        <v>1303</v>
      </c>
      <c r="X3912" s="1" t="s">
        <v>11231</v>
      </c>
    </row>
    <row r="3913">
      <c r="A3913" s="1" t="s">
        <v>11232</v>
      </c>
      <c r="B3913" s="1" t="s">
        <v>8743</v>
      </c>
      <c r="C3913" s="1" t="s">
        <v>11233</v>
      </c>
      <c r="D3913" s="1" t="s">
        <v>28</v>
      </c>
      <c r="E3913" s="1" t="s">
        <v>29</v>
      </c>
      <c r="F3913" s="5">
        <v>200000.0</v>
      </c>
      <c r="G3913" s="1" t="s">
        <v>7016</v>
      </c>
      <c r="H3913" s="1" t="s">
        <v>4346</v>
      </c>
      <c r="I3913" s="1" t="s">
        <v>11234</v>
      </c>
      <c r="K3913" s="1">
        <v>0.0</v>
      </c>
      <c r="L3913" s="1" t="s">
        <v>2042</v>
      </c>
      <c r="M3913" s="1" t="str">
        <f>VLOOKUP(L3913,'Copy of PMD Workday Constants -'!B3912:W4598,22,false)</f>
        <v>#N/A</v>
      </c>
      <c r="N3913" s="1" t="s">
        <v>32</v>
      </c>
      <c r="O3913" s="1" t="s">
        <v>33</v>
      </c>
      <c r="P3913" s="1" t="s">
        <v>34</v>
      </c>
      <c r="Q3913" s="1" t="s">
        <v>34</v>
      </c>
      <c r="R3913" s="1" t="s">
        <v>35</v>
      </c>
      <c r="S3913" s="1" t="s">
        <v>126</v>
      </c>
      <c r="T3913" s="1">
        <v>1.00611284E8</v>
      </c>
      <c r="W3913" s="1" t="s">
        <v>74</v>
      </c>
      <c r="X3913" s="1" t="s">
        <v>6139</v>
      </c>
    </row>
    <row r="3914">
      <c r="A3914" s="1" t="s">
        <v>11235</v>
      </c>
      <c r="B3914" s="1" t="s">
        <v>1402</v>
      </c>
      <c r="C3914" s="1" t="s">
        <v>11236</v>
      </c>
      <c r="D3914" s="1" t="s">
        <v>28</v>
      </c>
      <c r="E3914" s="1" t="s">
        <v>29</v>
      </c>
      <c r="F3914" s="5">
        <v>200000.0</v>
      </c>
      <c r="G3914" s="1" t="s">
        <v>7016</v>
      </c>
      <c r="H3914" s="4">
        <v>44511.0</v>
      </c>
      <c r="I3914" s="1" t="s">
        <v>217</v>
      </c>
      <c r="K3914" s="1">
        <v>0.0</v>
      </c>
      <c r="L3914" s="1" t="s">
        <v>2310</v>
      </c>
      <c r="M3914" s="1" t="str">
        <f>VLOOKUP(L3914,'Copy of PMD Workday Constants -'!B3913:W4599,22,false)</f>
        <v>#N/A</v>
      </c>
      <c r="N3914" s="1" t="s">
        <v>32</v>
      </c>
      <c r="O3914" s="1" t="s">
        <v>33</v>
      </c>
      <c r="P3914" s="1" t="s">
        <v>82</v>
      </c>
      <c r="Q3914" s="1" t="s">
        <v>82</v>
      </c>
      <c r="R3914" s="1" t="s">
        <v>83</v>
      </c>
      <c r="S3914" s="1" t="s">
        <v>180</v>
      </c>
      <c r="T3914" s="1">
        <v>1.01078216E8</v>
      </c>
      <c r="W3914" s="1" t="s">
        <v>85</v>
      </c>
      <c r="X3914" s="1" t="s">
        <v>2310</v>
      </c>
    </row>
    <row r="3915">
      <c r="A3915" s="1" t="s">
        <v>11237</v>
      </c>
      <c r="B3915" s="1" t="s">
        <v>1096</v>
      </c>
      <c r="C3915" s="1" t="s">
        <v>11238</v>
      </c>
      <c r="D3915" s="1" t="s">
        <v>28</v>
      </c>
      <c r="E3915" s="1" t="s">
        <v>29</v>
      </c>
      <c r="F3915" s="5">
        <v>200000.0</v>
      </c>
      <c r="G3915" s="1" t="s">
        <v>7016</v>
      </c>
      <c r="H3915" s="1" t="s">
        <v>5581</v>
      </c>
      <c r="I3915" s="1" t="s">
        <v>132</v>
      </c>
      <c r="K3915" s="1">
        <v>0.0</v>
      </c>
      <c r="L3915" s="1" t="s">
        <v>5431</v>
      </c>
      <c r="M3915" s="1" t="str">
        <f>VLOOKUP(L3915,'Copy of PMD Workday Constants -'!B3914:W4600,22,false)</f>
        <v>#N/A</v>
      </c>
      <c r="N3915" s="1" t="s">
        <v>32</v>
      </c>
      <c r="O3915" s="1" t="s">
        <v>33</v>
      </c>
      <c r="P3915" s="1" t="s">
        <v>34</v>
      </c>
      <c r="Q3915" s="1" t="s">
        <v>34</v>
      </c>
      <c r="R3915" s="1" t="s">
        <v>35</v>
      </c>
      <c r="S3915" s="1" t="s">
        <v>1166</v>
      </c>
      <c r="T3915" s="1">
        <v>1.00580806E8</v>
      </c>
      <c r="W3915" s="1" t="s">
        <v>456</v>
      </c>
      <c r="X3915" s="1" t="s">
        <v>7966</v>
      </c>
    </row>
    <row r="3916">
      <c r="A3916" s="1" t="s">
        <v>11239</v>
      </c>
      <c r="B3916" s="1" t="s">
        <v>2254</v>
      </c>
      <c r="C3916" s="1" t="s">
        <v>11240</v>
      </c>
      <c r="D3916" s="1" t="s">
        <v>28</v>
      </c>
      <c r="E3916" s="1" t="s">
        <v>29</v>
      </c>
      <c r="F3916" s="5">
        <v>200000.0</v>
      </c>
      <c r="G3916" s="1" t="s">
        <v>7016</v>
      </c>
      <c r="H3916" s="1" t="s">
        <v>2515</v>
      </c>
      <c r="I3916" s="1" t="s">
        <v>11241</v>
      </c>
      <c r="K3916" s="1">
        <v>0.0</v>
      </c>
      <c r="L3916" s="1" t="s">
        <v>1622</v>
      </c>
      <c r="M3916" s="1" t="str">
        <f>VLOOKUP(L3916,'Copy of PMD Workday Constants -'!B3915:W4601,22,false)</f>
        <v>#N/A</v>
      </c>
      <c r="N3916" s="1" t="s">
        <v>32</v>
      </c>
      <c r="O3916" s="1" t="s">
        <v>33</v>
      </c>
      <c r="P3916" s="1" t="s">
        <v>173</v>
      </c>
      <c r="Q3916" s="1" t="s">
        <v>173</v>
      </c>
      <c r="R3916" s="1" t="s">
        <v>174</v>
      </c>
      <c r="T3916" s="1">
        <v>1.00643454E8</v>
      </c>
      <c r="W3916" s="1" t="s">
        <v>456</v>
      </c>
      <c r="X3916" s="1" t="s">
        <v>1622</v>
      </c>
    </row>
    <row r="3917">
      <c r="A3917" s="1" t="s">
        <v>11242</v>
      </c>
      <c r="B3917" s="1" t="s">
        <v>5515</v>
      </c>
      <c r="C3917" s="1" t="s">
        <v>11243</v>
      </c>
      <c r="D3917" s="1" t="s">
        <v>28</v>
      </c>
      <c r="E3917" s="1" t="s">
        <v>29</v>
      </c>
      <c r="F3917" s="5">
        <v>200000.0</v>
      </c>
      <c r="G3917" s="1" t="s">
        <v>7016</v>
      </c>
      <c r="H3917" s="1" t="s">
        <v>375</v>
      </c>
      <c r="I3917" s="1" t="s">
        <v>1134</v>
      </c>
      <c r="K3917" s="1">
        <v>0.0</v>
      </c>
      <c r="L3917" s="1" t="s">
        <v>2630</v>
      </c>
      <c r="M3917" s="1" t="str">
        <f>VLOOKUP(L3917,'Copy of PMD Workday Constants -'!B3916:W4602,22,false)</f>
        <v>#N/A</v>
      </c>
      <c r="N3917" s="1" t="s">
        <v>32</v>
      </c>
      <c r="O3917" s="1" t="s">
        <v>33</v>
      </c>
      <c r="P3917" s="1" t="s">
        <v>34</v>
      </c>
      <c r="Q3917" s="1" t="s">
        <v>34</v>
      </c>
      <c r="R3917" s="1" t="s">
        <v>35</v>
      </c>
      <c r="S3917" s="1" t="s">
        <v>1166</v>
      </c>
      <c r="T3917" s="1">
        <v>1.00606975E8</v>
      </c>
      <c r="W3917" s="1" t="s">
        <v>456</v>
      </c>
      <c r="X3917" s="1" t="s">
        <v>2630</v>
      </c>
    </row>
    <row r="3918">
      <c r="A3918" s="1" t="s">
        <v>11244</v>
      </c>
      <c r="B3918" s="1" t="s">
        <v>11245</v>
      </c>
      <c r="C3918" s="1" t="s">
        <v>11246</v>
      </c>
      <c r="D3918" s="1" t="s">
        <v>103</v>
      </c>
      <c r="E3918" s="1" t="s">
        <v>29</v>
      </c>
      <c r="F3918" s="5">
        <v>200000.0</v>
      </c>
      <c r="G3918" s="1" t="s">
        <v>7016</v>
      </c>
      <c r="H3918" s="1" t="s">
        <v>1708</v>
      </c>
      <c r="I3918" s="1" t="s">
        <v>80</v>
      </c>
      <c r="K3918" s="1">
        <v>0.0</v>
      </c>
      <c r="L3918" s="1" t="s">
        <v>4994</v>
      </c>
      <c r="M3918" s="1" t="str">
        <f>VLOOKUP(L3918,'Copy of PMD Workday Constants -'!B3917:W4603,22,false)</f>
        <v>#N/A</v>
      </c>
      <c r="N3918" s="1" t="s">
        <v>32</v>
      </c>
      <c r="O3918" s="1" t="s">
        <v>33</v>
      </c>
      <c r="P3918" s="1" t="s">
        <v>82</v>
      </c>
      <c r="Q3918" s="1" t="s">
        <v>82</v>
      </c>
      <c r="R3918" s="1" t="s">
        <v>83</v>
      </c>
      <c r="S3918" s="1" t="s">
        <v>180</v>
      </c>
      <c r="T3918" s="1">
        <v>1.00618376E8</v>
      </c>
      <c r="W3918" s="1" t="s">
        <v>85</v>
      </c>
      <c r="X3918" s="1" t="s">
        <v>4994</v>
      </c>
    </row>
    <row r="3919">
      <c r="A3919" s="1" t="s">
        <v>11247</v>
      </c>
      <c r="B3919" s="1" t="s">
        <v>1387</v>
      </c>
      <c r="C3919" s="1" t="s">
        <v>11248</v>
      </c>
      <c r="D3919" s="1" t="s">
        <v>51</v>
      </c>
      <c r="E3919" s="1" t="s">
        <v>29</v>
      </c>
      <c r="F3919" s="5">
        <v>200000.0</v>
      </c>
      <c r="G3919" s="1" t="s">
        <v>7016</v>
      </c>
      <c r="H3919" s="1" t="s">
        <v>442</v>
      </c>
      <c r="I3919" s="1" t="s">
        <v>132</v>
      </c>
      <c r="K3919" s="1">
        <v>0.0</v>
      </c>
      <c r="L3919" s="1" t="s">
        <v>2093</v>
      </c>
      <c r="M3919" s="1" t="str">
        <f>VLOOKUP(L3919,'Copy of PMD Workday Constants -'!B3918:W4604,22,false)</f>
        <v>#N/A</v>
      </c>
      <c r="N3919" s="1" t="s">
        <v>32</v>
      </c>
      <c r="O3919" s="1" t="s">
        <v>33</v>
      </c>
      <c r="P3919" s="1" t="s">
        <v>222</v>
      </c>
      <c r="Q3919" s="1" t="s">
        <v>222</v>
      </c>
      <c r="R3919" s="1" t="s">
        <v>223</v>
      </c>
      <c r="T3919" s="1">
        <v>1.00612055E8</v>
      </c>
      <c r="W3919" s="1" t="s">
        <v>91</v>
      </c>
      <c r="X3919" s="1" t="s">
        <v>7807</v>
      </c>
    </row>
    <row r="3920">
      <c r="A3920" s="1" t="s">
        <v>11249</v>
      </c>
      <c r="B3920" s="1" t="s">
        <v>573</v>
      </c>
      <c r="C3920" s="1" t="s">
        <v>8672</v>
      </c>
      <c r="D3920" s="1" t="s">
        <v>51</v>
      </c>
      <c r="E3920" s="1" t="s">
        <v>29</v>
      </c>
      <c r="F3920" s="5">
        <v>200000.0</v>
      </c>
      <c r="G3920" s="1" t="s">
        <v>7016</v>
      </c>
      <c r="H3920" s="1" t="s">
        <v>2724</v>
      </c>
      <c r="I3920" s="1" t="s">
        <v>538</v>
      </c>
      <c r="K3920" s="1">
        <v>0.0</v>
      </c>
      <c r="L3920" s="1" t="s">
        <v>3727</v>
      </c>
      <c r="M3920" s="1" t="str">
        <f>VLOOKUP(L3920,'Copy of PMD Workday Constants -'!B3919:W4605,22,false)</f>
        <v>#N/A</v>
      </c>
      <c r="N3920" s="1" t="s">
        <v>32</v>
      </c>
      <c r="O3920" s="1" t="s">
        <v>33</v>
      </c>
      <c r="P3920" s="1" t="s">
        <v>222</v>
      </c>
      <c r="Q3920" s="1" t="s">
        <v>222</v>
      </c>
      <c r="R3920" s="1" t="s">
        <v>223</v>
      </c>
      <c r="S3920" s="1" t="s">
        <v>482</v>
      </c>
      <c r="T3920" s="1">
        <v>1.00611158E8</v>
      </c>
      <c r="W3920" s="1" t="s">
        <v>74</v>
      </c>
      <c r="X3920" s="1" t="s">
        <v>3727</v>
      </c>
    </row>
    <row r="3921">
      <c r="A3921" s="1" t="s">
        <v>11250</v>
      </c>
      <c r="B3921" s="1" t="s">
        <v>11251</v>
      </c>
      <c r="C3921" s="1" t="s">
        <v>11252</v>
      </c>
      <c r="D3921" s="1" t="s">
        <v>51</v>
      </c>
      <c r="E3921" s="1" t="s">
        <v>29</v>
      </c>
      <c r="F3921" s="5">
        <v>200000.0</v>
      </c>
      <c r="G3921" s="1" t="s">
        <v>7016</v>
      </c>
      <c r="H3921" s="1" t="s">
        <v>2069</v>
      </c>
      <c r="I3921" s="4">
        <v>44717.0</v>
      </c>
      <c r="K3921" s="1">
        <v>0.0</v>
      </c>
      <c r="L3921" s="1" t="s">
        <v>717</v>
      </c>
      <c r="M3921" s="1" t="str">
        <f>VLOOKUP(L3921,'Copy of PMD Workday Constants -'!B3920:W4606,22,false)</f>
        <v>#N/A</v>
      </c>
      <c r="N3921" s="1" t="s">
        <v>32</v>
      </c>
      <c r="O3921" s="1" t="s">
        <v>33</v>
      </c>
      <c r="P3921" s="1" t="s">
        <v>34</v>
      </c>
      <c r="Q3921" s="1" t="s">
        <v>34</v>
      </c>
      <c r="R3921" s="1" t="s">
        <v>35</v>
      </c>
      <c r="T3921" s="1">
        <v>1.00642379E8</v>
      </c>
      <c r="W3921" s="1" t="s">
        <v>140</v>
      </c>
      <c r="X3921" s="1" t="s">
        <v>1423</v>
      </c>
    </row>
    <row r="3922">
      <c r="A3922" s="1" t="s">
        <v>11253</v>
      </c>
      <c r="B3922" s="1" t="s">
        <v>1449</v>
      </c>
      <c r="C3922" s="1" t="s">
        <v>11254</v>
      </c>
      <c r="D3922" s="1" t="s">
        <v>28</v>
      </c>
      <c r="E3922" s="1" t="s">
        <v>29</v>
      </c>
      <c r="F3922" s="5">
        <v>200000.0</v>
      </c>
      <c r="G3922" s="1" t="s">
        <v>7016</v>
      </c>
      <c r="H3922" s="1" t="s">
        <v>1553</v>
      </c>
      <c r="I3922" s="1" t="s">
        <v>453</v>
      </c>
      <c r="K3922" s="1">
        <v>0.0</v>
      </c>
      <c r="L3922" s="1" t="s">
        <v>11255</v>
      </c>
      <c r="M3922" s="1" t="str">
        <f>VLOOKUP(L3922,'Copy of PMD Workday Constants -'!B3921:W4607,22,false)</f>
        <v>#N/A</v>
      </c>
      <c r="N3922" s="1" t="s">
        <v>32</v>
      </c>
      <c r="O3922" s="1" t="s">
        <v>33</v>
      </c>
      <c r="P3922" s="1" t="s">
        <v>173</v>
      </c>
      <c r="Q3922" s="1" t="s">
        <v>173</v>
      </c>
      <c r="R3922" s="1" t="s">
        <v>174</v>
      </c>
      <c r="T3922" s="1">
        <v>1.00612715E8</v>
      </c>
      <c r="W3922" s="1" t="s">
        <v>493</v>
      </c>
      <c r="X3922" s="1" t="s">
        <v>1451</v>
      </c>
    </row>
    <row r="3923">
      <c r="A3923" s="1" t="s">
        <v>11256</v>
      </c>
      <c r="B3923" s="1" t="s">
        <v>1562</v>
      </c>
      <c r="C3923" s="1" t="s">
        <v>11257</v>
      </c>
      <c r="D3923" s="1" t="s">
        <v>103</v>
      </c>
      <c r="E3923" s="1" t="s">
        <v>29</v>
      </c>
      <c r="F3923" s="5">
        <v>200000.0</v>
      </c>
      <c r="G3923" s="1" t="s">
        <v>7016</v>
      </c>
      <c r="H3923" s="1" t="s">
        <v>778</v>
      </c>
      <c r="I3923" s="1" t="s">
        <v>152</v>
      </c>
      <c r="K3923" s="1">
        <v>0.0</v>
      </c>
      <c r="L3923" s="1" t="s">
        <v>1549</v>
      </c>
      <c r="M3923" s="1" t="str">
        <f>VLOOKUP(L3923,'Copy of PMD Workday Constants -'!B3922:W4608,22,false)</f>
        <v>#N/A</v>
      </c>
      <c r="N3923" s="1" t="s">
        <v>32</v>
      </c>
      <c r="O3923" s="1" t="s">
        <v>33</v>
      </c>
      <c r="P3923" s="1" t="s">
        <v>173</v>
      </c>
      <c r="Q3923" s="1" t="s">
        <v>173</v>
      </c>
      <c r="R3923" s="1" t="s">
        <v>174</v>
      </c>
      <c r="S3923" s="1" t="s">
        <v>612</v>
      </c>
      <c r="T3923" s="1">
        <v>1.00646908E8</v>
      </c>
      <c r="W3923" s="1" t="s">
        <v>140</v>
      </c>
      <c r="X3923" s="1" t="s">
        <v>836</v>
      </c>
    </row>
    <row r="3924">
      <c r="A3924" s="1" t="s">
        <v>11258</v>
      </c>
      <c r="B3924" s="1" t="s">
        <v>7145</v>
      </c>
      <c r="C3924" s="1" t="s">
        <v>11259</v>
      </c>
      <c r="D3924" s="1" t="s">
        <v>28</v>
      </c>
      <c r="E3924" s="1" t="s">
        <v>29</v>
      </c>
      <c r="F3924" s="5">
        <v>200000.0</v>
      </c>
      <c r="G3924" s="1" t="s">
        <v>7016</v>
      </c>
      <c r="H3924" s="1" t="s">
        <v>1708</v>
      </c>
      <c r="I3924" s="1" t="s">
        <v>104</v>
      </c>
      <c r="K3924" s="1">
        <v>0.0</v>
      </c>
      <c r="L3924" s="1" t="s">
        <v>4994</v>
      </c>
      <c r="M3924" s="1" t="str">
        <f>VLOOKUP(L3924,'Copy of PMD Workday Constants -'!B3923:W4609,22,false)</f>
        <v>#N/A</v>
      </c>
      <c r="N3924" s="1" t="s">
        <v>32</v>
      </c>
      <c r="O3924" s="1" t="s">
        <v>33</v>
      </c>
      <c r="P3924" s="1" t="s">
        <v>82</v>
      </c>
      <c r="Q3924" s="1" t="s">
        <v>82</v>
      </c>
      <c r="R3924" s="1" t="s">
        <v>83</v>
      </c>
      <c r="S3924" s="1" t="s">
        <v>180</v>
      </c>
      <c r="T3924" s="1">
        <v>1.00618376E8</v>
      </c>
      <c r="W3924" s="1" t="s">
        <v>85</v>
      </c>
      <c r="X3924" s="1" t="s">
        <v>4994</v>
      </c>
    </row>
    <row r="3925">
      <c r="A3925" s="1" t="s">
        <v>11260</v>
      </c>
      <c r="B3925" s="1" t="s">
        <v>1429</v>
      </c>
      <c r="C3925" s="1" t="s">
        <v>11261</v>
      </c>
      <c r="D3925" s="1" t="s">
        <v>51</v>
      </c>
      <c r="E3925" s="1" t="s">
        <v>29</v>
      </c>
      <c r="F3925" s="5">
        <v>200000.0</v>
      </c>
      <c r="G3925" s="1" t="s">
        <v>7016</v>
      </c>
      <c r="H3925" s="1" t="s">
        <v>537</v>
      </c>
      <c r="I3925" s="1" t="s">
        <v>43</v>
      </c>
      <c r="K3925" s="1">
        <v>0.0</v>
      </c>
      <c r="L3925" s="1" t="s">
        <v>968</v>
      </c>
      <c r="M3925" s="1" t="str">
        <f>VLOOKUP(L3925,'Copy of PMD Workday Constants -'!B3924:W4610,22,false)</f>
        <v>#N/A</v>
      </c>
      <c r="N3925" s="1" t="s">
        <v>32</v>
      </c>
      <c r="O3925" s="1" t="s">
        <v>33</v>
      </c>
      <c r="P3925" s="1" t="s">
        <v>210</v>
      </c>
      <c r="Q3925" s="1" t="s">
        <v>210</v>
      </c>
      <c r="R3925" s="1" t="s">
        <v>211</v>
      </c>
      <c r="S3925" s="1" t="s">
        <v>416</v>
      </c>
      <c r="T3925" s="1">
        <v>1.00647262E8</v>
      </c>
      <c r="W3925" s="1" t="s">
        <v>56</v>
      </c>
      <c r="X3925" s="1" t="s">
        <v>1558</v>
      </c>
    </row>
    <row r="3926">
      <c r="A3926" s="1" t="s">
        <v>11262</v>
      </c>
      <c r="B3926" s="1" t="s">
        <v>4820</v>
      </c>
      <c r="C3926" s="1" t="s">
        <v>11263</v>
      </c>
      <c r="D3926" s="1" t="s">
        <v>51</v>
      </c>
      <c r="E3926" s="1" t="s">
        <v>29</v>
      </c>
      <c r="F3926" s="5">
        <v>200000.0</v>
      </c>
      <c r="G3926" s="1" t="s">
        <v>7016</v>
      </c>
      <c r="H3926" s="1" t="s">
        <v>1672</v>
      </c>
      <c r="I3926" s="4">
        <v>44630.0</v>
      </c>
      <c r="K3926" s="1">
        <v>0.0</v>
      </c>
      <c r="L3926" s="1" t="s">
        <v>1981</v>
      </c>
      <c r="M3926" s="1" t="str">
        <f>VLOOKUP(L3926,'Copy of PMD Workday Constants -'!B3925:W4611,22,false)</f>
        <v>#N/A</v>
      </c>
      <c r="N3926" s="1" t="s">
        <v>32</v>
      </c>
      <c r="O3926" s="1" t="s">
        <v>33</v>
      </c>
      <c r="P3926" s="1" t="s">
        <v>64</v>
      </c>
      <c r="Q3926" s="1" t="s">
        <v>64</v>
      </c>
      <c r="R3926" s="1" t="s">
        <v>65</v>
      </c>
      <c r="S3926" s="1" t="s">
        <v>1336</v>
      </c>
      <c r="T3926" s="1">
        <v>1.00638494E8</v>
      </c>
      <c r="W3926" s="1" t="s">
        <v>74</v>
      </c>
      <c r="X3926" s="1" t="s">
        <v>1982</v>
      </c>
    </row>
    <row r="3927">
      <c r="A3927" s="1" t="s">
        <v>11264</v>
      </c>
      <c r="B3927" s="1" t="s">
        <v>4284</v>
      </c>
      <c r="C3927" s="1" t="s">
        <v>11265</v>
      </c>
      <c r="D3927" s="1" t="s">
        <v>51</v>
      </c>
      <c r="E3927" s="1" t="s">
        <v>29</v>
      </c>
      <c r="F3927" s="5">
        <v>200000.0</v>
      </c>
      <c r="G3927" s="1" t="s">
        <v>7016</v>
      </c>
      <c r="H3927" s="1" t="s">
        <v>5591</v>
      </c>
      <c r="I3927" s="1" t="s">
        <v>302</v>
      </c>
      <c r="K3927" s="1">
        <v>0.0</v>
      </c>
      <c r="L3927" s="1" t="s">
        <v>4176</v>
      </c>
      <c r="M3927" s="1" t="str">
        <f>VLOOKUP(L3927,'Copy of PMD Workday Constants -'!B3926:W4612,22,false)</f>
        <v>#N/A</v>
      </c>
      <c r="N3927" s="1" t="s">
        <v>32</v>
      </c>
      <c r="O3927" s="1" t="s">
        <v>33</v>
      </c>
      <c r="P3927" s="1" t="s">
        <v>173</v>
      </c>
      <c r="Q3927" s="1" t="s">
        <v>173</v>
      </c>
      <c r="R3927" s="1" t="s">
        <v>174</v>
      </c>
      <c r="T3927" s="1">
        <v>1.00869674E8</v>
      </c>
      <c r="W3927" s="1" t="s">
        <v>56</v>
      </c>
      <c r="X3927" s="1" t="s">
        <v>11266</v>
      </c>
    </row>
    <row r="3928">
      <c r="A3928" s="1" t="s">
        <v>11267</v>
      </c>
      <c r="B3928" s="1" t="s">
        <v>615</v>
      </c>
      <c r="C3928" s="1" t="s">
        <v>11268</v>
      </c>
      <c r="D3928" s="1" t="s">
        <v>28</v>
      </c>
      <c r="E3928" s="1" t="s">
        <v>29</v>
      </c>
      <c r="F3928" s="5">
        <v>200000.0</v>
      </c>
      <c r="G3928" s="1" t="s">
        <v>7016</v>
      </c>
      <c r="H3928" s="4">
        <v>44748.0</v>
      </c>
      <c r="I3928" s="1" t="s">
        <v>152</v>
      </c>
      <c r="K3928" s="1">
        <v>0.0</v>
      </c>
      <c r="L3928" s="1" t="s">
        <v>5199</v>
      </c>
      <c r="M3928" s="1" t="str">
        <f>VLOOKUP(L3928,'Copy of PMD Workday Constants -'!B3927:W4613,22,false)</f>
        <v>#N/A</v>
      </c>
      <c r="N3928" s="1" t="s">
        <v>32</v>
      </c>
      <c r="O3928" s="1" t="s">
        <v>33</v>
      </c>
      <c r="P3928" s="1" t="s">
        <v>173</v>
      </c>
      <c r="Q3928" s="1" t="s">
        <v>173</v>
      </c>
      <c r="R3928" s="1" t="s">
        <v>174</v>
      </c>
      <c r="T3928" s="1">
        <v>1.00659846E8</v>
      </c>
      <c r="W3928" s="1" t="s">
        <v>74</v>
      </c>
      <c r="X3928" s="1" t="s">
        <v>1381</v>
      </c>
    </row>
    <row r="3929">
      <c r="A3929" s="1" t="s">
        <v>11269</v>
      </c>
      <c r="B3929" s="1" t="s">
        <v>996</v>
      </c>
      <c r="C3929" s="1" t="s">
        <v>11270</v>
      </c>
      <c r="D3929" s="1" t="s">
        <v>28</v>
      </c>
      <c r="E3929" s="1" t="s">
        <v>29</v>
      </c>
      <c r="F3929" s="5">
        <v>200000.0</v>
      </c>
      <c r="G3929" s="1" t="s">
        <v>7016</v>
      </c>
      <c r="H3929" s="4">
        <v>44626.0</v>
      </c>
      <c r="I3929" s="1" t="s">
        <v>217</v>
      </c>
      <c r="K3929" s="1">
        <v>0.0</v>
      </c>
      <c r="L3929" s="1" t="s">
        <v>2050</v>
      </c>
      <c r="M3929" s="1" t="str">
        <f>VLOOKUP(L3929,'Copy of PMD Workday Constants -'!B3928:W4614,22,false)</f>
        <v>#N/A</v>
      </c>
      <c r="N3929" s="1" t="s">
        <v>32</v>
      </c>
      <c r="O3929" s="1" t="s">
        <v>33</v>
      </c>
      <c r="P3929" s="1" t="s">
        <v>64</v>
      </c>
      <c r="Q3929" s="1" t="s">
        <v>64</v>
      </c>
      <c r="R3929" s="1" t="s">
        <v>65</v>
      </c>
      <c r="T3929" s="1">
        <v>1.00624533E8</v>
      </c>
      <c r="W3929" s="1" t="s">
        <v>391</v>
      </c>
      <c r="X3929" s="1" t="s">
        <v>2051</v>
      </c>
    </row>
    <row r="3930">
      <c r="A3930" s="1" t="s">
        <v>11271</v>
      </c>
      <c r="B3930" s="1" t="s">
        <v>2172</v>
      </c>
      <c r="C3930" s="1" t="s">
        <v>11272</v>
      </c>
      <c r="D3930" s="1" t="s">
        <v>51</v>
      </c>
      <c r="E3930" s="1" t="s">
        <v>29</v>
      </c>
      <c r="F3930" s="5">
        <v>200000.0</v>
      </c>
      <c r="G3930" s="1" t="s">
        <v>7016</v>
      </c>
      <c r="H3930" s="1" t="s">
        <v>5674</v>
      </c>
      <c r="I3930" s="1" t="s">
        <v>865</v>
      </c>
      <c r="K3930" s="1">
        <v>0.0</v>
      </c>
      <c r="L3930" s="1" t="s">
        <v>3617</v>
      </c>
      <c r="M3930" s="1" t="str">
        <f>VLOOKUP(L3930,'Copy of PMD Workday Constants -'!B3929:W4615,22,false)</f>
        <v>#N/A</v>
      </c>
      <c r="N3930" s="1" t="s">
        <v>32</v>
      </c>
      <c r="O3930" s="1" t="s">
        <v>33</v>
      </c>
      <c r="P3930" s="1" t="s">
        <v>173</v>
      </c>
      <c r="Q3930" s="1" t="s">
        <v>173</v>
      </c>
      <c r="R3930" s="1" t="s">
        <v>174</v>
      </c>
      <c r="T3930" s="1">
        <v>1.00574828E8</v>
      </c>
      <c r="W3930" s="1" t="s">
        <v>74</v>
      </c>
      <c r="X3930" s="1" t="s">
        <v>8037</v>
      </c>
    </row>
    <row r="3931">
      <c r="A3931" s="1" t="s">
        <v>11273</v>
      </c>
      <c r="B3931" s="1" t="s">
        <v>11274</v>
      </c>
      <c r="C3931" s="1" t="s">
        <v>11275</v>
      </c>
      <c r="D3931" s="1" t="s">
        <v>103</v>
      </c>
      <c r="E3931" s="1" t="s">
        <v>29</v>
      </c>
      <c r="F3931" s="5">
        <v>200000.0</v>
      </c>
      <c r="G3931" s="1" t="s">
        <v>7016</v>
      </c>
      <c r="H3931" s="1" t="s">
        <v>11276</v>
      </c>
      <c r="I3931" s="1" t="s">
        <v>302</v>
      </c>
      <c r="K3931" s="1">
        <v>0.0</v>
      </c>
      <c r="L3931" s="1" t="s">
        <v>2983</v>
      </c>
      <c r="M3931" s="1" t="str">
        <f>VLOOKUP(L3931,'Copy of PMD Workday Constants -'!B3930:W4616,22,false)</f>
        <v>#N/A</v>
      </c>
      <c r="N3931" s="1" t="s">
        <v>32</v>
      </c>
      <c r="O3931" s="1" t="s">
        <v>33</v>
      </c>
      <c r="P3931" s="1" t="s">
        <v>34</v>
      </c>
      <c r="Q3931" s="1" t="s">
        <v>34</v>
      </c>
      <c r="R3931" s="1" t="s">
        <v>35</v>
      </c>
      <c r="S3931" s="1" t="s">
        <v>383</v>
      </c>
      <c r="T3931" s="1">
        <v>1.00650568E8</v>
      </c>
      <c r="W3931" s="1" t="s">
        <v>147</v>
      </c>
      <c r="X3931" s="1" t="s">
        <v>6462</v>
      </c>
    </row>
    <row r="3932">
      <c r="A3932" s="1" t="s">
        <v>11277</v>
      </c>
      <c r="B3932" s="1" t="s">
        <v>3340</v>
      </c>
      <c r="C3932" s="1" t="s">
        <v>11278</v>
      </c>
      <c r="D3932" s="1" t="s">
        <v>51</v>
      </c>
      <c r="E3932" s="1" t="s">
        <v>29</v>
      </c>
      <c r="F3932" s="5">
        <v>200000.0</v>
      </c>
      <c r="G3932" s="1" t="s">
        <v>7016</v>
      </c>
      <c r="H3932" s="1" t="s">
        <v>11279</v>
      </c>
      <c r="I3932" s="1" t="s">
        <v>43</v>
      </c>
      <c r="K3932" s="1">
        <v>0.0</v>
      </c>
      <c r="L3932" s="1" t="s">
        <v>1558</v>
      </c>
      <c r="M3932" s="1" t="str">
        <f>VLOOKUP(L3932,'Copy of PMD Workday Constants -'!B3931:W4617,22,false)</f>
        <v>#N/A</v>
      </c>
      <c r="N3932" s="1" t="s">
        <v>32</v>
      </c>
      <c r="O3932" s="1" t="s">
        <v>33</v>
      </c>
      <c r="P3932" s="1" t="s">
        <v>210</v>
      </c>
      <c r="Q3932" s="1" t="s">
        <v>210</v>
      </c>
      <c r="R3932" s="1" t="s">
        <v>211</v>
      </c>
      <c r="S3932" s="1" t="s">
        <v>416</v>
      </c>
      <c r="T3932" s="1">
        <v>1.00639226E8</v>
      </c>
      <c r="W3932" s="1" t="s">
        <v>56</v>
      </c>
      <c r="X3932" s="1" t="s">
        <v>1558</v>
      </c>
    </row>
    <row r="3933">
      <c r="A3933" s="1" t="s">
        <v>11280</v>
      </c>
      <c r="B3933" s="1" t="s">
        <v>11281</v>
      </c>
      <c r="C3933" s="1" t="s">
        <v>11282</v>
      </c>
      <c r="D3933" s="1" t="s">
        <v>28</v>
      </c>
      <c r="E3933" s="1" t="s">
        <v>29</v>
      </c>
      <c r="F3933" s="5">
        <v>200000.0</v>
      </c>
      <c r="G3933" s="1" t="s">
        <v>7016</v>
      </c>
      <c r="H3933" s="1" t="s">
        <v>10299</v>
      </c>
      <c r="I3933" s="1" t="s">
        <v>80</v>
      </c>
      <c r="K3933" s="1">
        <v>0.0</v>
      </c>
      <c r="L3933" s="1" t="s">
        <v>3656</v>
      </c>
      <c r="M3933" s="1" t="str">
        <f>VLOOKUP(L3933,'Copy of PMD Workday Constants -'!B3932:W4618,22,false)</f>
        <v>#N/A</v>
      </c>
      <c r="N3933" s="1" t="s">
        <v>32</v>
      </c>
      <c r="O3933" s="1" t="s">
        <v>33</v>
      </c>
      <c r="P3933" s="1" t="s">
        <v>210</v>
      </c>
      <c r="Q3933" s="1" t="s">
        <v>210</v>
      </c>
      <c r="R3933" s="1" t="s">
        <v>211</v>
      </c>
      <c r="S3933" s="1" t="s">
        <v>416</v>
      </c>
      <c r="T3933" s="1">
        <v>1.00658814E8</v>
      </c>
      <c r="W3933" s="1" t="s">
        <v>56</v>
      </c>
      <c r="X3933" s="1" t="s">
        <v>3656</v>
      </c>
    </row>
    <row r="3934">
      <c r="A3934" s="1" t="s">
        <v>11283</v>
      </c>
      <c r="B3934" s="1" t="s">
        <v>11284</v>
      </c>
      <c r="C3934" s="1" t="s">
        <v>11285</v>
      </c>
      <c r="D3934" s="1" t="s">
        <v>103</v>
      </c>
      <c r="E3934" s="1" t="s">
        <v>29</v>
      </c>
      <c r="F3934" s="5">
        <v>200000.0</v>
      </c>
      <c r="G3934" s="1" t="s">
        <v>7016</v>
      </c>
      <c r="H3934" s="1" t="s">
        <v>816</v>
      </c>
      <c r="I3934" s="1" t="s">
        <v>4378</v>
      </c>
      <c r="K3934" s="1">
        <v>0.0</v>
      </c>
      <c r="L3934" s="1" t="s">
        <v>1292</v>
      </c>
      <c r="M3934" s="1" t="str">
        <f>VLOOKUP(L3934,'Copy of PMD Workday Constants -'!B3933:W4619,22,false)</f>
        <v>#N/A</v>
      </c>
      <c r="N3934" s="1" t="s">
        <v>32</v>
      </c>
      <c r="O3934" s="1" t="s">
        <v>33</v>
      </c>
      <c r="P3934" s="1" t="s">
        <v>82</v>
      </c>
      <c r="Q3934" s="1" t="s">
        <v>82</v>
      </c>
      <c r="R3934" s="1" t="s">
        <v>83</v>
      </c>
      <c r="S3934" s="1" t="s">
        <v>180</v>
      </c>
      <c r="T3934" s="1">
        <v>1.006299E8</v>
      </c>
      <c r="W3934" s="1" t="s">
        <v>85</v>
      </c>
      <c r="X3934" s="1" t="s">
        <v>1293</v>
      </c>
    </row>
    <row r="3935">
      <c r="A3935" s="1" t="s">
        <v>11286</v>
      </c>
      <c r="B3935" s="1" t="s">
        <v>833</v>
      </c>
      <c r="C3935" s="1" t="s">
        <v>11287</v>
      </c>
      <c r="D3935" s="1" t="s">
        <v>103</v>
      </c>
      <c r="E3935" s="1" t="s">
        <v>29</v>
      </c>
      <c r="F3935" s="5">
        <v>200000.0</v>
      </c>
      <c r="G3935" s="1" t="s">
        <v>7016</v>
      </c>
      <c r="H3935" s="1" t="s">
        <v>870</v>
      </c>
      <c r="I3935" s="4">
        <v>44568.0</v>
      </c>
      <c r="K3935" s="1">
        <v>0.0</v>
      </c>
      <c r="L3935" s="1" t="s">
        <v>1324</v>
      </c>
      <c r="M3935" s="1" t="str">
        <f>VLOOKUP(L3935,'Copy of PMD Workday Constants -'!B3934:W4620,22,false)</f>
        <v>#N/A</v>
      </c>
      <c r="N3935" s="1" t="s">
        <v>32</v>
      </c>
      <c r="O3935" s="1" t="s">
        <v>33</v>
      </c>
      <c r="P3935" s="1" t="s">
        <v>34</v>
      </c>
      <c r="Q3935" s="1" t="s">
        <v>34</v>
      </c>
      <c r="R3935" s="1" t="s">
        <v>35</v>
      </c>
      <c r="T3935" s="1">
        <v>1.00613915E8</v>
      </c>
      <c r="W3935" s="1" t="s">
        <v>140</v>
      </c>
      <c r="X3935" s="1" t="s">
        <v>1324</v>
      </c>
    </row>
    <row r="3936">
      <c r="A3936" s="1" t="s">
        <v>11288</v>
      </c>
      <c r="B3936" s="1" t="s">
        <v>507</v>
      </c>
      <c r="C3936" s="1" t="s">
        <v>11289</v>
      </c>
      <c r="D3936" s="1" t="s">
        <v>28</v>
      </c>
      <c r="E3936" s="1" t="s">
        <v>29</v>
      </c>
      <c r="F3936" s="5">
        <v>200000.0</v>
      </c>
      <c r="G3936" s="1" t="s">
        <v>7016</v>
      </c>
      <c r="H3936" s="1" t="s">
        <v>11290</v>
      </c>
      <c r="I3936" s="1" t="s">
        <v>302</v>
      </c>
      <c r="K3936" s="1">
        <v>0.0</v>
      </c>
      <c r="L3936" s="1" t="s">
        <v>1098</v>
      </c>
      <c r="M3936" s="1" t="str">
        <f>VLOOKUP(L3936,'Copy of PMD Workday Constants -'!B3935:W4621,22,false)</f>
        <v>#N/A</v>
      </c>
      <c r="N3936" s="1" t="s">
        <v>32</v>
      </c>
      <c r="O3936" s="1" t="s">
        <v>33</v>
      </c>
      <c r="P3936" s="1" t="s">
        <v>173</v>
      </c>
      <c r="Q3936" s="1" t="s">
        <v>173</v>
      </c>
      <c r="R3936" s="1" t="s">
        <v>174</v>
      </c>
      <c r="S3936" s="1" t="s">
        <v>153</v>
      </c>
      <c r="T3936" s="1">
        <v>1.00609827E8</v>
      </c>
      <c r="W3936" s="1" t="s">
        <v>456</v>
      </c>
      <c r="X3936" s="1" t="s">
        <v>1622</v>
      </c>
    </row>
    <row r="3937">
      <c r="A3937" s="1" t="s">
        <v>11291</v>
      </c>
      <c r="B3937" s="1" t="s">
        <v>9622</v>
      </c>
      <c r="C3937" s="1" t="s">
        <v>11292</v>
      </c>
      <c r="D3937" s="1" t="s">
        <v>28</v>
      </c>
      <c r="E3937" s="1" t="s">
        <v>29</v>
      </c>
      <c r="F3937" s="5">
        <v>200000.0</v>
      </c>
      <c r="G3937" s="1" t="s">
        <v>7016</v>
      </c>
      <c r="H3937" s="1" t="s">
        <v>442</v>
      </c>
      <c r="I3937" s="4">
        <v>44780.0</v>
      </c>
      <c r="K3937" s="1">
        <v>0.0</v>
      </c>
      <c r="L3937" s="1" t="s">
        <v>3765</v>
      </c>
      <c r="M3937" s="1" t="str">
        <f>VLOOKUP(L3937,'Copy of PMD Workday Constants -'!B3936:W4622,22,false)</f>
        <v>#N/A</v>
      </c>
      <c r="N3937" s="1" t="s">
        <v>32</v>
      </c>
      <c r="O3937" s="1" t="s">
        <v>33</v>
      </c>
      <c r="P3937" s="1" t="s">
        <v>64</v>
      </c>
      <c r="Q3937" s="1" t="s">
        <v>64</v>
      </c>
      <c r="R3937" s="1" t="s">
        <v>65</v>
      </c>
      <c r="T3937" s="1">
        <v>1.00649472E8</v>
      </c>
      <c r="W3937" s="1" t="s">
        <v>493</v>
      </c>
      <c r="X3937" s="1" t="s">
        <v>3765</v>
      </c>
    </row>
    <row r="3938">
      <c r="A3938" s="1" t="s">
        <v>11293</v>
      </c>
      <c r="B3938" s="1" t="s">
        <v>11294</v>
      </c>
      <c r="C3938" s="1" t="s">
        <v>11295</v>
      </c>
      <c r="D3938" s="1" t="s">
        <v>51</v>
      </c>
      <c r="E3938" s="1" t="s">
        <v>29</v>
      </c>
      <c r="F3938" s="5">
        <v>200000.0</v>
      </c>
      <c r="G3938" s="1" t="s">
        <v>7016</v>
      </c>
      <c r="H3938" s="1" t="s">
        <v>1433</v>
      </c>
      <c r="I3938" s="1" t="s">
        <v>227</v>
      </c>
      <c r="K3938" s="1">
        <v>0.0</v>
      </c>
      <c r="L3938" s="1" t="s">
        <v>618</v>
      </c>
      <c r="M3938" s="1" t="str">
        <f>VLOOKUP(L3938,'Copy of PMD Workday Constants -'!B3937:W4623,22,false)</f>
        <v>#N/A</v>
      </c>
      <c r="N3938" s="1" t="s">
        <v>32</v>
      </c>
      <c r="O3938" s="1" t="s">
        <v>33</v>
      </c>
      <c r="P3938" s="1" t="s">
        <v>173</v>
      </c>
      <c r="Q3938" s="1" t="s">
        <v>173</v>
      </c>
      <c r="R3938" s="1" t="s">
        <v>174</v>
      </c>
      <c r="T3938" s="1">
        <v>1.00591141E8</v>
      </c>
      <c r="W3938" s="1" t="s">
        <v>74</v>
      </c>
      <c r="X3938" s="1" t="s">
        <v>5731</v>
      </c>
    </row>
    <row r="3939">
      <c r="A3939" s="1" t="s">
        <v>11296</v>
      </c>
      <c r="B3939" s="1" t="s">
        <v>4721</v>
      </c>
      <c r="C3939" s="1" t="s">
        <v>11297</v>
      </c>
      <c r="D3939" s="1" t="s">
        <v>28</v>
      </c>
      <c r="E3939" s="1" t="s">
        <v>29</v>
      </c>
      <c r="F3939" s="5">
        <v>200000.0</v>
      </c>
      <c r="G3939" s="1" t="s">
        <v>7016</v>
      </c>
      <c r="H3939" s="1" t="s">
        <v>4650</v>
      </c>
      <c r="I3939" s="1" t="s">
        <v>80</v>
      </c>
      <c r="K3939" s="1">
        <v>0.0</v>
      </c>
      <c r="L3939" s="1" t="s">
        <v>4723</v>
      </c>
      <c r="M3939" s="1" t="str">
        <f>VLOOKUP(L3939,'Copy of PMD Workday Constants -'!B3938:W4624,22,false)</f>
        <v>#N/A</v>
      </c>
      <c r="N3939" s="1" t="s">
        <v>32</v>
      </c>
      <c r="O3939" s="1" t="s">
        <v>33</v>
      </c>
      <c r="P3939" s="1" t="s">
        <v>210</v>
      </c>
      <c r="Q3939" s="1" t="s">
        <v>210</v>
      </c>
      <c r="R3939" s="1" t="s">
        <v>211</v>
      </c>
      <c r="S3939" s="1" t="s">
        <v>1313</v>
      </c>
      <c r="T3939" s="1">
        <v>1.00585834E8</v>
      </c>
      <c r="W3939" s="1" t="s">
        <v>436</v>
      </c>
      <c r="X3939" s="1" t="s">
        <v>4723</v>
      </c>
    </row>
    <row r="3940">
      <c r="A3940" s="1" t="s">
        <v>11298</v>
      </c>
      <c r="B3940" s="1" t="s">
        <v>8848</v>
      </c>
      <c r="C3940" s="1" t="s">
        <v>11299</v>
      </c>
      <c r="D3940" s="1" t="s">
        <v>51</v>
      </c>
      <c r="E3940" s="1" t="s">
        <v>29</v>
      </c>
      <c r="F3940" s="5">
        <v>200000.0</v>
      </c>
      <c r="G3940" s="1" t="s">
        <v>7016</v>
      </c>
      <c r="H3940" s="4">
        <v>44871.0</v>
      </c>
      <c r="I3940" s="1" t="s">
        <v>80</v>
      </c>
      <c r="K3940" s="1">
        <v>0.0</v>
      </c>
      <c r="L3940" s="1" t="s">
        <v>203</v>
      </c>
      <c r="M3940" s="1" t="str">
        <f>VLOOKUP(L3940,'Copy of PMD Workday Constants -'!B3939:W4625,22,false)</f>
        <v>#N/A</v>
      </c>
      <c r="N3940" s="1" t="s">
        <v>32</v>
      </c>
      <c r="O3940" s="1" t="s">
        <v>33</v>
      </c>
      <c r="P3940" s="1" t="s">
        <v>112</v>
      </c>
      <c r="Q3940" s="1" t="s">
        <v>112</v>
      </c>
      <c r="R3940" s="1" t="s">
        <v>113</v>
      </c>
      <c r="T3940" s="1">
        <v>1.01200292E8</v>
      </c>
      <c r="U3940" s="1" t="s">
        <v>11300</v>
      </c>
      <c r="V3940" s="1" t="s">
        <v>46</v>
      </c>
      <c r="W3940" s="1" t="s">
        <v>147</v>
      </c>
      <c r="X3940" s="1" t="s">
        <v>1815</v>
      </c>
    </row>
    <row r="3941">
      <c r="A3941" s="1" t="s">
        <v>11301</v>
      </c>
      <c r="B3941" s="1" t="s">
        <v>5427</v>
      </c>
      <c r="C3941" s="1" t="s">
        <v>11302</v>
      </c>
      <c r="D3941" s="1" t="s">
        <v>51</v>
      </c>
      <c r="E3941" s="1" t="s">
        <v>29</v>
      </c>
      <c r="F3941" s="5">
        <v>200000.0</v>
      </c>
      <c r="G3941" s="1" t="s">
        <v>7016</v>
      </c>
      <c r="H3941" s="4">
        <v>44564.0</v>
      </c>
      <c r="I3941" s="1" t="s">
        <v>80</v>
      </c>
      <c r="K3941" s="1">
        <v>0.0</v>
      </c>
      <c r="L3941" s="1" t="s">
        <v>5252</v>
      </c>
      <c r="M3941" s="1" t="str">
        <f>VLOOKUP(L3941,'Copy of PMD Workday Constants -'!B3940:W4626,22,false)</f>
        <v>#N/A</v>
      </c>
      <c r="N3941" s="1" t="s">
        <v>32</v>
      </c>
      <c r="O3941" s="1" t="s">
        <v>33</v>
      </c>
      <c r="P3941" s="1" t="s">
        <v>5253</v>
      </c>
      <c r="Q3941" s="1" t="s">
        <v>5253</v>
      </c>
      <c r="R3941" s="1" t="s">
        <v>65</v>
      </c>
      <c r="T3941" s="1">
        <v>1.00625588E8</v>
      </c>
      <c r="W3941" s="1" t="s">
        <v>47</v>
      </c>
      <c r="X3941" s="1" t="s">
        <v>5569</v>
      </c>
    </row>
    <row r="3942">
      <c r="A3942" s="1" t="s">
        <v>11303</v>
      </c>
      <c r="B3942" s="1" t="s">
        <v>3973</v>
      </c>
      <c r="C3942" s="1" t="s">
        <v>11304</v>
      </c>
      <c r="D3942" s="1" t="s">
        <v>103</v>
      </c>
      <c r="E3942" s="1" t="s">
        <v>29</v>
      </c>
      <c r="F3942" s="5">
        <v>200000.0</v>
      </c>
      <c r="G3942" s="1" t="s">
        <v>7016</v>
      </c>
      <c r="H3942" s="1" t="s">
        <v>870</v>
      </c>
      <c r="I3942" s="4">
        <v>44568.0</v>
      </c>
      <c r="K3942" s="1">
        <v>0.0</v>
      </c>
      <c r="L3942" s="1" t="s">
        <v>474</v>
      </c>
      <c r="M3942" s="1" t="str">
        <f>VLOOKUP(L3942,'Copy of PMD Workday Constants -'!B3941:W4627,22,false)</f>
        <v>#N/A</v>
      </c>
      <c r="N3942" s="1" t="s">
        <v>32</v>
      </c>
      <c r="O3942" s="1" t="s">
        <v>33</v>
      </c>
      <c r="P3942" s="1" t="s">
        <v>64</v>
      </c>
      <c r="Q3942" s="1" t="s">
        <v>64</v>
      </c>
      <c r="R3942" s="1" t="s">
        <v>65</v>
      </c>
      <c r="T3942" s="1">
        <v>1.00660049E8</v>
      </c>
      <c r="W3942" s="1" t="s">
        <v>56</v>
      </c>
      <c r="X3942" s="1" t="s">
        <v>11305</v>
      </c>
    </row>
    <row r="3943">
      <c r="A3943" s="1" t="s">
        <v>11306</v>
      </c>
      <c r="B3943" s="1" t="s">
        <v>3355</v>
      </c>
      <c r="C3943" s="1" t="s">
        <v>11307</v>
      </c>
      <c r="D3943" s="1" t="s">
        <v>51</v>
      </c>
      <c r="E3943" s="1" t="s">
        <v>29</v>
      </c>
      <c r="F3943" s="5">
        <v>200000.0</v>
      </c>
      <c r="G3943" s="1" t="s">
        <v>7016</v>
      </c>
      <c r="H3943" s="1" t="s">
        <v>131</v>
      </c>
      <c r="I3943" s="1" t="s">
        <v>104</v>
      </c>
      <c r="K3943" s="1">
        <v>0.0</v>
      </c>
      <c r="L3943" s="1" t="s">
        <v>72</v>
      </c>
      <c r="M3943" s="1" t="str">
        <f>VLOOKUP(L3943,'Copy of PMD Workday Constants -'!B3942:W4628,22,false)</f>
        <v>#N/A</v>
      </c>
      <c r="N3943" s="1" t="s">
        <v>32</v>
      </c>
      <c r="O3943" s="1" t="s">
        <v>33</v>
      </c>
      <c r="P3943" s="1" t="s">
        <v>34</v>
      </c>
      <c r="Q3943" s="1" t="s">
        <v>34</v>
      </c>
      <c r="R3943" s="1" t="s">
        <v>35</v>
      </c>
      <c r="S3943" s="1" t="s">
        <v>1336</v>
      </c>
      <c r="T3943" s="1">
        <v>1.0060843E8</v>
      </c>
      <c r="W3943" s="1" t="s">
        <v>74</v>
      </c>
      <c r="X3943" s="1" t="s">
        <v>72</v>
      </c>
    </row>
    <row r="3944">
      <c r="A3944" s="1" t="s">
        <v>11308</v>
      </c>
      <c r="B3944" s="1" t="s">
        <v>3355</v>
      </c>
      <c r="C3944" s="1" t="s">
        <v>11309</v>
      </c>
      <c r="D3944" s="1" t="s">
        <v>51</v>
      </c>
      <c r="E3944" s="1" t="s">
        <v>29</v>
      </c>
      <c r="F3944" s="5">
        <v>200000.0</v>
      </c>
      <c r="G3944" s="1" t="s">
        <v>7016</v>
      </c>
      <c r="H3944" s="1" t="s">
        <v>131</v>
      </c>
      <c r="I3944" s="1" t="s">
        <v>104</v>
      </c>
      <c r="K3944" s="1">
        <v>0.0</v>
      </c>
      <c r="L3944" s="1" t="s">
        <v>72</v>
      </c>
      <c r="M3944" s="1" t="str">
        <f>VLOOKUP(L3944,'Copy of PMD Workday Constants -'!B3943:W4629,22,false)</f>
        <v>#N/A</v>
      </c>
      <c r="N3944" s="1" t="s">
        <v>32</v>
      </c>
      <c r="O3944" s="1" t="s">
        <v>33</v>
      </c>
      <c r="P3944" s="1" t="s">
        <v>34</v>
      </c>
      <c r="Q3944" s="1" t="s">
        <v>34</v>
      </c>
      <c r="R3944" s="1" t="s">
        <v>35</v>
      </c>
      <c r="S3944" s="1" t="s">
        <v>1336</v>
      </c>
      <c r="T3944" s="1">
        <v>1.0060843E8</v>
      </c>
      <c r="W3944" s="1" t="s">
        <v>74</v>
      </c>
      <c r="X3944" s="1" t="s">
        <v>72</v>
      </c>
    </row>
    <row r="3945">
      <c r="A3945" s="1" t="s">
        <v>11310</v>
      </c>
      <c r="B3945" s="1" t="s">
        <v>10504</v>
      </c>
      <c r="C3945" s="1" t="s">
        <v>11311</v>
      </c>
      <c r="D3945" s="1" t="s">
        <v>28</v>
      </c>
      <c r="E3945" s="1" t="s">
        <v>29</v>
      </c>
      <c r="F3945" s="5">
        <v>200000.0</v>
      </c>
      <c r="G3945" s="1" t="s">
        <v>7016</v>
      </c>
      <c r="H3945" s="1" t="s">
        <v>1842</v>
      </c>
      <c r="I3945" s="1" t="s">
        <v>80</v>
      </c>
      <c r="K3945" s="1">
        <v>0.0</v>
      </c>
      <c r="L3945" s="1" t="s">
        <v>7664</v>
      </c>
      <c r="M3945" s="1" t="str">
        <f>VLOOKUP(L3945,'Copy of PMD Workday Constants -'!B3944:W4630,22,false)</f>
        <v>#N/A</v>
      </c>
      <c r="N3945" s="1" t="s">
        <v>32</v>
      </c>
      <c r="O3945" s="1" t="s">
        <v>33</v>
      </c>
      <c r="P3945" s="1" t="s">
        <v>222</v>
      </c>
      <c r="Q3945" s="1" t="s">
        <v>222</v>
      </c>
      <c r="R3945" s="1" t="s">
        <v>223</v>
      </c>
      <c r="S3945" s="1" t="s">
        <v>601</v>
      </c>
      <c r="T3945" s="1">
        <v>1.00882877E8</v>
      </c>
      <c r="W3945" s="1" t="s">
        <v>258</v>
      </c>
      <c r="X3945" s="1" t="s">
        <v>11312</v>
      </c>
    </row>
    <row r="3946">
      <c r="A3946" s="1" t="s">
        <v>11313</v>
      </c>
      <c r="B3946" s="1" t="s">
        <v>11314</v>
      </c>
      <c r="C3946" s="1" t="s">
        <v>11315</v>
      </c>
      <c r="D3946" s="1" t="s">
        <v>51</v>
      </c>
      <c r="E3946" s="1" t="s">
        <v>29</v>
      </c>
      <c r="F3946" s="5">
        <v>200000.0</v>
      </c>
      <c r="G3946" s="1" t="s">
        <v>7016</v>
      </c>
      <c r="H3946" s="1" t="s">
        <v>3777</v>
      </c>
      <c r="I3946" s="1" t="s">
        <v>132</v>
      </c>
      <c r="K3946" s="1">
        <v>0.0</v>
      </c>
      <c r="L3946" s="1" t="s">
        <v>2201</v>
      </c>
      <c r="M3946" s="1" t="str">
        <f>VLOOKUP(L3946,'Copy of PMD Workday Constants -'!B3945:W4631,22,false)</f>
        <v>#N/A</v>
      </c>
      <c r="N3946" s="1" t="s">
        <v>32</v>
      </c>
      <c r="O3946" s="1" t="s">
        <v>33</v>
      </c>
      <c r="P3946" s="1" t="s">
        <v>64</v>
      </c>
      <c r="Q3946" s="1" t="s">
        <v>64</v>
      </c>
      <c r="R3946" s="1" t="s">
        <v>65</v>
      </c>
      <c r="S3946" s="1" t="s">
        <v>1496</v>
      </c>
      <c r="T3946" s="1">
        <v>1.00649936E8</v>
      </c>
      <c r="W3946" s="1" t="s">
        <v>258</v>
      </c>
      <c r="X3946" s="1" t="s">
        <v>2201</v>
      </c>
    </row>
    <row r="3947">
      <c r="A3947" s="1" t="s">
        <v>11316</v>
      </c>
      <c r="B3947" s="1" t="s">
        <v>772</v>
      </c>
      <c r="C3947" s="1" t="s">
        <v>11317</v>
      </c>
      <c r="D3947" s="1" t="s">
        <v>103</v>
      </c>
      <c r="E3947" s="1" t="s">
        <v>29</v>
      </c>
      <c r="F3947" s="5">
        <v>200000.0</v>
      </c>
      <c r="G3947" s="1" t="s">
        <v>7016</v>
      </c>
      <c r="H3947" s="4">
        <v>44531.0</v>
      </c>
      <c r="I3947" s="1" t="s">
        <v>104</v>
      </c>
      <c r="K3947" s="1">
        <v>0.0</v>
      </c>
      <c r="L3947" s="1" t="s">
        <v>1324</v>
      </c>
      <c r="M3947" s="1" t="str">
        <f>VLOOKUP(L3947,'Copy of PMD Workday Constants -'!B3946:W4632,22,false)</f>
        <v>#N/A</v>
      </c>
      <c r="N3947" s="1" t="s">
        <v>32</v>
      </c>
      <c r="O3947" s="1" t="s">
        <v>33</v>
      </c>
      <c r="P3947" s="1" t="s">
        <v>34</v>
      </c>
      <c r="Q3947" s="1" t="s">
        <v>34</v>
      </c>
      <c r="R3947" s="1" t="s">
        <v>35</v>
      </c>
      <c r="S3947" s="1" t="s">
        <v>36</v>
      </c>
      <c r="T3947" s="1">
        <v>1.00613915E8</v>
      </c>
      <c r="W3947" s="1" t="s">
        <v>37</v>
      </c>
      <c r="X3947" s="1" t="s">
        <v>977</v>
      </c>
    </row>
    <row r="3948">
      <c r="A3948" s="1" t="s">
        <v>11318</v>
      </c>
      <c r="B3948" s="1" t="s">
        <v>77</v>
      </c>
      <c r="C3948" s="1" t="s">
        <v>11319</v>
      </c>
      <c r="D3948" s="1" t="s">
        <v>28</v>
      </c>
      <c r="E3948" s="1" t="s">
        <v>29</v>
      </c>
      <c r="F3948" s="5">
        <v>200000.0</v>
      </c>
      <c r="G3948" s="1" t="s">
        <v>7016</v>
      </c>
      <c r="H3948" s="1" t="s">
        <v>11320</v>
      </c>
      <c r="I3948" s="4">
        <v>44601.0</v>
      </c>
      <c r="K3948" s="1">
        <v>0.0</v>
      </c>
      <c r="L3948" s="1" t="s">
        <v>909</v>
      </c>
      <c r="M3948" s="1" t="str">
        <f>VLOOKUP(L3948,'Copy of PMD Workday Constants -'!B3947:W4633,22,false)</f>
        <v>#N/A</v>
      </c>
      <c r="N3948" s="1" t="s">
        <v>32</v>
      </c>
      <c r="O3948" s="1" t="s">
        <v>33</v>
      </c>
      <c r="P3948" s="1" t="s">
        <v>82</v>
      </c>
      <c r="Q3948" s="1" t="s">
        <v>82</v>
      </c>
      <c r="R3948" s="1" t="s">
        <v>83</v>
      </c>
      <c r="S3948" s="1" t="s">
        <v>84</v>
      </c>
      <c r="T3948" s="1">
        <v>1.00649698E8</v>
      </c>
      <c r="W3948" s="1" t="s">
        <v>85</v>
      </c>
      <c r="X3948" s="1" t="s">
        <v>909</v>
      </c>
    </row>
    <row r="3949">
      <c r="A3949" s="1" t="s">
        <v>11321</v>
      </c>
      <c r="B3949" s="1" t="s">
        <v>3003</v>
      </c>
      <c r="C3949" s="1" t="s">
        <v>11322</v>
      </c>
      <c r="D3949" s="1" t="s">
        <v>51</v>
      </c>
      <c r="E3949" s="1" t="s">
        <v>29</v>
      </c>
      <c r="F3949" s="5">
        <v>200000.0</v>
      </c>
      <c r="G3949" s="1" t="s">
        <v>7016</v>
      </c>
      <c r="H3949" s="1" t="s">
        <v>322</v>
      </c>
      <c r="I3949" s="1" t="s">
        <v>96</v>
      </c>
      <c r="K3949" s="1">
        <v>0.0</v>
      </c>
      <c r="L3949" s="1" t="s">
        <v>968</v>
      </c>
      <c r="M3949" s="1" t="str">
        <f>VLOOKUP(L3949,'Copy of PMD Workday Constants -'!B3948:W4634,22,false)</f>
        <v>#N/A</v>
      </c>
      <c r="N3949" s="1" t="s">
        <v>32</v>
      </c>
      <c r="O3949" s="1" t="s">
        <v>33</v>
      </c>
      <c r="P3949" s="1" t="s">
        <v>210</v>
      </c>
      <c r="Q3949" s="1" t="s">
        <v>210</v>
      </c>
      <c r="R3949" s="1" t="s">
        <v>211</v>
      </c>
      <c r="S3949" s="1" t="s">
        <v>416</v>
      </c>
      <c r="T3949" s="1">
        <v>1.00647262E8</v>
      </c>
      <c r="W3949" s="1" t="s">
        <v>56</v>
      </c>
      <c r="X3949" s="1" t="s">
        <v>968</v>
      </c>
    </row>
    <row r="3950">
      <c r="A3950" s="1" t="s">
        <v>11323</v>
      </c>
      <c r="B3950" s="1" t="s">
        <v>219</v>
      </c>
      <c r="C3950" s="1" t="s">
        <v>11324</v>
      </c>
      <c r="D3950" s="1" t="s">
        <v>51</v>
      </c>
      <c r="E3950" s="1" t="s">
        <v>29</v>
      </c>
      <c r="F3950" s="5">
        <v>200000.0</v>
      </c>
      <c r="G3950" s="1" t="s">
        <v>7016</v>
      </c>
      <c r="H3950" s="1" t="s">
        <v>4625</v>
      </c>
      <c r="I3950" s="1" t="s">
        <v>96</v>
      </c>
      <c r="K3950" s="1">
        <v>0.0</v>
      </c>
      <c r="L3950" s="1" t="s">
        <v>983</v>
      </c>
      <c r="M3950" s="1" t="str">
        <f>VLOOKUP(L3950,'Copy of PMD Workday Constants -'!B3949:W4635,22,false)</f>
        <v>#N/A</v>
      </c>
      <c r="N3950" s="1" t="s">
        <v>32</v>
      </c>
      <c r="O3950" s="1" t="s">
        <v>33</v>
      </c>
      <c r="P3950" s="1" t="s">
        <v>112</v>
      </c>
      <c r="Q3950" s="1" t="s">
        <v>112</v>
      </c>
      <c r="R3950" s="1" t="s">
        <v>113</v>
      </c>
      <c r="S3950" s="1" t="s">
        <v>204</v>
      </c>
      <c r="T3950" s="1">
        <v>1.00607644E8</v>
      </c>
      <c r="W3950" s="1" t="s">
        <v>91</v>
      </c>
      <c r="X3950" s="1" t="s">
        <v>983</v>
      </c>
    </row>
    <row r="3951">
      <c r="A3951" s="1" t="s">
        <v>11325</v>
      </c>
      <c r="B3951" s="1" t="s">
        <v>2670</v>
      </c>
      <c r="C3951" s="1" t="s">
        <v>11326</v>
      </c>
      <c r="D3951" s="1" t="s">
        <v>79</v>
      </c>
      <c r="E3951" s="1" t="s">
        <v>29</v>
      </c>
      <c r="F3951" s="5">
        <v>199565.0</v>
      </c>
      <c r="G3951" s="1" t="s">
        <v>7016</v>
      </c>
      <c r="H3951" s="1" t="s">
        <v>2069</v>
      </c>
      <c r="I3951" s="1" t="s">
        <v>80</v>
      </c>
      <c r="K3951" s="1">
        <v>0.0</v>
      </c>
      <c r="L3951" s="1" t="s">
        <v>2672</v>
      </c>
      <c r="M3951" s="1" t="str">
        <f>VLOOKUP(L3951,'Copy of PMD Workday Constants -'!B3950:W4636,22,false)</f>
        <v>#N/A</v>
      </c>
      <c r="N3951" s="1" t="s">
        <v>32</v>
      </c>
      <c r="O3951" s="1" t="s">
        <v>33</v>
      </c>
      <c r="P3951" s="1" t="s">
        <v>173</v>
      </c>
      <c r="Q3951" s="1" t="s">
        <v>173</v>
      </c>
      <c r="R3951" s="1" t="s">
        <v>174</v>
      </c>
      <c r="T3951" s="1">
        <v>1.00607244E8</v>
      </c>
      <c r="W3951" s="1" t="s">
        <v>493</v>
      </c>
      <c r="X3951" s="1" t="s">
        <v>2672</v>
      </c>
    </row>
    <row r="3952">
      <c r="A3952" s="1" t="s">
        <v>11327</v>
      </c>
      <c r="B3952" s="1" t="s">
        <v>1252</v>
      </c>
      <c r="C3952" s="1" t="s">
        <v>11328</v>
      </c>
      <c r="D3952" s="1" t="s">
        <v>28</v>
      </c>
      <c r="E3952" s="1" t="s">
        <v>29</v>
      </c>
      <c r="F3952" s="5">
        <v>199500.0</v>
      </c>
      <c r="G3952" s="1" t="s">
        <v>7016</v>
      </c>
      <c r="H3952" s="1" t="s">
        <v>1287</v>
      </c>
      <c r="I3952" s="1" t="s">
        <v>302</v>
      </c>
      <c r="K3952" s="1">
        <v>0.0</v>
      </c>
      <c r="L3952" s="1" t="s">
        <v>11329</v>
      </c>
      <c r="M3952" s="1" t="str">
        <f>VLOOKUP(L3952,'Copy of PMD Workday Constants -'!B3951:W4637,22,false)</f>
        <v>#N/A</v>
      </c>
      <c r="N3952" s="1" t="s">
        <v>32</v>
      </c>
      <c r="O3952" s="1" t="s">
        <v>33</v>
      </c>
      <c r="P3952" s="1" t="s">
        <v>173</v>
      </c>
      <c r="Q3952" s="1" t="s">
        <v>173</v>
      </c>
      <c r="R3952" s="1" t="s">
        <v>174</v>
      </c>
      <c r="T3952" s="1">
        <v>1.01056026E8</v>
      </c>
      <c r="W3952" s="1" t="s">
        <v>56</v>
      </c>
      <c r="X3952" s="1" t="s">
        <v>11329</v>
      </c>
    </row>
    <row r="3953">
      <c r="A3953" s="1" t="s">
        <v>11330</v>
      </c>
      <c r="B3953" s="1" t="s">
        <v>2429</v>
      </c>
      <c r="C3953" s="1" t="s">
        <v>11331</v>
      </c>
      <c r="D3953" s="1" t="s">
        <v>28</v>
      </c>
      <c r="E3953" s="1" t="s">
        <v>29</v>
      </c>
      <c r="F3953" s="5">
        <v>199000.0</v>
      </c>
      <c r="G3953" s="1" t="s">
        <v>7016</v>
      </c>
      <c r="H3953" s="4">
        <v>44450.0</v>
      </c>
      <c r="I3953" s="1" t="s">
        <v>1673</v>
      </c>
      <c r="K3953" s="1">
        <v>0.0</v>
      </c>
      <c r="L3953" s="1" t="s">
        <v>1447</v>
      </c>
      <c r="M3953" s="1" t="str">
        <f>VLOOKUP(L3953,'Copy of PMD Workday Constants -'!B3952:W4638,22,false)</f>
        <v>#N/A</v>
      </c>
      <c r="N3953" s="1" t="s">
        <v>32</v>
      </c>
      <c r="O3953" s="1" t="s">
        <v>33</v>
      </c>
      <c r="P3953" s="1" t="s">
        <v>64</v>
      </c>
      <c r="Q3953" s="1" t="s">
        <v>64</v>
      </c>
      <c r="R3953" s="1" t="s">
        <v>65</v>
      </c>
      <c r="S3953" s="1" t="s">
        <v>791</v>
      </c>
      <c r="T3953" s="1">
        <v>1.00997154E8</v>
      </c>
      <c r="W3953" s="1" t="s">
        <v>456</v>
      </c>
      <c r="X3953" s="1" t="s">
        <v>3771</v>
      </c>
    </row>
    <row r="3954">
      <c r="A3954" s="1" t="s">
        <v>11332</v>
      </c>
      <c r="B3954" s="1" t="s">
        <v>129</v>
      </c>
      <c r="C3954" s="1" t="s">
        <v>11333</v>
      </c>
      <c r="D3954" s="1" t="s">
        <v>51</v>
      </c>
      <c r="E3954" s="1" t="s">
        <v>29</v>
      </c>
      <c r="F3954" s="5">
        <v>199000.0</v>
      </c>
      <c r="G3954" s="1" t="s">
        <v>7016</v>
      </c>
      <c r="H3954" s="4">
        <v>44538.0</v>
      </c>
      <c r="I3954" s="4">
        <v>44903.0</v>
      </c>
      <c r="K3954" s="1">
        <v>0.0</v>
      </c>
      <c r="L3954" s="1" t="s">
        <v>3352</v>
      </c>
      <c r="M3954" s="1" t="str">
        <f>VLOOKUP(L3954,'Copy of PMD Workday Constants -'!B3953:W4639,22,false)</f>
        <v>#N/A</v>
      </c>
      <c r="N3954" s="1" t="s">
        <v>32</v>
      </c>
      <c r="O3954" s="1" t="s">
        <v>33</v>
      </c>
      <c r="P3954" s="1" t="s">
        <v>54</v>
      </c>
      <c r="Q3954" s="1" t="s">
        <v>54</v>
      </c>
      <c r="R3954" s="1" t="s">
        <v>55</v>
      </c>
      <c r="T3954" s="1">
        <v>1.00904603E8</v>
      </c>
      <c r="U3954" s="1" t="s">
        <v>11333</v>
      </c>
      <c r="V3954" s="1" t="s">
        <v>346</v>
      </c>
      <c r="W3954" s="1" t="s">
        <v>74</v>
      </c>
      <c r="X3954" s="1" t="s">
        <v>11334</v>
      </c>
    </row>
    <row r="3955">
      <c r="A3955" s="1" t="s">
        <v>11335</v>
      </c>
      <c r="B3955" s="1" t="s">
        <v>8291</v>
      </c>
      <c r="C3955" s="1" t="s">
        <v>11336</v>
      </c>
      <c r="D3955" s="1" t="s">
        <v>103</v>
      </c>
      <c r="E3955" s="1" t="s">
        <v>29</v>
      </c>
      <c r="F3955" s="5">
        <v>198735.96</v>
      </c>
      <c r="G3955" s="1" t="s">
        <v>7016</v>
      </c>
      <c r="H3955" s="4">
        <v>44565.0</v>
      </c>
      <c r="I3955" s="1" t="s">
        <v>80</v>
      </c>
      <c r="K3955" s="1">
        <v>0.0</v>
      </c>
      <c r="L3955" s="1" t="s">
        <v>8293</v>
      </c>
      <c r="M3955" s="1" t="str">
        <f>VLOOKUP(L3955,'Copy of PMD Workday Constants -'!B3954:W4640,22,false)</f>
        <v>#N/A</v>
      </c>
      <c r="N3955" s="1" t="s">
        <v>32</v>
      </c>
      <c r="O3955" s="1" t="s">
        <v>33</v>
      </c>
      <c r="P3955" s="1" t="s">
        <v>5253</v>
      </c>
      <c r="Q3955" s="1" t="s">
        <v>5253</v>
      </c>
      <c r="R3955" s="1" t="s">
        <v>65</v>
      </c>
      <c r="T3955" s="1">
        <v>1.00591676E8</v>
      </c>
      <c r="W3955" s="1" t="s">
        <v>436</v>
      </c>
      <c r="X3955" s="1" t="s">
        <v>7638</v>
      </c>
    </row>
    <row r="3956">
      <c r="A3956" s="1" t="s">
        <v>11337</v>
      </c>
      <c r="B3956" s="1" t="s">
        <v>776</v>
      </c>
      <c r="C3956" s="1" t="s">
        <v>11338</v>
      </c>
      <c r="D3956" s="1" t="s">
        <v>51</v>
      </c>
      <c r="E3956" s="1" t="s">
        <v>29</v>
      </c>
      <c r="F3956" s="5">
        <v>195000.0</v>
      </c>
      <c r="G3956" s="1" t="s">
        <v>7016</v>
      </c>
      <c r="H3956" s="1" t="s">
        <v>9862</v>
      </c>
      <c r="I3956" s="1" t="s">
        <v>166</v>
      </c>
      <c r="K3956" s="1">
        <v>0.0</v>
      </c>
      <c r="L3956" s="1" t="s">
        <v>2547</v>
      </c>
      <c r="M3956" s="1" t="str">
        <f>VLOOKUP(L3956,'Copy of PMD Workday Constants -'!B3955:W4641,22,false)</f>
        <v>#N/A</v>
      </c>
      <c r="N3956" s="1" t="s">
        <v>32</v>
      </c>
      <c r="O3956" s="1" t="s">
        <v>33</v>
      </c>
      <c r="P3956" s="1" t="s">
        <v>64</v>
      </c>
      <c r="Q3956" s="1" t="s">
        <v>64</v>
      </c>
      <c r="R3956" s="1" t="s">
        <v>65</v>
      </c>
      <c r="S3956" s="1" t="s">
        <v>185</v>
      </c>
      <c r="T3956" s="1">
        <v>1.00592932E8</v>
      </c>
      <c r="W3956" s="1" t="s">
        <v>74</v>
      </c>
      <c r="X3956" s="1" t="s">
        <v>2547</v>
      </c>
    </row>
    <row r="3957">
      <c r="A3957" s="1" t="s">
        <v>11339</v>
      </c>
      <c r="B3957" s="1" t="s">
        <v>3293</v>
      </c>
      <c r="C3957" s="1" t="s">
        <v>11340</v>
      </c>
      <c r="D3957" s="1" t="s">
        <v>28</v>
      </c>
      <c r="E3957" s="1" t="s">
        <v>29</v>
      </c>
      <c r="F3957" s="5">
        <v>195000.0</v>
      </c>
      <c r="G3957" s="1" t="s">
        <v>7016</v>
      </c>
      <c r="H3957" s="1" t="s">
        <v>3301</v>
      </c>
      <c r="I3957" s="1" t="s">
        <v>302</v>
      </c>
      <c r="K3957" s="1">
        <v>0.0</v>
      </c>
      <c r="L3957" s="1" t="s">
        <v>1238</v>
      </c>
      <c r="M3957" s="1" t="str">
        <f>VLOOKUP(L3957,'Copy of PMD Workday Constants -'!B3956:W4642,22,false)</f>
        <v>#N/A</v>
      </c>
      <c r="N3957" s="1" t="s">
        <v>32</v>
      </c>
      <c r="O3957" s="1" t="s">
        <v>33</v>
      </c>
      <c r="P3957" s="1" t="s">
        <v>210</v>
      </c>
      <c r="Q3957" s="1" t="s">
        <v>210</v>
      </c>
      <c r="R3957" s="1" t="s">
        <v>211</v>
      </c>
      <c r="S3957" s="1" t="s">
        <v>416</v>
      </c>
      <c r="T3957" s="1">
        <v>1.00586959E8</v>
      </c>
      <c r="W3957" s="1" t="s">
        <v>56</v>
      </c>
      <c r="X3957" s="1" t="s">
        <v>968</v>
      </c>
    </row>
    <row r="3958">
      <c r="A3958" s="1" t="s">
        <v>11341</v>
      </c>
      <c r="B3958" s="1" t="s">
        <v>2641</v>
      </c>
      <c r="C3958" s="1" t="s">
        <v>11342</v>
      </c>
      <c r="D3958" s="1" t="s">
        <v>51</v>
      </c>
      <c r="E3958" s="1" t="s">
        <v>29</v>
      </c>
      <c r="F3958" s="5">
        <v>195000.0</v>
      </c>
      <c r="G3958" s="1" t="s">
        <v>7016</v>
      </c>
      <c r="H3958" s="1" t="s">
        <v>1708</v>
      </c>
      <c r="I3958" s="1" t="s">
        <v>104</v>
      </c>
      <c r="K3958" s="1">
        <v>0.0</v>
      </c>
      <c r="L3958" s="1" t="s">
        <v>2970</v>
      </c>
      <c r="M3958" s="1" t="str">
        <f>VLOOKUP(L3958,'Copy of PMD Workday Constants -'!B3957:W4643,22,false)</f>
        <v>#N/A</v>
      </c>
      <c r="N3958" s="1" t="s">
        <v>32</v>
      </c>
      <c r="O3958" s="1" t="s">
        <v>33</v>
      </c>
      <c r="P3958" s="1" t="s">
        <v>173</v>
      </c>
      <c r="Q3958" s="1" t="s">
        <v>173</v>
      </c>
      <c r="R3958" s="1" t="s">
        <v>174</v>
      </c>
      <c r="S3958" s="1" t="s">
        <v>612</v>
      </c>
      <c r="T3958" s="1">
        <v>1.00616377E8</v>
      </c>
      <c r="W3958" s="1" t="s">
        <v>456</v>
      </c>
      <c r="X3958" s="1" t="s">
        <v>5869</v>
      </c>
    </row>
    <row r="3959">
      <c r="A3959" s="1" t="s">
        <v>11343</v>
      </c>
      <c r="B3959" s="1" t="s">
        <v>77</v>
      </c>
      <c r="C3959" s="1" t="s">
        <v>11344</v>
      </c>
      <c r="D3959" s="1" t="s">
        <v>103</v>
      </c>
      <c r="E3959" s="1" t="s">
        <v>29</v>
      </c>
      <c r="F3959" s="5">
        <v>195000.0</v>
      </c>
      <c r="G3959" s="1" t="s">
        <v>7016</v>
      </c>
      <c r="H3959" s="4">
        <v>44810.0</v>
      </c>
      <c r="I3959" s="1" t="s">
        <v>80</v>
      </c>
      <c r="K3959" s="1">
        <v>0.0</v>
      </c>
      <c r="L3959" s="1" t="s">
        <v>2093</v>
      </c>
      <c r="M3959" s="1" t="str">
        <f>VLOOKUP(L3959,'Copy of PMD Workday Constants -'!B3958:W4644,22,false)</f>
        <v>#N/A</v>
      </c>
      <c r="N3959" s="1" t="s">
        <v>32</v>
      </c>
      <c r="O3959" s="1" t="s">
        <v>33</v>
      </c>
      <c r="P3959" s="1" t="s">
        <v>222</v>
      </c>
      <c r="Q3959" s="1" t="s">
        <v>222</v>
      </c>
      <c r="R3959" s="1" t="s">
        <v>223</v>
      </c>
      <c r="S3959" s="1" t="s">
        <v>646</v>
      </c>
      <c r="T3959" s="1">
        <v>1.00612055E8</v>
      </c>
      <c r="W3959" s="1" t="s">
        <v>85</v>
      </c>
      <c r="X3959" s="1" t="s">
        <v>2093</v>
      </c>
    </row>
    <row r="3960">
      <c r="A3960" s="1" t="s">
        <v>11345</v>
      </c>
      <c r="B3960" s="1" t="s">
        <v>573</v>
      </c>
      <c r="C3960" s="1" t="s">
        <v>11346</v>
      </c>
      <c r="D3960" s="1" t="s">
        <v>103</v>
      </c>
      <c r="E3960" s="1" t="s">
        <v>29</v>
      </c>
      <c r="F3960" s="5">
        <v>195000.0</v>
      </c>
      <c r="G3960" s="1" t="s">
        <v>7016</v>
      </c>
      <c r="H3960" s="1" t="s">
        <v>2290</v>
      </c>
      <c r="I3960" s="1" t="s">
        <v>810</v>
      </c>
      <c r="K3960" s="1">
        <v>0.0</v>
      </c>
      <c r="L3960" s="1" t="s">
        <v>10653</v>
      </c>
      <c r="M3960" s="1" t="str">
        <f>VLOOKUP(L3960,'Copy of PMD Workday Constants -'!B3959:W4645,22,false)</f>
        <v>#N/A</v>
      </c>
      <c r="N3960" s="1" t="s">
        <v>32</v>
      </c>
      <c r="O3960" s="1" t="s">
        <v>33</v>
      </c>
      <c r="P3960" s="1" t="s">
        <v>222</v>
      </c>
      <c r="Q3960" s="1" t="s">
        <v>222</v>
      </c>
      <c r="R3960" s="1" t="s">
        <v>223</v>
      </c>
      <c r="S3960" s="1" t="s">
        <v>482</v>
      </c>
      <c r="T3960" s="1">
        <v>1.01154609E8</v>
      </c>
      <c r="W3960" s="1" t="s">
        <v>436</v>
      </c>
      <c r="X3960" s="1" t="s">
        <v>10653</v>
      </c>
    </row>
    <row r="3961">
      <c r="A3961" s="1" t="s">
        <v>11347</v>
      </c>
      <c r="B3961" s="1" t="s">
        <v>2263</v>
      </c>
      <c r="C3961" s="1" t="s">
        <v>11348</v>
      </c>
      <c r="D3961" s="1" t="s">
        <v>51</v>
      </c>
      <c r="E3961" s="1" t="s">
        <v>29</v>
      </c>
      <c r="F3961" s="5">
        <v>193908.0</v>
      </c>
      <c r="G3961" s="1" t="s">
        <v>7016</v>
      </c>
      <c r="H3961" s="1" t="s">
        <v>587</v>
      </c>
      <c r="I3961" s="4">
        <v>44571.0</v>
      </c>
      <c r="K3961" s="1">
        <v>0.0</v>
      </c>
      <c r="L3961" s="1" t="s">
        <v>4235</v>
      </c>
      <c r="M3961" s="1" t="str">
        <f>VLOOKUP(L3961,'Copy of PMD Workday Constants -'!B3960:W4646,22,false)</f>
        <v>#N/A</v>
      </c>
      <c r="N3961" s="1" t="s">
        <v>32</v>
      </c>
      <c r="O3961" s="1" t="s">
        <v>33</v>
      </c>
      <c r="P3961" s="1" t="s">
        <v>210</v>
      </c>
      <c r="Q3961" s="1" t="s">
        <v>210</v>
      </c>
      <c r="R3961" s="1" t="s">
        <v>211</v>
      </c>
      <c r="S3961" s="1" t="s">
        <v>1313</v>
      </c>
      <c r="T3961" s="1">
        <v>1.00628891E8</v>
      </c>
      <c r="W3961" s="1" t="s">
        <v>577</v>
      </c>
      <c r="X3961" s="1" t="s">
        <v>7115</v>
      </c>
    </row>
    <row r="3962">
      <c r="A3962" s="1" t="s">
        <v>11349</v>
      </c>
      <c r="B3962" s="1" t="s">
        <v>2263</v>
      </c>
      <c r="C3962" s="1" t="s">
        <v>11350</v>
      </c>
      <c r="D3962" s="1" t="s">
        <v>51</v>
      </c>
      <c r="E3962" s="1" t="s">
        <v>29</v>
      </c>
      <c r="F3962" s="5">
        <v>193908.0</v>
      </c>
      <c r="G3962" s="1" t="s">
        <v>7016</v>
      </c>
      <c r="H3962" s="1" t="s">
        <v>587</v>
      </c>
      <c r="I3962" s="4">
        <v>44568.0</v>
      </c>
      <c r="K3962" s="1">
        <v>0.0</v>
      </c>
      <c r="L3962" s="1" t="s">
        <v>4235</v>
      </c>
      <c r="M3962" s="1" t="str">
        <f>VLOOKUP(L3962,'Copy of PMD Workday Constants -'!B3961:W4647,22,false)</f>
        <v>#N/A</v>
      </c>
      <c r="N3962" s="1" t="s">
        <v>32</v>
      </c>
      <c r="O3962" s="1" t="s">
        <v>33</v>
      </c>
      <c r="P3962" s="1" t="s">
        <v>210</v>
      </c>
      <c r="Q3962" s="1" t="s">
        <v>210</v>
      </c>
      <c r="R3962" s="1" t="s">
        <v>211</v>
      </c>
      <c r="S3962" s="1" t="s">
        <v>1313</v>
      </c>
      <c r="T3962" s="1">
        <v>1.00628891E8</v>
      </c>
      <c r="W3962" s="1" t="s">
        <v>577</v>
      </c>
      <c r="X3962" s="1" t="s">
        <v>7115</v>
      </c>
    </row>
    <row r="3963">
      <c r="A3963" s="1" t="s">
        <v>11351</v>
      </c>
      <c r="B3963" s="1" t="s">
        <v>4792</v>
      </c>
      <c r="C3963" s="1" t="s">
        <v>11352</v>
      </c>
      <c r="D3963" s="1" t="s">
        <v>51</v>
      </c>
      <c r="E3963" s="1" t="s">
        <v>29</v>
      </c>
      <c r="F3963" s="5">
        <v>193000.0</v>
      </c>
      <c r="G3963" s="1" t="s">
        <v>7016</v>
      </c>
      <c r="H3963" s="1" t="s">
        <v>810</v>
      </c>
      <c r="I3963" s="1" t="s">
        <v>104</v>
      </c>
      <c r="K3963" s="1">
        <v>0.0</v>
      </c>
      <c r="L3963" s="1" t="s">
        <v>11353</v>
      </c>
      <c r="M3963" s="1" t="str">
        <f>VLOOKUP(L3963,'Copy of PMD Workday Constants -'!B3962:W4648,22,false)</f>
        <v>#N/A</v>
      </c>
      <c r="N3963" s="1" t="s">
        <v>32</v>
      </c>
      <c r="O3963" s="1" t="s">
        <v>33</v>
      </c>
      <c r="P3963" s="1" t="s">
        <v>34</v>
      </c>
      <c r="Q3963" s="1" t="s">
        <v>34</v>
      </c>
      <c r="R3963" s="1" t="s">
        <v>35</v>
      </c>
      <c r="T3963" s="1">
        <v>1.01218805E8</v>
      </c>
      <c r="W3963" s="1" t="s">
        <v>56</v>
      </c>
      <c r="X3963" s="1" t="s">
        <v>11353</v>
      </c>
    </row>
    <row r="3964">
      <c r="A3964" s="1" t="s">
        <v>11354</v>
      </c>
      <c r="B3964" s="1" t="s">
        <v>1449</v>
      </c>
      <c r="C3964" s="1" t="s">
        <v>11355</v>
      </c>
      <c r="D3964" s="1" t="s">
        <v>79</v>
      </c>
      <c r="E3964" s="1" t="s">
        <v>29</v>
      </c>
      <c r="F3964" s="5">
        <v>192640.0</v>
      </c>
      <c r="G3964" s="1" t="s">
        <v>7016</v>
      </c>
      <c r="H3964" s="1" t="s">
        <v>434</v>
      </c>
      <c r="I3964" s="1" t="s">
        <v>1349</v>
      </c>
      <c r="K3964" s="1">
        <v>0.0</v>
      </c>
      <c r="L3964" s="1" t="s">
        <v>9567</v>
      </c>
      <c r="M3964" s="1" t="str">
        <f>VLOOKUP(L3964,'Copy of PMD Workday Constants -'!B3963:W4649,22,false)</f>
        <v>#N/A</v>
      </c>
      <c r="N3964" s="1" t="s">
        <v>32</v>
      </c>
      <c r="O3964" s="1" t="s">
        <v>33</v>
      </c>
      <c r="P3964" s="1" t="s">
        <v>173</v>
      </c>
      <c r="Q3964" s="1" t="s">
        <v>173</v>
      </c>
      <c r="R3964" s="1" t="s">
        <v>174</v>
      </c>
      <c r="T3964" s="1">
        <v>1.0060437E8</v>
      </c>
      <c r="W3964" s="1" t="s">
        <v>493</v>
      </c>
      <c r="X3964" s="1" t="s">
        <v>1451</v>
      </c>
    </row>
    <row r="3965">
      <c r="A3965" s="1" t="s">
        <v>11356</v>
      </c>
      <c r="B3965" s="1" t="s">
        <v>11357</v>
      </c>
      <c r="C3965" s="1" t="s">
        <v>11358</v>
      </c>
      <c r="D3965" s="1" t="s">
        <v>28</v>
      </c>
      <c r="E3965" s="1" t="s">
        <v>29</v>
      </c>
      <c r="F3965" s="5">
        <v>191000.0</v>
      </c>
      <c r="G3965" s="1" t="s">
        <v>7016</v>
      </c>
      <c r="H3965" s="4">
        <v>44840.0</v>
      </c>
      <c r="I3965" s="1" t="s">
        <v>80</v>
      </c>
      <c r="K3965" s="1">
        <v>0.0</v>
      </c>
      <c r="L3965" s="1" t="s">
        <v>5291</v>
      </c>
      <c r="M3965" s="1" t="str">
        <f>VLOOKUP(L3965,'Copy of PMD Workday Constants -'!B3964:W4650,22,false)</f>
        <v>#N/A</v>
      </c>
      <c r="N3965" s="1" t="s">
        <v>32</v>
      </c>
      <c r="O3965" s="1" t="s">
        <v>33</v>
      </c>
      <c r="P3965" s="1" t="s">
        <v>173</v>
      </c>
      <c r="Q3965" s="1" t="s">
        <v>173</v>
      </c>
      <c r="R3965" s="1" t="s">
        <v>174</v>
      </c>
      <c r="T3965" s="1">
        <v>1.00625563E8</v>
      </c>
      <c r="X3965" s="1" t="s">
        <v>11359</v>
      </c>
    </row>
    <row r="3966">
      <c r="A3966" s="1" t="s">
        <v>11360</v>
      </c>
      <c r="B3966" s="1" t="s">
        <v>993</v>
      </c>
      <c r="C3966" s="1" t="s">
        <v>11361</v>
      </c>
      <c r="D3966" s="1" t="s">
        <v>79</v>
      </c>
      <c r="E3966" s="1" t="s">
        <v>29</v>
      </c>
      <c r="F3966" s="5">
        <v>190000.0</v>
      </c>
      <c r="G3966" s="1" t="s">
        <v>7016</v>
      </c>
      <c r="H3966" s="1" t="s">
        <v>1245</v>
      </c>
      <c r="I3966" s="4">
        <v>44840.0</v>
      </c>
      <c r="J3966" s="1" t="s">
        <v>11362</v>
      </c>
      <c r="K3966" s="1">
        <v>0.0</v>
      </c>
      <c r="L3966" s="1" t="s">
        <v>1278</v>
      </c>
      <c r="M3966" s="1" t="str">
        <f>VLOOKUP(L3966,'Copy of PMD Workday Constants -'!B3965:W4651,22,false)</f>
        <v>#N/A</v>
      </c>
      <c r="N3966" s="1" t="s">
        <v>32</v>
      </c>
      <c r="O3966" s="1" t="s">
        <v>33</v>
      </c>
      <c r="P3966" s="1" t="s">
        <v>112</v>
      </c>
      <c r="Q3966" s="1" t="s">
        <v>112</v>
      </c>
      <c r="R3966" s="1" t="s">
        <v>113</v>
      </c>
      <c r="T3966" s="1">
        <v>1.00626753E8</v>
      </c>
      <c r="W3966" s="1" t="s">
        <v>74</v>
      </c>
      <c r="X3966" s="1" t="s">
        <v>4190</v>
      </c>
    </row>
    <row r="3967">
      <c r="A3967" s="1" t="s">
        <v>11363</v>
      </c>
      <c r="B3967" s="1" t="s">
        <v>1339</v>
      </c>
      <c r="C3967" s="1" t="s">
        <v>11364</v>
      </c>
      <c r="D3967" s="1" t="s">
        <v>103</v>
      </c>
      <c r="E3967" s="1" t="s">
        <v>29</v>
      </c>
      <c r="F3967" s="5">
        <v>190000.0</v>
      </c>
      <c r="G3967" s="1" t="s">
        <v>7016</v>
      </c>
      <c r="H3967" s="4">
        <v>44896.0</v>
      </c>
      <c r="I3967" s="4">
        <v>44568.0</v>
      </c>
      <c r="K3967" s="1">
        <v>0.0</v>
      </c>
      <c r="L3967" s="1" t="s">
        <v>968</v>
      </c>
      <c r="M3967" s="1" t="str">
        <f>VLOOKUP(L3967,'Copy of PMD Workday Constants -'!B3966:W4652,22,false)</f>
        <v>#N/A</v>
      </c>
      <c r="N3967" s="1" t="s">
        <v>32</v>
      </c>
      <c r="O3967" s="1" t="s">
        <v>33</v>
      </c>
      <c r="P3967" s="1" t="s">
        <v>210</v>
      </c>
      <c r="Q3967" s="1" t="s">
        <v>210</v>
      </c>
      <c r="R3967" s="1" t="s">
        <v>211</v>
      </c>
      <c r="S3967" s="1" t="s">
        <v>416</v>
      </c>
      <c r="T3967" s="1">
        <v>1.00647262E8</v>
      </c>
      <c r="W3967" s="1" t="s">
        <v>56</v>
      </c>
      <c r="X3967" s="1" t="s">
        <v>968</v>
      </c>
    </row>
    <row r="3968">
      <c r="A3968" s="1" t="s">
        <v>11365</v>
      </c>
      <c r="B3968" s="1" t="s">
        <v>3026</v>
      </c>
      <c r="C3968" s="1" t="s">
        <v>11366</v>
      </c>
      <c r="D3968" s="1" t="s">
        <v>51</v>
      </c>
      <c r="E3968" s="1" t="s">
        <v>29</v>
      </c>
      <c r="F3968" s="5">
        <v>190000.0</v>
      </c>
      <c r="G3968" s="1" t="s">
        <v>7016</v>
      </c>
      <c r="H3968" s="4">
        <v>44565.0</v>
      </c>
      <c r="I3968" s="1" t="s">
        <v>11367</v>
      </c>
      <c r="K3968" s="1">
        <v>0.0</v>
      </c>
      <c r="L3968" s="1" t="s">
        <v>1495</v>
      </c>
      <c r="M3968" s="1" t="str">
        <f>VLOOKUP(L3968,'Copy of PMD Workday Constants -'!B3967:W4653,22,false)</f>
        <v>#N/A</v>
      </c>
      <c r="N3968" s="1" t="s">
        <v>32</v>
      </c>
      <c r="O3968" s="1" t="s">
        <v>33</v>
      </c>
      <c r="P3968" s="1" t="s">
        <v>64</v>
      </c>
      <c r="Q3968" s="1" t="s">
        <v>64</v>
      </c>
      <c r="R3968" s="1" t="s">
        <v>65</v>
      </c>
      <c r="S3968" s="1" t="s">
        <v>1496</v>
      </c>
      <c r="T3968" s="1">
        <v>1.00898415E8</v>
      </c>
      <c r="W3968" s="1" t="s">
        <v>258</v>
      </c>
      <c r="X3968" s="1" t="s">
        <v>11368</v>
      </c>
    </row>
    <row r="3969">
      <c r="A3969" s="1" t="s">
        <v>11369</v>
      </c>
      <c r="B3969" s="1" t="s">
        <v>507</v>
      </c>
      <c r="C3969" s="1" t="s">
        <v>11370</v>
      </c>
      <c r="D3969" s="1" t="s">
        <v>79</v>
      </c>
      <c r="E3969" s="1" t="s">
        <v>29</v>
      </c>
      <c r="F3969" s="5">
        <v>190000.0</v>
      </c>
      <c r="G3969" s="1" t="s">
        <v>7016</v>
      </c>
      <c r="H3969" s="1" t="s">
        <v>816</v>
      </c>
      <c r="I3969" s="1" t="s">
        <v>248</v>
      </c>
      <c r="K3969" s="1">
        <v>0.0</v>
      </c>
      <c r="L3969" s="1" t="s">
        <v>10780</v>
      </c>
      <c r="M3969" s="1" t="str">
        <f>VLOOKUP(L3969,'Copy of PMD Workday Constants -'!B3968:W4654,22,false)</f>
        <v>#N/A</v>
      </c>
      <c r="N3969" s="1" t="s">
        <v>32</v>
      </c>
      <c r="O3969" s="1" t="s">
        <v>33</v>
      </c>
      <c r="P3969" s="1" t="s">
        <v>222</v>
      </c>
      <c r="Q3969" s="1" t="s">
        <v>222</v>
      </c>
      <c r="R3969" s="1" t="s">
        <v>223</v>
      </c>
      <c r="S3969" s="1" t="s">
        <v>482</v>
      </c>
      <c r="T3969" s="1">
        <v>1.00608136E8</v>
      </c>
      <c r="W3969" s="1" t="s">
        <v>456</v>
      </c>
      <c r="X3969" s="1" t="s">
        <v>11371</v>
      </c>
    </row>
    <row r="3970">
      <c r="A3970" s="1" t="s">
        <v>11372</v>
      </c>
      <c r="B3970" s="1" t="s">
        <v>10703</v>
      </c>
      <c r="C3970" s="1" t="s">
        <v>11373</v>
      </c>
      <c r="D3970" s="1" t="s">
        <v>79</v>
      </c>
      <c r="E3970" s="1" t="s">
        <v>29</v>
      </c>
      <c r="F3970" s="5">
        <v>190000.0</v>
      </c>
      <c r="G3970" s="1" t="s">
        <v>7016</v>
      </c>
      <c r="H3970" s="1" t="s">
        <v>2724</v>
      </c>
      <c r="I3970" s="4">
        <v>44840.0</v>
      </c>
      <c r="J3970" s="1" t="s">
        <v>11374</v>
      </c>
      <c r="K3970" s="1">
        <v>0.0</v>
      </c>
      <c r="L3970" s="1" t="s">
        <v>1646</v>
      </c>
      <c r="M3970" s="1" t="str">
        <f>VLOOKUP(L3970,'Copy of PMD Workday Constants -'!B3969:W4655,22,false)</f>
        <v>#N/A</v>
      </c>
      <c r="N3970" s="1" t="s">
        <v>32</v>
      </c>
      <c r="O3970" s="1" t="s">
        <v>33</v>
      </c>
      <c r="P3970" s="1" t="s">
        <v>64</v>
      </c>
      <c r="Q3970" s="1" t="s">
        <v>64</v>
      </c>
      <c r="R3970" s="1" t="s">
        <v>65</v>
      </c>
      <c r="T3970" s="1">
        <v>1.00650657E8</v>
      </c>
      <c r="W3970" s="1" t="s">
        <v>308</v>
      </c>
      <c r="X3970" s="1" t="s">
        <v>1646</v>
      </c>
    </row>
    <row r="3971">
      <c r="A3971" s="1" t="s">
        <v>11375</v>
      </c>
      <c r="B3971" s="1" t="s">
        <v>373</v>
      </c>
      <c r="C3971" s="1" t="s">
        <v>11376</v>
      </c>
      <c r="D3971" s="1" t="s">
        <v>28</v>
      </c>
      <c r="E3971" s="1" t="s">
        <v>29</v>
      </c>
      <c r="F3971" s="5">
        <v>188160.0</v>
      </c>
      <c r="G3971" s="1" t="s">
        <v>7016</v>
      </c>
      <c r="H3971" s="1" t="s">
        <v>42</v>
      </c>
      <c r="I3971" s="4">
        <v>44573.0</v>
      </c>
      <c r="K3971" s="1">
        <v>0.0</v>
      </c>
      <c r="L3971" s="1" t="s">
        <v>1335</v>
      </c>
      <c r="M3971" s="1" t="str">
        <f>VLOOKUP(L3971,'Copy of PMD Workday Constants -'!B3970:W4656,22,false)</f>
        <v>#N/A</v>
      </c>
      <c r="N3971" s="1" t="s">
        <v>32</v>
      </c>
      <c r="O3971" s="1" t="s">
        <v>33</v>
      </c>
      <c r="P3971" s="1" t="s">
        <v>210</v>
      </c>
      <c r="Q3971" s="1" t="s">
        <v>210</v>
      </c>
      <c r="R3971" s="1" t="s">
        <v>211</v>
      </c>
      <c r="S3971" s="1" t="s">
        <v>1336</v>
      </c>
      <c r="T3971" s="1">
        <v>1.00594397E8</v>
      </c>
      <c r="W3971" s="1" t="s">
        <v>258</v>
      </c>
      <c r="X3971" s="1" t="s">
        <v>1337</v>
      </c>
    </row>
    <row r="3972">
      <c r="A3972" s="1" t="s">
        <v>11377</v>
      </c>
      <c r="B3972" s="1" t="s">
        <v>3126</v>
      </c>
      <c r="C3972" s="1" t="s">
        <v>11378</v>
      </c>
      <c r="D3972" s="1" t="s">
        <v>51</v>
      </c>
      <c r="E3972" s="1" t="s">
        <v>29</v>
      </c>
      <c r="F3972" s="5">
        <v>188000.0</v>
      </c>
      <c r="G3972" s="1" t="s">
        <v>7016</v>
      </c>
      <c r="H3972" s="1" t="s">
        <v>5914</v>
      </c>
      <c r="I3972" s="1" t="s">
        <v>43</v>
      </c>
      <c r="K3972" s="1">
        <v>0.0</v>
      </c>
      <c r="L3972" s="1" t="s">
        <v>2602</v>
      </c>
      <c r="M3972" s="1" t="str">
        <f>VLOOKUP(L3972,'Copy of PMD Workday Constants -'!B3971:W4657,22,false)</f>
        <v>#N/A</v>
      </c>
      <c r="N3972" s="1" t="s">
        <v>32</v>
      </c>
      <c r="O3972" s="1" t="s">
        <v>33</v>
      </c>
      <c r="P3972" s="1" t="s">
        <v>173</v>
      </c>
      <c r="Q3972" s="1" t="s">
        <v>173</v>
      </c>
      <c r="R3972" s="1" t="s">
        <v>174</v>
      </c>
      <c r="S3972" s="1" t="s">
        <v>8242</v>
      </c>
      <c r="T3972" s="1">
        <v>1.00611351E8</v>
      </c>
      <c r="W3972" s="1" t="s">
        <v>436</v>
      </c>
      <c r="X3972" s="1" t="s">
        <v>2914</v>
      </c>
    </row>
    <row r="3973">
      <c r="A3973" s="1" t="s">
        <v>11379</v>
      </c>
      <c r="B3973" s="1" t="s">
        <v>5286</v>
      </c>
      <c r="C3973" s="1" t="s">
        <v>11380</v>
      </c>
      <c r="D3973" s="1" t="s">
        <v>103</v>
      </c>
      <c r="E3973" s="1" t="s">
        <v>29</v>
      </c>
      <c r="F3973" s="5">
        <v>186000.0</v>
      </c>
      <c r="G3973" s="1" t="s">
        <v>7016</v>
      </c>
      <c r="H3973" s="1" t="s">
        <v>3443</v>
      </c>
      <c r="I3973" s="4">
        <v>44778.0</v>
      </c>
      <c r="K3973" s="1">
        <v>0.0</v>
      </c>
      <c r="L3973" s="1" t="s">
        <v>618</v>
      </c>
      <c r="M3973" s="1" t="str">
        <f>VLOOKUP(L3973,'Copy of PMD Workday Constants -'!B3972:W4658,22,false)</f>
        <v>#N/A</v>
      </c>
      <c r="N3973" s="1" t="s">
        <v>32</v>
      </c>
      <c r="O3973" s="1" t="s">
        <v>33</v>
      </c>
      <c r="P3973" s="1" t="s">
        <v>173</v>
      </c>
      <c r="Q3973" s="1" t="s">
        <v>173</v>
      </c>
      <c r="R3973" s="1" t="s">
        <v>174</v>
      </c>
      <c r="T3973" s="1">
        <v>1.00591141E8</v>
      </c>
      <c r="W3973" s="1" t="s">
        <v>74</v>
      </c>
      <c r="X3973" s="1" t="s">
        <v>11381</v>
      </c>
    </row>
    <row r="3974">
      <c r="A3974" s="1" t="s">
        <v>11382</v>
      </c>
      <c r="B3974" s="1" t="s">
        <v>7514</v>
      </c>
      <c r="C3974" s="1" t="s">
        <v>11383</v>
      </c>
      <c r="D3974" s="1" t="s">
        <v>103</v>
      </c>
      <c r="E3974" s="1" t="s">
        <v>29</v>
      </c>
      <c r="F3974" s="5">
        <v>185000.0</v>
      </c>
      <c r="G3974" s="1" t="s">
        <v>7016</v>
      </c>
      <c r="H3974" s="4">
        <v>44870.0</v>
      </c>
      <c r="I3974" s="1" t="s">
        <v>131</v>
      </c>
      <c r="K3974" s="1">
        <v>0.0</v>
      </c>
      <c r="L3974" s="1" t="s">
        <v>9909</v>
      </c>
      <c r="M3974" s="1" t="str">
        <f>VLOOKUP(L3974,'Copy of PMD Workday Constants -'!B3973:W4659,22,false)</f>
        <v>#N/A</v>
      </c>
      <c r="N3974" s="1" t="s">
        <v>32</v>
      </c>
      <c r="O3974" s="1" t="s">
        <v>33</v>
      </c>
      <c r="P3974" s="1" t="s">
        <v>34</v>
      </c>
      <c r="Q3974" s="1" t="s">
        <v>34</v>
      </c>
      <c r="R3974" s="1" t="s">
        <v>35</v>
      </c>
      <c r="S3974" s="1" t="s">
        <v>1166</v>
      </c>
      <c r="T3974" s="1">
        <v>1.00608771E8</v>
      </c>
      <c r="W3974" s="1" t="s">
        <v>456</v>
      </c>
      <c r="X3974" s="1" t="s">
        <v>9909</v>
      </c>
    </row>
    <row r="3975">
      <c r="A3975" s="1" t="s">
        <v>11384</v>
      </c>
      <c r="B3975" s="1" t="s">
        <v>304</v>
      </c>
      <c r="C3975" s="1" t="s">
        <v>11385</v>
      </c>
      <c r="D3975" s="1" t="s">
        <v>103</v>
      </c>
      <c r="E3975" s="1" t="s">
        <v>29</v>
      </c>
      <c r="F3975" s="5">
        <v>185000.0</v>
      </c>
      <c r="G3975" s="1" t="s">
        <v>7016</v>
      </c>
      <c r="H3975" s="1" t="s">
        <v>170</v>
      </c>
      <c r="I3975" s="1" t="s">
        <v>80</v>
      </c>
      <c r="K3975" s="1">
        <v>0.0</v>
      </c>
      <c r="L3975" s="1" t="s">
        <v>2343</v>
      </c>
      <c r="M3975" s="1" t="str">
        <f>VLOOKUP(L3975,'Copy of PMD Workday Constants -'!B3974:W4660,22,false)</f>
        <v>#N/A</v>
      </c>
      <c r="N3975" s="1" t="s">
        <v>32</v>
      </c>
      <c r="O3975" s="1" t="s">
        <v>33</v>
      </c>
      <c r="P3975" s="1" t="s">
        <v>222</v>
      </c>
      <c r="Q3975" s="1" t="s">
        <v>222</v>
      </c>
      <c r="R3975" s="1" t="s">
        <v>223</v>
      </c>
      <c r="S3975" s="1" t="s">
        <v>601</v>
      </c>
      <c r="T3975" s="1">
        <v>1.00619128E8</v>
      </c>
      <c r="U3975" s="1" t="s">
        <v>11386</v>
      </c>
      <c r="V3975" s="1" t="s">
        <v>46</v>
      </c>
      <c r="W3975" s="1" t="s">
        <v>308</v>
      </c>
      <c r="X3975" s="1" t="s">
        <v>3045</v>
      </c>
    </row>
    <row r="3976">
      <c r="A3976" s="1" t="s">
        <v>11387</v>
      </c>
      <c r="B3976" s="1" t="s">
        <v>11388</v>
      </c>
      <c r="C3976" s="1" t="s">
        <v>11389</v>
      </c>
      <c r="D3976" s="1" t="s">
        <v>28</v>
      </c>
      <c r="E3976" s="1" t="s">
        <v>29</v>
      </c>
      <c r="F3976" s="5">
        <v>185000.0</v>
      </c>
      <c r="G3976" s="1" t="s">
        <v>7016</v>
      </c>
      <c r="H3976" s="4">
        <v>44839.0</v>
      </c>
      <c r="I3976" s="1" t="s">
        <v>510</v>
      </c>
      <c r="K3976" s="1">
        <v>0.0</v>
      </c>
      <c r="L3976" s="1" t="s">
        <v>10851</v>
      </c>
      <c r="M3976" s="1" t="str">
        <f>VLOOKUP(L3976,'Copy of PMD Workday Constants -'!B3975:W4661,22,false)</f>
        <v>#N/A</v>
      </c>
      <c r="N3976" s="1" t="s">
        <v>32</v>
      </c>
      <c r="O3976" s="1" t="s">
        <v>33</v>
      </c>
      <c r="P3976" s="1" t="s">
        <v>222</v>
      </c>
      <c r="Q3976" s="1" t="s">
        <v>222</v>
      </c>
      <c r="R3976" s="1" t="s">
        <v>223</v>
      </c>
      <c r="T3976" s="1">
        <v>1.00592873E8</v>
      </c>
      <c r="W3976" s="1" t="s">
        <v>147</v>
      </c>
      <c r="X3976" s="1" t="s">
        <v>11390</v>
      </c>
    </row>
    <row r="3977">
      <c r="A3977" s="1" t="s">
        <v>11391</v>
      </c>
      <c r="B3977" s="1" t="s">
        <v>2254</v>
      </c>
      <c r="C3977" s="1" t="s">
        <v>11392</v>
      </c>
      <c r="D3977" s="1" t="s">
        <v>103</v>
      </c>
      <c r="E3977" s="1" t="s">
        <v>29</v>
      </c>
      <c r="F3977" s="5">
        <v>185000.0</v>
      </c>
      <c r="G3977" s="1" t="s">
        <v>7016</v>
      </c>
      <c r="H3977" s="1" t="s">
        <v>2822</v>
      </c>
      <c r="I3977" s="4">
        <v>44813.0</v>
      </c>
      <c r="J3977" s="1" t="s">
        <v>11393</v>
      </c>
      <c r="K3977" s="1">
        <v>0.0</v>
      </c>
      <c r="L3977" s="1" t="s">
        <v>3674</v>
      </c>
      <c r="M3977" s="1" t="str">
        <f>VLOOKUP(L3977,'Copy of PMD Workday Constants -'!B3976:W4662,22,false)</f>
        <v>#N/A</v>
      </c>
      <c r="N3977" s="1" t="s">
        <v>32</v>
      </c>
      <c r="O3977" s="1" t="s">
        <v>33</v>
      </c>
      <c r="P3977" s="1" t="s">
        <v>173</v>
      </c>
      <c r="Q3977" s="1" t="s">
        <v>173</v>
      </c>
      <c r="R3977" s="1" t="s">
        <v>174</v>
      </c>
      <c r="T3977" s="1">
        <v>1.0058537E8</v>
      </c>
      <c r="W3977" s="1" t="s">
        <v>456</v>
      </c>
      <c r="X3977" s="1" t="s">
        <v>11394</v>
      </c>
    </row>
    <row r="3978">
      <c r="A3978" s="1" t="s">
        <v>11395</v>
      </c>
      <c r="B3978" s="1" t="s">
        <v>1483</v>
      </c>
      <c r="C3978" s="1" t="s">
        <v>11396</v>
      </c>
      <c r="D3978" s="1" t="s">
        <v>103</v>
      </c>
      <c r="E3978" s="1" t="s">
        <v>29</v>
      </c>
      <c r="F3978" s="5">
        <v>185000.0</v>
      </c>
      <c r="G3978" s="1" t="s">
        <v>7016</v>
      </c>
      <c r="H3978" s="1" t="s">
        <v>698</v>
      </c>
      <c r="I3978" s="1" t="s">
        <v>80</v>
      </c>
      <c r="K3978" s="1">
        <v>0.0</v>
      </c>
      <c r="L3978" s="1" t="s">
        <v>9142</v>
      </c>
      <c r="M3978" s="1" t="str">
        <f>VLOOKUP(L3978,'Copy of PMD Workday Constants -'!B3977:W4663,22,false)</f>
        <v>#N/A</v>
      </c>
      <c r="N3978" s="1" t="s">
        <v>32</v>
      </c>
      <c r="O3978" s="1" t="s">
        <v>33</v>
      </c>
      <c r="P3978" s="1" t="s">
        <v>64</v>
      </c>
      <c r="Q3978" s="1" t="s">
        <v>64</v>
      </c>
      <c r="R3978" s="1" t="s">
        <v>65</v>
      </c>
      <c r="S3978" s="1" t="s">
        <v>791</v>
      </c>
      <c r="T3978" s="1">
        <v>1.01161639E8</v>
      </c>
      <c r="W3978" s="1" t="s">
        <v>456</v>
      </c>
      <c r="X3978" s="1" t="s">
        <v>1408</v>
      </c>
    </row>
    <row r="3979">
      <c r="A3979" s="1" t="s">
        <v>11397</v>
      </c>
      <c r="B3979" s="1" t="s">
        <v>812</v>
      </c>
      <c r="C3979" s="1" t="s">
        <v>11398</v>
      </c>
      <c r="D3979" s="1" t="s">
        <v>79</v>
      </c>
      <c r="E3979" s="1" t="s">
        <v>29</v>
      </c>
      <c r="F3979" s="5">
        <v>185000.0</v>
      </c>
      <c r="G3979" s="1" t="s">
        <v>7016</v>
      </c>
      <c r="H3979" s="4">
        <v>44595.0</v>
      </c>
      <c r="I3979" s="1" t="s">
        <v>732</v>
      </c>
      <c r="K3979" s="1">
        <v>0.0</v>
      </c>
      <c r="L3979" s="1" t="s">
        <v>3848</v>
      </c>
      <c r="M3979" s="1" t="str">
        <f>VLOOKUP(L3979,'Copy of PMD Workday Constants -'!B3978:W4664,22,false)</f>
        <v>#N/A</v>
      </c>
      <c r="N3979" s="1" t="s">
        <v>32</v>
      </c>
      <c r="O3979" s="1" t="s">
        <v>33</v>
      </c>
      <c r="P3979" s="1" t="s">
        <v>173</v>
      </c>
      <c r="Q3979" s="1" t="s">
        <v>173</v>
      </c>
      <c r="R3979" s="1" t="s">
        <v>174</v>
      </c>
      <c r="T3979" s="1">
        <v>1.00654914E8</v>
      </c>
      <c r="W3979" s="1" t="s">
        <v>37</v>
      </c>
      <c r="X3979" s="1" t="s">
        <v>2688</v>
      </c>
    </row>
    <row r="3980">
      <c r="A3980" s="1" t="s">
        <v>11399</v>
      </c>
      <c r="B3980" s="1" t="s">
        <v>3126</v>
      </c>
      <c r="C3980" s="1" t="s">
        <v>11400</v>
      </c>
      <c r="D3980" s="1" t="s">
        <v>51</v>
      </c>
      <c r="E3980" s="1" t="s">
        <v>29</v>
      </c>
      <c r="F3980" s="5">
        <v>182000.0</v>
      </c>
      <c r="G3980" s="1" t="s">
        <v>7016</v>
      </c>
      <c r="H3980" s="1" t="s">
        <v>1785</v>
      </c>
      <c r="I3980" s="1" t="s">
        <v>80</v>
      </c>
      <c r="K3980" s="1">
        <v>0.0</v>
      </c>
      <c r="L3980" s="1" t="s">
        <v>4608</v>
      </c>
      <c r="M3980" s="1" t="str">
        <f>VLOOKUP(L3980,'Copy of PMD Workday Constants -'!B3979:W4665,22,false)</f>
        <v>#N/A</v>
      </c>
      <c r="N3980" s="1" t="s">
        <v>32</v>
      </c>
      <c r="O3980" s="1" t="s">
        <v>33</v>
      </c>
      <c r="P3980" s="1" t="s">
        <v>222</v>
      </c>
      <c r="Q3980" s="1" t="s">
        <v>222</v>
      </c>
      <c r="R3980" s="1" t="s">
        <v>223</v>
      </c>
      <c r="S3980" s="1" t="s">
        <v>482</v>
      </c>
      <c r="T3980" s="1">
        <v>1.00592715E8</v>
      </c>
      <c r="W3980" s="1" t="s">
        <v>47</v>
      </c>
      <c r="X3980" s="1" t="s">
        <v>817</v>
      </c>
    </row>
    <row r="3981">
      <c r="A3981" s="1" t="s">
        <v>11401</v>
      </c>
      <c r="B3981" s="1" t="s">
        <v>11402</v>
      </c>
      <c r="C3981" s="1" t="s">
        <v>11403</v>
      </c>
      <c r="D3981" s="1" t="s">
        <v>103</v>
      </c>
      <c r="E3981" s="1" t="s">
        <v>29</v>
      </c>
      <c r="F3981" s="5">
        <v>182000.0</v>
      </c>
      <c r="G3981" s="1" t="s">
        <v>7016</v>
      </c>
      <c r="H3981" s="4">
        <v>44686.0</v>
      </c>
      <c r="I3981" s="1" t="s">
        <v>406</v>
      </c>
      <c r="K3981" s="1">
        <v>0.0</v>
      </c>
      <c r="L3981" s="1" t="s">
        <v>5351</v>
      </c>
      <c r="M3981" s="1" t="str">
        <f>VLOOKUP(L3981,'Copy of PMD Workday Constants -'!B3980:W4666,22,false)</f>
        <v>#N/A</v>
      </c>
      <c r="N3981" s="1" t="s">
        <v>32</v>
      </c>
      <c r="O3981" s="1" t="s">
        <v>33</v>
      </c>
      <c r="P3981" s="1" t="s">
        <v>222</v>
      </c>
      <c r="Q3981" s="1" t="s">
        <v>222</v>
      </c>
      <c r="R3981" s="1" t="s">
        <v>223</v>
      </c>
      <c r="S3981" s="1" t="s">
        <v>482</v>
      </c>
      <c r="T3981" s="1">
        <v>1.00640945E8</v>
      </c>
      <c r="W3981" s="1" t="s">
        <v>1801</v>
      </c>
      <c r="X3981" s="1" t="s">
        <v>8975</v>
      </c>
    </row>
    <row r="3982">
      <c r="A3982" s="1" t="s">
        <v>11404</v>
      </c>
      <c r="B3982" s="1" t="s">
        <v>1737</v>
      </c>
      <c r="C3982" s="1" t="s">
        <v>11405</v>
      </c>
      <c r="D3982" s="1" t="s">
        <v>28</v>
      </c>
      <c r="E3982" s="1" t="s">
        <v>29</v>
      </c>
      <c r="F3982" s="5">
        <v>180000.0</v>
      </c>
      <c r="G3982" s="1" t="s">
        <v>7016</v>
      </c>
      <c r="H3982" s="1" t="s">
        <v>1245</v>
      </c>
      <c r="I3982" s="4">
        <v>44780.0</v>
      </c>
      <c r="K3982" s="1">
        <v>0.0</v>
      </c>
      <c r="L3982" s="1" t="s">
        <v>6714</v>
      </c>
      <c r="M3982" s="1" t="str">
        <f>VLOOKUP(L3982,'Copy of PMD Workday Constants -'!B3981:W4667,22,false)</f>
        <v>#N/A</v>
      </c>
      <c r="N3982" s="1" t="s">
        <v>32</v>
      </c>
      <c r="O3982" s="1" t="s">
        <v>33</v>
      </c>
      <c r="P3982" s="1" t="s">
        <v>210</v>
      </c>
      <c r="Q3982" s="1" t="s">
        <v>210</v>
      </c>
      <c r="R3982" s="1" t="s">
        <v>211</v>
      </c>
      <c r="T3982" s="1">
        <v>1.00616623E8</v>
      </c>
      <c r="U3982" s="1" t="s">
        <v>11406</v>
      </c>
      <c r="V3982" s="1" t="s">
        <v>781</v>
      </c>
      <c r="W3982" s="1" t="s">
        <v>56</v>
      </c>
      <c r="X3982" s="1" t="s">
        <v>11407</v>
      </c>
    </row>
    <row r="3983">
      <c r="A3983" s="1" t="s">
        <v>11408</v>
      </c>
      <c r="B3983" s="1" t="s">
        <v>11409</v>
      </c>
      <c r="C3983" s="1" t="s">
        <v>11410</v>
      </c>
      <c r="D3983" s="1" t="s">
        <v>103</v>
      </c>
      <c r="E3983" s="1" t="s">
        <v>29</v>
      </c>
      <c r="F3983" s="5">
        <v>180000.0</v>
      </c>
      <c r="G3983" s="1" t="s">
        <v>7016</v>
      </c>
      <c r="H3983" s="4">
        <v>44840.0</v>
      </c>
      <c r="I3983" s="1" t="s">
        <v>816</v>
      </c>
      <c r="K3983" s="1">
        <v>0.0</v>
      </c>
      <c r="L3983" s="1" t="s">
        <v>10780</v>
      </c>
      <c r="M3983" s="1" t="str">
        <f>VLOOKUP(L3983,'Copy of PMD Workday Constants -'!B3982:W4668,22,false)</f>
        <v>#N/A</v>
      </c>
      <c r="N3983" s="1" t="s">
        <v>32</v>
      </c>
      <c r="O3983" s="1" t="s">
        <v>33</v>
      </c>
      <c r="P3983" s="1" t="s">
        <v>222</v>
      </c>
      <c r="Q3983" s="1" t="s">
        <v>222</v>
      </c>
      <c r="R3983" s="1" t="s">
        <v>223</v>
      </c>
      <c r="S3983" s="1" t="s">
        <v>482</v>
      </c>
      <c r="T3983" s="1">
        <v>1.00608136E8</v>
      </c>
      <c r="W3983" s="1" t="s">
        <v>577</v>
      </c>
      <c r="X3983" s="1" t="s">
        <v>11411</v>
      </c>
    </row>
    <row r="3984">
      <c r="A3984" s="1" t="s">
        <v>11412</v>
      </c>
      <c r="B3984" s="1" t="s">
        <v>4642</v>
      </c>
      <c r="C3984" s="1" t="s">
        <v>11413</v>
      </c>
      <c r="D3984" s="1" t="s">
        <v>103</v>
      </c>
      <c r="E3984" s="1" t="s">
        <v>29</v>
      </c>
      <c r="F3984" s="5">
        <v>180000.0</v>
      </c>
      <c r="G3984" s="1" t="s">
        <v>7016</v>
      </c>
      <c r="H3984" s="1" t="s">
        <v>9074</v>
      </c>
      <c r="I3984" s="1" t="s">
        <v>941</v>
      </c>
      <c r="J3984" s="6">
        <v>44260.43402777778</v>
      </c>
      <c r="K3984" s="1">
        <v>0.0</v>
      </c>
      <c r="L3984" s="1" t="s">
        <v>2417</v>
      </c>
      <c r="M3984" s="1" t="str">
        <f>VLOOKUP(L3984,'Copy of PMD Workday Constants -'!B3983:W4669,22,false)</f>
        <v>#N/A</v>
      </c>
      <c r="N3984" s="1" t="s">
        <v>32</v>
      </c>
      <c r="O3984" s="1" t="s">
        <v>33</v>
      </c>
      <c r="P3984" s="1" t="s">
        <v>34</v>
      </c>
      <c r="Q3984" s="1" t="s">
        <v>34</v>
      </c>
      <c r="R3984" s="1" t="s">
        <v>35</v>
      </c>
      <c r="S3984" s="1" t="s">
        <v>383</v>
      </c>
      <c r="T3984" s="1">
        <v>1.00642238E8</v>
      </c>
      <c r="W3984" s="1" t="s">
        <v>56</v>
      </c>
      <c r="X3984" s="1" t="s">
        <v>4392</v>
      </c>
    </row>
    <row r="3985">
      <c r="A3985" s="1" t="s">
        <v>11414</v>
      </c>
      <c r="B3985" s="1" t="s">
        <v>6404</v>
      </c>
      <c r="C3985" s="1" t="s">
        <v>11415</v>
      </c>
      <c r="D3985" s="1" t="s">
        <v>103</v>
      </c>
      <c r="E3985" s="1" t="s">
        <v>29</v>
      </c>
      <c r="F3985" s="5">
        <v>180000.0</v>
      </c>
      <c r="G3985" s="1" t="s">
        <v>7016</v>
      </c>
      <c r="H3985" s="4">
        <v>44900.0</v>
      </c>
      <c r="I3985" s="1" t="s">
        <v>1349</v>
      </c>
      <c r="K3985" s="1">
        <v>0.0</v>
      </c>
      <c r="L3985" s="1" t="s">
        <v>2612</v>
      </c>
      <c r="M3985" s="1" t="str">
        <f>VLOOKUP(L3985,'Copy of PMD Workday Constants -'!B3984:W4670,22,false)</f>
        <v>#N/A</v>
      </c>
      <c r="N3985" s="1" t="s">
        <v>32</v>
      </c>
      <c r="O3985" s="1" t="s">
        <v>33</v>
      </c>
      <c r="P3985" s="1" t="s">
        <v>173</v>
      </c>
      <c r="Q3985" s="1" t="s">
        <v>173</v>
      </c>
      <c r="R3985" s="1" t="s">
        <v>174</v>
      </c>
      <c r="T3985" s="1">
        <v>1.00609544E8</v>
      </c>
      <c r="W3985" s="1" t="s">
        <v>456</v>
      </c>
      <c r="X3985" s="1" t="s">
        <v>6614</v>
      </c>
    </row>
    <row r="3986">
      <c r="A3986" s="1" t="s">
        <v>11416</v>
      </c>
      <c r="B3986" s="1" t="s">
        <v>324</v>
      </c>
      <c r="C3986" s="1" t="s">
        <v>11417</v>
      </c>
      <c r="D3986" s="1" t="s">
        <v>28</v>
      </c>
      <c r="E3986" s="1" t="s">
        <v>29</v>
      </c>
      <c r="F3986" s="5">
        <v>180000.0</v>
      </c>
      <c r="G3986" s="1" t="s">
        <v>7016</v>
      </c>
      <c r="H3986" s="4">
        <v>44567.0</v>
      </c>
      <c r="I3986" s="1" t="s">
        <v>3052</v>
      </c>
      <c r="K3986" s="1">
        <v>0.0</v>
      </c>
      <c r="L3986" s="1" t="s">
        <v>2486</v>
      </c>
      <c r="M3986" s="1" t="str">
        <f>VLOOKUP(L3986,'Copy of PMD Workday Constants -'!B3985:W4671,22,false)</f>
        <v>#N/A</v>
      </c>
      <c r="N3986" s="1" t="s">
        <v>32</v>
      </c>
      <c r="O3986" s="1" t="s">
        <v>33</v>
      </c>
      <c r="P3986" s="1" t="s">
        <v>222</v>
      </c>
      <c r="Q3986" s="1" t="s">
        <v>222</v>
      </c>
      <c r="R3986" s="1" t="s">
        <v>223</v>
      </c>
      <c r="S3986" s="1" t="s">
        <v>601</v>
      </c>
      <c r="T3986" s="1">
        <v>1.01051394E8</v>
      </c>
      <c r="W3986" s="1" t="s">
        <v>56</v>
      </c>
      <c r="X3986" s="1" t="s">
        <v>4194</v>
      </c>
    </row>
    <row r="3987">
      <c r="A3987" s="1" t="s">
        <v>11418</v>
      </c>
      <c r="B3987" s="1" t="s">
        <v>6450</v>
      </c>
      <c r="C3987" s="1" t="s">
        <v>11419</v>
      </c>
      <c r="D3987" s="1" t="s">
        <v>79</v>
      </c>
      <c r="E3987" s="1" t="s">
        <v>29</v>
      </c>
      <c r="F3987" s="5">
        <v>180000.0</v>
      </c>
      <c r="G3987" s="1" t="s">
        <v>7016</v>
      </c>
      <c r="H3987" s="1" t="s">
        <v>420</v>
      </c>
      <c r="I3987" s="1" t="s">
        <v>104</v>
      </c>
      <c r="J3987" s="6">
        <v>44505.19375</v>
      </c>
      <c r="K3987" s="1">
        <v>0.0</v>
      </c>
      <c r="L3987" s="1" t="s">
        <v>198</v>
      </c>
      <c r="M3987" s="1" t="str">
        <f>VLOOKUP(L3987,'Copy of PMD Workday Constants -'!B3986:W4672,22,false)</f>
        <v>#N/A</v>
      </c>
      <c r="N3987" s="1" t="s">
        <v>32</v>
      </c>
      <c r="O3987" s="1" t="s">
        <v>33</v>
      </c>
      <c r="P3987" s="1" t="s">
        <v>82</v>
      </c>
      <c r="Q3987" s="1" t="s">
        <v>82</v>
      </c>
      <c r="R3987" s="1" t="s">
        <v>83</v>
      </c>
      <c r="S3987" s="1" t="s">
        <v>180</v>
      </c>
      <c r="T3987" s="1">
        <v>1.00590896E8</v>
      </c>
      <c r="W3987" s="1" t="s">
        <v>85</v>
      </c>
      <c r="X3987" s="1" t="s">
        <v>5126</v>
      </c>
    </row>
    <row r="3988">
      <c r="A3988" s="1" t="s">
        <v>11420</v>
      </c>
      <c r="B3988" s="1" t="s">
        <v>7885</v>
      </c>
      <c r="C3988" s="1" t="s">
        <v>11421</v>
      </c>
      <c r="D3988" s="1" t="s">
        <v>28</v>
      </c>
      <c r="E3988" s="1" t="s">
        <v>29</v>
      </c>
      <c r="F3988" s="5">
        <v>180000.0</v>
      </c>
      <c r="G3988" s="1" t="s">
        <v>7016</v>
      </c>
      <c r="H3988" s="4">
        <v>44685.0</v>
      </c>
      <c r="I3988" s="1" t="s">
        <v>302</v>
      </c>
      <c r="K3988" s="1">
        <v>0.0</v>
      </c>
      <c r="L3988" s="1" t="s">
        <v>3674</v>
      </c>
      <c r="M3988" s="1" t="str">
        <f>VLOOKUP(L3988,'Copy of PMD Workday Constants -'!B3987:W4673,22,false)</f>
        <v>#N/A</v>
      </c>
      <c r="N3988" s="1" t="s">
        <v>32</v>
      </c>
      <c r="O3988" s="1" t="s">
        <v>33</v>
      </c>
      <c r="P3988" s="1" t="s">
        <v>173</v>
      </c>
      <c r="Q3988" s="1" t="s">
        <v>173</v>
      </c>
      <c r="R3988" s="1" t="s">
        <v>174</v>
      </c>
      <c r="S3988" s="1" t="s">
        <v>153</v>
      </c>
      <c r="T3988" s="1">
        <v>1.0058537E8</v>
      </c>
      <c r="W3988" s="1" t="s">
        <v>456</v>
      </c>
      <c r="X3988" s="1" t="s">
        <v>7887</v>
      </c>
    </row>
    <row r="3989">
      <c r="A3989" s="1" t="s">
        <v>11422</v>
      </c>
      <c r="B3989" s="1" t="s">
        <v>1573</v>
      </c>
      <c r="C3989" s="1" t="s">
        <v>11423</v>
      </c>
      <c r="D3989" s="1" t="s">
        <v>28</v>
      </c>
      <c r="E3989" s="1" t="s">
        <v>29</v>
      </c>
      <c r="F3989" s="5">
        <v>180000.0</v>
      </c>
      <c r="G3989" s="1" t="s">
        <v>7016</v>
      </c>
      <c r="H3989" s="4">
        <v>44779.0</v>
      </c>
      <c r="I3989" s="1" t="s">
        <v>96</v>
      </c>
      <c r="K3989" s="1">
        <v>0.0</v>
      </c>
      <c r="L3989" s="1" t="s">
        <v>10452</v>
      </c>
      <c r="M3989" s="1" t="str">
        <f>VLOOKUP(L3989,'Copy of PMD Workday Constants -'!B3988:W4674,22,false)</f>
        <v>#N/A</v>
      </c>
      <c r="N3989" s="1" t="s">
        <v>32</v>
      </c>
      <c r="O3989" s="1" t="s">
        <v>33</v>
      </c>
      <c r="P3989" s="1" t="s">
        <v>173</v>
      </c>
      <c r="Q3989" s="1" t="s">
        <v>173</v>
      </c>
      <c r="R3989" s="1" t="s">
        <v>174</v>
      </c>
      <c r="S3989" s="1" t="s">
        <v>153</v>
      </c>
      <c r="T3989" s="1">
        <v>1.00614201E8</v>
      </c>
      <c r="W3989" s="1" t="s">
        <v>456</v>
      </c>
      <c r="X3989" s="1" t="s">
        <v>11424</v>
      </c>
    </row>
    <row r="3990">
      <c r="A3990" s="1" t="s">
        <v>11425</v>
      </c>
      <c r="B3990" s="1" t="s">
        <v>7174</v>
      </c>
      <c r="C3990" s="1" t="s">
        <v>11426</v>
      </c>
      <c r="D3990" s="1" t="s">
        <v>103</v>
      </c>
      <c r="E3990" s="1" t="s">
        <v>29</v>
      </c>
      <c r="F3990" s="5">
        <v>180000.0</v>
      </c>
      <c r="G3990" s="1" t="s">
        <v>7016</v>
      </c>
      <c r="H3990" s="4">
        <v>44481.0</v>
      </c>
      <c r="I3990" s="4">
        <v>44601.0</v>
      </c>
      <c r="K3990" s="1">
        <v>0.0</v>
      </c>
      <c r="L3990" s="1" t="s">
        <v>1242</v>
      </c>
      <c r="M3990" s="1" t="str">
        <f>VLOOKUP(L3990,'Copy of PMD Workday Constants -'!B3989:W4675,22,false)</f>
        <v>#N/A</v>
      </c>
      <c r="N3990" s="1" t="s">
        <v>32</v>
      </c>
      <c r="O3990" s="1" t="s">
        <v>33</v>
      </c>
      <c r="P3990" s="1" t="s">
        <v>34</v>
      </c>
      <c r="Q3990" s="1" t="s">
        <v>34</v>
      </c>
      <c r="R3990" s="1" t="s">
        <v>35</v>
      </c>
      <c r="S3990" s="1" t="s">
        <v>383</v>
      </c>
      <c r="T3990" s="1">
        <v>1.00626898E8</v>
      </c>
      <c r="W3990" s="1" t="s">
        <v>140</v>
      </c>
      <c r="X3990" s="1" t="s">
        <v>1242</v>
      </c>
    </row>
    <row r="3991">
      <c r="A3991" s="1" t="s">
        <v>11427</v>
      </c>
      <c r="B3991" s="1" t="s">
        <v>8221</v>
      </c>
      <c r="C3991" s="1" t="s">
        <v>11428</v>
      </c>
      <c r="D3991" s="1" t="s">
        <v>79</v>
      </c>
      <c r="E3991" s="1" t="s">
        <v>29</v>
      </c>
      <c r="F3991" s="5">
        <v>180000.0</v>
      </c>
      <c r="G3991" s="1" t="s">
        <v>7016</v>
      </c>
      <c r="H3991" s="1" t="s">
        <v>1765</v>
      </c>
      <c r="I3991" s="1" t="s">
        <v>1349</v>
      </c>
      <c r="K3991" s="1">
        <v>0.0</v>
      </c>
      <c r="L3991" s="1" t="s">
        <v>2093</v>
      </c>
      <c r="M3991" s="1" t="str">
        <f>VLOOKUP(L3991,'Copy of PMD Workday Constants -'!B3990:W4676,22,false)</f>
        <v>#N/A</v>
      </c>
      <c r="N3991" s="1" t="s">
        <v>32</v>
      </c>
      <c r="O3991" s="1" t="s">
        <v>33</v>
      </c>
      <c r="P3991" s="1" t="s">
        <v>222</v>
      </c>
      <c r="Q3991" s="1" t="s">
        <v>222</v>
      </c>
      <c r="R3991" s="1" t="s">
        <v>223</v>
      </c>
      <c r="S3991" s="1" t="s">
        <v>646</v>
      </c>
      <c r="T3991" s="1">
        <v>1.00612055E8</v>
      </c>
      <c r="W3991" s="1" t="s">
        <v>74</v>
      </c>
      <c r="X3991" s="1" t="s">
        <v>2093</v>
      </c>
    </row>
    <row r="3992">
      <c r="A3992" s="1" t="s">
        <v>11429</v>
      </c>
      <c r="B3992" s="1" t="s">
        <v>11430</v>
      </c>
      <c r="C3992" s="1" t="s">
        <v>11431</v>
      </c>
      <c r="D3992" s="1" t="s">
        <v>51</v>
      </c>
      <c r="E3992" s="1" t="s">
        <v>29</v>
      </c>
      <c r="F3992" s="5">
        <v>175000.0</v>
      </c>
      <c r="G3992" s="1" t="s">
        <v>7016</v>
      </c>
      <c r="H3992" s="1" t="s">
        <v>816</v>
      </c>
      <c r="I3992" s="1" t="s">
        <v>732</v>
      </c>
      <c r="K3992" s="1">
        <v>0.0</v>
      </c>
      <c r="L3992" s="1" t="s">
        <v>5184</v>
      </c>
      <c r="M3992" s="1" t="str">
        <f>VLOOKUP(L3992,'Copy of PMD Workday Constants -'!B3991:W4677,22,false)</f>
        <v>#N/A</v>
      </c>
      <c r="N3992" s="1" t="s">
        <v>32</v>
      </c>
      <c r="O3992" s="1" t="s">
        <v>33</v>
      </c>
      <c r="P3992" s="1" t="s">
        <v>64</v>
      </c>
      <c r="Q3992" s="1" t="s">
        <v>64</v>
      </c>
      <c r="R3992" s="1" t="s">
        <v>65</v>
      </c>
      <c r="T3992" s="1">
        <v>1.00568413E8</v>
      </c>
      <c r="W3992" s="1" t="s">
        <v>456</v>
      </c>
      <c r="X3992" s="1" t="s">
        <v>7801</v>
      </c>
    </row>
    <row r="3993">
      <c r="A3993" s="1" t="s">
        <v>11432</v>
      </c>
      <c r="B3993" s="1" t="s">
        <v>886</v>
      </c>
      <c r="C3993" s="1" t="s">
        <v>7950</v>
      </c>
      <c r="D3993" s="1" t="s">
        <v>28</v>
      </c>
      <c r="E3993" s="1" t="s">
        <v>29</v>
      </c>
      <c r="F3993" s="5">
        <v>175000.0</v>
      </c>
      <c r="G3993" s="1" t="s">
        <v>7016</v>
      </c>
      <c r="H3993" s="4">
        <v>44508.0</v>
      </c>
      <c r="I3993" s="1" t="s">
        <v>302</v>
      </c>
      <c r="K3993" s="1">
        <v>0.0</v>
      </c>
      <c r="L3993" s="1" t="s">
        <v>344</v>
      </c>
      <c r="M3993" s="1" t="str">
        <f>VLOOKUP(L3993,'Copy of PMD Workday Constants -'!B3992:W4678,22,false)</f>
        <v>#N/A</v>
      </c>
      <c r="N3993" s="1" t="s">
        <v>32</v>
      </c>
      <c r="O3993" s="1" t="s">
        <v>33</v>
      </c>
      <c r="P3993" s="1" t="s">
        <v>82</v>
      </c>
      <c r="Q3993" s="1" t="s">
        <v>82</v>
      </c>
      <c r="R3993" s="1" t="s">
        <v>83</v>
      </c>
      <c r="S3993" s="1" t="s">
        <v>180</v>
      </c>
      <c r="T3993" s="1">
        <v>1.00610483E8</v>
      </c>
      <c r="W3993" s="1" t="s">
        <v>85</v>
      </c>
      <c r="X3993" s="1" t="s">
        <v>4124</v>
      </c>
    </row>
    <row r="3994">
      <c r="A3994" s="1" t="s">
        <v>11433</v>
      </c>
      <c r="B3994" s="1" t="s">
        <v>7729</v>
      </c>
      <c r="C3994" s="1" t="s">
        <v>11434</v>
      </c>
      <c r="D3994" s="1" t="s">
        <v>103</v>
      </c>
      <c r="E3994" s="1" t="s">
        <v>29</v>
      </c>
      <c r="F3994" s="5">
        <v>175000.0</v>
      </c>
      <c r="G3994" s="1" t="s">
        <v>7016</v>
      </c>
      <c r="H3994" s="4">
        <v>44810.0</v>
      </c>
      <c r="I3994" s="1" t="s">
        <v>732</v>
      </c>
      <c r="K3994" s="1">
        <v>0.0</v>
      </c>
      <c r="L3994" s="1" t="s">
        <v>63</v>
      </c>
      <c r="M3994" s="1" t="str">
        <f>VLOOKUP(L3994,'Copy of PMD Workday Constants -'!B3993:W4679,22,false)</f>
        <v>#N/A</v>
      </c>
      <c r="N3994" s="1" t="s">
        <v>32</v>
      </c>
      <c r="O3994" s="1" t="s">
        <v>33</v>
      </c>
      <c r="P3994" s="1" t="s">
        <v>64</v>
      </c>
      <c r="Q3994" s="1" t="s">
        <v>64</v>
      </c>
      <c r="R3994" s="1" t="s">
        <v>65</v>
      </c>
      <c r="S3994" s="1" t="s">
        <v>126</v>
      </c>
      <c r="T3994" s="1">
        <v>1.01059432E8</v>
      </c>
      <c r="W3994" s="1" t="s">
        <v>308</v>
      </c>
      <c r="X3994" s="1" t="s">
        <v>4889</v>
      </c>
    </row>
    <row r="3995">
      <c r="A3995" s="1" t="s">
        <v>11435</v>
      </c>
      <c r="B3995" s="1" t="s">
        <v>1285</v>
      </c>
      <c r="C3995" s="1" t="s">
        <v>11436</v>
      </c>
      <c r="D3995" s="1" t="s">
        <v>28</v>
      </c>
      <c r="E3995" s="1" t="s">
        <v>29</v>
      </c>
      <c r="F3995" s="5">
        <v>175000.0</v>
      </c>
      <c r="G3995" s="1" t="s">
        <v>7016</v>
      </c>
      <c r="H3995" s="4">
        <v>44807.0</v>
      </c>
      <c r="I3995" s="1" t="s">
        <v>80</v>
      </c>
      <c r="K3995" s="1">
        <v>0.0</v>
      </c>
      <c r="L3995" s="1" t="s">
        <v>5199</v>
      </c>
      <c r="M3995" s="1" t="str">
        <f>VLOOKUP(L3995,'Copy of PMD Workday Constants -'!B3994:W4680,22,false)</f>
        <v>#N/A</v>
      </c>
      <c r="N3995" s="1" t="s">
        <v>32</v>
      </c>
      <c r="O3995" s="1" t="s">
        <v>33</v>
      </c>
      <c r="P3995" s="1" t="s">
        <v>173</v>
      </c>
      <c r="Q3995" s="1" t="s">
        <v>173</v>
      </c>
      <c r="R3995" s="1" t="s">
        <v>174</v>
      </c>
      <c r="T3995" s="1">
        <v>1.00659846E8</v>
      </c>
      <c r="W3995" s="1" t="s">
        <v>74</v>
      </c>
      <c r="X3995" s="1" t="s">
        <v>5014</v>
      </c>
    </row>
    <row r="3996">
      <c r="A3996" s="1" t="s">
        <v>11437</v>
      </c>
      <c r="B3996" s="1" t="s">
        <v>11438</v>
      </c>
      <c r="C3996" s="1" t="s">
        <v>11439</v>
      </c>
      <c r="D3996" s="1" t="s">
        <v>51</v>
      </c>
      <c r="E3996" s="1" t="s">
        <v>29</v>
      </c>
      <c r="F3996" s="5">
        <v>175000.0</v>
      </c>
      <c r="G3996" s="1" t="s">
        <v>7016</v>
      </c>
      <c r="H3996" s="1" t="s">
        <v>1708</v>
      </c>
      <c r="I3996" s="1" t="s">
        <v>248</v>
      </c>
      <c r="K3996" s="1">
        <v>0.0</v>
      </c>
      <c r="L3996" s="1" t="s">
        <v>481</v>
      </c>
      <c r="M3996" s="1" t="str">
        <f>VLOOKUP(L3996,'Copy of PMD Workday Constants -'!B3995:W4681,22,false)</f>
        <v>#N/A</v>
      </c>
      <c r="N3996" s="1" t="s">
        <v>32</v>
      </c>
      <c r="O3996" s="1" t="s">
        <v>33</v>
      </c>
      <c r="P3996" s="1" t="s">
        <v>222</v>
      </c>
      <c r="Q3996" s="1" t="s">
        <v>222</v>
      </c>
      <c r="R3996" s="1" t="s">
        <v>223</v>
      </c>
      <c r="S3996" s="1" t="s">
        <v>482</v>
      </c>
      <c r="T3996" s="1">
        <v>1.00654864E8</v>
      </c>
      <c r="W3996" s="1" t="s">
        <v>140</v>
      </c>
      <c r="X3996" s="1" t="s">
        <v>5828</v>
      </c>
    </row>
    <row r="3997">
      <c r="A3997" s="1" t="s">
        <v>11440</v>
      </c>
      <c r="B3997" s="1" t="s">
        <v>4179</v>
      </c>
      <c r="C3997" s="1" t="s">
        <v>11441</v>
      </c>
      <c r="D3997" s="1" t="s">
        <v>28</v>
      </c>
      <c r="E3997" s="1" t="s">
        <v>29</v>
      </c>
      <c r="F3997" s="5">
        <v>175000.0</v>
      </c>
      <c r="G3997" s="1" t="s">
        <v>7016</v>
      </c>
      <c r="H3997" s="1" t="s">
        <v>2515</v>
      </c>
      <c r="I3997" s="1" t="s">
        <v>1330</v>
      </c>
      <c r="K3997" s="1">
        <v>0.0</v>
      </c>
      <c r="L3997" s="1" t="s">
        <v>1351</v>
      </c>
      <c r="M3997" s="1" t="str">
        <f>VLOOKUP(L3997,'Copy of PMD Workday Constants -'!B3996:W4682,22,false)</f>
        <v>#N/A</v>
      </c>
      <c r="N3997" s="1" t="s">
        <v>32</v>
      </c>
      <c r="O3997" s="1" t="s">
        <v>33</v>
      </c>
      <c r="P3997" s="1" t="s">
        <v>34</v>
      </c>
      <c r="Q3997" s="1" t="s">
        <v>34</v>
      </c>
      <c r="R3997" s="1" t="s">
        <v>35</v>
      </c>
      <c r="S3997" s="1" t="s">
        <v>126</v>
      </c>
      <c r="T3997" s="1">
        <v>1.00585872E8</v>
      </c>
      <c r="W3997" s="1" t="s">
        <v>74</v>
      </c>
      <c r="X3997" s="1" t="s">
        <v>7879</v>
      </c>
    </row>
    <row r="3998">
      <c r="A3998" s="1" t="s">
        <v>11442</v>
      </c>
      <c r="B3998" s="1" t="s">
        <v>615</v>
      </c>
      <c r="C3998" s="1" t="s">
        <v>11443</v>
      </c>
      <c r="D3998" s="1" t="s">
        <v>103</v>
      </c>
      <c r="E3998" s="1" t="s">
        <v>29</v>
      </c>
      <c r="F3998" s="5">
        <v>175000.0</v>
      </c>
      <c r="G3998" s="1" t="s">
        <v>7016</v>
      </c>
      <c r="H3998" s="1" t="s">
        <v>545</v>
      </c>
      <c r="I3998" s="1" t="s">
        <v>1349</v>
      </c>
      <c r="K3998" s="1">
        <v>0.0</v>
      </c>
      <c r="L3998" s="1" t="s">
        <v>1380</v>
      </c>
      <c r="M3998" s="1" t="str">
        <f>VLOOKUP(L3998,'Copy of PMD Workday Constants -'!B3997:W4683,22,false)</f>
        <v>#N/A</v>
      </c>
      <c r="N3998" s="1" t="s">
        <v>32</v>
      </c>
      <c r="O3998" s="1" t="s">
        <v>33</v>
      </c>
      <c r="P3998" s="1" t="s">
        <v>34</v>
      </c>
      <c r="Q3998" s="1" t="s">
        <v>34</v>
      </c>
      <c r="R3998" s="1" t="s">
        <v>35</v>
      </c>
      <c r="S3998" s="1" t="s">
        <v>126</v>
      </c>
      <c r="T3998" s="1">
        <v>1.00587434E8</v>
      </c>
      <c r="W3998" s="1" t="s">
        <v>74</v>
      </c>
      <c r="X3998" s="1" t="s">
        <v>1381</v>
      </c>
    </row>
    <row r="3999">
      <c r="A3999" s="1" t="s">
        <v>11444</v>
      </c>
      <c r="B3999" s="1" t="s">
        <v>160</v>
      </c>
      <c r="C3999" s="1" t="s">
        <v>11445</v>
      </c>
      <c r="D3999" s="1" t="s">
        <v>28</v>
      </c>
      <c r="E3999" s="1" t="s">
        <v>29</v>
      </c>
      <c r="F3999" s="5">
        <v>175000.0</v>
      </c>
      <c r="G3999" s="1" t="s">
        <v>7016</v>
      </c>
      <c r="H3999" s="4">
        <v>44447.0</v>
      </c>
      <c r="I3999" s="4">
        <v>44718.0</v>
      </c>
      <c r="K3999" s="1">
        <v>0.0</v>
      </c>
      <c r="L3999" s="1" t="s">
        <v>570</v>
      </c>
      <c r="M3999" s="1" t="str">
        <f>VLOOKUP(L3999,'Copy of PMD Workday Constants -'!B3998:W4684,22,false)</f>
        <v>#N/A</v>
      </c>
      <c r="N3999" s="1" t="s">
        <v>32</v>
      </c>
      <c r="O3999" s="1" t="s">
        <v>33</v>
      </c>
      <c r="P3999" s="1" t="s">
        <v>112</v>
      </c>
      <c r="Q3999" s="1" t="s">
        <v>112</v>
      </c>
      <c r="R3999" s="1" t="s">
        <v>113</v>
      </c>
      <c r="S3999" s="1" t="s">
        <v>120</v>
      </c>
      <c r="T3999" s="1">
        <v>1.00625415E8</v>
      </c>
      <c r="W3999" s="1" t="s">
        <v>56</v>
      </c>
      <c r="X3999" s="1" t="s">
        <v>4458</v>
      </c>
    </row>
    <row r="4000">
      <c r="A4000" s="1" t="s">
        <v>11446</v>
      </c>
      <c r="B4000" s="1" t="s">
        <v>5157</v>
      </c>
      <c r="C4000" s="1" t="s">
        <v>11447</v>
      </c>
      <c r="D4000" s="1" t="s">
        <v>51</v>
      </c>
      <c r="E4000" s="1" t="s">
        <v>29</v>
      </c>
      <c r="F4000" s="5">
        <v>175000.0</v>
      </c>
      <c r="G4000" s="1" t="s">
        <v>7016</v>
      </c>
      <c r="H4000" s="1" t="s">
        <v>1765</v>
      </c>
      <c r="I4000" s="1" t="s">
        <v>104</v>
      </c>
      <c r="K4000" s="1">
        <v>0.0</v>
      </c>
      <c r="L4000" s="1" t="s">
        <v>338</v>
      </c>
      <c r="M4000" s="1" t="str">
        <f>VLOOKUP(L4000,'Copy of PMD Workday Constants -'!B3999:W4685,22,false)</f>
        <v>#N/A</v>
      </c>
      <c r="N4000" s="1" t="s">
        <v>32</v>
      </c>
      <c r="O4000" s="1" t="s">
        <v>33</v>
      </c>
      <c r="P4000" s="1" t="s">
        <v>34</v>
      </c>
      <c r="Q4000" s="1" t="s">
        <v>34</v>
      </c>
      <c r="R4000" s="1" t="s">
        <v>35</v>
      </c>
      <c r="S4000" s="1" t="s">
        <v>36</v>
      </c>
      <c r="T4000" s="1">
        <v>1.00619817E8</v>
      </c>
      <c r="W4000" s="1" t="s">
        <v>91</v>
      </c>
      <c r="X4000" s="1" t="s">
        <v>338</v>
      </c>
    </row>
    <row r="4001">
      <c r="A4001" s="1" t="s">
        <v>11448</v>
      </c>
      <c r="B4001" s="1" t="s">
        <v>5634</v>
      </c>
      <c r="C4001" s="1" t="s">
        <v>11449</v>
      </c>
      <c r="D4001" s="1" t="s">
        <v>51</v>
      </c>
      <c r="E4001" s="1" t="s">
        <v>29</v>
      </c>
      <c r="F4001" s="5">
        <v>175000.0</v>
      </c>
      <c r="G4001" s="1" t="s">
        <v>7016</v>
      </c>
      <c r="H4001" s="1" t="s">
        <v>52</v>
      </c>
      <c r="I4001" s="1" t="s">
        <v>732</v>
      </c>
      <c r="K4001" s="1">
        <v>0.0</v>
      </c>
      <c r="L4001" s="1" t="s">
        <v>481</v>
      </c>
      <c r="M4001" s="1" t="str">
        <f>VLOOKUP(L4001,'Copy of PMD Workday Constants -'!B4000:W4686,22,false)</f>
        <v>#N/A</v>
      </c>
      <c r="N4001" s="1" t="s">
        <v>32</v>
      </c>
      <c r="O4001" s="1" t="s">
        <v>33</v>
      </c>
      <c r="P4001" s="1" t="s">
        <v>222</v>
      </c>
      <c r="Q4001" s="1" t="s">
        <v>222</v>
      </c>
      <c r="R4001" s="1" t="s">
        <v>223</v>
      </c>
      <c r="S4001" s="1" t="s">
        <v>482</v>
      </c>
      <c r="T4001" s="1">
        <v>1.00654864E8</v>
      </c>
      <c r="W4001" s="1" t="s">
        <v>436</v>
      </c>
      <c r="X4001" s="1" t="s">
        <v>5828</v>
      </c>
    </row>
    <row r="4002">
      <c r="A4002" s="1" t="s">
        <v>11450</v>
      </c>
      <c r="B4002" s="1" t="s">
        <v>9622</v>
      </c>
      <c r="C4002" s="1" t="s">
        <v>11451</v>
      </c>
      <c r="D4002" s="1" t="s">
        <v>51</v>
      </c>
      <c r="E4002" s="1" t="s">
        <v>29</v>
      </c>
      <c r="F4002" s="5">
        <v>175000.0</v>
      </c>
      <c r="G4002" s="1" t="s">
        <v>7016</v>
      </c>
      <c r="H4002" s="1" t="s">
        <v>1469</v>
      </c>
      <c r="I4002" s="1" t="s">
        <v>80</v>
      </c>
      <c r="K4002" s="1">
        <v>0.0</v>
      </c>
      <c r="L4002" s="1" t="s">
        <v>4873</v>
      </c>
      <c r="M4002" s="1" t="str">
        <f>VLOOKUP(L4002,'Copy of PMD Workday Constants -'!B4001:W4687,22,false)</f>
        <v>#N/A</v>
      </c>
      <c r="N4002" s="1" t="s">
        <v>32</v>
      </c>
      <c r="O4002" s="1" t="s">
        <v>33</v>
      </c>
      <c r="P4002" s="1" t="s">
        <v>34</v>
      </c>
      <c r="Q4002" s="1" t="s">
        <v>34</v>
      </c>
      <c r="R4002" s="1" t="s">
        <v>35</v>
      </c>
      <c r="T4002" s="1">
        <v>1.00587881E8</v>
      </c>
      <c r="W4002" s="1" t="s">
        <v>493</v>
      </c>
      <c r="X4002" s="1" t="s">
        <v>4873</v>
      </c>
    </row>
    <row r="4003">
      <c r="A4003" s="1" t="s">
        <v>11452</v>
      </c>
      <c r="B4003" s="1" t="s">
        <v>8937</v>
      </c>
      <c r="C4003" s="1" t="s">
        <v>11453</v>
      </c>
      <c r="D4003" s="1" t="s">
        <v>28</v>
      </c>
      <c r="E4003" s="1" t="s">
        <v>29</v>
      </c>
      <c r="F4003" s="5">
        <v>175000.0</v>
      </c>
      <c r="G4003" s="1" t="s">
        <v>7016</v>
      </c>
      <c r="H4003" s="1" t="s">
        <v>698</v>
      </c>
      <c r="I4003" s="1" t="s">
        <v>1134</v>
      </c>
      <c r="K4003" s="1">
        <v>0.0</v>
      </c>
      <c r="L4003" s="1" t="s">
        <v>3674</v>
      </c>
      <c r="M4003" s="1" t="str">
        <f>VLOOKUP(L4003,'Copy of PMD Workday Constants -'!B4002:W4688,22,false)</f>
        <v>#N/A</v>
      </c>
      <c r="N4003" s="1" t="s">
        <v>32</v>
      </c>
      <c r="O4003" s="1" t="s">
        <v>33</v>
      </c>
      <c r="P4003" s="1" t="s">
        <v>173</v>
      </c>
      <c r="Q4003" s="1" t="s">
        <v>173</v>
      </c>
      <c r="R4003" s="1" t="s">
        <v>174</v>
      </c>
      <c r="T4003" s="1">
        <v>1.0058537E8</v>
      </c>
      <c r="W4003" s="1" t="s">
        <v>456</v>
      </c>
      <c r="X4003" s="1" t="s">
        <v>3674</v>
      </c>
    </row>
    <row r="4004">
      <c r="A4004" s="1" t="s">
        <v>11454</v>
      </c>
      <c r="B4004" s="1" t="s">
        <v>353</v>
      </c>
      <c r="C4004" s="1" t="s">
        <v>11455</v>
      </c>
      <c r="D4004" s="1" t="s">
        <v>103</v>
      </c>
      <c r="E4004" s="1" t="s">
        <v>29</v>
      </c>
      <c r="F4004" s="5">
        <v>175000.0</v>
      </c>
      <c r="G4004" s="1" t="s">
        <v>7016</v>
      </c>
      <c r="H4004" s="1" t="s">
        <v>1765</v>
      </c>
      <c r="I4004" s="1" t="s">
        <v>80</v>
      </c>
      <c r="K4004" s="1">
        <v>0.0</v>
      </c>
      <c r="L4004" s="1" t="s">
        <v>4277</v>
      </c>
      <c r="M4004" s="1" t="str">
        <f>VLOOKUP(L4004,'Copy of PMD Workday Constants -'!B4003:W4689,22,false)</f>
        <v>#N/A</v>
      </c>
      <c r="N4004" s="1" t="s">
        <v>32</v>
      </c>
      <c r="O4004" s="1" t="s">
        <v>33</v>
      </c>
      <c r="P4004" s="1" t="s">
        <v>173</v>
      </c>
      <c r="Q4004" s="1" t="s">
        <v>173</v>
      </c>
      <c r="R4004" s="1" t="s">
        <v>174</v>
      </c>
      <c r="T4004" s="1">
        <v>1.00650304E8</v>
      </c>
      <c r="W4004" s="1" t="s">
        <v>258</v>
      </c>
      <c r="X4004" s="1" t="s">
        <v>2202</v>
      </c>
    </row>
    <row r="4005">
      <c r="A4005" s="1" t="s">
        <v>11456</v>
      </c>
      <c r="B4005" s="1" t="s">
        <v>776</v>
      </c>
      <c r="C4005" s="1" t="s">
        <v>11457</v>
      </c>
      <c r="D4005" s="1" t="s">
        <v>28</v>
      </c>
      <c r="E4005" s="1" t="s">
        <v>29</v>
      </c>
      <c r="F4005" s="5">
        <v>175000.0</v>
      </c>
      <c r="G4005" s="1" t="s">
        <v>7016</v>
      </c>
      <c r="H4005" s="1" t="s">
        <v>4739</v>
      </c>
      <c r="I4005" s="1" t="s">
        <v>80</v>
      </c>
      <c r="K4005" s="1">
        <v>0.0</v>
      </c>
      <c r="L4005" s="1" t="s">
        <v>2547</v>
      </c>
      <c r="M4005" s="1" t="str">
        <f>VLOOKUP(L4005,'Copy of PMD Workday Constants -'!B4004:W4690,22,false)</f>
        <v>#N/A</v>
      </c>
      <c r="N4005" s="1" t="s">
        <v>32</v>
      </c>
      <c r="O4005" s="1" t="s">
        <v>33</v>
      </c>
      <c r="P4005" s="1" t="s">
        <v>64</v>
      </c>
      <c r="Q4005" s="1" t="s">
        <v>64</v>
      </c>
      <c r="R4005" s="1" t="s">
        <v>65</v>
      </c>
      <c r="S4005" s="1" t="s">
        <v>185</v>
      </c>
      <c r="T4005" s="1">
        <v>1.00592932E8</v>
      </c>
      <c r="W4005" s="1" t="s">
        <v>74</v>
      </c>
      <c r="X4005" s="1" t="s">
        <v>11458</v>
      </c>
    </row>
    <row r="4006">
      <c r="A4006" s="1" t="s">
        <v>11459</v>
      </c>
      <c r="B4006" s="1" t="s">
        <v>11460</v>
      </c>
      <c r="C4006" s="1" t="s">
        <v>11461</v>
      </c>
      <c r="D4006" s="1" t="s">
        <v>51</v>
      </c>
      <c r="E4006" s="1" t="s">
        <v>29</v>
      </c>
      <c r="F4006" s="5">
        <v>175000.0</v>
      </c>
      <c r="G4006" s="1" t="s">
        <v>7016</v>
      </c>
      <c r="H4006" s="1" t="s">
        <v>330</v>
      </c>
      <c r="I4006" s="1" t="s">
        <v>526</v>
      </c>
      <c r="K4006" s="1">
        <v>0.0</v>
      </c>
      <c r="L4006" s="1" t="s">
        <v>9078</v>
      </c>
      <c r="M4006" s="1" t="str">
        <f>VLOOKUP(L4006,'Copy of PMD Workday Constants -'!B4005:W4691,22,false)</f>
        <v>#N/A</v>
      </c>
      <c r="N4006" s="1" t="s">
        <v>32</v>
      </c>
      <c r="O4006" s="1" t="s">
        <v>33</v>
      </c>
      <c r="P4006" s="1" t="s">
        <v>222</v>
      </c>
      <c r="Q4006" s="1" t="s">
        <v>222</v>
      </c>
      <c r="R4006" s="1" t="s">
        <v>223</v>
      </c>
      <c r="T4006" s="1">
        <v>1.00611721E8</v>
      </c>
      <c r="W4006" s="1" t="s">
        <v>56</v>
      </c>
      <c r="X4006" s="1" t="s">
        <v>9078</v>
      </c>
    </row>
    <row r="4007">
      <c r="A4007" s="1" t="s">
        <v>11462</v>
      </c>
      <c r="B4007" s="1" t="s">
        <v>996</v>
      </c>
      <c r="C4007" s="1" t="s">
        <v>11463</v>
      </c>
      <c r="D4007" s="1" t="s">
        <v>28</v>
      </c>
      <c r="E4007" s="1" t="s">
        <v>29</v>
      </c>
      <c r="F4007" s="5">
        <v>175000.0</v>
      </c>
      <c r="G4007" s="1" t="s">
        <v>7016</v>
      </c>
      <c r="H4007" s="4">
        <v>44806.0</v>
      </c>
      <c r="I4007" s="1" t="s">
        <v>152</v>
      </c>
      <c r="K4007" s="1">
        <v>0.0</v>
      </c>
      <c r="L4007" s="1" t="s">
        <v>2771</v>
      </c>
      <c r="M4007" s="1" t="str">
        <f>VLOOKUP(L4007,'Copy of PMD Workday Constants -'!B4006:W4692,22,false)</f>
        <v>#N/A</v>
      </c>
      <c r="N4007" s="1" t="s">
        <v>32</v>
      </c>
      <c r="O4007" s="1" t="s">
        <v>33</v>
      </c>
      <c r="P4007" s="1" t="s">
        <v>222</v>
      </c>
      <c r="Q4007" s="1" t="s">
        <v>222</v>
      </c>
      <c r="R4007" s="1" t="s">
        <v>223</v>
      </c>
      <c r="S4007" s="1" t="s">
        <v>601</v>
      </c>
      <c r="T4007" s="1">
        <v>1.00641939E8</v>
      </c>
      <c r="W4007" s="1" t="s">
        <v>391</v>
      </c>
      <c r="X4007" s="1" t="s">
        <v>2660</v>
      </c>
    </row>
    <row r="4008">
      <c r="A4008" s="1" t="s">
        <v>11464</v>
      </c>
      <c r="B4008" s="1" t="s">
        <v>11465</v>
      </c>
      <c r="C4008" s="1" t="s">
        <v>11466</v>
      </c>
      <c r="D4008" s="1" t="s">
        <v>51</v>
      </c>
      <c r="E4008" s="1" t="s">
        <v>29</v>
      </c>
      <c r="F4008" s="5">
        <v>175000.0</v>
      </c>
      <c r="G4008" s="1" t="s">
        <v>7016</v>
      </c>
      <c r="H4008" s="1" t="s">
        <v>52</v>
      </c>
      <c r="I4008" s="1" t="s">
        <v>104</v>
      </c>
      <c r="K4008" s="1">
        <v>0.0</v>
      </c>
      <c r="L4008" s="1" t="s">
        <v>2472</v>
      </c>
      <c r="M4008" s="1" t="str">
        <f>VLOOKUP(L4008,'Copy of PMD Workday Constants -'!B4007:W4693,22,false)</f>
        <v>#N/A</v>
      </c>
      <c r="N4008" s="1" t="s">
        <v>32</v>
      </c>
      <c r="O4008" s="1" t="s">
        <v>33</v>
      </c>
      <c r="P4008" s="1" t="s">
        <v>222</v>
      </c>
      <c r="Q4008" s="1" t="s">
        <v>222</v>
      </c>
      <c r="R4008" s="1" t="s">
        <v>223</v>
      </c>
      <c r="S4008" s="1" t="s">
        <v>646</v>
      </c>
      <c r="T4008" s="1">
        <v>1.00892076E8</v>
      </c>
      <c r="W4008" s="1" t="s">
        <v>85</v>
      </c>
      <c r="X4008" s="1" t="s">
        <v>2472</v>
      </c>
    </row>
    <row r="4009">
      <c r="A4009" s="1" t="s">
        <v>11467</v>
      </c>
      <c r="B4009" s="1" t="s">
        <v>11468</v>
      </c>
      <c r="C4009" s="1" t="s">
        <v>11469</v>
      </c>
      <c r="D4009" s="1" t="s">
        <v>103</v>
      </c>
      <c r="E4009" s="1" t="s">
        <v>29</v>
      </c>
      <c r="F4009" s="5">
        <v>175000.0</v>
      </c>
      <c r="G4009" s="1" t="s">
        <v>7016</v>
      </c>
      <c r="H4009" s="4">
        <v>44713.0</v>
      </c>
      <c r="I4009" s="1" t="s">
        <v>302</v>
      </c>
      <c r="K4009" s="1">
        <v>0.0</v>
      </c>
      <c r="L4009" s="1" t="s">
        <v>4323</v>
      </c>
      <c r="M4009" s="1" t="str">
        <f>VLOOKUP(L4009,'Copy of PMD Workday Constants -'!B4008:W4694,22,false)</f>
        <v>#N/A</v>
      </c>
      <c r="N4009" s="1" t="s">
        <v>32</v>
      </c>
      <c r="O4009" s="1" t="s">
        <v>33</v>
      </c>
      <c r="P4009" s="1" t="s">
        <v>112</v>
      </c>
      <c r="Q4009" s="1" t="s">
        <v>112</v>
      </c>
      <c r="R4009" s="1" t="s">
        <v>113</v>
      </c>
      <c r="S4009" s="1" t="s">
        <v>114</v>
      </c>
      <c r="T4009" s="1">
        <v>1.0062141E8</v>
      </c>
      <c r="W4009" s="1" t="s">
        <v>140</v>
      </c>
      <c r="X4009" s="1" t="s">
        <v>6462</v>
      </c>
    </row>
    <row r="4010">
      <c r="A4010" s="1" t="s">
        <v>11470</v>
      </c>
      <c r="B4010" s="1" t="s">
        <v>772</v>
      </c>
      <c r="C4010" s="1" t="s">
        <v>11471</v>
      </c>
      <c r="D4010" s="1" t="s">
        <v>28</v>
      </c>
      <c r="E4010" s="1" t="s">
        <v>29</v>
      </c>
      <c r="F4010" s="5">
        <v>175000.0</v>
      </c>
      <c r="G4010" s="1" t="s">
        <v>7016</v>
      </c>
      <c r="H4010" s="1" t="s">
        <v>816</v>
      </c>
      <c r="I4010" s="1" t="s">
        <v>152</v>
      </c>
      <c r="K4010" s="1">
        <v>0.0</v>
      </c>
      <c r="L4010" s="1" t="s">
        <v>774</v>
      </c>
      <c r="M4010" s="1" t="str">
        <f>VLOOKUP(L4010,'Copy of PMD Workday Constants -'!B4009:W4695,22,false)</f>
        <v>#N/A</v>
      </c>
      <c r="N4010" s="1" t="s">
        <v>32</v>
      </c>
      <c r="O4010" s="1" t="s">
        <v>33</v>
      </c>
      <c r="P4010" s="1" t="s">
        <v>222</v>
      </c>
      <c r="Q4010" s="1" t="s">
        <v>222</v>
      </c>
      <c r="R4010" s="1" t="s">
        <v>223</v>
      </c>
      <c r="S4010" s="1" t="s">
        <v>482</v>
      </c>
      <c r="T4010" s="1">
        <v>1.0058798E8</v>
      </c>
      <c r="W4010" s="1" t="s">
        <v>37</v>
      </c>
      <c r="X4010" s="1" t="s">
        <v>11472</v>
      </c>
    </row>
    <row r="4011">
      <c r="A4011" s="1" t="s">
        <v>11473</v>
      </c>
      <c r="B4011" s="1" t="s">
        <v>507</v>
      </c>
      <c r="C4011" s="1" t="s">
        <v>11474</v>
      </c>
      <c r="D4011" s="1" t="s">
        <v>28</v>
      </c>
      <c r="E4011" s="1" t="s">
        <v>29</v>
      </c>
      <c r="F4011" s="5">
        <v>175000.0</v>
      </c>
      <c r="G4011" s="1" t="s">
        <v>7016</v>
      </c>
      <c r="H4011" s="1" t="s">
        <v>330</v>
      </c>
      <c r="I4011" s="1" t="s">
        <v>732</v>
      </c>
      <c r="K4011" s="1">
        <v>0.0</v>
      </c>
      <c r="L4011" s="1" t="s">
        <v>582</v>
      </c>
      <c r="M4011" s="1" t="str">
        <f>VLOOKUP(L4011,'Copy of PMD Workday Constants -'!B4010:W4696,22,false)</f>
        <v>#N/A</v>
      </c>
      <c r="N4011" s="1" t="s">
        <v>32</v>
      </c>
      <c r="O4011" s="1" t="s">
        <v>33</v>
      </c>
      <c r="P4011" s="1" t="s">
        <v>82</v>
      </c>
      <c r="Q4011" s="1" t="s">
        <v>82</v>
      </c>
      <c r="R4011" s="1" t="s">
        <v>83</v>
      </c>
      <c r="T4011" s="1">
        <v>1.00869732E8</v>
      </c>
      <c r="W4011" s="1" t="s">
        <v>456</v>
      </c>
      <c r="X4011" s="1" t="s">
        <v>4451</v>
      </c>
    </row>
    <row r="4012">
      <c r="A4012" s="1" t="s">
        <v>11475</v>
      </c>
      <c r="B4012" s="1" t="s">
        <v>4386</v>
      </c>
      <c r="C4012" s="1" t="s">
        <v>11476</v>
      </c>
      <c r="D4012" s="1" t="s">
        <v>28</v>
      </c>
      <c r="E4012" s="1" t="s">
        <v>29</v>
      </c>
      <c r="F4012" s="5">
        <v>170000.0</v>
      </c>
      <c r="G4012" s="1" t="s">
        <v>7016</v>
      </c>
      <c r="H4012" s="4">
        <v>44777.0</v>
      </c>
      <c r="I4012" s="1" t="s">
        <v>80</v>
      </c>
      <c r="K4012" s="1">
        <v>0.0</v>
      </c>
      <c r="L4012" s="1" t="s">
        <v>759</v>
      </c>
      <c r="M4012" s="1" t="str">
        <f>VLOOKUP(L4012,'Copy of PMD Workday Constants -'!B4011:W4697,22,false)</f>
        <v>#N/A</v>
      </c>
      <c r="N4012" s="1" t="s">
        <v>32</v>
      </c>
      <c r="O4012" s="1" t="s">
        <v>33</v>
      </c>
      <c r="P4012" s="1" t="s">
        <v>64</v>
      </c>
      <c r="Q4012" s="1" t="s">
        <v>64</v>
      </c>
      <c r="R4012" s="1" t="s">
        <v>65</v>
      </c>
      <c r="S4012" s="1" t="s">
        <v>185</v>
      </c>
      <c r="T4012" s="1">
        <v>1.00610205E8</v>
      </c>
      <c r="W4012" s="1" t="s">
        <v>74</v>
      </c>
      <c r="X4012" s="1" t="s">
        <v>759</v>
      </c>
    </row>
    <row r="4013">
      <c r="A4013" s="1" t="s">
        <v>11477</v>
      </c>
      <c r="B4013" s="1" t="s">
        <v>11478</v>
      </c>
      <c r="C4013" s="1" t="s">
        <v>11479</v>
      </c>
      <c r="D4013" s="1" t="s">
        <v>51</v>
      </c>
      <c r="E4013" s="1" t="s">
        <v>29</v>
      </c>
      <c r="F4013" s="5">
        <v>170000.0</v>
      </c>
      <c r="G4013" s="1" t="s">
        <v>7016</v>
      </c>
      <c r="H4013" s="1" t="s">
        <v>2515</v>
      </c>
      <c r="I4013" s="1" t="s">
        <v>96</v>
      </c>
      <c r="K4013" s="1">
        <v>0.0</v>
      </c>
      <c r="L4013" s="1" t="s">
        <v>1916</v>
      </c>
      <c r="M4013" s="1" t="str">
        <f>VLOOKUP(L4013,'Copy of PMD Workday Constants -'!B4012:W4698,22,false)</f>
        <v>#N/A</v>
      </c>
      <c r="N4013" s="1" t="s">
        <v>32</v>
      </c>
      <c r="O4013" s="1" t="s">
        <v>33</v>
      </c>
      <c r="P4013" s="1" t="s">
        <v>222</v>
      </c>
      <c r="Q4013" s="1" t="s">
        <v>222</v>
      </c>
      <c r="R4013" s="1" t="s">
        <v>223</v>
      </c>
      <c r="S4013" s="1" t="s">
        <v>601</v>
      </c>
      <c r="T4013" s="1">
        <v>1.00955805E8</v>
      </c>
      <c r="X4013" s="1" t="s">
        <v>11480</v>
      </c>
    </row>
    <row r="4014">
      <c r="A4014" s="1" t="s">
        <v>11481</v>
      </c>
      <c r="B4014" s="1" t="s">
        <v>11482</v>
      </c>
      <c r="C4014" s="1" t="s">
        <v>11483</v>
      </c>
      <c r="D4014" s="1" t="s">
        <v>103</v>
      </c>
      <c r="E4014" s="1" t="s">
        <v>29</v>
      </c>
      <c r="F4014" s="5">
        <v>170000.0</v>
      </c>
      <c r="G4014" s="1" t="s">
        <v>7016</v>
      </c>
      <c r="H4014" s="1" t="s">
        <v>4625</v>
      </c>
      <c r="I4014" s="1" t="s">
        <v>104</v>
      </c>
      <c r="K4014" s="1">
        <v>0.0</v>
      </c>
      <c r="L4014" s="1" t="s">
        <v>8868</v>
      </c>
      <c r="M4014" s="1" t="str">
        <f>VLOOKUP(L4014,'Copy of PMD Workday Constants -'!B4013:W4699,22,false)</f>
        <v>#N/A</v>
      </c>
      <c r="N4014" s="1" t="s">
        <v>32</v>
      </c>
      <c r="O4014" s="1" t="s">
        <v>33</v>
      </c>
      <c r="P4014" s="1" t="s">
        <v>222</v>
      </c>
      <c r="Q4014" s="1" t="s">
        <v>222</v>
      </c>
      <c r="R4014" s="1" t="s">
        <v>223</v>
      </c>
      <c r="S4014" s="1" t="s">
        <v>601</v>
      </c>
      <c r="T4014" s="1">
        <v>1.00612509E8</v>
      </c>
      <c r="W4014" s="1" t="s">
        <v>115</v>
      </c>
      <c r="X4014" s="1" t="s">
        <v>6462</v>
      </c>
    </row>
    <row r="4015">
      <c r="A4015" s="1" t="s">
        <v>11484</v>
      </c>
      <c r="B4015" s="1" t="s">
        <v>7866</v>
      </c>
      <c r="C4015" s="1" t="s">
        <v>11485</v>
      </c>
      <c r="D4015" s="1" t="s">
        <v>103</v>
      </c>
      <c r="E4015" s="1" t="s">
        <v>29</v>
      </c>
      <c r="F4015" s="5">
        <v>170000.0</v>
      </c>
      <c r="G4015" s="1" t="s">
        <v>7016</v>
      </c>
      <c r="H4015" s="1" t="s">
        <v>10106</v>
      </c>
      <c r="I4015" s="1" t="s">
        <v>302</v>
      </c>
      <c r="K4015" s="1">
        <v>0.0</v>
      </c>
      <c r="L4015" s="1" t="s">
        <v>198</v>
      </c>
      <c r="M4015" s="1" t="str">
        <f>VLOOKUP(L4015,'Copy of PMD Workday Constants -'!B4014:W4700,22,false)</f>
        <v>#N/A</v>
      </c>
      <c r="N4015" s="1" t="s">
        <v>32</v>
      </c>
      <c r="O4015" s="1" t="s">
        <v>33</v>
      </c>
      <c r="P4015" s="1" t="s">
        <v>82</v>
      </c>
      <c r="Q4015" s="1" t="s">
        <v>82</v>
      </c>
      <c r="R4015" s="1" t="s">
        <v>83</v>
      </c>
      <c r="S4015" s="1" t="s">
        <v>180</v>
      </c>
      <c r="T4015" s="1">
        <v>1.00590896E8</v>
      </c>
      <c r="W4015" s="1" t="s">
        <v>85</v>
      </c>
      <c r="X4015" s="1" t="s">
        <v>11106</v>
      </c>
    </row>
    <row r="4016">
      <c r="A4016" s="1" t="s">
        <v>11486</v>
      </c>
      <c r="B4016" s="1" t="s">
        <v>11487</v>
      </c>
      <c r="C4016" s="1" t="s">
        <v>11488</v>
      </c>
      <c r="D4016" s="1" t="s">
        <v>51</v>
      </c>
      <c r="E4016" s="1" t="s">
        <v>29</v>
      </c>
      <c r="F4016" s="5">
        <v>168000.0</v>
      </c>
      <c r="G4016" s="1" t="s">
        <v>7016</v>
      </c>
      <c r="H4016" s="1" t="s">
        <v>7379</v>
      </c>
      <c r="I4016" s="1" t="s">
        <v>104</v>
      </c>
      <c r="K4016" s="1">
        <v>0.0</v>
      </c>
      <c r="L4016" s="1" t="s">
        <v>2602</v>
      </c>
      <c r="M4016" s="1" t="str">
        <f>VLOOKUP(L4016,'Copy of PMD Workday Constants -'!B4015:W4701,22,false)</f>
        <v>#N/A</v>
      </c>
      <c r="N4016" s="1" t="s">
        <v>32</v>
      </c>
      <c r="O4016" s="1" t="s">
        <v>33</v>
      </c>
      <c r="P4016" s="1" t="s">
        <v>173</v>
      </c>
      <c r="Q4016" s="1" t="s">
        <v>173</v>
      </c>
      <c r="R4016" s="1" t="s">
        <v>174</v>
      </c>
      <c r="S4016" s="1" t="s">
        <v>383</v>
      </c>
      <c r="T4016" s="1">
        <v>1.00611351E8</v>
      </c>
      <c r="W4016" s="1" t="s">
        <v>1303</v>
      </c>
      <c r="X4016" s="1" t="s">
        <v>2914</v>
      </c>
    </row>
    <row r="4017">
      <c r="A4017" s="1" t="s">
        <v>11489</v>
      </c>
      <c r="B4017" s="1" t="s">
        <v>1775</v>
      </c>
      <c r="C4017" s="1" t="s">
        <v>11490</v>
      </c>
      <c r="D4017" s="1" t="s">
        <v>51</v>
      </c>
      <c r="E4017" s="1" t="s">
        <v>29</v>
      </c>
      <c r="F4017" s="5">
        <v>165000.0</v>
      </c>
      <c r="G4017" s="1" t="s">
        <v>7016</v>
      </c>
      <c r="H4017" s="1" t="s">
        <v>52</v>
      </c>
      <c r="I4017" s="4">
        <v>44569.0</v>
      </c>
      <c r="K4017" s="1">
        <v>0.0</v>
      </c>
      <c r="L4017" s="1" t="s">
        <v>4534</v>
      </c>
      <c r="M4017" s="1" t="str">
        <f>VLOOKUP(L4017,'Copy of PMD Workday Constants -'!B4016:W4702,22,false)</f>
        <v>#N/A</v>
      </c>
      <c r="N4017" s="1" t="s">
        <v>32</v>
      </c>
      <c r="O4017" s="1" t="s">
        <v>33</v>
      </c>
      <c r="P4017" s="1" t="s">
        <v>173</v>
      </c>
      <c r="Q4017" s="1" t="s">
        <v>173</v>
      </c>
      <c r="R4017" s="1" t="s">
        <v>174</v>
      </c>
      <c r="T4017" s="1">
        <v>1.00620934E8</v>
      </c>
      <c r="W4017" s="1" t="s">
        <v>456</v>
      </c>
      <c r="X4017" s="1" t="s">
        <v>11491</v>
      </c>
    </row>
    <row r="4018">
      <c r="A4018" s="1" t="s">
        <v>11492</v>
      </c>
      <c r="B4018" s="1" t="s">
        <v>521</v>
      </c>
      <c r="C4018" s="1" t="s">
        <v>11493</v>
      </c>
      <c r="D4018" s="1" t="s">
        <v>28</v>
      </c>
      <c r="E4018" s="1" t="s">
        <v>29</v>
      </c>
      <c r="F4018" s="5">
        <v>165000.0</v>
      </c>
      <c r="G4018" s="1" t="s">
        <v>7016</v>
      </c>
      <c r="H4018" s="4">
        <v>44837.0</v>
      </c>
      <c r="I4018" s="1" t="s">
        <v>80</v>
      </c>
      <c r="K4018" s="1">
        <v>0.0</v>
      </c>
      <c r="L4018" s="1" t="s">
        <v>3575</v>
      </c>
      <c r="M4018" s="1" t="str">
        <f>VLOOKUP(L4018,'Copy of PMD Workday Constants -'!B4017:W4703,22,false)</f>
        <v>#N/A</v>
      </c>
      <c r="N4018" s="1" t="s">
        <v>32</v>
      </c>
      <c r="O4018" s="1" t="s">
        <v>33</v>
      </c>
      <c r="P4018" s="1" t="s">
        <v>64</v>
      </c>
      <c r="Q4018" s="1" t="s">
        <v>64</v>
      </c>
      <c r="R4018" s="1" t="s">
        <v>65</v>
      </c>
      <c r="S4018" s="1" t="s">
        <v>482</v>
      </c>
      <c r="T4018" s="1">
        <v>1.00652666E8</v>
      </c>
      <c r="U4018" s="1" t="s">
        <v>11494</v>
      </c>
      <c r="V4018" s="1" t="s">
        <v>187</v>
      </c>
      <c r="W4018" s="1" t="s">
        <v>85</v>
      </c>
      <c r="X4018" s="1" t="s">
        <v>2086</v>
      </c>
    </row>
    <row r="4019">
      <c r="A4019" s="1" t="s">
        <v>11495</v>
      </c>
      <c r="B4019" s="1" t="s">
        <v>776</v>
      </c>
      <c r="C4019" s="1" t="s">
        <v>11496</v>
      </c>
      <c r="D4019" s="1" t="s">
        <v>51</v>
      </c>
      <c r="E4019" s="1" t="s">
        <v>29</v>
      </c>
      <c r="F4019" s="5">
        <v>165000.0</v>
      </c>
      <c r="G4019" s="1" t="s">
        <v>7016</v>
      </c>
      <c r="H4019" s="4">
        <v>44297.0</v>
      </c>
      <c r="I4019" s="1" t="s">
        <v>538</v>
      </c>
      <c r="K4019" s="1">
        <v>0.0</v>
      </c>
      <c r="L4019" s="1" t="s">
        <v>779</v>
      </c>
      <c r="M4019" s="1" t="str">
        <f>VLOOKUP(L4019,'Copy of PMD Workday Constants -'!B4018:W4704,22,false)</f>
        <v>#N/A</v>
      </c>
      <c r="N4019" s="1" t="s">
        <v>32</v>
      </c>
      <c r="O4019" s="1" t="s">
        <v>33</v>
      </c>
      <c r="P4019" s="1" t="s">
        <v>222</v>
      </c>
      <c r="Q4019" s="1" t="s">
        <v>222</v>
      </c>
      <c r="R4019" s="1" t="s">
        <v>223</v>
      </c>
      <c r="S4019" s="1" t="s">
        <v>601</v>
      </c>
      <c r="T4019" s="1">
        <v>1.0061139E8</v>
      </c>
      <c r="W4019" s="1" t="s">
        <v>74</v>
      </c>
      <c r="X4019" s="1" t="s">
        <v>6030</v>
      </c>
    </row>
    <row r="4020">
      <c r="A4020" s="1" t="s">
        <v>11497</v>
      </c>
      <c r="B4020" s="1" t="s">
        <v>324</v>
      </c>
      <c r="C4020" s="1" t="s">
        <v>11498</v>
      </c>
      <c r="D4020" s="1" t="s">
        <v>51</v>
      </c>
      <c r="E4020" s="1" t="s">
        <v>29</v>
      </c>
      <c r="F4020" s="5">
        <v>165000.0</v>
      </c>
      <c r="G4020" s="1" t="s">
        <v>7016</v>
      </c>
      <c r="H4020" s="4">
        <v>44718.0</v>
      </c>
      <c r="I4020" s="1" t="s">
        <v>248</v>
      </c>
      <c r="K4020" s="1">
        <v>0.0</v>
      </c>
      <c r="L4020" s="1" t="s">
        <v>3994</v>
      </c>
      <c r="M4020" s="1" t="str">
        <f>VLOOKUP(L4020,'Copy of PMD Workday Constants -'!B4019:W4705,22,false)</f>
        <v>#N/A</v>
      </c>
      <c r="N4020" s="1" t="s">
        <v>32</v>
      </c>
      <c r="O4020" s="1" t="s">
        <v>33</v>
      </c>
      <c r="P4020" s="1" t="s">
        <v>210</v>
      </c>
      <c r="Q4020" s="1" t="s">
        <v>210</v>
      </c>
      <c r="R4020" s="1" t="s">
        <v>211</v>
      </c>
      <c r="T4020" s="1">
        <v>1.00646809E8</v>
      </c>
      <c r="W4020" s="1" t="s">
        <v>56</v>
      </c>
      <c r="X4020" s="1" t="s">
        <v>11499</v>
      </c>
    </row>
    <row r="4021">
      <c r="A4021" s="1" t="s">
        <v>11500</v>
      </c>
      <c r="B4021" s="1" t="s">
        <v>11501</v>
      </c>
      <c r="C4021" s="1" t="s">
        <v>11502</v>
      </c>
      <c r="D4021" s="1" t="s">
        <v>79</v>
      </c>
      <c r="E4021" s="1" t="s">
        <v>29</v>
      </c>
      <c r="F4021" s="5">
        <v>163021.67</v>
      </c>
      <c r="G4021" s="1" t="s">
        <v>7016</v>
      </c>
      <c r="H4021" s="4">
        <v>44779.0</v>
      </c>
      <c r="I4021" s="1" t="s">
        <v>104</v>
      </c>
      <c r="K4021" s="1">
        <v>0.0</v>
      </c>
      <c r="L4021" s="1" t="s">
        <v>8850</v>
      </c>
      <c r="M4021" s="1" t="str">
        <f>VLOOKUP(L4021,'Copy of PMD Workday Constants -'!B4020:W4706,22,false)</f>
        <v>#N/A</v>
      </c>
      <c r="N4021" s="1" t="s">
        <v>32</v>
      </c>
      <c r="O4021" s="1" t="s">
        <v>33</v>
      </c>
      <c r="P4021" s="1" t="s">
        <v>5253</v>
      </c>
      <c r="Q4021" s="1" t="s">
        <v>5253</v>
      </c>
      <c r="R4021" s="1" t="s">
        <v>223</v>
      </c>
      <c r="T4021" s="1">
        <v>1.01216124E8</v>
      </c>
      <c r="W4021" s="1" t="s">
        <v>456</v>
      </c>
      <c r="X4021" s="1" t="s">
        <v>8851</v>
      </c>
    </row>
    <row r="4022">
      <c r="A4022" s="1" t="s">
        <v>11503</v>
      </c>
      <c r="B4022" s="1" t="s">
        <v>776</v>
      </c>
      <c r="C4022" s="1" t="s">
        <v>11504</v>
      </c>
      <c r="D4022" s="1" t="s">
        <v>79</v>
      </c>
      <c r="E4022" s="1" t="s">
        <v>29</v>
      </c>
      <c r="F4022" s="5">
        <v>162000.0</v>
      </c>
      <c r="G4022" s="1" t="s">
        <v>7016</v>
      </c>
      <c r="H4022" s="4">
        <v>44718.0</v>
      </c>
      <c r="I4022" s="1" t="s">
        <v>80</v>
      </c>
      <c r="K4022" s="1">
        <v>0.0</v>
      </c>
      <c r="L4022" s="1" t="s">
        <v>779</v>
      </c>
      <c r="M4022" s="1" t="str">
        <f>VLOOKUP(L4022,'Copy of PMD Workday Constants -'!B4021:W4707,22,false)</f>
        <v>#N/A</v>
      </c>
      <c r="N4022" s="1" t="s">
        <v>32</v>
      </c>
      <c r="O4022" s="1" t="s">
        <v>33</v>
      </c>
      <c r="P4022" s="1" t="s">
        <v>222</v>
      </c>
      <c r="Q4022" s="1" t="s">
        <v>222</v>
      </c>
      <c r="R4022" s="1" t="s">
        <v>223</v>
      </c>
      <c r="S4022" s="1" t="s">
        <v>11505</v>
      </c>
      <c r="T4022" s="1">
        <v>1.0061139E8</v>
      </c>
      <c r="W4022" s="1" t="s">
        <v>74</v>
      </c>
      <c r="X4022" s="1" t="s">
        <v>8481</v>
      </c>
    </row>
    <row r="4023">
      <c r="A4023" s="1" t="s">
        <v>11506</v>
      </c>
      <c r="B4023" s="1" t="s">
        <v>7899</v>
      </c>
      <c r="C4023" s="1" t="s">
        <v>11507</v>
      </c>
      <c r="D4023" s="1" t="s">
        <v>51</v>
      </c>
      <c r="E4023" s="1" t="s">
        <v>29</v>
      </c>
      <c r="F4023" s="5">
        <v>160000.0</v>
      </c>
      <c r="G4023" s="1" t="s">
        <v>7016</v>
      </c>
      <c r="H4023" s="4">
        <v>44598.0</v>
      </c>
      <c r="I4023" s="4">
        <v>44840.0</v>
      </c>
      <c r="K4023" s="1">
        <v>0.0</v>
      </c>
      <c r="L4023" s="1" t="s">
        <v>2699</v>
      </c>
      <c r="M4023" s="1" t="str">
        <f>VLOOKUP(L4023,'Copy of PMD Workday Constants -'!B4022:W4708,22,false)</f>
        <v>#N/A</v>
      </c>
      <c r="N4023" s="1" t="s">
        <v>32</v>
      </c>
      <c r="O4023" s="1" t="s">
        <v>33</v>
      </c>
      <c r="P4023" s="1" t="s">
        <v>34</v>
      </c>
      <c r="Q4023" s="1" t="s">
        <v>34</v>
      </c>
      <c r="R4023" s="1" t="s">
        <v>35</v>
      </c>
      <c r="S4023" s="1" t="s">
        <v>126</v>
      </c>
      <c r="T4023" s="1">
        <v>1.00610367E8</v>
      </c>
      <c r="W4023" s="1" t="s">
        <v>74</v>
      </c>
      <c r="X4023" s="1" t="s">
        <v>8981</v>
      </c>
    </row>
    <row r="4024">
      <c r="A4024" s="1" t="s">
        <v>11508</v>
      </c>
      <c r="B4024" s="1" t="s">
        <v>1573</v>
      </c>
      <c r="C4024" s="1" t="s">
        <v>11509</v>
      </c>
      <c r="D4024" s="1" t="s">
        <v>28</v>
      </c>
      <c r="E4024" s="1" t="s">
        <v>29</v>
      </c>
      <c r="F4024" s="5">
        <v>160000.0</v>
      </c>
      <c r="G4024" s="1" t="s">
        <v>7016</v>
      </c>
      <c r="H4024" s="4">
        <v>44779.0</v>
      </c>
      <c r="I4024" s="1" t="s">
        <v>96</v>
      </c>
      <c r="K4024" s="1">
        <v>0.0</v>
      </c>
      <c r="L4024" s="1" t="s">
        <v>10452</v>
      </c>
      <c r="M4024" s="1" t="str">
        <f>VLOOKUP(L4024,'Copy of PMD Workday Constants -'!B4023:W4709,22,false)</f>
        <v>#N/A</v>
      </c>
      <c r="N4024" s="1" t="s">
        <v>32</v>
      </c>
      <c r="O4024" s="1" t="s">
        <v>33</v>
      </c>
      <c r="P4024" s="1" t="s">
        <v>173</v>
      </c>
      <c r="Q4024" s="1" t="s">
        <v>173</v>
      </c>
      <c r="R4024" s="1" t="s">
        <v>174</v>
      </c>
      <c r="S4024" s="1" t="s">
        <v>153</v>
      </c>
      <c r="T4024" s="1">
        <v>1.00614201E8</v>
      </c>
      <c r="W4024" s="1" t="s">
        <v>456</v>
      </c>
      <c r="X4024" s="1" t="s">
        <v>11424</v>
      </c>
    </row>
    <row r="4025">
      <c r="A4025" s="1" t="s">
        <v>11510</v>
      </c>
      <c r="B4025" s="1" t="s">
        <v>11511</v>
      </c>
      <c r="C4025" s="1" t="s">
        <v>11512</v>
      </c>
      <c r="D4025" s="1" t="s">
        <v>51</v>
      </c>
      <c r="E4025" s="1" t="s">
        <v>29</v>
      </c>
      <c r="F4025" s="5">
        <v>160000.0</v>
      </c>
      <c r="G4025" s="1" t="s">
        <v>7016</v>
      </c>
      <c r="H4025" s="4">
        <v>44809.0</v>
      </c>
      <c r="I4025" s="1" t="s">
        <v>810</v>
      </c>
      <c r="K4025" s="1">
        <v>0.0</v>
      </c>
      <c r="L4025" s="1" t="s">
        <v>1242</v>
      </c>
      <c r="M4025" s="1" t="str">
        <f>VLOOKUP(L4025,'Copy of PMD Workday Constants -'!B4024:W4710,22,false)</f>
        <v>#N/A</v>
      </c>
      <c r="N4025" s="1" t="s">
        <v>32</v>
      </c>
      <c r="O4025" s="1" t="s">
        <v>33</v>
      </c>
      <c r="P4025" s="1" t="s">
        <v>34</v>
      </c>
      <c r="Q4025" s="1" t="s">
        <v>34</v>
      </c>
      <c r="R4025" s="1" t="s">
        <v>35</v>
      </c>
      <c r="T4025" s="1">
        <v>1.00626898E8</v>
      </c>
      <c r="W4025" s="1" t="s">
        <v>140</v>
      </c>
      <c r="X4025" s="1" t="s">
        <v>11513</v>
      </c>
    </row>
    <row r="4026">
      <c r="A4026" s="1" t="s">
        <v>11514</v>
      </c>
      <c r="B4026" s="1" t="s">
        <v>489</v>
      </c>
      <c r="C4026" s="1" t="s">
        <v>11515</v>
      </c>
      <c r="D4026" s="1" t="s">
        <v>103</v>
      </c>
      <c r="E4026" s="1" t="s">
        <v>29</v>
      </c>
      <c r="F4026" s="5">
        <v>160000.0</v>
      </c>
      <c r="G4026" s="1" t="s">
        <v>7016</v>
      </c>
      <c r="H4026" s="4">
        <v>44839.0</v>
      </c>
      <c r="I4026" s="1" t="s">
        <v>1349</v>
      </c>
      <c r="K4026" s="1">
        <v>0.0</v>
      </c>
      <c r="L4026" s="1" t="s">
        <v>733</v>
      </c>
      <c r="M4026" s="1" t="str">
        <f>VLOOKUP(L4026,'Copy of PMD Workday Constants -'!B4025:W4711,22,false)</f>
        <v>#N/A</v>
      </c>
      <c r="N4026" s="1" t="s">
        <v>32</v>
      </c>
      <c r="O4026" s="1" t="s">
        <v>33</v>
      </c>
      <c r="P4026" s="1" t="s">
        <v>210</v>
      </c>
      <c r="Q4026" s="1" t="s">
        <v>210</v>
      </c>
      <c r="R4026" s="1" t="s">
        <v>211</v>
      </c>
      <c r="T4026" s="1">
        <v>1.00616656E8</v>
      </c>
      <c r="W4026" s="1" t="s">
        <v>493</v>
      </c>
      <c r="X4026" s="1" t="s">
        <v>734</v>
      </c>
    </row>
    <row r="4027">
      <c r="A4027" s="1" t="s">
        <v>11516</v>
      </c>
      <c r="B4027" s="1" t="s">
        <v>744</v>
      </c>
      <c r="C4027" s="1" t="s">
        <v>11517</v>
      </c>
      <c r="D4027" s="1" t="s">
        <v>51</v>
      </c>
      <c r="E4027" s="1" t="s">
        <v>29</v>
      </c>
      <c r="F4027" s="5">
        <v>160000.0</v>
      </c>
      <c r="G4027" s="1" t="s">
        <v>7016</v>
      </c>
      <c r="H4027" s="1" t="s">
        <v>6738</v>
      </c>
      <c r="I4027" s="1" t="s">
        <v>8093</v>
      </c>
      <c r="K4027" s="1">
        <v>0.0</v>
      </c>
      <c r="L4027" s="1" t="s">
        <v>255</v>
      </c>
      <c r="M4027" s="1" t="str">
        <f>VLOOKUP(L4027,'Copy of PMD Workday Constants -'!B4026:W4712,22,false)</f>
        <v>#N/A</v>
      </c>
      <c r="N4027" s="1" t="s">
        <v>32</v>
      </c>
      <c r="O4027" s="1" t="s">
        <v>33</v>
      </c>
      <c r="P4027" s="1" t="s">
        <v>112</v>
      </c>
      <c r="Q4027" s="1" t="s">
        <v>112</v>
      </c>
      <c r="R4027" s="1" t="s">
        <v>113</v>
      </c>
      <c r="S4027" s="1" t="s">
        <v>256</v>
      </c>
      <c r="T4027" s="1">
        <v>1.00659114E8</v>
      </c>
      <c r="W4027" s="1" t="s">
        <v>258</v>
      </c>
      <c r="X4027" s="1" t="s">
        <v>259</v>
      </c>
    </row>
    <row r="4028">
      <c r="A4028" s="1" t="s">
        <v>11518</v>
      </c>
      <c r="B4028" s="1" t="s">
        <v>1775</v>
      </c>
      <c r="C4028" s="1" t="s">
        <v>11519</v>
      </c>
      <c r="D4028" s="1" t="s">
        <v>51</v>
      </c>
      <c r="E4028" s="1" t="s">
        <v>29</v>
      </c>
      <c r="F4028" s="5">
        <v>160000.0</v>
      </c>
      <c r="G4028" s="1" t="s">
        <v>7016</v>
      </c>
      <c r="H4028" s="1" t="s">
        <v>1134</v>
      </c>
      <c r="I4028" s="4">
        <v>44568.0</v>
      </c>
      <c r="K4028" s="1">
        <v>0.0</v>
      </c>
      <c r="L4028" s="1" t="s">
        <v>4534</v>
      </c>
      <c r="M4028" s="1" t="str">
        <f>VLOOKUP(L4028,'Copy of PMD Workday Constants -'!B4027:W4713,22,false)</f>
        <v>#N/A</v>
      </c>
      <c r="N4028" s="1" t="s">
        <v>32</v>
      </c>
      <c r="O4028" s="1" t="s">
        <v>33</v>
      </c>
      <c r="P4028" s="1" t="s">
        <v>173</v>
      </c>
      <c r="Q4028" s="1" t="s">
        <v>173</v>
      </c>
      <c r="R4028" s="1" t="s">
        <v>174</v>
      </c>
      <c r="T4028" s="1">
        <v>1.00620934E8</v>
      </c>
      <c r="W4028" s="1" t="s">
        <v>456</v>
      </c>
      <c r="X4028" s="1" t="s">
        <v>11491</v>
      </c>
    </row>
    <row r="4029">
      <c r="A4029" s="1" t="s">
        <v>11520</v>
      </c>
      <c r="B4029" s="1" t="s">
        <v>11521</v>
      </c>
      <c r="C4029" s="1" t="s">
        <v>11522</v>
      </c>
      <c r="D4029" s="1" t="s">
        <v>103</v>
      </c>
      <c r="E4029" s="1" t="s">
        <v>29</v>
      </c>
      <c r="F4029" s="5">
        <v>160000.0</v>
      </c>
      <c r="G4029" s="1" t="s">
        <v>7016</v>
      </c>
      <c r="H4029" s="4">
        <v>44837.0</v>
      </c>
      <c r="I4029" s="1" t="s">
        <v>699</v>
      </c>
      <c r="K4029" s="1">
        <v>0.0</v>
      </c>
      <c r="L4029" s="1" t="s">
        <v>7664</v>
      </c>
      <c r="M4029" s="1" t="str">
        <f>VLOOKUP(L4029,'Copy of PMD Workday Constants -'!B4028:W4714,22,false)</f>
        <v>#N/A</v>
      </c>
      <c r="N4029" s="1" t="s">
        <v>32</v>
      </c>
      <c r="O4029" s="1" t="s">
        <v>33</v>
      </c>
      <c r="P4029" s="1" t="s">
        <v>222</v>
      </c>
      <c r="Q4029" s="1" t="s">
        <v>222</v>
      </c>
      <c r="R4029" s="1" t="s">
        <v>223</v>
      </c>
      <c r="S4029" s="1" t="s">
        <v>646</v>
      </c>
      <c r="T4029" s="1">
        <v>1.00882877E8</v>
      </c>
      <c r="W4029" s="1" t="s">
        <v>947</v>
      </c>
      <c r="X4029" s="1" t="s">
        <v>7664</v>
      </c>
    </row>
    <row r="4030">
      <c r="A4030" s="1" t="s">
        <v>11523</v>
      </c>
      <c r="B4030" s="1" t="s">
        <v>5120</v>
      </c>
      <c r="C4030" s="1" t="s">
        <v>11524</v>
      </c>
      <c r="D4030" s="1" t="s">
        <v>103</v>
      </c>
      <c r="E4030" s="1" t="s">
        <v>29</v>
      </c>
      <c r="F4030" s="5">
        <v>160000.0</v>
      </c>
      <c r="G4030" s="1" t="s">
        <v>7016</v>
      </c>
      <c r="H4030" s="1" t="s">
        <v>4656</v>
      </c>
      <c r="I4030" s="1" t="s">
        <v>732</v>
      </c>
      <c r="K4030" s="1">
        <v>0.0</v>
      </c>
      <c r="L4030" s="1" t="s">
        <v>2417</v>
      </c>
      <c r="M4030" s="1" t="str">
        <f>VLOOKUP(L4030,'Copy of PMD Workday Constants -'!B4029:W4715,22,false)</f>
        <v>#N/A</v>
      </c>
      <c r="N4030" s="1" t="s">
        <v>32</v>
      </c>
      <c r="O4030" s="1" t="s">
        <v>33</v>
      </c>
      <c r="P4030" s="1" t="s">
        <v>34</v>
      </c>
      <c r="Q4030" s="1" t="s">
        <v>34</v>
      </c>
      <c r="R4030" s="1" t="s">
        <v>35</v>
      </c>
      <c r="S4030" s="1" t="s">
        <v>383</v>
      </c>
      <c r="T4030" s="1">
        <v>1.00642238E8</v>
      </c>
      <c r="W4030" s="1" t="s">
        <v>147</v>
      </c>
      <c r="X4030" s="1" t="s">
        <v>4647</v>
      </c>
    </row>
    <row r="4031">
      <c r="A4031" s="1" t="s">
        <v>11525</v>
      </c>
      <c r="B4031" s="1" t="s">
        <v>4307</v>
      </c>
      <c r="C4031" s="1" t="s">
        <v>11526</v>
      </c>
      <c r="D4031" s="1" t="s">
        <v>51</v>
      </c>
      <c r="E4031" s="1" t="s">
        <v>29</v>
      </c>
      <c r="F4031" s="5">
        <v>160000.0</v>
      </c>
      <c r="G4031" s="1" t="s">
        <v>7016</v>
      </c>
      <c r="H4031" s="4">
        <v>44563.0</v>
      </c>
      <c r="I4031" s="1" t="s">
        <v>104</v>
      </c>
      <c r="K4031" s="1">
        <v>0.0</v>
      </c>
      <c r="L4031" s="1" t="s">
        <v>7276</v>
      </c>
      <c r="M4031" s="1" t="str">
        <f>VLOOKUP(L4031,'Copy of PMD Workday Constants -'!B4030:W4716,22,false)</f>
        <v>#N/A</v>
      </c>
      <c r="N4031" s="1" t="s">
        <v>32</v>
      </c>
      <c r="O4031" s="1" t="s">
        <v>33</v>
      </c>
      <c r="P4031" s="1" t="s">
        <v>64</v>
      </c>
      <c r="Q4031" s="1" t="s">
        <v>64</v>
      </c>
      <c r="R4031" s="1" t="s">
        <v>65</v>
      </c>
      <c r="S4031" s="1" t="s">
        <v>1336</v>
      </c>
      <c r="T4031" s="1">
        <v>1.00587219E8</v>
      </c>
      <c r="W4031" s="1" t="s">
        <v>287</v>
      </c>
      <c r="X4031" s="1" t="s">
        <v>11003</v>
      </c>
    </row>
    <row r="4032">
      <c r="A4032" s="1" t="s">
        <v>11527</v>
      </c>
      <c r="B4032" s="1" t="s">
        <v>6073</v>
      </c>
      <c r="C4032" s="1" t="s">
        <v>11528</v>
      </c>
      <c r="D4032" s="1" t="s">
        <v>51</v>
      </c>
      <c r="E4032" s="1" t="s">
        <v>29</v>
      </c>
      <c r="F4032" s="5">
        <v>160000.0</v>
      </c>
      <c r="G4032" s="1" t="s">
        <v>7016</v>
      </c>
      <c r="H4032" s="1" t="s">
        <v>110</v>
      </c>
      <c r="I4032" s="1" t="s">
        <v>466</v>
      </c>
      <c r="K4032" s="1">
        <v>0.0</v>
      </c>
      <c r="L4032" s="1" t="s">
        <v>618</v>
      </c>
      <c r="M4032" s="1" t="str">
        <f>VLOOKUP(L4032,'Copy of PMD Workday Constants -'!B4031:W4717,22,false)</f>
        <v>#N/A</v>
      </c>
      <c r="N4032" s="1" t="s">
        <v>32</v>
      </c>
      <c r="O4032" s="1" t="s">
        <v>33</v>
      </c>
      <c r="P4032" s="1" t="s">
        <v>173</v>
      </c>
      <c r="Q4032" s="1" t="s">
        <v>173</v>
      </c>
      <c r="R4032" s="1" t="s">
        <v>174</v>
      </c>
      <c r="T4032" s="1">
        <v>1.00591141E8</v>
      </c>
      <c r="W4032" s="1" t="s">
        <v>74</v>
      </c>
      <c r="X4032" s="1" t="s">
        <v>5731</v>
      </c>
    </row>
    <row r="4033">
      <c r="A4033" s="1" t="s">
        <v>11529</v>
      </c>
      <c r="B4033" s="1" t="s">
        <v>5853</v>
      </c>
      <c r="C4033" s="1" t="s">
        <v>11530</v>
      </c>
      <c r="D4033" s="1" t="s">
        <v>103</v>
      </c>
      <c r="E4033" s="1" t="s">
        <v>29</v>
      </c>
      <c r="F4033" s="5">
        <v>160000.0</v>
      </c>
      <c r="G4033" s="1" t="s">
        <v>7016</v>
      </c>
      <c r="H4033" s="1" t="s">
        <v>3777</v>
      </c>
      <c r="I4033" s="1" t="s">
        <v>104</v>
      </c>
      <c r="K4033" s="1">
        <v>0.0</v>
      </c>
      <c r="L4033" s="1" t="s">
        <v>2417</v>
      </c>
      <c r="M4033" s="1" t="str">
        <f>VLOOKUP(L4033,'Copy of PMD Workday Constants -'!B4032:W4718,22,false)</f>
        <v>#N/A</v>
      </c>
      <c r="N4033" s="1" t="s">
        <v>32</v>
      </c>
      <c r="O4033" s="1" t="s">
        <v>33</v>
      </c>
      <c r="P4033" s="1" t="s">
        <v>34</v>
      </c>
      <c r="Q4033" s="1" t="s">
        <v>34</v>
      </c>
      <c r="R4033" s="1" t="s">
        <v>35</v>
      </c>
      <c r="T4033" s="1">
        <v>1.00642238E8</v>
      </c>
      <c r="W4033" s="1" t="s">
        <v>250</v>
      </c>
      <c r="X4033" s="1" t="s">
        <v>4647</v>
      </c>
    </row>
    <row r="4034">
      <c r="A4034" s="1" t="s">
        <v>11531</v>
      </c>
      <c r="B4034" s="1" t="s">
        <v>1721</v>
      </c>
      <c r="C4034" s="1" t="s">
        <v>11532</v>
      </c>
      <c r="D4034" s="1" t="s">
        <v>103</v>
      </c>
      <c r="E4034" s="1" t="s">
        <v>29</v>
      </c>
      <c r="F4034" s="5">
        <v>160000.0</v>
      </c>
      <c r="G4034" s="1" t="s">
        <v>7016</v>
      </c>
      <c r="H4034" s="4">
        <v>44623.0</v>
      </c>
      <c r="I4034" s="1" t="s">
        <v>80</v>
      </c>
      <c r="K4034" s="1">
        <v>0.0</v>
      </c>
      <c r="L4034" s="1" t="s">
        <v>4217</v>
      </c>
      <c r="M4034" s="1" t="str">
        <f>VLOOKUP(L4034,'Copy of PMD Workday Constants -'!B4033:W4719,22,false)</f>
        <v>#N/A</v>
      </c>
      <c r="N4034" s="1" t="s">
        <v>32</v>
      </c>
      <c r="O4034" s="1" t="s">
        <v>33</v>
      </c>
      <c r="P4034" s="1" t="s">
        <v>222</v>
      </c>
      <c r="Q4034" s="1" t="s">
        <v>222</v>
      </c>
      <c r="R4034" s="1" t="s">
        <v>223</v>
      </c>
      <c r="S4034" s="1" t="s">
        <v>482</v>
      </c>
      <c r="T4034" s="1">
        <v>1.0065605E8</v>
      </c>
      <c r="W4034" s="1" t="s">
        <v>391</v>
      </c>
      <c r="X4034" s="1" t="s">
        <v>4217</v>
      </c>
    </row>
    <row r="4035">
      <c r="A4035" s="1" t="s">
        <v>11533</v>
      </c>
      <c r="B4035" s="1" t="s">
        <v>11534</v>
      </c>
      <c r="C4035" s="1" t="s">
        <v>11535</v>
      </c>
      <c r="D4035" s="1" t="s">
        <v>28</v>
      </c>
      <c r="E4035" s="1" t="s">
        <v>29</v>
      </c>
      <c r="F4035" s="5">
        <v>160000.0</v>
      </c>
      <c r="G4035" s="1" t="s">
        <v>7016</v>
      </c>
      <c r="H4035" s="1" t="s">
        <v>42</v>
      </c>
      <c r="I4035" s="4">
        <v>44573.0</v>
      </c>
      <c r="K4035" s="1">
        <v>0.0</v>
      </c>
      <c r="L4035" s="1" t="s">
        <v>1335</v>
      </c>
      <c r="M4035" s="1" t="str">
        <f>VLOOKUP(L4035,'Copy of PMD Workday Constants -'!B4034:W4720,22,false)</f>
        <v>#N/A</v>
      </c>
      <c r="N4035" s="1" t="s">
        <v>32</v>
      </c>
      <c r="O4035" s="1" t="s">
        <v>33</v>
      </c>
      <c r="P4035" s="1" t="s">
        <v>210</v>
      </c>
      <c r="Q4035" s="1" t="s">
        <v>210</v>
      </c>
      <c r="R4035" s="1" t="s">
        <v>211</v>
      </c>
      <c r="S4035" s="1" t="s">
        <v>1336</v>
      </c>
      <c r="T4035" s="1">
        <v>1.00594397E8</v>
      </c>
      <c r="W4035" s="1" t="s">
        <v>258</v>
      </c>
      <c r="X4035" s="1" t="s">
        <v>1337</v>
      </c>
    </row>
    <row r="4036">
      <c r="A4036" s="1" t="s">
        <v>11536</v>
      </c>
      <c r="B4036" s="1" t="s">
        <v>40</v>
      </c>
      <c r="C4036" s="1" t="s">
        <v>11537</v>
      </c>
      <c r="D4036" s="1" t="s">
        <v>51</v>
      </c>
      <c r="E4036" s="1" t="s">
        <v>29</v>
      </c>
      <c r="F4036" s="5">
        <v>155772.95</v>
      </c>
      <c r="G4036" s="1" t="s">
        <v>7016</v>
      </c>
      <c r="H4036" s="4">
        <v>44208.0</v>
      </c>
      <c r="I4036" s="1" t="s">
        <v>80</v>
      </c>
      <c r="K4036" s="1">
        <v>0.0</v>
      </c>
      <c r="L4036" s="1" t="s">
        <v>5184</v>
      </c>
      <c r="M4036" s="1" t="str">
        <f>VLOOKUP(L4036,'Copy of PMD Workday Constants -'!B4035:W4721,22,false)</f>
        <v>#N/A</v>
      </c>
      <c r="N4036" s="1" t="s">
        <v>32</v>
      </c>
      <c r="O4036" s="1" t="s">
        <v>33</v>
      </c>
      <c r="P4036" s="1" t="s">
        <v>64</v>
      </c>
      <c r="Q4036" s="1" t="s">
        <v>64</v>
      </c>
      <c r="R4036" s="1" t="s">
        <v>65</v>
      </c>
      <c r="S4036" s="1" t="s">
        <v>791</v>
      </c>
      <c r="T4036" s="1">
        <v>1.00568413E8</v>
      </c>
      <c r="W4036" s="1" t="s">
        <v>47</v>
      </c>
      <c r="X4036" s="1" t="s">
        <v>7801</v>
      </c>
    </row>
    <row r="4037">
      <c r="A4037" s="1" t="s">
        <v>11538</v>
      </c>
      <c r="B4037" s="1" t="s">
        <v>1449</v>
      </c>
      <c r="C4037" s="1" t="s">
        <v>11539</v>
      </c>
      <c r="D4037" s="1" t="s">
        <v>103</v>
      </c>
      <c r="E4037" s="1" t="s">
        <v>29</v>
      </c>
      <c r="F4037" s="5">
        <v>155177.0</v>
      </c>
      <c r="G4037" s="1" t="s">
        <v>7016</v>
      </c>
      <c r="H4037" s="1" t="s">
        <v>816</v>
      </c>
      <c r="I4037" s="4">
        <v>44568.0</v>
      </c>
      <c r="K4037" s="1">
        <v>0.0</v>
      </c>
      <c r="L4037" s="1" t="s">
        <v>11540</v>
      </c>
      <c r="M4037" s="1" t="str">
        <f>VLOOKUP(L4037,'Copy of PMD Workday Constants -'!B4036:W4722,22,false)</f>
        <v>#N/A</v>
      </c>
      <c r="N4037" s="1" t="s">
        <v>32</v>
      </c>
      <c r="O4037" s="1" t="s">
        <v>33</v>
      </c>
      <c r="P4037" s="1" t="s">
        <v>173</v>
      </c>
      <c r="Q4037" s="1" t="s">
        <v>173</v>
      </c>
      <c r="R4037" s="1" t="s">
        <v>174</v>
      </c>
      <c r="S4037" s="1" t="s">
        <v>4915</v>
      </c>
      <c r="T4037" s="1">
        <v>1.00606323E8</v>
      </c>
      <c r="W4037" s="1" t="s">
        <v>493</v>
      </c>
      <c r="X4037" s="1" t="s">
        <v>11540</v>
      </c>
    </row>
    <row r="4038">
      <c r="A4038" s="1" t="s">
        <v>11541</v>
      </c>
      <c r="B4038" s="1" t="s">
        <v>776</v>
      </c>
      <c r="C4038" s="1" t="s">
        <v>11542</v>
      </c>
      <c r="D4038" s="1" t="s">
        <v>79</v>
      </c>
      <c r="E4038" s="1" t="s">
        <v>29</v>
      </c>
      <c r="F4038" s="5">
        <v>155000.0</v>
      </c>
      <c r="G4038" s="1" t="s">
        <v>7016</v>
      </c>
      <c r="H4038" s="1" t="s">
        <v>42</v>
      </c>
      <c r="I4038" s="1" t="s">
        <v>131</v>
      </c>
      <c r="K4038" s="1">
        <v>0.0</v>
      </c>
      <c r="L4038" s="1" t="s">
        <v>779</v>
      </c>
      <c r="M4038" s="1" t="str">
        <f>VLOOKUP(L4038,'Copy of PMD Workday Constants -'!B4037:W4723,22,false)</f>
        <v>#N/A</v>
      </c>
      <c r="N4038" s="1" t="s">
        <v>32</v>
      </c>
      <c r="O4038" s="1" t="s">
        <v>33</v>
      </c>
      <c r="P4038" s="1" t="s">
        <v>222</v>
      </c>
      <c r="Q4038" s="1" t="s">
        <v>222</v>
      </c>
      <c r="R4038" s="1" t="s">
        <v>223</v>
      </c>
      <c r="S4038" s="1" t="s">
        <v>701</v>
      </c>
      <c r="T4038" s="1">
        <v>1.0061139E8</v>
      </c>
      <c r="U4038" s="1" t="s">
        <v>1852</v>
      </c>
      <c r="V4038" s="1" t="s">
        <v>187</v>
      </c>
      <c r="W4038" s="1" t="s">
        <v>74</v>
      </c>
      <c r="X4038" s="1" t="s">
        <v>782</v>
      </c>
    </row>
    <row r="4039">
      <c r="A4039" s="1" t="s">
        <v>11543</v>
      </c>
      <c r="B4039" s="1" t="s">
        <v>776</v>
      </c>
      <c r="C4039" s="1" t="s">
        <v>11544</v>
      </c>
      <c r="D4039" s="1" t="s">
        <v>28</v>
      </c>
      <c r="E4039" s="1" t="s">
        <v>29</v>
      </c>
      <c r="F4039" s="5">
        <v>155000.0</v>
      </c>
      <c r="G4039" s="1" t="s">
        <v>7016</v>
      </c>
      <c r="H4039" s="1" t="s">
        <v>698</v>
      </c>
      <c r="I4039" s="4">
        <v>44839.0</v>
      </c>
      <c r="K4039" s="1">
        <v>0.0</v>
      </c>
      <c r="L4039" s="1" t="s">
        <v>779</v>
      </c>
      <c r="M4039" s="1" t="str">
        <f>VLOOKUP(L4039,'Copy of PMD Workday Constants -'!B4038:W4724,22,false)</f>
        <v>#N/A</v>
      </c>
      <c r="N4039" s="1" t="s">
        <v>32</v>
      </c>
      <c r="O4039" s="1" t="s">
        <v>33</v>
      </c>
      <c r="P4039" s="1" t="s">
        <v>222</v>
      </c>
      <c r="Q4039" s="1" t="s">
        <v>222</v>
      </c>
      <c r="R4039" s="1" t="s">
        <v>223</v>
      </c>
      <c r="S4039" s="1" t="s">
        <v>701</v>
      </c>
      <c r="T4039" s="1">
        <v>1.0061139E8</v>
      </c>
      <c r="W4039" s="1" t="s">
        <v>74</v>
      </c>
      <c r="X4039" s="1" t="s">
        <v>782</v>
      </c>
    </row>
    <row r="4040">
      <c r="A4040" s="1" t="s">
        <v>11545</v>
      </c>
      <c r="B4040" s="1" t="s">
        <v>8743</v>
      </c>
      <c r="C4040" s="1" t="s">
        <v>11546</v>
      </c>
      <c r="D4040" s="1" t="s">
        <v>28</v>
      </c>
      <c r="E4040" s="1" t="s">
        <v>29</v>
      </c>
      <c r="F4040" s="5">
        <v>155000.0</v>
      </c>
      <c r="G4040" s="1" t="s">
        <v>7016</v>
      </c>
      <c r="H4040" s="1" t="s">
        <v>1785</v>
      </c>
      <c r="I4040" s="4">
        <v>44568.0</v>
      </c>
      <c r="K4040" s="1">
        <v>0.0</v>
      </c>
      <c r="L4040" s="1" t="s">
        <v>7318</v>
      </c>
      <c r="M4040" s="1" t="str">
        <f>VLOOKUP(L4040,'Copy of PMD Workday Constants -'!B4039:W4725,22,false)</f>
        <v>#N/A</v>
      </c>
      <c r="N4040" s="1" t="s">
        <v>32</v>
      </c>
      <c r="O4040" s="1" t="s">
        <v>33</v>
      </c>
      <c r="P4040" s="1" t="s">
        <v>222</v>
      </c>
      <c r="Q4040" s="1" t="s">
        <v>222</v>
      </c>
      <c r="R4040" s="1" t="s">
        <v>223</v>
      </c>
      <c r="T4040" s="1">
        <v>1.00611212E8</v>
      </c>
      <c r="W4040" s="1" t="s">
        <v>74</v>
      </c>
      <c r="X4040" s="1" t="s">
        <v>11115</v>
      </c>
    </row>
    <row r="4041">
      <c r="A4041" s="1" t="s">
        <v>11547</v>
      </c>
      <c r="B4041" s="1" t="s">
        <v>11548</v>
      </c>
      <c r="C4041" s="1" t="s">
        <v>11549</v>
      </c>
      <c r="D4041" s="1" t="s">
        <v>51</v>
      </c>
      <c r="E4041" s="1" t="s">
        <v>29</v>
      </c>
      <c r="F4041" s="5">
        <v>155000.0</v>
      </c>
      <c r="G4041" s="1" t="s">
        <v>7016</v>
      </c>
      <c r="H4041" s="1" t="s">
        <v>556</v>
      </c>
      <c r="I4041" s="1" t="s">
        <v>11550</v>
      </c>
      <c r="K4041" s="1">
        <v>0.0</v>
      </c>
      <c r="L4041" s="1" t="s">
        <v>3656</v>
      </c>
      <c r="M4041" s="1" t="str">
        <f>VLOOKUP(L4041,'Copy of PMD Workday Constants -'!B4040:W4726,22,false)</f>
        <v>#N/A</v>
      </c>
      <c r="N4041" s="1" t="s">
        <v>32</v>
      </c>
      <c r="O4041" s="1" t="s">
        <v>33</v>
      </c>
      <c r="P4041" s="1" t="s">
        <v>210</v>
      </c>
      <c r="Q4041" s="1" t="s">
        <v>210</v>
      </c>
      <c r="R4041" s="1" t="s">
        <v>211</v>
      </c>
      <c r="T4041" s="1">
        <v>1.00658814E8</v>
      </c>
      <c r="U4041" s="1" t="s">
        <v>11551</v>
      </c>
      <c r="V4041" s="1" t="s">
        <v>346</v>
      </c>
      <c r="W4041" s="1" t="s">
        <v>56</v>
      </c>
      <c r="X4041" s="1" t="s">
        <v>4471</v>
      </c>
    </row>
    <row r="4042">
      <c r="A4042" s="1" t="s">
        <v>11552</v>
      </c>
      <c r="B4042" s="1" t="s">
        <v>11553</v>
      </c>
      <c r="C4042" s="1" t="s">
        <v>11554</v>
      </c>
      <c r="D4042" s="1" t="s">
        <v>51</v>
      </c>
      <c r="E4042" s="1" t="s">
        <v>29</v>
      </c>
      <c r="F4042" s="5">
        <v>155000.0</v>
      </c>
      <c r="G4042" s="1" t="s">
        <v>7016</v>
      </c>
      <c r="H4042" s="1" t="s">
        <v>5914</v>
      </c>
      <c r="I4042" s="1" t="s">
        <v>104</v>
      </c>
      <c r="K4042" s="1">
        <v>0.0</v>
      </c>
      <c r="L4042" s="1" t="s">
        <v>2602</v>
      </c>
      <c r="M4042" s="1" t="str">
        <f>VLOOKUP(L4042,'Copy of PMD Workday Constants -'!B4041:W4727,22,false)</f>
        <v>#N/A</v>
      </c>
      <c r="N4042" s="1" t="s">
        <v>32</v>
      </c>
      <c r="O4042" s="1" t="s">
        <v>33</v>
      </c>
      <c r="P4042" s="1" t="s">
        <v>173</v>
      </c>
      <c r="Q4042" s="1" t="s">
        <v>173</v>
      </c>
      <c r="R4042" s="1" t="s">
        <v>174</v>
      </c>
      <c r="S4042" s="1" t="s">
        <v>383</v>
      </c>
      <c r="T4042" s="1">
        <v>1.00611351E8</v>
      </c>
      <c r="W4042" s="1" t="s">
        <v>1303</v>
      </c>
      <c r="X4042" s="1" t="s">
        <v>2914</v>
      </c>
    </row>
    <row r="4043">
      <c r="A4043" s="1" t="s">
        <v>11555</v>
      </c>
      <c r="B4043" s="1" t="s">
        <v>776</v>
      </c>
      <c r="C4043" s="1" t="s">
        <v>11556</v>
      </c>
      <c r="D4043" s="1" t="s">
        <v>79</v>
      </c>
      <c r="E4043" s="1" t="s">
        <v>29</v>
      </c>
      <c r="F4043" s="5">
        <v>150000.0</v>
      </c>
      <c r="G4043" s="1" t="s">
        <v>7016</v>
      </c>
      <c r="H4043" s="1" t="s">
        <v>1553</v>
      </c>
      <c r="I4043" s="1" t="s">
        <v>80</v>
      </c>
      <c r="K4043" s="1">
        <v>0.0</v>
      </c>
      <c r="L4043" s="1" t="s">
        <v>779</v>
      </c>
      <c r="M4043" s="1" t="str">
        <f>VLOOKUP(L4043,'Copy of PMD Workday Constants -'!B4042:W4728,22,false)</f>
        <v>#N/A</v>
      </c>
      <c r="N4043" s="1" t="s">
        <v>32</v>
      </c>
      <c r="O4043" s="1" t="s">
        <v>33</v>
      </c>
      <c r="P4043" s="1" t="s">
        <v>222</v>
      </c>
      <c r="Q4043" s="1" t="s">
        <v>222</v>
      </c>
      <c r="R4043" s="1" t="s">
        <v>223</v>
      </c>
      <c r="S4043" s="1" t="s">
        <v>601</v>
      </c>
      <c r="T4043" s="1">
        <v>1.0061139E8</v>
      </c>
      <c r="W4043" s="1" t="s">
        <v>74</v>
      </c>
      <c r="X4043" s="1" t="s">
        <v>4184</v>
      </c>
    </row>
    <row r="4044">
      <c r="A4044" s="1" t="s">
        <v>11557</v>
      </c>
      <c r="B4044" s="1" t="s">
        <v>11558</v>
      </c>
      <c r="C4044" s="1" t="s">
        <v>11559</v>
      </c>
      <c r="D4044" s="1" t="s">
        <v>103</v>
      </c>
      <c r="E4044" s="1" t="s">
        <v>29</v>
      </c>
      <c r="F4044" s="5">
        <v>150000.0</v>
      </c>
      <c r="G4044" s="1" t="s">
        <v>7016</v>
      </c>
      <c r="H4044" s="1" t="s">
        <v>466</v>
      </c>
      <c r="I4044" s="4">
        <v>44840.0</v>
      </c>
      <c r="K4044" s="1">
        <v>0.0</v>
      </c>
      <c r="L4044" s="1" t="s">
        <v>3565</v>
      </c>
      <c r="M4044" s="1" t="str">
        <f>VLOOKUP(L4044,'Copy of PMD Workday Constants -'!B4043:W4729,22,false)</f>
        <v>#N/A</v>
      </c>
      <c r="N4044" s="1" t="s">
        <v>32</v>
      </c>
      <c r="O4044" s="1" t="s">
        <v>33</v>
      </c>
      <c r="P4044" s="1" t="s">
        <v>112</v>
      </c>
      <c r="Q4044" s="1" t="s">
        <v>112</v>
      </c>
      <c r="R4044" s="1" t="s">
        <v>113</v>
      </c>
      <c r="S4044" s="1" t="s">
        <v>307</v>
      </c>
      <c r="T4044" s="1">
        <v>1.00658777E8</v>
      </c>
      <c r="W4044" s="1" t="s">
        <v>115</v>
      </c>
      <c r="X4044" s="1" t="s">
        <v>3565</v>
      </c>
    </row>
    <row r="4045">
      <c r="A4045" s="1" t="s">
        <v>11560</v>
      </c>
      <c r="B4045" s="1" t="s">
        <v>11561</v>
      </c>
      <c r="C4045" s="1" t="s">
        <v>11562</v>
      </c>
      <c r="D4045" s="1" t="s">
        <v>28</v>
      </c>
      <c r="E4045" s="1" t="s">
        <v>29</v>
      </c>
      <c r="F4045" s="5">
        <v>150000.0</v>
      </c>
      <c r="G4045" s="1" t="s">
        <v>7016</v>
      </c>
      <c r="H4045" s="1" t="s">
        <v>2142</v>
      </c>
      <c r="I4045" s="1" t="s">
        <v>1349</v>
      </c>
      <c r="K4045" s="1">
        <v>0.0</v>
      </c>
      <c r="L4045" s="1" t="s">
        <v>4490</v>
      </c>
      <c r="M4045" s="1" t="str">
        <f>VLOOKUP(L4045,'Copy of PMD Workday Constants -'!B4044:W4730,22,false)</f>
        <v>#N/A</v>
      </c>
      <c r="N4045" s="1" t="s">
        <v>32</v>
      </c>
      <c r="O4045" s="1" t="s">
        <v>33</v>
      </c>
      <c r="P4045" s="1" t="s">
        <v>54</v>
      </c>
      <c r="Q4045" s="1" t="s">
        <v>54</v>
      </c>
      <c r="R4045" s="1" t="s">
        <v>55</v>
      </c>
      <c r="T4045" s="1">
        <v>1.00646804E8</v>
      </c>
      <c r="W4045" s="1" t="s">
        <v>258</v>
      </c>
      <c r="X4045" s="1" t="s">
        <v>2991</v>
      </c>
    </row>
    <row r="4046">
      <c r="A4046" s="1" t="s">
        <v>11563</v>
      </c>
      <c r="B4046" s="1" t="s">
        <v>610</v>
      </c>
      <c r="C4046" s="1" t="s">
        <v>11564</v>
      </c>
      <c r="D4046" s="1" t="s">
        <v>103</v>
      </c>
      <c r="E4046" s="1" t="s">
        <v>29</v>
      </c>
      <c r="F4046" s="5">
        <v>150000.0</v>
      </c>
      <c r="G4046" s="1" t="s">
        <v>7016</v>
      </c>
      <c r="H4046" s="1" t="s">
        <v>1042</v>
      </c>
      <c r="I4046" s="1" t="s">
        <v>152</v>
      </c>
      <c r="K4046" s="1">
        <v>0.0</v>
      </c>
      <c r="L4046" s="1" t="s">
        <v>2435</v>
      </c>
      <c r="M4046" s="1" t="str">
        <f>VLOOKUP(L4046,'Copy of PMD Workday Constants -'!B4045:W4731,22,false)</f>
        <v>#N/A</v>
      </c>
      <c r="N4046" s="1" t="s">
        <v>32</v>
      </c>
      <c r="O4046" s="1" t="s">
        <v>33</v>
      </c>
      <c r="P4046" s="1" t="s">
        <v>173</v>
      </c>
      <c r="Q4046" s="1" t="s">
        <v>173</v>
      </c>
      <c r="R4046" s="1" t="s">
        <v>174</v>
      </c>
      <c r="S4046" s="1" t="s">
        <v>612</v>
      </c>
      <c r="T4046" s="1">
        <v>1.00634919E8</v>
      </c>
      <c r="U4046" s="1" t="s">
        <v>11565</v>
      </c>
      <c r="W4046" s="1" t="s">
        <v>140</v>
      </c>
      <c r="X4046" s="1" t="s">
        <v>1068</v>
      </c>
    </row>
    <row r="4047">
      <c r="A4047" s="1" t="s">
        <v>11566</v>
      </c>
      <c r="B4047" s="1" t="s">
        <v>11567</v>
      </c>
      <c r="C4047" s="1" t="s">
        <v>11568</v>
      </c>
      <c r="D4047" s="1" t="s">
        <v>51</v>
      </c>
      <c r="E4047" s="1" t="s">
        <v>29</v>
      </c>
      <c r="F4047" s="5">
        <v>150000.0</v>
      </c>
      <c r="G4047" s="1" t="s">
        <v>7016</v>
      </c>
      <c r="H4047" s="4">
        <v>44870.0</v>
      </c>
      <c r="I4047" s="1" t="s">
        <v>80</v>
      </c>
      <c r="K4047" s="1">
        <v>0.0</v>
      </c>
      <c r="L4047" s="1" t="s">
        <v>5851</v>
      </c>
      <c r="M4047" s="1" t="str">
        <f>VLOOKUP(L4047,'Copy of PMD Workday Constants -'!B4046:W4732,22,false)</f>
        <v>#N/A</v>
      </c>
      <c r="N4047" s="1" t="s">
        <v>32</v>
      </c>
      <c r="O4047" s="1" t="s">
        <v>33</v>
      </c>
      <c r="P4047" s="1" t="s">
        <v>222</v>
      </c>
      <c r="Q4047" s="1" t="s">
        <v>222</v>
      </c>
      <c r="R4047" s="1" t="s">
        <v>223</v>
      </c>
      <c r="T4047" s="1">
        <v>1.00607287E8</v>
      </c>
      <c r="W4047" s="1" t="s">
        <v>147</v>
      </c>
      <c r="X4047" s="1" t="s">
        <v>5851</v>
      </c>
    </row>
    <row r="4048">
      <c r="A4048" s="1" t="s">
        <v>11569</v>
      </c>
      <c r="B4048" s="1" t="s">
        <v>800</v>
      </c>
      <c r="C4048" s="1" t="s">
        <v>11570</v>
      </c>
      <c r="D4048" s="1" t="s">
        <v>28</v>
      </c>
      <c r="E4048" s="1" t="s">
        <v>29</v>
      </c>
      <c r="F4048" s="5">
        <v>150000.0</v>
      </c>
      <c r="G4048" s="1" t="s">
        <v>7016</v>
      </c>
      <c r="H4048" s="1" t="s">
        <v>526</v>
      </c>
      <c r="I4048" s="1" t="s">
        <v>96</v>
      </c>
      <c r="K4048" s="1">
        <v>0.0</v>
      </c>
      <c r="L4048" s="1" t="s">
        <v>435</v>
      </c>
      <c r="M4048" s="1" t="str">
        <f>VLOOKUP(L4048,'Copy of PMD Workday Constants -'!B4047:W4733,22,false)</f>
        <v>#N/A</v>
      </c>
      <c r="N4048" s="1" t="s">
        <v>32</v>
      </c>
      <c r="O4048" s="1" t="s">
        <v>33</v>
      </c>
      <c r="P4048" s="1" t="s">
        <v>64</v>
      </c>
      <c r="Q4048" s="1" t="s">
        <v>64</v>
      </c>
      <c r="R4048" s="1" t="s">
        <v>65</v>
      </c>
      <c r="S4048" s="1" t="s">
        <v>98</v>
      </c>
      <c r="T4048" s="1">
        <v>1.00653756E8</v>
      </c>
      <c r="W4048" s="1" t="s">
        <v>56</v>
      </c>
      <c r="X4048" s="1" t="s">
        <v>435</v>
      </c>
    </row>
    <row r="4049">
      <c r="A4049" s="1" t="s">
        <v>11571</v>
      </c>
      <c r="B4049" s="1" t="s">
        <v>11572</v>
      </c>
      <c r="C4049" s="1" t="s">
        <v>11573</v>
      </c>
      <c r="D4049" s="1" t="s">
        <v>28</v>
      </c>
      <c r="E4049" s="1" t="s">
        <v>29</v>
      </c>
      <c r="F4049" s="5">
        <v>150000.0</v>
      </c>
      <c r="G4049" s="1" t="s">
        <v>7016</v>
      </c>
      <c r="H4049" s="1" t="s">
        <v>2318</v>
      </c>
      <c r="I4049" s="1" t="s">
        <v>132</v>
      </c>
      <c r="K4049" s="1">
        <v>0.0</v>
      </c>
      <c r="L4049" s="1" t="s">
        <v>4723</v>
      </c>
      <c r="M4049" s="1" t="str">
        <f>VLOOKUP(L4049,'Copy of PMD Workday Constants -'!B4048:W4734,22,false)</f>
        <v>#N/A</v>
      </c>
      <c r="N4049" s="1" t="s">
        <v>32</v>
      </c>
      <c r="O4049" s="1" t="s">
        <v>33</v>
      </c>
      <c r="P4049" s="1" t="s">
        <v>210</v>
      </c>
      <c r="Q4049" s="1" t="s">
        <v>210</v>
      </c>
      <c r="R4049" s="1" t="s">
        <v>211</v>
      </c>
      <c r="S4049" s="1" t="s">
        <v>1313</v>
      </c>
      <c r="T4049" s="1">
        <v>1.00585834E8</v>
      </c>
      <c r="W4049" s="1" t="s">
        <v>436</v>
      </c>
      <c r="X4049" s="1" t="s">
        <v>4723</v>
      </c>
    </row>
    <row r="4050">
      <c r="A4050" s="1" t="s">
        <v>11574</v>
      </c>
      <c r="B4050" s="1" t="s">
        <v>11575</v>
      </c>
      <c r="C4050" s="1" t="s">
        <v>11576</v>
      </c>
      <c r="D4050" s="1" t="s">
        <v>103</v>
      </c>
      <c r="E4050" s="1" t="s">
        <v>29</v>
      </c>
      <c r="F4050" s="5">
        <v>150000.0</v>
      </c>
      <c r="G4050" s="1" t="s">
        <v>7016</v>
      </c>
      <c r="H4050" s="4">
        <v>44870.0</v>
      </c>
      <c r="I4050" s="1" t="s">
        <v>80</v>
      </c>
      <c r="K4050" s="1">
        <v>0.0</v>
      </c>
      <c r="L4050" s="1" t="s">
        <v>6578</v>
      </c>
      <c r="M4050" s="1" t="str">
        <f>VLOOKUP(L4050,'Copy of PMD Workday Constants -'!B4049:W4735,22,false)</f>
        <v>#N/A</v>
      </c>
      <c r="N4050" s="1" t="s">
        <v>32</v>
      </c>
      <c r="O4050" s="1" t="s">
        <v>33</v>
      </c>
      <c r="P4050" s="1" t="s">
        <v>222</v>
      </c>
      <c r="Q4050" s="1" t="s">
        <v>222</v>
      </c>
      <c r="R4050" s="1" t="s">
        <v>223</v>
      </c>
      <c r="S4050" s="1" t="s">
        <v>482</v>
      </c>
      <c r="T4050" s="1">
        <v>1.00597339E8</v>
      </c>
      <c r="W4050" s="1" t="s">
        <v>456</v>
      </c>
      <c r="X4050" s="1" t="s">
        <v>11577</v>
      </c>
    </row>
    <row r="4051">
      <c r="A4051" s="1" t="s">
        <v>11578</v>
      </c>
      <c r="B4051" s="1" t="s">
        <v>129</v>
      </c>
      <c r="C4051" s="1" t="s">
        <v>11579</v>
      </c>
      <c r="D4051" s="1" t="s">
        <v>103</v>
      </c>
      <c r="E4051" s="1" t="s">
        <v>29</v>
      </c>
      <c r="F4051" s="5">
        <v>150000.0</v>
      </c>
      <c r="G4051" s="1" t="s">
        <v>7016</v>
      </c>
      <c r="H4051" s="1" t="s">
        <v>556</v>
      </c>
      <c r="I4051" s="1" t="s">
        <v>80</v>
      </c>
      <c r="K4051" s="1">
        <v>0.0</v>
      </c>
      <c r="L4051" s="1" t="s">
        <v>133</v>
      </c>
      <c r="M4051" s="1" t="str">
        <f>VLOOKUP(L4051,'Copy of PMD Workday Constants -'!B4050:W4736,22,false)</f>
        <v>#N/A</v>
      </c>
      <c r="N4051" s="1" t="s">
        <v>32</v>
      </c>
      <c r="O4051" s="1" t="s">
        <v>33</v>
      </c>
      <c r="P4051" s="1" t="s">
        <v>112</v>
      </c>
      <c r="Q4051" s="1" t="s">
        <v>112</v>
      </c>
      <c r="R4051" s="1" t="s">
        <v>113</v>
      </c>
      <c r="T4051" s="1">
        <v>1.01225952E8</v>
      </c>
      <c r="W4051" s="1" t="s">
        <v>74</v>
      </c>
      <c r="X4051" s="1" t="s">
        <v>135</v>
      </c>
    </row>
    <row r="4052">
      <c r="A4052" s="1" t="s">
        <v>11580</v>
      </c>
      <c r="B4052" s="1" t="s">
        <v>6417</v>
      </c>
      <c r="C4052" s="1" t="s">
        <v>11581</v>
      </c>
      <c r="D4052" s="1" t="s">
        <v>28</v>
      </c>
      <c r="E4052" s="1" t="s">
        <v>29</v>
      </c>
      <c r="F4052" s="5">
        <v>150000.0</v>
      </c>
      <c r="G4052" s="1" t="s">
        <v>7016</v>
      </c>
      <c r="H4052" s="1" t="s">
        <v>3042</v>
      </c>
      <c r="I4052" s="1" t="s">
        <v>302</v>
      </c>
      <c r="K4052" s="1">
        <v>0.0</v>
      </c>
      <c r="L4052" s="1" t="s">
        <v>517</v>
      </c>
      <c r="M4052" s="1" t="str">
        <f>VLOOKUP(L4052,'Copy of PMD Workday Constants -'!B4051:W4737,22,false)</f>
        <v>#N/A</v>
      </c>
      <c r="N4052" s="1" t="s">
        <v>32</v>
      </c>
      <c r="O4052" s="1" t="s">
        <v>33</v>
      </c>
      <c r="P4052" s="1" t="s">
        <v>64</v>
      </c>
      <c r="Q4052" s="1" t="s">
        <v>64</v>
      </c>
      <c r="R4052" s="1" t="s">
        <v>65</v>
      </c>
      <c r="S4052" s="1" t="s">
        <v>180</v>
      </c>
      <c r="T4052" s="1">
        <v>1.01001596E8</v>
      </c>
      <c r="W4052" s="1" t="s">
        <v>85</v>
      </c>
      <c r="X4052" s="1" t="s">
        <v>935</v>
      </c>
    </row>
    <row r="4053">
      <c r="A4053" s="1" t="s">
        <v>11582</v>
      </c>
      <c r="B4053" s="1" t="s">
        <v>348</v>
      </c>
      <c r="C4053" s="1" t="s">
        <v>11583</v>
      </c>
      <c r="D4053" s="1" t="s">
        <v>103</v>
      </c>
      <c r="E4053" s="1" t="s">
        <v>29</v>
      </c>
      <c r="F4053" s="5">
        <v>150000.0</v>
      </c>
      <c r="G4053" s="1" t="s">
        <v>7016</v>
      </c>
      <c r="H4053" s="1" t="s">
        <v>460</v>
      </c>
      <c r="I4053" s="4">
        <v>44568.0</v>
      </c>
      <c r="K4053" s="1">
        <v>0.0</v>
      </c>
      <c r="L4053" s="1" t="s">
        <v>350</v>
      </c>
      <c r="M4053" s="1" t="str">
        <f>VLOOKUP(L4053,'Copy of PMD Workday Constants -'!B4052:W4738,22,false)</f>
        <v>#N/A</v>
      </c>
      <c r="N4053" s="1" t="s">
        <v>32</v>
      </c>
      <c r="O4053" s="1" t="s">
        <v>33</v>
      </c>
      <c r="P4053" s="1" t="s">
        <v>82</v>
      </c>
      <c r="Q4053" s="1" t="s">
        <v>82</v>
      </c>
      <c r="R4053" s="1" t="s">
        <v>83</v>
      </c>
      <c r="S4053" s="1" t="s">
        <v>180</v>
      </c>
      <c r="T4053" s="1">
        <v>1.00582847E8</v>
      </c>
      <c r="U4053" s="1" t="s">
        <v>11584</v>
      </c>
      <c r="V4053" s="1" t="s">
        <v>346</v>
      </c>
      <c r="W4053" s="1" t="s">
        <v>85</v>
      </c>
      <c r="X4053" s="1" t="s">
        <v>350</v>
      </c>
    </row>
    <row r="4054">
      <c r="A4054" s="1" t="s">
        <v>11585</v>
      </c>
      <c r="B4054" s="1" t="s">
        <v>5634</v>
      </c>
      <c r="C4054" s="1" t="s">
        <v>11586</v>
      </c>
      <c r="D4054" s="1" t="s">
        <v>103</v>
      </c>
      <c r="E4054" s="1" t="s">
        <v>29</v>
      </c>
      <c r="F4054" s="5">
        <v>150000.0</v>
      </c>
      <c r="G4054" s="1" t="s">
        <v>7016</v>
      </c>
      <c r="H4054" s="4">
        <v>44656.0</v>
      </c>
      <c r="I4054" s="1" t="s">
        <v>8252</v>
      </c>
      <c r="K4054" s="1">
        <v>0.0</v>
      </c>
      <c r="L4054" s="1" t="s">
        <v>481</v>
      </c>
      <c r="M4054" s="1" t="str">
        <f>VLOOKUP(L4054,'Copy of PMD Workday Constants -'!B4053:W4739,22,false)</f>
        <v>#N/A</v>
      </c>
      <c r="N4054" s="1" t="s">
        <v>32</v>
      </c>
      <c r="O4054" s="1" t="s">
        <v>33</v>
      </c>
      <c r="P4054" s="1" t="s">
        <v>222</v>
      </c>
      <c r="Q4054" s="1" t="s">
        <v>222</v>
      </c>
      <c r="R4054" s="1" t="s">
        <v>223</v>
      </c>
      <c r="S4054" s="1" t="s">
        <v>482</v>
      </c>
      <c r="T4054" s="1">
        <v>1.00654864E8</v>
      </c>
      <c r="W4054" s="1" t="s">
        <v>436</v>
      </c>
      <c r="X4054" s="1" t="s">
        <v>8775</v>
      </c>
    </row>
    <row r="4055">
      <c r="A4055" s="1" t="s">
        <v>11587</v>
      </c>
      <c r="B4055" s="1" t="s">
        <v>6417</v>
      </c>
      <c r="C4055" s="1" t="s">
        <v>11588</v>
      </c>
      <c r="D4055" s="1" t="s">
        <v>28</v>
      </c>
      <c r="E4055" s="1" t="s">
        <v>29</v>
      </c>
      <c r="F4055" s="5">
        <v>150000.0</v>
      </c>
      <c r="G4055" s="1" t="s">
        <v>7016</v>
      </c>
      <c r="H4055" s="1" t="s">
        <v>3042</v>
      </c>
      <c r="I4055" s="1" t="s">
        <v>302</v>
      </c>
      <c r="K4055" s="1">
        <v>0.0</v>
      </c>
      <c r="L4055" s="1" t="s">
        <v>517</v>
      </c>
      <c r="M4055" s="1" t="str">
        <f>VLOOKUP(L4055,'Copy of PMD Workday Constants -'!B4054:W4740,22,false)</f>
        <v>#N/A</v>
      </c>
      <c r="N4055" s="1" t="s">
        <v>32</v>
      </c>
      <c r="O4055" s="1" t="s">
        <v>33</v>
      </c>
      <c r="P4055" s="1" t="s">
        <v>64</v>
      </c>
      <c r="Q4055" s="1" t="s">
        <v>64</v>
      </c>
      <c r="R4055" s="1" t="s">
        <v>65</v>
      </c>
      <c r="S4055" s="1" t="s">
        <v>229</v>
      </c>
      <c r="T4055" s="1">
        <v>1.01001596E8</v>
      </c>
      <c r="W4055" s="1" t="s">
        <v>85</v>
      </c>
      <c r="X4055" s="1" t="s">
        <v>935</v>
      </c>
    </row>
    <row r="4056">
      <c r="A4056" s="1" t="s">
        <v>11589</v>
      </c>
      <c r="B4056" s="1" t="s">
        <v>1685</v>
      </c>
      <c r="C4056" s="1" t="s">
        <v>11590</v>
      </c>
      <c r="D4056" s="1" t="s">
        <v>28</v>
      </c>
      <c r="E4056" s="1" t="s">
        <v>29</v>
      </c>
      <c r="F4056" s="5">
        <v>150000.0</v>
      </c>
      <c r="G4056" s="1" t="s">
        <v>7016</v>
      </c>
      <c r="H4056" s="4">
        <v>44777.0</v>
      </c>
      <c r="I4056" s="1" t="s">
        <v>302</v>
      </c>
      <c r="K4056" s="1">
        <v>0.0</v>
      </c>
      <c r="L4056" s="1" t="s">
        <v>2983</v>
      </c>
      <c r="M4056" s="1" t="str">
        <f>VLOOKUP(L4056,'Copy of PMD Workday Constants -'!B4055:W4741,22,false)</f>
        <v>#N/A</v>
      </c>
      <c r="N4056" s="1" t="s">
        <v>32</v>
      </c>
      <c r="O4056" s="1" t="s">
        <v>33</v>
      </c>
      <c r="P4056" s="1" t="s">
        <v>34</v>
      </c>
      <c r="Q4056" s="1" t="s">
        <v>34</v>
      </c>
      <c r="R4056" s="1" t="s">
        <v>35</v>
      </c>
      <c r="T4056" s="1">
        <v>1.00650568E8</v>
      </c>
      <c r="W4056" s="1" t="s">
        <v>147</v>
      </c>
      <c r="X4056" s="1" t="s">
        <v>5505</v>
      </c>
    </row>
    <row r="4057">
      <c r="A4057" s="1" t="s">
        <v>11591</v>
      </c>
      <c r="B4057" s="1" t="s">
        <v>3126</v>
      </c>
      <c r="C4057" s="1" t="s">
        <v>11592</v>
      </c>
      <c r="D4057" s="1" t="s">
        <v>28</v>
      </c>
      <c r="E4057" s="1" t="s">
        <v>29</v>
      </c>
      <c r="F4057" s="5">
        <v>150000.0</v>
      </c>
      <c r="G4057" s="1" t="s">
        <v>7016</v>
      </c>
      <c r="H4057" s="4">
        <v>44297.0</v>
      </c>
      <c r="I4057" s="1" t="s">
        <v>816</v>
      </c>
      <c r="K4057" s="1">
        <v>0.0</v>
      </c>
      <c r="L4057" s="1" t="s">
        <v>1770</v>
      </c>
      <c r="M4057" s="1" t="str">
        <f>VLOOKUP(L4057,'Copy of PMD Workday Constants -'!B4056:W4742,22,false)</f>
        <v>#N/A</v>
      </c>
      <c r="N4057" s="1" t="s">
        <v>32</v>
      </c>
      <c r="O4057" s="1" t="s">
        <v>33</v>
      </c>
      <c r="P4057" s="1" t="s">
        <v>210</v>
      </c>
      <c r="Q4057" s="1" t="s">
        <v>210</v>
      </c>
      <c r="R4057" s="1" t="s">
        <v>211</v>
      </c>
      <c r="S4057" s="1" t="s">
        <v>1313</v>
      </c>
      <c r="T4057" s="1">
        <v>1.00593918E8</v>
      </c>
      <c r="W4057" s="1" t="s">
        <v>436</v>
      </c>
      <c r="X4057" s="1" t="s">
        <v>1770</v>
      </c>
    </row>
    <row r="4058">
      <c r="A4058" s="1" t="s">
        <v>11593</v>
      </c>
      <c r="B4058" s="1" t="s">
        <v>10437</v>
      </c>
      <c r="C4058" s="1" t="s">
        <v>11594</v>
      </c>
      <c r="D4058" s="1" t="s">
        <v>103</v>
      </c>
      <c r="E4058" s="1" t="s">
        <v>29</v>
      </c>
      <c r="F4058" s="5">
        <v>150000.0</v>
      </c>
      <c r="G4058" s="1" t="s">
        <v>7016</v>
      </c>
      <c r="H4058" s="1" t="s">
        <v>5581</v>
      </c>
      <c r="I4058" s="1" t="s">
        <v>80</v>
      </c>
      <c r="K4058" s="1">
        <v>0.0</v>
      </c>
      <c r="L4058" s="1" t="s">
        <v>2507</v>
      </c>
      <c r="M4058" s="1" t="str">
        <f>VLOOKUP(L4058,'Copy of PMD Workday Constants -'!B4057:W4743,22,false)</f>
        <v>#N/A</v>
      </c>
      <c r="N4058" s="1" t="s">
        <v>32</v>
      </c>
      <c r="O4058" s="1" t="s">
        <v>33</v>
      </c>
      <c r="P4058" s="1" t="s">
        <v>222</v>
      </c>
      <c r="Q4058" s="1" t="s">
        <v>222</v>
      </c>
      <c r="R4058" s="1" t="s">
        <v>223</v>
      </c>
      <c r="S4058" s="1" t="s">
        <v>482</v>
      </c>
      <c r="T4058" s="1">
        <v>1.00659458E8</v>
      </c>
      <c r="W4058" s="1" t="s">
        <v>258</v>
      </c>
      <c r="X4058" s="1" t="s">
        <v>2507</v>
      </c>
    </row>
    <row r="4059">
      <c r="A4059" s="1" t="s">
        <v>11595</v>
      </c>
      <c r="B4059" s="1" t="s">
        <v>225</v>
      </c>
      <c r="C4059" s="1" t="s">
        <v>11596</v>
      </c>
      <c r="D4059" s="1" t="s">
        <v>103</v>
      </c>
      <c r="E4059" s="1" t="s">
        <v>29</v>
      </c>
      <c r="F4059" s="5">
        <v>150000.0</v>
      </c>
      <c r="G4059" s="1" t="s">
        <v>7016</v>
      </c>
      <c r="H4059" s="1" t="s">
        <v>3798</v>
      </c>
      <c r="I4059" s="4">
        <v>44689.0</v>
      </c>
      <c r="K4059" s="1">
        <v>0.0</v>
      </c>
      <c r="L4059" s="1" t="s">
        <v>866</v>
      </c>
      <c r="M4059" s="1" t="str">
        <f>VLOOKUP(L4059,'Copy of PMD Workday Constants -'!B4058:W4744,22,false)</f>
        <v>#N/A</v>
      </c>
      <c r="N4059" s="1" t="s">
        <v>32</v>
      </c>
      <c r="O4059" s="1" t="s">
        <v>33</v>
      </c>
      <c r="P4059" s="1" t="s">
        <v>82</v>
      </c>
      <c r="Q4059" s="1" t="s">
        <v>82</v>
      </c>
      <c r="R4059" s="1" t="s">
        <v>83</v>
      </c>
      <c r="S4059" s="1" t="s">
        <v>84</v>
      </c>
      <c r="T4059" s="1">
        <v>1.00941744E8</v>
      </c>
      <c r="W4059" s="1" t="s">
        <v>85</v>
      </c>
      <c r="X4059" s="1" t="s">
        <v>4406</v>
      </c>
    </row>
    <row r="4060">
      <c r="A4060" s="1" t="s">
        <v>11597</v>
      </c>
      <c r="B4060" s="1" t="s">
        <v>11598</v>
      </c>
      <c r="C4060" s="1" t="s">
        <v>11599</v>
      </c>
      <c r="D4060" s="1" t="s">
        <v>103</v>
      </c>
      <c r="E4060" s="1" t="s">
        <v>29</v>
      </c>
      <c r="F4060" s="5">
        <v>150000.0</v>
      </c>
      <c r="G4060" s="1" t="s">
        <v>7016</v>
      </c>
      <c r="H4060" s="1" t="s">
        <v>810</v>
      </c>
      <c r="I4060" s="1" t="s">
        <v>248</v>
      </c>
      <c r="K4060" s="1">
        <v>0.0</v>
      </c>
      <c r="L4060" s="1" t="s">
        <v>5881</v>
      </c>
      <c r="M4060" s="1" t="str">
        <f>VLOOKUP(L4060,'Copy of PMD Workday Constants -'!B4059:W4745,22,false)</f>
        <v>#N/A</v>
      </c>
      <c r="N4060" s="1" t="s">
        <v>32</v>
      </c>
      <c r="O4060" s="1" t="s">
        <v>33</v>
      </c>
      <c r="P4060" s="1" t="s">
        <v>64</v>
      </c>
      <c r="Q4060" s="1" t="s">
        <v>64</v>
      </c>
      <c r="R4060" s="1" t="s">
        <v>65</v>
      </c>
      <c r="S4060" s="1" t="s">
        <v>1336</v>
      </c>
      <c r="T4060" s="1">
        <v>1.01230882E8</v>
      </c>
      <c r="W4060" s="1" t="s">
        <v>74</v>
      </c>
      <c r="X4060" s="1" t="s">
        <v>10487</v>
      </c>
    </row>
    <row r="4061">
      <c r="A4061" s="1" t="s">
        <v>11600</v>
      </c>
      <c r="B4061" s="1" t="s">
        <v>225</v>
      </c>
      <c r="C4061" s="1" t="s">
        <v>11601</v>
      </c>
      <c r="D4061" s="1" t="s">
        <v>28</v>
      </c>
      <c r="E4061" s="1" t="s">
        <v>29</v>
      </c>
      <c r="F4061" s="5">
        <v>150000.0</v>
      </c>
      <c r="G4061" s="1" t="s">
        <v>7016</v>
      </c>
      <c r="H4061" s="1" t="s">
        <v>1078</v>
      </c>
      <c r="I4061" s="1" t="s">
        <v>400</v>
      </c>
      <c r="K4061" s="1">
        <v>0.0</v>
      </c>
      <c r="L4061" s="1" t="s">
        <v>2330</v>
      </c>
      <c r="M4061" s="1" t="str">
        <f>VLOOKUP(L4061,'Copy of PMD Workday Constants -'!B4060:W4746,22,false)</f>
        <v>#N/A</v>
      </c>
      <c r="N4061" s="1" t="s">
        <v>32</v>
      </c>
      <c r="O4061" s="1" t="s">
        <v>33</v>
      </c>
      <c r="P4061" s="1" t="s">
        <v>82</v>
      </c>
      <c r="Q4061" s="1" t="s">
        <v>82</v>
      </c>
      <c r="R4061" s="1" t="s">
        <v>83</v>
      </c>
      <c r="S4061" s="1" t="s">
        <v>84</v>
      </c>
      <c r="T4061" s="1">
        <v>1.00613761E8</v>
      </c>
      <c r="W4061" s="1" t="s">
        <v>85</v>
      </c>
      <c r="X4061" s="1" t="s">
        <v>6998</v>
      </c>
    </row>
    <row r="4062">
      <c r="A4062" s="1" t="s">
        <v>11602</v>
      </c>
      <c r="B4062" s="1" t="s">
        <v>4238</v>
      </c>
      <c r="C4062" s="1" t="s">
        <v>11603</v>
      </c>
      <c r="D4062" s="1" t="s">
        <v>103</v>
      </c>
      <c r="E4062" s="1" t="s">
        <v>29</v>
      </c>
      <c r="F4062" s="5">
        <v>150000.0</v>
      </c>
      <c r="G4062" s="1" t="s">
        <v>7016</v>
      </c>
      <c r="H4062" s="1" t="s">
        <v>11604</v>
      </c>
      <c r="I4062" s="1" t="s">
        <v>80</v>
      </c>
      <c r="K4062" s="1">
        <v>0.0</v>
      </c>
      <c r="L4062" s="1" t="s">
        <v>4723</v>
      </c>
      <c r="M4062" s="1" t="str">
        <f>VLOOKUP(L4062,'Copy of PMD Workday Constants -'!B4061:W4747,22,false)</f>
        <v>#N/A</v>
      </c>
      <c r="N4062" s="1" t="s">
        <v>32</v>
      </c>
      <c r="O4062" s="1" t="s">
        <v>33</v>
      </c>
      <c r="P4062" s="1" t="s">
        <v>210</v>
      </c>
      <c r="Q4062" s="1" t="s">
        <v>210</v>
      </c>
      <c r="R4062" s="1" t="s">
        <v>211</v>
      </c>
      <c r="S4062" s="1" t="s">
        <v>1313</v>
      </c>
      <c r="T4062" s="1">
        <v>1.00585834E8</v>
      </c>
      <c r="W4062" s="1" t="s">
        <v>56</v>
      </c>
      <c r="X4062" s="1" t="s">
        <v>7332</v>
      </c>
    </row>
    <row r="4063">
      <c r="A4063" s="1" t="s">
        <v>11605</v>
      </c>
      <c r="B4063" s="1" t="s">
        <v>1149</v>
      </c>
      <c r="C4063" s="1" t="s">
        <v>11606</v>
      </c>
      <c r="D4063" s="1" t="s">
        <v>51</v>
      </c>
      <c r="E4063" s="1" t="s">
        <v>29</v>
      </c>
      <c r="F4063" s="5">
        <v>150000.0</v>
      </c>
      <c r="G4063" s="1" t="s">
        <v>7016</v>
      </c>
      <c r="H4063" s="1" t="s">
        <v>526</v>
      </c>
      <c r="I4063" s="1" t="s">
        <v>104</v>
      </c>
      <c r="K4063" s="1">
        <v>0.0</v>
      </c>
      <c r="L4063" s="1" t="s">
        <v>1902</v>
      </c>
      <c r="M4063" s="1" t="str">
        <f>VLOOKUP(L4063,'Copy of PMD Workday Constants -'!B4062:W4748,22,false)</f>
        <v>#N/A</v>
      </c>
      <c r="N4063" s="1" t="s">
        <v>32</v>
      </c>
      <c r="O4063" s="1" t="s">
        <v>33</v>
      </c>
      <c r="P4063" s="1" t="s">
        <v>173</v>
      </c>
      <c r="Q4063" s="1" t="s">
        <v>173</v>
      </c>
      <c r="R4063" s="1" t="s">
        <v>174</v>
      </c>
      <c r="T4063" s="1">
        <v>1.00956516E8</v>
      </c>
      <c r="X4063" s="1" t="s">
        <v>10697</v>
      </c>
    </row>
    <row r="4064">
      <c r="A4064" s="1" t="s">
        <v>11607</v>
      </c>
      <c r="B4064" s="1" t="s">
        <v>5605</v>
      </c>
      <c r="C4064" s="1" t="s">
        <v>11608</v>
      </c>
      <c r="D4064" s="1" t="s">
        <v>28</v>
      </c>
      <c r="E4064" s="1" t="s">
        <v>29</v>
      </c>
      <c r="F4064" s="5">
        <v>150000.0</v>
      </c>
      <c r="G4064" s="1" t="s">
        <v>7016</v>
      </c>
      <c r="H4064" s="4">
        <v>44567.0</v>
      </c>
      <c r="I4064" s="1" t="s">
        <v>152</v>
      </c>
      <c r="K4064" s="1">
        <v>0.0</v>
      </c>
      <c r="L4064" s="1" t="s">
        <v>8418</v>
      </c>
      <c r="M4064" s="1" t="str">
        <f>VLOOKUP(L4064,'Copy of PMD Workday Constants -'!B4063:W4749,22,false)</f>
        <v>#N/A</v>
      </c>
      <c r="N4064" s="1" t="s">
        <v>32</v>
      </c>
      <c r="O4064" s="1" t="s">
        <v>33</v>
      </c>
      <c r="P4064" s="1" t="s">
        <v>64</v>
      </c>
      <c r="Q4064" s="1" t="s">
        <v>64</v>
      </c>
      <c r="R4064" s="1" t="s">
        <v>65</v>
      </c>
      <c r="T4064" s="1">
        <v>1.01238292E8</v>
      </c>
      <c r="W4064" s="1" t="s">
        <v>493</v>
      </c>
      <c r="X4064" s="1" t="s">
        <v>8418</v>
      </c>
    </row>
    <row r="4065">
      <c r="A4065" s="1" t="s">
        <v>11609</v>
      </c>
      <c r="B4065" s="1" t="s">
        <v>2277</v>
      </c>
      <c r="C4065" s="1" t="s">
        <v>11610</v>
      </c>
      <c r="D4065" s="1" t="s">
        <v>28</v>
      </c>
      <c r="E4065" s="1" t="s">
        <v>29</v>
      </c>
      <c r="F4065" s="5">
        <v>150000.0</v>
      </c>
      <c r="G4065" s="1" t="s">
        <v>7016</v>
      </c>
      <c r="H4065" s="4">
        <v>44743.0</v>
      </c>
      <c r="I4065" s="1" t="s">
        <v>80</v>
      </c>
      <c r="K4065" s="1">
        <v>0.0</v>
      </c>
      <c r="L4065" s="1" t="s">
        <v>1790</v>
      </c>
      <c r="M4065" s="1" t="str">
        <f>VLOOKUP(L4065,'Copy of PMD Workday Constants -'!B4064:W4750,22,false)</f>
        <v>#N/A</v>
      </c>
      <c r="N4065" s="1" t="s">
        <v>32</v>
      </c>
      <c r="O4065" s="1" t="s">
        <v>33</v>
      </c>
      <c r="P4065" s="1" t="s">
        <v>222</v>
      </c>
      <c r="Q4065" s="1" t="s">
        <v>222</v>
      </c>
      <c r="R4065" s="1" t="s">
        <v>223</v>
      </c>
      <c r="S4065" s="1" t="s">
        <v>601</v>
      </c>
      <c r="T4065" s="1">
        <v>1.00645232E8</v>
      </c>
      <c r="W4065" s="1" t="s">
        <v>258</v>
      </c>
      <c r="X4065" s="1" t="s">
        <v>2847</v>
      </c>
    </row>
    <row r="4066">
      <c r="A4066" s="1" t="s">
        <v>11611</v>
      </c>
      <c r="B4066" s="1" t="s">
        <v>11612</v>
      </c>
      <c r="C4066" s="1" t="s">
        <v>11613</v>
      </c>
      <c r="D4066" s="1" t="s">
        <v>51</v>
      </c>
      <c r="E4066" s="1" t="s">
        <v>29</v>
      </c>
      <c r="F4066" s="5">
        <v>150000.0</v>
      </c>
      <c r="G4066" s="1" t="s">
        <v>7016</v>
      </c>
      <c r="H4066" s="4">
        <v>44718.0</v>
      </c>
      <c r="I4066" s="1" t="s">
        <v>295</v>
      </c>
      <c r="K4066" s="1">
        <v>0.0</v>
      </c>
      <c r="L4066" s="1" t="s">
        <v>2955</v>
      </c>
      <c r="M4066" s="1" t="str">
        <f>VLOOKUP(L4066,'Copy of PMD Workday Constants -'!B4065:W4751,22,false)</f>
        <v>#N/A</v>
      </c>
      <c r="N4066" s="1" t="s">
        <v>32</v>
      </c>
      <c r="O4066" s="1" t="s">
        <v>33</v>
      </c>
      <c r="P4066" s="1" t="s">
        <v>34</v>
      </c>
      <c r="Q4066" s="1" t="s">
        <v>34</v>
      </c>
      <c r="R4066" s="1" t="s">
        <v>35</v>
      </c>
      <c r="T4066" s="1">
        <v>1.00589892E8</v>
      </c>
      <c r="W4066" s="1" t="s">
        <v>287</v>
      </c>
      <c r="X4066" s="1" t="s">
        <v>2955</v>
      </c>
    </row>
    <row r="4067">
      <c r="A4067" s="1" t="s">
        <v>11614</v>
      </c>
      <c r="B4067" s="1" t="s">
        <v>11615</v>
      </c>
      <c r="C4067" s="1" t="s">
        <v>11616</v>
      </c>
      <c r="D4067" s="1" t="s">
        <v>28</v>
      </c>
      <c r="E4067" s="1" t="s">
        <v>29</v>
      </c>
      <c r="F4067" s="5">
        <v>150000.0</v>
      </c>
      <c r="G4067" s="1" t="s">
        <v>7016</v>
      </c>
      <c r="H4067" s="4">
        <v>44624.0</v>
      </c>
      <c r="I4067" s="1" t="s">
        <v>526</v>
      </c>
      <c r="K4067" s="1">
        <v>0.0</v>
      </c>
      <c r="L4067" s="1" t="s">
        <v>2630</v>
      </c>
      <c r="M4067" s="1" t="str">
        <f>VLOOKUP(L4067,'Copy of PMD Workday Constants -'!B4066:W4752,22,false)</f>
        <v>#N/A</v>
      </c>
      <c r="N4067" s="1" t="s">
        <v>32</v>
      </c>
      <c r="O4067" s="1" t="s">
        <v>33</v>
      </c>
      <c r="P4067" s="1" t="s">
        <v>34</v>
      </c>
      <c r="Q4067" s="1" t="s">
        <v>34</v>
      </c>
      <c r="R4067" s="1" t="s">
        <v>35</v>
      </c>
      <c r="T4067" s="1">
        <v>1.00606975E8</v>
      </c>
      <c r="W4067" s="1" t="s">
        <v>85</v>
      </c>
      <c r="X4067" s="1" t="s">
        <v>2630</v>
      </c>
    </row>
    <row r="4068">
      <c r="A4068" s="1" t="s">
        <v>11617</v>
      </c>
      <c r="B4068" s="1" t="s">
        <v>11618</v>
      </c>
      <c r="C4068" s="1" t="s">
        <v>11619</v>
      </c>
      <c r="D4068" s="1" t="s">
        <v>28</v>
      </c>
      <c r="E4068" s="1" t="s">
        <v>29</v>
      </c>
      <c r="F4068" s="5">
        <v>150000.0</v>
      </c>
      <c r="G4068" s="1" t="s">
        <v>7016</v>
      </c>
      <c r="H4068" s="4">
        <v>44448.0</v>
      </c>
      <c r="I4068" s="1" t="s">
        <v>1349</v>
      </c>
      <c r="K4068" s="1">
        <v>0.0</v>
      </c>
      <c r="L4068" s="1" t="s">
        <v>5252</v>
      </c>
      <c r="M4068" s="1" t="str">
        <f>VLOOKUP(L4068,'Copy of PMD Workday Constants -'!B4067:W4753,22,false)</f>
        <v>#N/A</v>
      </c>
      <c r="N4068" s="1" t="s">
        <v>32</v>
      </c>
      <c r="O4068" s="1" t="s">
        <v>33</v>
      </c>
      <c r="P4068" s="1" t="s">
        <v>5253</v>
      </c>
      <c r="Q4068" s="1" t="s">
        <v>5253</v>
      </c>
      <c r="R4068" s="1" t="s">
        <v>65</v>
      </c>
      <c r="T4068" s="1">
        <v>1.00625588E8</v>
      </c>
      <c r="W4068" s="1" t="s">
        <v>147</v>
      </c>
      <c r="X4068" s="1" t="s">
        <v>5569</v>
      </c>
    </row>
    <row r="4069">
      <c r="A4069" s="1" t="s">
        <v>11620</v>
      </c>
      <c r="B4069" s="1" t="s">
        <v>11621</v>
      </c>
      <c r="C4069" s="1" t="s">
        <v>11622</v>
      </c>
      <c r="D4069" s="1" t="s">
        <v>51</v>
      </c>
      <c r="E4069" s="1" t="s">
        <v>29</v>
      </c>
      <c r="F4069" s="5">
        <v>150000.0</v>
      </c>
      <c r="G4069" s="1" t="s">
        <v>7016</v>
      </c>
      <c r="H4069" s="4">
        <v>44713.0</v>
      </c>
      <c r="I4069" s="4">
        <v>44873.0</v>
      </c>
      <c r="K4069" s="1">
        <v>0.0</v>
      </c>
      <c r="L4069" s="1" t="s">
        <v>491</v>
      </c>
      <c r="M4069" s="1" t="str">
        <f>VLOOKUP(L4069,'Copy of PMD Workday Constants -'!B4068:W4754,22,false)</f>
        <v>#N/A</v>
      </c>
      <c r="N4069" s="1" t="s">
        <v>32</v>
      </c>
      <c r="O4069" s="1" t="s">
        <v>33</v>
      </c>
      <c r="P4069" s="1" t="s">
        <v>112</v>
      </c>
      <c r="Q4069" s="1" t="s">
        <v>112</v>
      </c>
      <c r="R4069" s="1" t="s">
        <v>113</v>
      </c>
      <c r="S4069" s="1" t="s">
        <v>114</v>
      </c>
      <c r="T4069" s="1">
        <v>1.00623914E8</v>
      </c>
      <c r="X4069" s="1" t="s">
        <v>11623</v>
      </c>
    </row>
    <row r="4070">
      <c r="A4070" s="1" t="s">
        <v>11624</v>
      </c>
      <c r="B4070" s="1" t="s">
        <v>4820</v>
      </c>
      <c r="C4070" s="1" t="s">
        <v>11625</v>
      </c>
      <c r="D4070" s="1" t="s">
        <v>51</v>
      </c>
      <c r="E4070" s="1" t="s">
        <v>29</v>
      </c>
      <c r="F4070" s="5">
        <v>150000.0</v>
      </c>
      <c r="G4070" s="1" t="s">
        <v>7016</v>
      </c>
      <c r="H4070" s="1" t="s">
        <v>1672</v>
      </c>
      <c r="I4070" s="4">
        <v>44630.0</v>
      </c>
      <c r="K4070" s="1">
        <v>0.0</v>
      </c>
      <c r="L4070" s="1" t="s">
        <v>1981</v>
      </c>
      <c r="M4070" s="1" t="str">
        <f>VLOOKUP(L4070,'Copy of PMD Workday Constants -'!B4069:W4755,22,false)</f>
        <v>#N/A</v>
      </c>
      <c r="N4070" s="1" t="s">
        <v>32</v>
      </c>
      <c r="O4070" s="1" t="s">
        <v>33</v>
      </c>
      <c r="P4070" s="1" t="s">
        <v>64</v>
      </c>
      <c r="Q4070" s="1" t="s">
        <v>64</v>
      </c>
      <c r="R4070" s="1" t="s">
        <v>65</v>
      </c>
      <c r="S4070" s="1" t="s">
        <v>1336</v>
      </c>
      <c r="T4070" s="1">
        <v>1.00638494E8</v>
      </c>
      <c r="W4070" s="1" t="s">
        <v>74</v>
      </c>
      <c r="X4070" s="1" t="s">
        <v>1982</v>
      </c>
    </row>
    <row r="4071">
      <c r="A4071" s="1" t="s">
        <v>11626</v>
      </c>
      <c r="B4071" s="1" t="s">
        <v>11627</v>
      </c>
      <c r="C4071" s="1" t="s">
        <v>11628</v>
      </c>
      <c r="D4071" s="1" t="s">
        <v>51</v>
      </c>
      <c r="E4071" s="1" t="s">
        <v>29</v>
      </c>
      <c r="F4071" s="5">
        <v>150000.0</v>
      </c>
      <c r="G4071" s="1" t="s">
        <v>7016</v>
      </c>
      <c r="H4071" s="4">
        <v>44748.0</v>
      </c>
      <c r="I4071" s="4">
        <v>44779.0</v>
      </c>
      <c r="K4071" s="1">
        <v>0.0</v>
      </c>
      <c r="L4071" s="1" t="s">
        <v>284</v>
      </c>
      <c r="M4071" s="1" t="str">
        <f>VLOOKUP(L4071,'Copy of PMD Workday Constants -'!B4070:W4756,22,false)</f>
        <v>#N/A</v>
      </c>
      <c r="N4071" s="1" t="s">
        <v>32</v>
      </c>
      <c r="O4071" s="1" t="s">
        <v>33</v>
      </c>
      <c r="P4071" s="1" t="s">
        <v>54</v>
      </c>
      <c r="Q4071" s="1" t="s">
        <v>54</v>
      </c>
      <c r="R4071" s="1" t="s">
        <v>55</v>
      </c>
      <c r="T4071" s="1">
        <v>1.00613095E8</v>
      </c>
      <c r="W4071" s="1" t="s">
        <v>115</v>
      </c>
      <c r="X4071" s="1" t="s">
        <v>11629</v>
      </c>
    </row>
    <row r="4072">
      <c r="A4072" s="1" t="s">
        <v>11630</v>
      </c>
      <c r="B4072" s="1" t="s">
        <v>9013</v>
      </c>
      <c r="C4072" s="1" t="s">
        <v>11631</v>
      </c>
      <c r="D4072" s="1" t="s">
        <v>51</v>
      </c>
      <c r="E4072" s="1" t="s">
        <v>29</v>
      </c>
      <c r="F4072" s="5">
        <v>150000.0</v>
      </c>
      <c r="G4072" s="1" t="s">
        <v>7016</v>
      </c>
      <c r="H4072" s="1" t="s">
        <v>816</v>
      </c>
      <c r="I4072" s="1" t="s">
        <v>1369</v>
      </c>
      <c r="K4072" s="1">
        <v>0.0</v>
      </c>
      <c r="L4072" s="1" t="s">
        <v>11632</v>
      </c>
      <c r="M4072" s="1" t="str">
        <f>VLOOKUP(L4072,'Copy of PMD Workday Constants -'!B4071:W4757,22,false)</f>
        <v>#N/A</v>
      </c>
      <c r="N4072" s="1" t="s">
        <v>32</v>
      </c>
      <c r="O4072" s="1" t="s">
        <v>33</v>
      </c>
      <c r="P4072" s="1" t="s">
        <v>222</v>
      </c>
      <c r="Q4072" s="1" t="s">
        <v>222</v>
      </c>
      <c r="R4072" s="1" t="s">
        <v>223</v>
      </c>
      <c r="T4072" s="1">
        <v>1.00889596E8</v>
      </c>
      <c r="W4072" s="1" t="s">
        <v>115</v>
      </c>
      <c r="X4072" s="1" t="s">
        <v>11632</v>
      </c>
    </row>
    <row r="4073">
      <c r="A4073" s="1" t="s">
        <v>11633</v>
      </c>
      <c r="B4073" s="1" t="s">
        <v>11634</v>
      </c>
      <c r="C4073" s="1" t="s">
        <v>11635</v>
      </c>
      <c r="D4073" s="1" t="s">
        <v>51</v>
      </c>
      <c r="E4073" s="1" t="s">
        <v>29</v>
      </c>
      <c r="F4073" s="5">
        <v>150000.0</v>
      </c>
      <c r="G4073" s="1" t="s">
        <v>7016</v>
      </c>
      <c r="H4073" s="4">
        <v>44625.0</v>
      </c>
      <c r="I4073" s="1" t="s">
        <v>526</v>
      </c>
      <c r="K4073" s="1">
        <v>0.0</v>
      </c>
      <c r="L4073" s="1" t="s">
        <v>3656</v>
      </c>
      <c r="M4073" s="1" t="str">
        <f>VLOOKUP(L4073,'Copy of PMD Workday Constants -'!B4072:W4758,22,false)</f>
        <v>#N/A</v>
      </c>
      <c r="N4073" s="1" t="s">
        <v>32</v>
      </c>
      <c r="O4073" s="1" t="s">
        <v>33</v>
      </c>
      <c r="P4073" s="1" t="s">
        <v>210</v>
      </c>
      <c r="Q4073" s="1" t="s">
        <v>210</v>
      </c>
      <c r="R4073" s="1" t="s">
        <v>211</v>
      </c>
      <c r="S4073" s="1" t="s">
        <v>416</v>
      </c>
      <c r="T4073" s="1">
        <v>1.00658814E8</v>
      </c>
      <c r="W4073" s="1" t="s">
        <v>436</v>
      </c>
      <c r="X4073" s="1" t="s">
        <v>3656</v>
      </c>
    </row>
    <row r="4074">
      <c r="A4074" s="1" t="s">
        <v>11636</v>
      </c>
      <c r="B4074" s="1" t="s">
        <v>756</v>
      </c>
      <c r="C4074" s="1" t="s">
        <v>11637</v>
      </c>
      <c r="D4074" s="1" t="s">
        <v>79</v>
      </c>
      <c r="E4074" s="1" t="s">
        <v>29</v>
      </c>
      <c r="F4074" s="5">
        <v>150000.0</v>
      </c>
      <c r="G4074" s="1" t="s">
        <v>7016</v>
      </c>
      <c r="H4074" s="4">
        <v>44357.0</v>
      </c>
      <c r="I4074" s="1" t="s">
        <v>1349</v>
      </c>
      <c r="K4074" s="1">
        <v>0.0</v>
      </c>
      <c r="L4074" s="1" t="s">
        <v>1380</v>
      </c>
      <c r="M4074" s="1" t="str">
        <f>VLOOKUP(L4074,'Copy of PMD Workday Constants -'!B4073:W4759,22,false)</f>
        <v>#N/A</v>
      </c>
      <c r="N4074" s="1" t="s">
        <v>32</v>
      </c>
      <c r="O4074" s="1" t="s">
        <v>33</v>
      </c>
      <c r="P4074" s="1" t="s">
        <v>34</v>
      </c>
      <c r="Q4074" s="1" t="s">
        <v>34</v>
      </c>
      <c r="R4074" s="1" t="s">
        <v>35</v>
      </c>
      <c r="S4074" s="1" t="s">
        <v>126</v>
      </c>
      <c r="T4074" s="1">
        <v>1.00587434E8</v>
      </c>
      <c r="W4074" s="1" t="s">
        <v>74</v>
      </c>
      <c r="X4074" s="1" t="s">
        <v>9185</v>
      </c>
    </row>
    <row r="4075">
      <c r="A4075" s="1" t="s">
        <v>11638</v>
      </c>
      <c r="B4075" s="1" t="s">
        <v>4067</v>
      </c>
      <c r="C4075" s="1" t="s">
        <v>11639</v>
      </c>
      <c r="D4075" s="1" t="s">
        <v>51</v>
      </c>
      <c r="E4075" s="1" t="s">
        <v>29</v>
      </c>
      <c r="F4075" s="5">
        <v>150000.0</v>
      </c>
      <c r="G4075" s="1" t="s">
        <v>7016</v>
      </c>
      <c r="H4075" s="1" t="s">
        <v>537</v>
      </c>
      <c r="I4075" s="1" t="s">
        <v>104</v>
      </c>
      <c r="K4075" s="1">
        <v>0.0</v>
      </c>
      <c r="L4075" s="1" t="s">
        <v>4966</v>
      </c>
      <c r="M4075" s="1" t="str">
        <f>VLOOKUP(L4075,'Copy of PMD Workday Constants -'!B4074:W4760,22,false)</f>
        <v>#N/A</v>
      </c>
      <c r="N4075" s="1" t="s">
        <v>32</v>
      </c>
      <c r="O4075" s="1" t="s">
        <v>33</v>
      </c>
      <c r="P4075" s="1" t="s">
        <v>64</v>
      </c>
      <c r="Q4075" s="1" t="s">
        <v>64</v>
      </c>
      <c r="R4075" s="1" t="s">
        <v>65</v>
      </c>
      <c r="T4075" s="1">
        <v>1.00463736E8</v>
      </c>
      <c r="W4075" s="1" t="s">
        <v>47</v>
      </c>
      <c r="X4075" s="1" t="s">
        <v>1370</v>
      </c>
    </row>
    <row r="4076">
      <c r="A4076" s="1" t="s">
        <v>11640</v>
      </c>
      <c r="B4076" s="1" t="s">
        <v>11641</v>
      </c>
      <c r="C4076" s="1" t="s">
        <v>11642</v>
      </c>
      <c r="D4076" s="1" t="s">
        <v>51</v>
      </c>
      <c r="E4076" s="1" t="s">
        <v>29</v>
      </c>
      <c r="F4076" s="5">
        <v>150000.0</v>
      </c>
      <c r="G4076" s="1" t="s">
        <v>7016</v>
      </c>
      <c r="H4076" s="1" t="s">
        <v>5914</v>
      </c>
      <c r="I4076" s="1" t="s">
        <v>104</v>
      </c>
      <c r="K4076" s="1">
        <v>0.0</v>
      </c>
      <c r="L4076" s="1" t="s">
        <v>2602</v>
      </c>
      <c r="M4076" s="1" t="str">
        <f>VLOOKUP(L4076,'Copy of PMD Workday Constants -'!B4075:W4761,22,false)</f>
        <v>#N/A</v>
      </c>
      <c r="N4076" s="1" t="s">
        <v>32</v>
      </c>
      <c r="O4076" s="1" t="s">
        <v>33</v>
      </c>
      <c r="P4076" s="1" t="s">
        <v>173</v>
      </c>
      <c r="Q4076" s="1" t="s">
        <v>173</v>
      </c>
      <c r="R4076" s="1" t="s">
        <v>174</v>
      </c>
      <c r="S4076" s="1" t="s">
        <v>8242</v>
      </c>
      <c r="T4076" s="1">
        <v>1.00611351E8</v>
      </c>
      <c r="W4076" s="1" t="s">
        <v>436</v>
      </c>
      <c r="X4076" s="1" t="s">
        <v>2914</v>
      </c>
    </row>
    <row r="4077">
      <c r="A4077" s="1" t="s">
        <v>11643</v>
      </c>
      <c r="B4077" s="1" t="s">
        <v>11644</v>
      </c>
      <c r="C4077" s="1" t="s">
        <v>11645</v>
      </c>
      <c r="D4077" s="1" t="s">
        <v>28</v>
      </c>
      <c r="E4077" s="1" t="s">
        <v>29</v>
      </c>
      <c r="F4077" s="5">
        <v>150000.0</v>
      </c>
      <c r="G4077" s="1" t="s">
        <v>7016</v>
      </c>
      <c r="H4077" s="4">
        <v>44682.0</v>
      </c>
      <c r="I4077" s="1" t="s">
        <v>43</v>
      </c>
      <c r="K4077" s="1">
        <v>0.0</v>
      </c>
      <c r="L4077" s="1" t="s">
        <v>10851</v>
      </c>
      <c r="M4077" s="1" t="str">
        <f>VLOOKUP(L4077,'Copy of PMD Workday Constants -'!B4076:W4762,22,false)</f>
        <v>#N/A</v>
      </c>
      <c r="N4077" s="1" t="s">
        <v>32</v>
      </c>
      <c r="O4077" s="1" t="s">
        <v>33</v>
      </c>
      <c r="P4077" s="1" t="s">
        <v>222</v>
      </c>
      <c r="Q4077" s="1" t="s">
        <v>222</v>
      </c>
      <c r="R4077" s="1" t="s">
        <v>223</v>
      </c>
      <c r="S4077" s="1" t="s">
        <v>482</v>
      </c>
      <c r="T4077" s="1">
        <v>1.00592873E8</v>
      </c>
      <c r="W4077" s="1" t="s">
        <v>947</v>
      </c>
      <c r="X4077" s="1" t="s">
        <v>10851</v>
      </c>
    </row>
    <row r="4078">
      <c r="A4078" s="1" t="s">
        <v>11646</v>
      </c>
      <c r="B4078" s="1" t="s">
        <v>373</v>
      </c>
      <c r="C4078" s="1" t="s">
        <v>11647</v>
      </c>
      <c r="D4078" s="1" t="s">
        <v>28</v>
      </c>
      <c r="E4078" s="1" t="s">
        <v>29</v>
      </c>
      <c r="F4078" s="5">
        <v>150000.0</v>
      </c>
      <c r="G4078" s="1" t="s">
        <v>7016</v>
      </c>
      <c r="H4078" s="1" t="s">
        <v>42</v>
      </c>
      <c r="I4078" s="4">
        <v>44573.0</v>
      </c>
      <c r="K4078" s="1">
        <v>0.0</v>
      </c>
      <c r="L4078" s="1" t="s">
        <v>1335</v>
      </c>
      <c r="M4078" s="1" t="str">
        <f>VLOOKUP(L4078,'Copy of PMD Workday Constants -'!B4077:W4763,22,false)</f>
        <v>#N/A</v>
      </c>
      <c r="N4078" s="1" t="s">
        <v>32</v>
      </c>
      <c r="O4078" s="1" t="s">
        <v>33</v>
      </c>
      <c r="P4078" s="1" t="s">
        <v>210</v>
      </c>
      <c r="Q4078" s="1" t="s">
        <v>210</v>
      </c>
      <c r="R4078" s="1" t="s">
        <v>211</v>
      </c>
      <c r="S4078" s="1" t="s">
        <v>1336</v>
      </c>
      <c r="T4078" s="1">
        <v>1.00594397E8</v>
      </c>
      <c r="W4078" s="1" t="s">
        <v>258</v>
      </c>
      <c r="X4078" s="1" t="s">
        <v>1337</v>
      </c>
    </row>
    <row r="4079">
      <c r="A4079" s="1" t="s">
        <v>11648</v>
      </c>
      <c r="B4079" s="1" t="s">
        <v>11649</v>
      </c>
      <c r="C4079" s="1" t="s">
        <v>11650</v>
      </c>
      <c r="D4079" s="1" t="s">
        <v>51</v>
      </c>
      <c r="E4079" s="1" t="s">
        <v>29</v>
      </c>
      <c r="F4079" s="5">
        <v>150000.0</v>
      </c>
      <c r="G4079" s="1" t="s">
        <v>7016</v>
      </c>
      <c r="H4079" s="1" t="s">
        <v>4625</v>
      </c>
      <c r="I4079" s="1" t="s">
        <v>104</v>
      </c>
      <c r="K4079" s="1">
        <v>0.0</v>
      </c>
      <c r="L4079" s="1" t="s">
        <v>2655</v>
      </c>
      <c r="M4079" s="1" t="str">
        <f>VLOOKUP(L4079,'Copy of PMD Workday Constants -'!B4078:W4764,22,false)</f>
        <v>#N/A</v>
      </c>
      <c r="N4079" s="1" t="s">
        <v>32</v>
      </c>
      <c r="O4079" s="1" t="s">
        <v>33</v>
      </c>
      <c r="P4079" s="1" t="s">
        <v>210</v>
      </c>
      <c r="Q4079" s="1" t="s">
        <v>210</v>
      </c>
      <c r="R4079" s="1" t="s">
        <v>211</v>
      </c>
      <c r="S4079" s="1" t="s">
        <v>1313</v>
      </c>
      <c r="T4079" s="1">
        <v>1.0062606E8</v>
      </c>
      <c r="W4079" s="1" t="s">
        <v>436</v>
      </c>
      <c r="X4079" s="1" t="s">
        <v>5511</v>
      </c>
    </row>
    <row r="4080">
      <c r="A4080" s="1" t="s">
        <v>11651</v>
      </c>
      <c r="B4080" s="1" t="s">
        <v>11652</v>
      </c>
      <c r="C4080" s="1" t="s">
        <v>11653</v>
      </c>
      <c r="D4080" s="1" t="s">
        <v>28</v>
      </c>
      <c r="E4080" s="1" t="s">
        <v>29</v>
      </c>
      <c r="F4080" s="5">
        <v>150000.0</v>
      </c>
      <c r="G4080" s="1" t="s">
        <v>7016</v>
      </c>
      <c r="H4080" s="4">
        <v>44840.0</v>
      </c>
      <c r="I4080" s="1" t="s">
        <v>80</v>
      </c>
      <c r="K4080" s="1">
        <v>0.0</v>
      </c>
      <c r="L4080" s="1" t="s">
        <v>2472</v>
      </c>
      <c r="M4080" s="1" t="str">
        <f>VLOOKUP(L4080,'Copy of PMD Workday Constants -'!B4079:W4765,22,false)</f>
        <v>#N/A</v>
      </c>
      <c r="N4080" s="1" t="s">
        <v>32</v>
      </c>
      <c r="O4080" s="1" t="s">
        <v>33</v>
      </c>
      <c r="P4080" s="1" t="s">
        <v>222</v>
      </c>
      <c r="Q4080" s="1" t="s">
        <v>222</v>
      </c>
      <c r="R4080" s="1" t="s">
        <v>223</v>
      </c>
      <c r="S4080" s="1" t="s">
        <v>646</v>
      </c>
      <c r="T4080" s="1">
        <v>1.00892076E8</v>
      </c>
      <c r="W4080" s="1" t="s">
        <v>85</v>
      </c>
      <c r="X4080" s="1" t="s">
        <v>10657</v>
      </c>
    </row>
    <row r="4081">
      <c r="A4081" s="1" t="s">
        <v>11654</v>
      </c>
      <c r="B4081" s="1" t="s">
        <v>993</v>
      </c>
      <c r="C4081" s="1" t="s">
        <v>11655</v>
      </c>
      <c r="D4081" s="1" t="s">
        <v>28</v>
      </c>
      <c r="E4081" s="1" t="s">
        <v>29</v>
      </c>
      <c r="F4081" s="5">
        <v>150000.0</v>
      </c>
      <c r="G4081" s="1" t="s">
        <v>7016</v>
      </c>
      <c r="H4081" s="4">
        <v>44625.0</v>
      </c>
      <c r="I4081" s="1" t="s">
        <v>80</v>
      </c>
      <c r="K4081" s="1">
        <v>0.0</v>
      </c>
      <c r="L4081" s="1" t="s">
        <v>4634</v>
      </c>
      <c r="M4081" s="1" t="str">
        <f>VLOOKUP(L4081,'Copy of PMD Workday Constants -'!B4080:W4766,22,false)</f>
        <v>#N/A</v>
      </c>
      <c r="N4081" s="1" t="s">
        <v>32</v>
      </c>
      <c r="O4081" s="1" t="s">
        <v>33</v>
      </c>
      <c r="P4081" s="1" t="s">
        <v>112</v>
      </c>
      <c r="Q4081" s="1" t="s">
        <v>112</v>
      </c>
      <c r="R4081" s="1" t="s">
        <v>113</v>
      </c>
      <c r="S4081" s="1" t="s">
        <v>134</v>
      </c>
      <c r="T4081" s="1">
        <v>1.00585718E8</v>
      </c>
      <c r="W4081" s="1" t="s">
        <v>74</v>
      </c>
      <c r="X4081" s="1" t="s">
        <v>4804</v>
      </c>
    </row>
    <row r="4082">
      <c r="A4082" s="1" t="s">
        <v>11656</v>
      </c>
      <c r="B4082" s="1" t="s">
        <v>11657</v>
      </c>
      <c r="C4082" s="1" t="s">
        <v>11658</v>
      </c>
      <c r="D4082" s="1" t="s">
        <v>51</v>
      </c>
      <c r="E4082" s="1" t="s">
        <v>29</v>
      </c>
      <c r="F4082" s="5">
        <v>150000.0</v>
      </c>
      <c r="G4082" s="1" t="s">
        <v>7016</v>
      </c>
      <c r="H4082" s="1" t="s">
        <v>11659</v>
      </c>
      <c r="I4082" s="1" t="s">
        <v>80</v>
      </c>
      <c r="K4082" s="1">
        <v>0.0</v>
      </c>
      <c r="L4082" s="1" t="s">
        <v>4608</v>
      </c>
      <c r="M4082" s="1" t="str">
        <f>VLOOKUP(L4082,'Copy of PMD Workday Constants -'!B4081:W4767,22,false)</f>
        <v>#N/A</v>
      </c>
      <c r="N4082" s="1" t="s">
        <v>32</v>
      </c>
      <c r="O4082" s="1" t="s">
        <v>33</v>
      </c>
      <c r="P4082" s="1" t="s">
        <v>222</v>
      </c>
      <c r="Q4082" s="1" t="s">
        <v>222</v>
      </c>
      <c r="R4082" s="1" t="s">
        <v>223</v>
      </c>
      <c r="S4082" s="1" t="s">
        <v>482</v>
      </c>
      <c r="T4082" s="1">
        <v>1.00592715E8</v>
      </c>
      <c r="W4082" s="1" t="s">
        <v>115</v>
      </c>
      <c r="X4082" s="1" t="s">
        <v>4608</v>
      </c>
    </row>
    <row r="4083">
      <c r="A4083" s="1" t="s">
        <v>11660</v>
      </c>
      <c r="B4083" s="1" t="s">
        <v>11661</v>
      </c>
      <c r="C4083" s="1" t="s">
        <v>11662</v>
      </c>
      <c r="D4083" s="1" t="s">
        <v>51</v>
      </c>
      <c r="E4083" s="1" t="s">
        <v>29</v>
      </c>
      <c r="F4083" s="5">
        <v>150000.0</v>
      </c>
      <c r="G4083" s="1" t="s">
        <v>7016</v>
      </c>
      <c r="H4083" s="1" t="s">
        <v>816</v>
      </c>
      <c r="I4083" s="4">
        <v>44568.0</v>
      </c>
      <c r="K4083" s="1">
        <v>0.0</v>
      </c>
      <c r="L4083" s="1" t="s">
        <v>2294</v>
      </c>
      <c r="M4083" s="1" t="str">
        <f>VLOOKUP(L4083,'Copy of PMD Workday Constants -'!B4082:W4768,22,false)</f>
        <v>#N/A</v>
      </c>
      <c r="N4083" s="1" t="s">
        <v>32</v>
      </c>
      <c r="O4083" s="1" t="s">
        <v>33</v>
      </c>
      <c r="P4083" s="1" t="s">
        <v>173</v>
      </c>
      <c r="Q4083" s="1" t="s">
        <v>173</v>
      </c>
      <c r="R4083" s="1" t="s">
        <v>174</v>
      </c>
      <c r="T4083" s="1">
        <v>1.00656722E8</v>
      </c>
      <c r="W4083" s="1" t="s">
        <v>1801</v>
      </c>
      <c r="X4083" s="1" t="s">
        <v>2294</v>
      </c>
    </row>
    <row r="4084">
      <c r="A4084" s="1" t="s">
        <v>11663</v>
      </c>
      <c r="B4084" s="1" t="s">
        <v>7366</v>
      </c>
      <c r="C4084" s="1" t="s">
        <v>11664</v>
      </c>
      <c r="D4084" s="1" t="s">
        <v>103</v>
      </c>
      <c r="E4084" s="1" t="s">
        <v>29</v>
      </c>
      <c r="F4084" s="5">
        <v>150000.0</v>
      </c>
      <c r="G4084" s="1" t="s">
        <v>7016</v>
      </c>
      <c r="H4084" s="1" t="s">
        <v>263</v>
      </c>
      <c r="I4084" s="1" t="s">
        <v>152</v>
      </c>
      <c r="K4084" s="1">
        <v>0.0</v>
      </c>
      <c r="L4084" s="1" t="s">
        <v>5392</v>
      </c>
      <c r="M4084" s="1" t="str">
        <f>VLOOKUP(L4084,'Copy of PMD Workday Constants -'!B4083:W4769,22,false)</f>
        <v>#N/A</v>
      </c>
      <c r="N4084" s="1" t="s">
        <v>32</v>
      </c>
      <c r="O4084" s="1" t="s">
        <v>33</v>
      </c>
      <c r="P4084" s="1" t="s">
        <v>173</v>
      </c>
      <c r="Q4084" s="1" t="s">
        <v>173</v>
      </c>
      <c r="R4084" s="1" t="s">
        <v>174</v>
      </c>
      <c r="S4084" s="1" t="s">
        <v>612</v>
      </c>
      <c r="T4084" s="1">
        <v>1.01138319E8</v>
      </c>
      <c r="W4084" s="1" t="s">
        <v>456</v>
      </c>
      <c r="X4084" s="1" t="s">
        <v>10605</v>
      </c>
    </row>
    <row r="4085">
      <c r="A4085" s="1" t="s">
        <v>11665</v>
      </c>
      <c r="B4085" s="1" t="s">
        <v>5549</v>
      </c>
      <c r="C4085" s="1" t="s">
        <v>11666</v>
      </c>
      <c r="D4085" s="1" t="s">
        <v>51</v>
      </c>
      <c r="E4085" s="1" t="s">
        <v>29</v>
      </c>
      <c r="F4085" s="5">
        <v>150000.0</v>
      </c>
      <c r="G4085" s="1" t="s">
        <v>7016</v>
      </c>
      <c r="H4085" s="1" t="s">
        <v>11667</v>
      </c>
      <c r="I4085" s="1" t="s">
        <v>43</v>
      </c>
      <c r="K4085" s="1">
        <v>0.0</v>
      </c>
      <c r="L4085" s="1" t="s">
        <v>4608</v>
      </c>
      <c r="M4085" s="1" t="str">
        <f>VLOOKUP(L4085,'Copy of PMD Workday Constants -'!B4084:W4770,22,false)</f>
        <v>#N/A</v>
      </c>
      <c r="N4085" s="1" t="s">
        <v>32</v>
      </c>
      <c r="O4085" s="1" t="s">
        <v>33</v>
      </c>
      <c r="P4085" s="1" t="s">
        <v>222</v>
      </c>
      <c r="Q4085" s="1" t="s">
        <v>222</v>
      </c>
      <c r="R4085" s="1" t="s">
        <v>223</v>
      </c>
      <c r="S4085" s="1" t="s">
        <v>482</v>
      </c>
      <c r="T4085" s="1">
        <v>1.00592715E8</v>
      </c>
      <c r="W4085" s="1" t="s">
        <v>115</v>
      </c>
      <c r="X4085" s="1" t="s">
        <v>5753</v>
      </c>
    </row>
    <row r="4086">
      <c r="A4086" s="1" t="s">
        <v>11668</v>
      </c>
      <c r="B4086" s="1" t="s">
        <v>11669</v>
      </c>
      <c r="C4086" s="1" t="s">
        <v>11666</v>
      </c>
      <c r="D4086" s="1" t="s">
        <v>51</v>
      </c>
      <c r="E4086" s="1" t="s">
        <v>29</v>
      </c>
      <c r="F4086" s="5">
        <v>150000.0</v>
      </c>
      <c r="G4086" s="1" t="s">
        <v>7016</v>
      </c>
      <c r="H4086" s="1" t="s">
        <v>11667</v>
      </c>
      <c r="I4086" s="1" t="s">
        <v>43</v>
      </c>
      <c r="K4086" s="1">
        <v>0.0</v>
      </c>
      <c r="L4086" s="1" t="s">
        <v>4608</v>
      </c>
      <c r="M4086" s="1" t="str">
        <f>VLOOKUP(L4086,'Copy of PMD Workday Constants -'!B4085:W4771,22,false)</f>
        <v>#N/A</v>
      </c>
      <c r="N4086" s="1" t="s">
        <v>32</v>
      </c>
      <c r="O4086" s="1" t="s">
        <v>33</v>
      </c>
      <c r="P4086" s="1" t="s">
        <v>222</v>
      </c>
      <c r="Q4086" s="1" t="s">
        <v>222</v>
      </c>
      <c r="R4086" s="1" t="s">
        <v>223</v>
      </c>
      <c r="S4086" s="1" t="s">
        <v>482</v>
      </c>
      <c r="T4086" s="1">
        <v>1.00592715E8</v>
      </c>
      <c r="W4086" s="1" t="s">
        <v>115</v>
      </c>
      <c r="X4086" s="1" t="s">
        <v>5753</v>
      </c>
    </row>
    <row r="4087">
      <c r="A4087" s="1" t="s">
        <v>11670</v>
      </c>
      <c r="B4087" s="1" t="s">
        <v>2824</v>
      </c>
      <c r="C4087" s="1" t="s">
        <v>11671</v>
      </c>
      <c r="D4087" s="1" t="s">
        <v>28</v>
      </c>
      <c r="E4087" s="1" t="s">
        <v>29</v>
      </c>
      <c r="F4087" s="5">
        <v>150000.0</v>
      </c>
      <c r="G4087" s="1" t="s">
        <v>7016</v>
      </c>
      <c r="H4087" s="4">
        <v>44622.0</v>
      </c>
      <c r="I4087" s="1" t="s">
        <v>865</v>
      </c>
      <c r="K4087" s="1">
        <v>0.0</v>
      </c>
      <c r="L4087" s="1" t="s">
        <v>1916</v>
      </c>
      <c r="M4087" s="1" t="str">
        <f>VLOOKUP(L4087,'Copy of PMD Workday Constants -'!B4086:W4772,22,false)</f>
        <v>#N/A</v>
      </c>
      <c r="N4087" s="1" t="s">
        <v>32</v>
      </c>
      <c r="O4087" s="1" t="s">
        <v>33</v>
      </c>
      <c r="P4087" s="1" t="s">
        <v>222</v>
      </c>
      <c r="Q4087" s="1" t="s">
        <v>222</v>
      </c>
      <c r="R4087" s="1" t="s">
        <v>223</v>
      </c>
      <c r="S4087" s="1" t="s">
        <v>601</v>
      </c>
      <c r="T4087" s="1">
        <v>1.00955805E8</v>
      </c>
      <c r="W4087" s="1" t="s">
        <v>339</v>
      </c>
      <c r="X4087" s="1" t="s">
        <v>1916</v>
      </c>
    </row>
    <row r="4088">
      <c r="A4088" s="1" t="s">
        <v>11672</v>
      </c>
      <c r="B4088" s="1" t="s">
        <v>610</v>
      </c>
      <c r="C4088" s="1" t="s">
        <v>11673</v>
      </c>
      <c r="D4088" s="1" t="s">
        <v>28</v>
      </c>
      <c r="E4088" s="1" t="s">
        <v>29</v>
      </c>
      <c r="F4088" s="5">
        <v>150000.0</v>
      </c>
      <c r="G4088" s="1" t="s">
        <v>7016</v>
      </c>
      <c r="H4088" s="1" t="s">
        <v>1842</v>
      </c>
      <c r="I4088" s="1" t="s">
        <v>217</v>
      </c>
      <c r="K4088" s="1">
        <v>0.0</v>
      </c>
      <c r="L4088" s="1" t="s">
        <v>1510</v>
      </c>
      <c r="M4088" s="1" t="str">
        <f>VLOOKUP(L4088,'Copy of PMD Workday Constants -'!B4087:W4773,22,false)</f>
        <v>#N/A</v>
      </c>
      <c r="N4088" s="1" t="s">
        <v>32</v>
      </c>
      <c r="O4088" s="1" t="s">
        <v>33</v>
      </c>
      <c r="P4088" s="1" t="s">
        <v>222</v>
      </c>
      <c r="Q4088" s="1" t="s">
        <v>222</v>
      </c>
      <c r="R4088" s="1" t="s">
        <v>223</v>
      </c>
      <c r="S4088" s="1" t="s">
        <v>601</v>
      </c>
      <c r="T4088" s="1">
        <v>1.00711752E8</v>
      </c>
      <c r="W4088" s="1" t="s">
        <v>287</v>
      </c>
      <c r="X4088" s="1" t="s">
        <v>5851</v>
      </c>
    </row>
    <row r="4089">
      <c r="A4089" s="1" t="s">
        <v>11674</v>
      </c>
      <c r="B4089" s="1" t="s">
        <v>903</v>
      </c>
      <c r="C4089" s="1" t="s">
        <v>11675</v>
      </c>
      <c r="D4089" s="1" t="s">
        <v>28</v>
      </c>
      <c r="E4089" s="1" t="s">
        <v>29</v>
      </c>
      <c r="F4089" s="5">
        <v>150000.0</v>
      </c>
      <c r="G4089" s="1" t="s">
        <v>7016</v>
      </c>
      <c r="H4089" s="1" t="s">
        <v>1433</v>
      </c>
      <c r="I4089" s="1" t="s">
        <v>80</v>
      </c>
      <c r="K4089" s="1">
        <v>0.0</v>
      </c>
      <c r="L4089" s="1" t="s">
        <v>428</v>
      </c>
      <c r="M4089" s="1" t="str">
        <f>VLOOKUP(L4089,'Copy of PMD Workday Constants -'!B4088:W4774,22,false)</f>
        <v>#N/A</v>
      </c>
      <c r="N4089" s="1" t="s">
        <v>32</v>
      </c>
      <c r="O4089" s="1" t="s">
        <v>33</v>
      </c>
      <c r="P4089" s="1" t="s">
        <v>173</v>
      </c>
      <c r="Q4089" s="1" t="s">
        <v>173</v>
      </c>
      <c r="R4089" s="1" t="s">
        <v>174</v>
      </c>
      <c r="S4089" s="1" t="s">
        <v>6672</v>
      </c>
      <c r="T4089" s="1">
        <v>1.00654085E8</v>
      </c>
      <c r="W4089" s="1" t="s">
        <v>85</v>
      </c>
      <c r="X4089" s="1" t="s">
        <v>3714</v>
      </c>
    </row>
    <row r="4090">
      <c r="A4090" s="1" t="s">
        <v>11676</v>
      </c>
      <c r="B4090" s="1" t="s">
        <v>11677</v>
      </c>
      <c r="C4090" s="1" t="s">
        <v>11678</v>
      </c>
      <c r="D4090" s="1" t="s">
        <v>51</v>
      </c>
      <c r="E4090" s="1" t="s">
        <v>29</v>
      </c>
      <c r="F4090" s="5">
        <v>150000.0</v>
      </c>
      <c r="G4090" s="1" t="s">
        <v>7016</v>
      </c>
      <c r="H4090" s="1" t="s">
        <v>1842</v>
      </c>
      <c r="I4090" s="1" t="s">
        <v>104</v>
      </c>
      <c r="K4090" s="1">
        <v>0.0</v>
      </c>
      <c r="L4090" s="1" t="s">
        <v>2472</v>
      </c>
      <c r="M4090" s="1" t="str">
        <f>VLOOKUP(L4090,'Copy of PMD Workday Constants -'!B4089:W4775,22,false)</f>
        <v>#N/A</v>
      </c>
      <c r="N4090" s="1" t="s">
        <v>32</v>
      </c>
      <c r="O4090" s="1" t="s">
        <v>33</v>
      </c>
      <c r="P4090" s="1" t="s">
        <v>222</v>
      </c>
      <c r="Q4090" s="1" t="s">
        <v>222</v>
      </c>
      <c r="R4090" s="1" t="s">
        <v>223</v>
      </c>
      <c r="S4090" s="1" t="s">
        <v>646</v>
      </c>
      <c r="T4090" s="1">
        <v>1.00892076E8</v>
      </c>
      <c r="X4090" s="1" t="s">
        <v>7227</v>
      </c>
    </row>
    <row r="4091">
      <c r="A4091" s="1" t="s">
        <v>11679</v>
      </c>
      <c r="B4091" s="1" t="s">
        <v>573</v>
      </c>
      <c r="C4091" s="1" t="s">
        <v>11680</v>
      </c>
      <c r="D4091" s="1" t="s">
        <v>103</v>
      </c>
      <c r="E4091" s="1" t="s">
        <v>29</v>
      </c>
      <c r="F4091" s="5">
        <v>150000.0</v>
      </c>
      <c r="G4091" s="1" t="s">
        <v>7016</v>
      </c>
      <c r="H4091" s="1" t="s">
        <v>1708</v>
      </c>
      <c r="I4091" s="4">
        <v>44567.0</v>
      </c>
      <c r="K4091" s="1">
        <v>0.0</v>
      </c>
      <c r="L4091" s="1" t="s">
        <v>6283</v>
      </c>
      <c r="M4091" s="1" t="str">
        <f>VLOOKUP(L4091,'Copy of PMD Workday Constants -'!B4090:W4776,22,false)</f>
        <v>#N/A</v>
      </c>
      <c r="N4091" s="1" t="s">
        <v>32</v>
      </c>
      <c r="O4091" s="1" t="s">
        <v>33</v>
      </c>
      <c r="P4091" s="1" t="s">
        <v>222</v>
      </c>
      <c r="Q4091" s="1" t="s">
        <v>222</v>
      </c>
      <c r="R4091" s="1" t="s">
        <v>223</v>
      </c>
      <c r="T4091" s="1">
        <v>1.00630003E8</v>
      </c>
      <c r="W4091" s="1" t="s">
        <v>74</v>
      </c>
      <c r="X4091" s="1" t="s">
        <v>11681</v>
      </c>
    </row>
    <row r="4092">
      <c r="A4092" s="1" t="s">
        <v>11682</v>
      </c>
      <c r="B4092" s="1" t="s">
        <v>5884</v>
      </c>
      <c r="C4092" s="1" t="s">
        <v>11683</v>
      </c>
      <c r="D4092" s="1" t="s">
        <v>51</v>
      </c>
      <c r="E4092" s="1" t="s">
        <v>29</v>
      </c>
      <c r="F4092" s="5">
        <v>150000.0</v>
      </c>
      <c r="G4092" s="1" t="s">
        <v>7016</v>
      </c>
      <c r="H4092" s="1" t="s">
        <v>526</v>
      </c>
      <c r="I4092" s="1" t="s">
        <v>217</v>
      </c>
      <c r="K4092" s="1">
        <v>0.0</v>
      </c>
      <c r="L4092" s="1" t="s">
        <v>1757</v>
      </c>
      <c r="M4092" s="1" t="str">
        <f>VLOOKUP(L4092,'Copy of PMD Workday Constants -'!B4091:W4777,22,false)</f>
        <v>#N/A</v>
      </c>
      <c r="N4092" s="1" t="s">
        <v>32</v>
      </c>
      <c r="O4092" s="1" t="s">
        <v>33</v>
      </c>
      <c r="P4092" s="1" t="s">
        <v>112</v>
      </c>
      <c r="Q4092" s="1" t="s">
        <v>112</v>
      </c>
      <c r="R4092" s="1" t="s">
        <v>113</v>
      </c>
      <c r="S4092" s="1" t="s">
        <v>256</v>
      </c>
      <c r="T4092" s="1">
        <v>1.00597983E8</v>
      </c>
      <c r="W4092" s="1" t="s">
        <v>258</v>
      </c>
      <c r="X4092" s="1" t="s">
        <v>1757</v>
      </c>
    </row>
    <row r="4093">
      <c r="A4093" s="1" t="s">
        <v>11684</v>
      </c>
      <c r="B4093" s="1" t="s">
        <v>907</v>
      </c>
      <c r="C4093" s="1" t="s">
        <v>11685</v>
      </c>
      <c r="D4093" s="1" t="s">
        <v>28</v>
      </c>
      <c r="E4093" s="1" t="s">
        <v>29</v>
      </c>
      <c r="F4093" s="5">
        <v>150000.0</v>
      </c>
      <c r="G4093" s="1" t="s">
        <v>7016</v>
      </c>
      <c r="H4093" s="1" t="s">
        <v>2142</v>
      </c>
      <c r="I4093" s="1" t="s">
        <v>302</v>
      </c>
      <c r="K4093" s="1">
        <v>0.0</v>
      </c>
      <c r="L4093" s="1" t="s">
        <v>2983</v>
      </c>
      <c r="M4093" s="1" t="str">
        <f>VLOOKUP(L4093,'Copy of PMD Workday Constants -'!B4092:W4778,22,false)</f>
        <v>#N/A</v>
      </c>
      <c r="N4093" s="1" t="s">
        <v>32</v>
      </c>
      <c r="O4093" s="1" t="s">
        <v>33</v>
      </c>
      <c r="P4093" s="1" t="s">
        <v>34</v>
      </c>
      <c r="Q4093" s="1" t="s">
        <v>34</v>
      </c>
      <c r="R4093" s="1" t="s">
        <v>35</v>
      </c>
      <c r="T4093" s="1">
        <v>1.00650568E8</v>
      </c>
      <c r="W4093" s="1" t="s">
        <v>140</v>
      </c>
      <c r="X4093" s="1" t="s">
        <v>11186</v>
      </c>
    </row>
    <row r="4094">
      <c r="A4094" s="1" t="s">
        <v>11686</v>
      </c>
      <c r="B4094" s="1" t="s">
        <v>11687</v>
      </c>
      <c r="C4094" s="1" t="s">
        <v>11688</v>
      </c>
      <c r="D4094" s="1" t="s">
        <v>103</v>
      </c>
      <c r="E4094" s="1" t="s">
        <v>29</v>
      </c>
      <c r="F4094" s="5">
        <v>150000.0</v>
      </c>
      <c r="G4094" s="1" t="s">
        <v>7016</v>
      </c>
      <c r="H4094" s="4">
        <v>43873.0</v>
      </c>
      <c r="I4094" s="1" t="s">
        <v>661</v>
      </c>
      <c r="K4094" s="1">
        <v>0.0</v>
      </c>
      <c r="L4094" s="1" t="s">
        <v>5558</v>
      </c>
      <c r="M4094" s="1" t="str">
        <f>VLOOKUP(L4094,'Copy of PMD Workday Constants -'!B4093:W4779,22,false)</f>
        <v>#N/A</v>
      </c>
      <c r="N4094" s="1" t="s">
        <v>32</v>
      </c>
      <c r="O4094" s="1" t="s">
        <v>33</v>
      </c>
      <c r="P4094" s="1" t="s">
        <v>222</v>
      </c>
      <c r="Q4094" s="1" t="s">
        <v>222</v>
      </c>
      <c r="R4094" s="1" t="s">
        <v>223</v>
      </c>
      <c r="S4094" s="1" t="s">
        <v>482</v>
      </c>
      <c r="T4094" s="1">
        <v>1.00652479E8</v>
      </c>
      <c r="W4094" s="1" t="s">
        <v>91</v>
      </c>
      <c r="X4094" s="1" t="s">
        <v>11390</v>
      </c>
    </row>
    <row r="4095">
      <c r="A4095" s="1" t="s">
        <v>11689</v>
      </c>
      <c r="B4095" s="1" t="s">
        <v>1609</v>
      </c>
      <c r="C4095" s="1" t="s">
        <v>11690</v>
      </c>
      <c r="D4095" s="1" t="s">
        <v>103</v>
      </c>
      <c r="E4095" s="1" t="s">
        <v>29</v>
      </c>
      <c r="F4095" s="5">
        <v>150000.0</v>
      </c>
      <c r="G4095" s="1" t="s">
        <v>7016</v>
      </c>
      <c r="H4095" s="4">
        <v>44446.0</v>
      </c>
      <c r="I4095" s="1" t="s">
        <v>80</v>
      </c>
      <c r="K4095" s="1">
        <v>0.0</v>
      </c>
      <c r="L4095" s="1" t="s">
        <v>249</v>
      </c>
      <c r="M4095" s="1" t="str">
        <f>VLOOKUP(L4095,'Copy of PMD Workday Constants -'!B4094:W4780,22,false)</f>
        <v>#N/A</v>
      </c>
      <c r="N4095" s="1" t="s">
        <v>32</v>
      </c>
      <c r="O4095" s="1" t="s">
        <v>33</v>
      </c>
      <c r="P4095" s="1" t="s">
        <v>112</v>
      </c>
      <c r="Q4095" s="1" t="s">
        <v>112</v>
      </c>
      <c r="R4095" s="1" t="s">
        <v>113</v>
      </c>
      <c r="S4095" s="1" t="s">
        <v>307</v>
      </c>
      <c r="T4095" s="1">
        <v>1.00640433E8</v>
      </c>
      <c r="W4095" s="1" t="s">
        <v>391</v>
      </c>
      <c r="X4095" s="1" t="s">
        <v>2660</v>
      </c>
    </row>
    <row r="4096">
      <c r="A4096" s="1" t="s">
        <v>11691</v>
      </c>
      <c r="B4096" s="1" t="s">
        <v>5770</v>
      </c>
      <c r="C4096" s="1" t="s">
        <v>5772</v>
      </c>
      <c r="D4096" s="1" t="s">
        <v>28</v>
      </c>
      <c r="E4096" s="1" t="s">
        <v>29</v>
      </c>
      <c r="F4096" s="5">
        <v>150000.0</v>
      </c>
      <c r="G4096" s="1" t="s">
        <v>7016</v>
      </c>
      <c r="H4096" s="4">
        <v>43933.0</v>
      </c>
      <c r="I4096" s="1" t="s">
        <v>302</v>
      </c>
      <c r="K4096" s="1">
        <v>0.0</v>
      </c>
      <c r="L4096" s="1" t="s">
        <v>532</v>
      </c>
      <c r="M4096" s="1" t="str">
        <f>VLOOKUP(L4096,'Copy of PMD Workday Constants -'!B4095:W4781,22,false)</f>
        <v>#N/A</v>
      </c>
      <c r="N4096" s="1" t="s">
        <v>32</v>
      </c>
      <c r="O4096" s="1" t="s">
        <v>33</v>
      </c>
      <c r="P4096" s="1" t="s">
        <v>112</v>
      </c>
      <c r="Q4096" s="1" t="s">
        <v>112</v>
      </c>
      <c r="R4096" s="1" t="s">
        <v>113</v>
      </c>
      <c r="S4096" s="1" t="s">
        <v>307</v>
      </c>
      <c r="T4096" s="1">
        <v>1.00646702E8</v>
      </c>
      <c r="V4096" s="1" t="s">
        <v>67</v>
      </c>
      <c r="W4096" s="1" t="s">
        <v>533</v>
      </c>
      <c r="X4096" s="1" t="s">
        <v>5773</v>
      </c>
    </row>
    <row r="4097">
      <c r="A4097" s="1" t="s">
        <v>11692</v>
      </c>
      <c r="B4097" s="1" t="s">
        <v>1449</v>
      </c>
      <c r="C4097" s="1" t="s">
        <v>11693</v>
      </c>
      <c r="D4097" s="1" t="s">
        <v>51</v>
      </c>
      <c r="E4097" s="1" t="s">
        <v>29</v>
      </c>
      <c r="F4097" s="5">
        <v>150000.0</v>
      </c>
      <c r="G4097" s="1" t="s">
        <v>7016</v>
      </c>
      <c r="H4097" s="4">
        <v>44686.0</v>
      </c>
      <c r="I4097" s="1" t="s">
        <v>810</v>
      </c>
      <c r="K4097" s="1">
        <v>0.0</v>
      </c>
      <c r="L4097" s="1" t="s">
        <v>10300</v>
      </c>
      <c r="M4097" s="1" t="str">
        <f>VLOOKUP(L4097,'Copy of PMD Workday Constants -'!B4096:W4782,22,false)</f>
        <v>#N/A</v>
      </c>
      <c r="N4097" s="1" t="s">
        <v>32</v>
      </c>
      <c r="O4097" s="1" t="s">
        <v>33</v>
      </c>
      <c r="P4097" s="1" t="s">
        <v>173</v>
      </c>
      <c r="Q4097" s="1" t="s">
        <v>173</v>
      </c>
      <c r="R4097" s="1" t="s">
        <v>174</v>
      </c>
      <c r="T4097" s="1">
        <v>1.00875147E8</v>
      </c>
      <c r="W4097" s="1" t="s">
        <v>250</v>
      </c>
      <c r="X4097" s="1" t="s">
        <v>10300</v>
      </c>
    </row>
    <row r="4098">
      <c r="A4098" s="1" t="s">
        <v>11694</v>
      </c>
      <c r="B4098" s="1" t="s">
        <v>3962</v>
      </c>
      <c r="C4098" s="1" t="s">
        <v>11695</v>
      </c>
      <c r="D4098" s="1" t="s">
        <v>28</v>
      </c>
      <c r="E4098" s="1" t="s">
        <v>29</v>
      </c>
      <c r="F4098" s="5">
        <v>150000.0</v>
      </c>
      <c r="G4098" s="1" t="s">
        <v>7016</v>
      </c>
      <c r="H4098" s="1" t="s">
        <v>2069</v>
      </c>
      <c r="I4098" s="1" t="s">
        <v>80</v>
      </c>
      <c r="K4098" s="1">
        <v>0.0</v>
      </c>
      <c r="L4098" s="1" t="s">
        <v>2630</v>
      </c>
      <c r="M4098" s="1" t="str">
        <f>VLOOKUP(L4098,'Copy of PMD Workday Constants -'!B4097:W4783,22,false)</f>
        <v>#N/A</v>
      </c>
      <c r="N4098" s="1" t="s">
        <v>32</v>
      </c>
      <c r="O4098" s="1" t="s">
        <v>33</v>
      </c>
      <c r="P4098" s="1" t="s">
        <v>34</v>
      </c>
      <c r="Q4098" s="1" t="s">
        <v>34</v>
      </c>
      <c r="R4098" s="1" t="s">
        <v>35</v>
      </c>
      <c r="S4098" s="1" t="s">
        <v>1166</v>
      </c>
      <c r="T4098" s="1">
        <v>1.00606975E8</v>
      </c>
      <c r="W4098" s="1" t="s">
        <v>456</v>
      </c>
      <c r="X4098" s="1" t="s">
        <v>2630</v>
      </c>
    </row>
    <row r="4099">
      <c r="A4099" s="1" t="s">
        <v>11696</v>
      </c>
      <c r="B4099" s="1" t="s">
        <v>11697</v>
      </c>
      <c r="C4099" s="1" t="s">
        <v>11698</v>
      </c>
      <c r="D4099" s="1" t="s">
        <v>28</v>
      </c>
      <c r="E4099" s="1" t="s">
        <v>29</v>
      </c>
      <c r="F4099" s="5">
        <v>150000.0</v>
      </c>
      <c r="G4099" s="1" t="s">
        <v>7016</v>
      </c>
      <c r="H4099" s="1" t="s">
        <v>5674</v>
      </c>
      <c r="I4099" s="1" t="s">
        <v>302</v>
      </c>
      <c r="K4099" s="1">
        <v>0.0</v>
      </c>
      <c r="L4099" s="1" t="s">
        <v>8174</v>
      </c>
      <c r="M4099" s="1" t="str">
        <f>VLOOKUP(L4099,'Copy of PMD Workday Constants -'!B4098:W4784,22,false)</f>
        <v>#N/A</v>
      </c>
      <c r="N4099" s="1" t="s">
        <v>32</v>
      </c>
      <c r="O4099" s="1" t="s">
        <v>33</v>
      </c>
      <c r="P4099" s="1" t="s">
        <v>82</v>
      </c>
      <c r="Q4099" s="1" t="s">
        <v>82</v>
      </c>
      <c r="R4099" s="1" t="s">
        <v>83</v>
      </c>
      <c r="S4099" s="1" t="s">
        <v>180</v>
      </c>
      <c r="T4099" s="1">
        <v>1.00609615E8</v>
      </c>
      <c r="W4099" s="1" t="s">
        <v>85</v>
      </c>
      <c r="X4099" s="1" t="s">
        <v>11699</v>
      </c>
    </row>
    <row r="4100">
      <c r="A4100" s="1" t="s">
        <v>11700</v>
      </c>
      <c r="B4100" s="1" t="s">
        <v>6062</v>
      </c>
      <c r="C4100" s="1" t="s">
        <v>11701</v>
      </c>
      <c r="D4100" s="1" t="s">
        <v>28</v>
      </c>
      <c r="E4100" s="1" t="s">
        <v>29</v>
      </c>
      <c r="F4100" s="5">
        <v>150000.0</v>
      </c>
      <c r="G4100" s="1" t="s">
        <v>7016</v>
      </c>
      <c r="H4100" s="1" t="s">
        <v>9129</v>
      </c>
      <c r="I4100" s="1" t="s">
        <v>6596</v>
      </c>
      <c r="K4100" s="1">
        <v>0.0</v>
      </c>
      <c r="L4100" s="1" t="s">
        <v>2788</v>
      </c>
      <c r="M4100" s="1" t="str">
        <f>VLOOKUP(L4100,'Copy of PMD Workday Constants -'!B4099:W4785,22,false)</f>
        <v>#N/A</v>
      </c>
      <c r="N4100" s="1" t="s">
        <v>32</v>
      </c>
      <c r="O4100" s="1" t="s">
        <v>33</v>
      </c>
      <c r="P4100" s="1" t="s">
        <v>54</v>
      </c>
      <c r="Q4100" s="1" t="s">
        <v>54</v>
      </c>
      <c r="R4100" s="1" t="s">
        <v>55</v>
      </c>
      <c r="S4100" s="1" t="s">
        <v>180</v>
      </c>
      <c r="T4100" s="1">
        <v>1.0059132E8</v>
      </c>
      <c r="W4100" s="1" t="s">
        <v>85</v>
      </c>
      <c r="X4100" s="1" t="s">
        <v>5126</v>
      </c>
    </row>
    <row r="4101">
      <c r="A4101" s="1" t="s">
        <v>11702</v>
      </c>
      <c r="B4101" s="1" t="s">
        <v>2633</v>
      </c>
      <c r="C4101" s="1" t="s">
        <v>11703</v>
      </c>
      <c r="D4101" s="1" t="s">
        <v>51</v>
      </c>
      <c r="E4101" s="1" t="s">
        <v>29</v>
      </c>
      <c r="F4101" s="5">
        <v>150000.0</v>
      </c>
      <c r="G4101" s="1" t="s">
        <v>7016</v>
      </c>
      <c r="H4101" s="1" t="s">
        <v>9129</v>
      </c>
      <c r="I4101" s="1" t="s">
        <v>166</v>
      </c>
      <c r="K4101" s="1">
        <v>0.0</v>
      </c>
      <c r="L4101" s="1" t="s">
        <v>2788</v>
      </c>
      <c r="M4101" s="1" t="str">
        <f>VLOOKUP(L4101,'Copy of PMD Workday Constants -'!B4100:W4786,22,false)</f>
        <v>#N/A</v>
      </c>
      <c r="N4101" s="1" t="s">
        <v>32</v>
      </c>
      <c r="O4101" s="1" t="s">
        <v>33</v>
      </c>
      <c r="P4101" s="1" t="s">
        <v>54</v>
      </c>
      <c r="Q4101" s="1" t="s">
        <v>54</v>
      </c>
      <c r="R4101" s="1" t="s">
        <v>55</v>
      </c>
      <c r="S4101" s="1" t="s">
        <v>180</v>
      </c>
      <c r="T4101" s="1">
        <v>1.0059132E8</v>
      </c>
      <c r="W4101" s="1" t="s">
        <v>85</v>
      </c>
      <c r="X4101" s="1" t="s">
        <v>5126</v>
      </c>
    </row>
    <row r="4102">
      <c r="A4102" s="1" t="s">
        <v>11704</v>
      </c>
      <c r="B4102" s="1" t="s">
        <v>2263</v>
      </c>
      <c r="C4102" s="1" t="s">
        <v>11705</v>
      </c>
      <c r="D4102" s="1" t="s">
        <v>103</v>
      </c>
      <c r="E4102" s="1" t="s">
        <v>29</v>
      </c>
      <c r="F4102" s="5">
        <v>150000.0</v>
      </c>
      <c r="G4102" s="1" t="s">
        <v>7016</v>
      </c>
      <c r="H4102" s="1" t="s">
        <v>816</v>
      </c>
      <c r="I4102" s="1" t="s">
        <v>132</v>
      </c>
      <c r="K4102" s="1">
        <v>0.0</v>
      </c>
      <c r="L4102" s="1" t="s">
        <v>3408</v>
      </c>
      <c r="M4102" s="1" t="str">
        <f>VLOOKUP(L4102,'Copy of PMD Workday Constants -'!B4101:W4787,22,false)</f>
        <v>#N/A</v>
      </c>
      <c r="N4102" s="1" t="s">
        <v>32</v>
      </c>
      <c r="O4102" s="1" t="s">
        <v>33</v>
      </c>
      <c r="P4102" s="1" t="s">
        <v>222</v>
      </c>
      <c r="Q4102" s="1" t="s">
        <v>222</v>
      </c>
      <c r="R4102" s="1" t="s">
        <v>223</v>
      </c>
      <c r="S4102" s="1" t="s">
        <v>482</v>
      </c>
      <c r="T4102" s="1">
        <v>1.0066189E8</v>
      </c>
      <c r="W4102" s="1" t="s">
        <v>74</v>
      </c>
      <c r="X4102" s="1" t="s">
        <v>11706</v>
      </c>
    </row>
    <row r="4103">
      <c r="A4103" s="1" t="s">
        <v>11707</v>
      </c>
      <c r="B4103" s="1" t="s">
        <v>756</v>
      </c>
      <c r="C4103" s="1" t="s">
        <v>11708</v>
      </c>
      <c r="D4103" s="1" t="s">
        <v>103</v>
      </c>
      <c r="E4103" s="1" t="s">
        <v>29</v>
      </c>
      <c r="F4103" s="5">
        <v>150000.0</v>
      </c>
      <c r="G4103" s="1" t="s">
        <v>7016</v>
      </c>
      <c r="H4103" s="1" t="s">
        <v>42</v>
      </c>
      <c r="I4103" s="1" t="s">
        <v>217</v>
      </c>
      <c r="K4103" s="1">
        <v>0.0</v>
      </c>
      <c r="L4103" s="1" t="s">
        <v>759</v>
      </c>
      <c r="M4103" s="1" t="str">
        <f>VLOOKUP(L4103,'Copy of PMD Workday Constants -'!B4102:W4788,22,false)</f>
        <v>#N/A</v>
      </c>
      <c r="N4103" s="1" t="s">
        <v>32</v>
      </c>
      <c r="O4103" s="1" t="s">
        <v>33</v>
      </c>
      <c r="P4103" s="1" t="s">
        <v>64</v>
      </c>
      <c r="Q4103" s="1" t="s">
        <v>64</v>
      </c>
      <c r="R4103" s="1" t="s">
        <v>65</v>
      </c>
      <c r="T4103" s="1">
        <v>1.00610205E8</v>
      </c>
      <c r="W4103" s="1" t="s">
        <v>74</v>
      </c>
      <c r="X4103" s="1" t="s">
        <v>3313</v>
      </c>
    </row>
    <row r="4104">
      <c r="A4104" s="1" t="s">
        <v>11709</v>
      </c>
      <c r="B4104" s="1" t="s">
        <v>5409</v>
      </c>
      <c r="C4104" s="1" t="s">
        <v>11710</v>
      </c>
      <c r="D4104" s="1" t="s">
        <v>28</v>
      </c>
      <c r="E4104" s="1" t="s">
        <v>29</v>
      </c>
      <c r="F4104" s="5">
        <v>150000.0</v>
      </c>
      <c r="G4104" s="1" t="s">
        <v>7016</v>
      </c>
      <c r="H4104" s="1" t="s">
        <v>816</v>
      </c>
      <c r="I4104" s="1" t="s">
        <v>7034</v>
      </c>
      <c r="K4104" s="1">
        <v>0.0</v>
      </c>
      <c r="L4104" s="1" t="s">
        <v>3476</v>
      </c>
      <c r="M4104" s="1" t="str">
        <f>VLOOKUP(L4104,'Copy of PMD Workday Constants -'!B4103:W4789,22,false)</f>
        <v>#N/A</v>
      </c>
      <c r="N4104" s="1" t="s">
        <v>32</v>
      </c>
      <c r="O4104" s="1" t="s">
        <v>33</v>
      </c>
      <c r="P4104" s="1" t="s">
        <v>112</v>
      </c>
      <c r="Q4104" s="1" t="s">
        <v>112</v>
      </c>
      <c r="R4104" s="1" t="s">
        <v>113</v>
      </c>
      <c r="S4104" s="1" t="s">
        <v>134</v>
      </c>
      <c r="T4104" s="1">
        <v>1.00702554E8</v>
      </c>
      <c r="W4104" s="1" t="s">
        <v>74</v>
      </c>
      <c r="X4104" s="1" t="s">
        <v>5411</v>
      </c>
    </row>
    <row r="4105">
      <c r="A4105" s="1" t="s">
        <v>11711</v>
      </c>
      <c r="B4105" s="1" t="s">
        <v>11712</v>
      </c>
      <c r="C4105" s="1" t="s">
        <v>11713</v>
      </c>
      <c r="D4105" s="1" t="s">
        <v>103</v>
      </c>
      <c r="E4105" s="1" t="s">
        <v>29</v>
      </c>
      <c r="F4105" s="5">
        <v>150000.0</v>
      </c>
      <c r="G4105" s="1" t="s">
        <v>7016</v>
      </c>
      <c r="H4105" s="4">
        <v>44477.0</v>
      </c>
      <c r="I4105" s="1" t="s">
        <v>865</v>
      </c>
      <c r="K4105" s="1">
        <v>0.0</v>
      </c>
      <c r="L4105" s="1" t="s">
        <v>5252</v>
      </c>
      <c r="M4105" s="1" t="str">
        <f>VLOOKUP(L4105,'Copy of PMD Workday Constants -'!B4104:W4790,22,false)</f>
        <v>#N/A</v>
      </c>
      <c r="N4105" s="1" t="s">
        <v>32</v>
      </c>
      <c r="O4105" s="1" t="s">
        <v>33</v>
      </c>
      <c r="P4105" s="1" t="s">
        <v>5253</v>
      </c>
      <c r="Q4105" s="1" t="s">
        <v>5253</v>
      </c>
      <c r="R4105" s="1" t="s">
        <v>65</v>
      </c>
      <c r="S4105" s="1" t="s">
        <v>66</v>
      </c>
      <c r="T4105" s="1">
        <v>1.00625588E8</v>
      </c>
      <c r="W4105" s="1" t="s">
        <v>47</v>
      </c>
      <c r="X4105" s="1" t="s">
        <v>5569</v>
      </c>
    </row>
    <row r="4106">
      <c r="A4106" s="1" t="s">
        <v>11714</v>
      </c>
      <c r="B4106" s="1" t="s">
        <v>554</v>
      </c>
      <c r="C4106" s="1" t="s">
        <v>11715</v>
      </c>
      <c r="D4106" s="1" t="s">
        <v>51</v>
      </c>
      <c r="E4106" s="1" t="s">
        <v>29</v>
      </c>
      <c r="F4106" s="5">
        <v>150000.0</v>
      </c>
      <c r="G4106" s="1" t="s">
        <v>7016</v>
      </c>
      <c r="H4106" s="4">
        <v>44686.0</v>
      </c>
      <c r="I4106" s="1" t="s">
        <v>526</v>
      </c>
      <c r="K4106" s="1">
        <v>0.0</v>
      </c>
      <c r="L4106" s="1" t="s">
        <v>4438</v>
      </c>
      <c r="M4106" s="1" t="str">
        <f>VLOOKUP(L4106,'Copy of PMD Workday Constants -'!B4105:W4791,22,false)</f>
        <v>#N/A</v>
      </c>
      <c r="N4106" s="1" t="s">
        <v>32</v>
      </c>
      <c r="O4106" s="1" t="s">
        <v>33</v>
      </c>
      <c r="P4106" s="1" t="s">
        <v>34</v>
      </c>
      <c r="Q4106" s="1" t="s">
        <v>34</v>
      </c>
      <c r="R4106" s="1" t="s">
        <v>35</v>
      </c>
      <c r="T4106" s="1">
        <v>1.01088701E8</v>
      </c>
      <c r="U4106" s="1" t="s">
        <v>11716</v>
      </c>
      <c r="V4106" s="1" t="s">
        <v>187</v>
      </c>
      <c r="W4106" s="1" t="s">
        <v>85</v>
      </c>
      <c r="X4106" s="1" t="s">
        <v>11717</v>
      </c>
    </row>
    <row r="4107">
      <c r="A4107" s="1" t="s">
        <v>11718</v>
      </c>
      <c r="B4107" s="1" t="s">
        <v>993</v>
      </c>
      <c r="C4107" s="1" t="s">
        <v>11719</v>
      </c>
      <c r="D4107" s="1" t="s">
        <v>28</v>
      </c>
      <c r="E4107" s="1" t="s">
        <v>29</v>
      </c>
      <c r="F4107" s="5">
        <v>150000.0</v>
      </c>
      <c r="G4107" s="1" t="s">
        <v>7016</v>
      </c>
      <c r="H4107" s="4">
        <v>44625.0</v>
      </c>
      <c r="I4107" s="1" t="s">
        <v>80</v>
      </c>
      <c r="K4107" s="1">
        <v>0.0</v>
      </c>
      <c r="L4107" s="1" t="s">
        <v>1039</v>
      </c>
      <c r="M4107" s="1" t="str">
        <f>VLOOKUP(L4107,'Copy of PMD Workday Constants -'!B4106:W4792,22,false)</f>
        <v>#N/A</v>
      </c>
      <c r="N4107" s="1" t="s">
        <v>32</v>
      </c>
      <c r="O4107" s="1" t="s">
        <v>33</v>
      </c>
      <c r="P4107" s="1" t="s">
        <v>112</v>
      </c>
      <c r="Q4107" s="1" t="s">
        <v>112</v>
      </c>
      <c r="R4107" s="1" t="s">
        <v>113</v>
      </c>
      <c r="S4107" s="1" t="s">
        <v>134</v>
      </c>
      <c r="T4107" s="1">
        <v>1.00633489E8</v>
      </c>
      <c r="W4107" s="1" t="s">
        <v>74</v>
      </c>
      <c r="X4107" s="1" t="s">
        <v>4804</v>
      </c>
    </row>
    <row r="4108">
      <c r="A4108" s="1" t="s">
        <v>11720</v>
      </c>
      <c r="B4108" s="1" t="s">
        <v>11721</v>
      </c>
      <c r="C4108" s="1" t="s">
        <v>11722</v>
      </c>
      <c r="D4108" s="1" t="s">
        <v>28</v>
      </c>
      <c r="E4108" s="1" t="s">
        <v>29</v>
      </c>
      <c r="F4108" s="5">
        <v>150000.0</v>
      </c>
      <c r="G4108" s="1" t="s">
        <v>7016</v>
      </c>
      <c r="H4108" s="1" t="s">
        <v>9129</v>
      </c>
      <c r="I4108" s="1" t="s">
        <v>6596</v>
      </c>
      <c r="K4108" s="1">
        <v>0.0</v>
      </c>
      <c r="L4108" s="1" t="s">
        <v>2788</v>
      </c>
      <c r="M4108" s="1" t="str">
        <f>VLOOKUP(L4108,'Copy of PMD Workday Constants -'!B4107:W4793,22,false)</f>
        <v>#N/A</v>
      </c>
      <c r="N4108" s="1" t="s">
        <v>32</v>
      </c>
      <c r="O4108" s="1" t="s">
        <v>33</v>
      </c>
      <c r="P4108" s="1" t="s">
        <v>54</v>
      </c>
      <c r="Q4108" s="1" t="s">
        <v>54</v>
      </c>
      <c r="R4108" s="1" t="s">
        <v>55</v>
      </c>
      <c r="S4108" s="1" t="s">
        <v>180</v>
      </c>
      <c r="T4108" s="1">
        <v>1.0059132E8</v>
      </c>
      <c r="W4108" s="1" t="s">
        <v>85</v>
      </c>
      <c r="X4108" s="1" t="s">
        <v>5126</v>
      </c>
    </row>
    <row r="4109">
      <c r="A4109" s="1" t="s">
        <v>11723</v>
      </c>
      <c r="B4109" s="1" t="s">
        <v>485</v>
      </c>
      <c r="C4109" s="1" t="s">
        <v>11724</v>
      </c>
      <c r="D4109" s="1" t="s">
        <v>28</v>
      </c>
      <c r="E4109" s="1" t="s">
        <v>29</v>
      </c>
      <c r="F4109" s="5">
        <v>150000.0</v>
      </c>
      <c r="G4109" s="1" t="s">
        <v>7016</v>
      </c>
      <c r="H4109" s="4">
        <v>44657.0</v>
      </c>
      <c r="I4109" s="1" t="s">
        <v>152</v>
      </c>
      <c r="K4109" s="1">
        <v>0.0</v>
      </c>
      <c r="L4109" s="1" t="s">
        <v>198</v>
      </c>
      <c r="M4109" s="1" t="str">
        <f>VLOOKUP(L4109,'Copy of PMD Workday Constants -'!B4108:W4794,22,false)</f>
        <v>#N/A</v>
      </c>
      <c r="N4109" s="1" t="s">
        <v>32</v>
      </c>
      <c r="O4109" s="1" t="s">
        <v>33</v>
      </c>
      <c r="P4109" s="1" t="s">
        <v>82</v>
      </c>
      <c r="Q4109" s="1" t="s">
        <v>82</v>
      </c>
      <c r="R4109" s="1" t="s">
        <v>83</v>
      </c>
      <c r="S4109" s="1" t="s">
        <v>180</v>
      </c>
      <c r="T4109" s="1">
        <v>1.00590896E8</v>
      </c>
      <c r="W4109" s="1" t="s">
        <v>85</v>
      </c>
      <c r="X4109" s="1" t="s">
        <v>11725</v>
      </c>
    </row>
    <row r="4110">
      <c r="A4110" s="1" t="s">
        <v>11726</v>
      </c>
      <c r="B4110" s="1" t="s">
        <v>6034</v>
      </c>
      <c r="C4110" s="1" t="s">
        <v>11727</v>
      </c>
      <c r="D4110" s="1" t="s">
        <v>103</v>
      </c>
      <c r="E4110" s="1" t="s">
        <v>29</v>
      </c>
      <c r="F4110" s="5">
        <v>150000.0</v>
      </c>
      <c r="G4110" s="1" t="s">
        <v>7016</v>
      </c>
      <c r="H4110" s="1" t="s">
        <v>301</v>
      </c>
      <c r="I4110" s="1" t="s">
        <v>80</v>
      </c>
      <c r="K4110" s="1">
        <v>0.0</v>
      </c>
      <c r="L4110" s="1" t="s">
        <v>2174</v>
      </c>
      <c r="M4110" s="1" t="str">
        <f>VLOOKUP(L4110,'Copy of PMD Workday Constants -'!B4109:W4795,22,false)</f>
        <v>#N/A</v>
      </c>
      <c r="N4110" s="1" t="s">
        <v>32</v>
      </c>
      <c r="O4110" s="1" t="s">
        <v>33</v>
      </c>
      <c r="P4110" s="1" t="s">
        <v>112</v>
      </c>
      <c r="Q4110" s="1" t="s">
        <v>112</v>
      </c>
      <c r="R4110" s="1" t="s">
        <v>113</v>
      </c>
      <c r="S4110" s="1" t="s">
        <v>134</v>
      </c>
      <c r="T4110" s="1">
        <v>1.00631322E8</v>
      </c>
      <c r="W4110" s="1" t="s">
        <v>74</v>
      </c>
      <c r="X4110" s="1" t="s">
        <v>6521</v>
      </c>
    </row>
    <row r="4111">
      <c r="A4111" s="1" t="s">
        <v>11728</v>
      </c>
      <c r="B4111" s="1" t="s">
        <v>1997</v>
      </c>
      <c r="C4111" s="1" t="s">
        <v>11729</v>
      </c>
      <c r="D4111" s="1" t="s">
        <v>103</v>
      </c>
      <c r="E4111" s="1" t="s">
        <v>29</v>
      </c>
      <c r="F4111" s="5">
        <v>150000.0</v>
      </c>
      <c r="G4111" s="1" t="s">
        <v>7016</v>
      </c>
      <c r="H4111" s="1" t="s">
        <v>375</v>
      </c>
      <c r="I4111" s="1" t="s">
        <v>152</v>
      </c>
      <c r="K4111" s="1">
        <v>0.0</v>
      </c>
      <c r="L4111" s="1" t="s">
        <v>588</v>
      </c>
      <c r="M4111" s="1" t="str">
        <f>VLOOKUP(L4111,'Copy of PMD Workday Constants -'!B4110:W4796,22,false)</f>
        <v>#N/A</v>
      </c>
      <c r="N4111" s="1" t="s">
        <v>32</v>
      </c>
      <c r="O4111" s="1" t="s">
        <v>33</v>
      </c>
      <c r="P4111" s="1" t="s">
        <v>34</v>
      </c>
      <c r="Q4111" s="1" t="s">
        <v>34</v>
      </c>
      <c r="R4111" s="1" t="s">
        <v>35</v>
      </c>
      <c r="T4111" s="1">
        <v>1.00609607E8</v>
      </c>
      <c r="W4111" s="1" t="s">
        <v>947</v>
      </c>
      <c r="X4111" s="1" t="s">
        <v>1999</v>
      </c>
    </row>
    <row r="4112">
      <c r="A4112" s="1" t="s">
        <v>11730</v>
      </c>
      <c r="B4112" s="1" t="s">
        <v>11731</v>
      </c>
      <c r="C4112" s="1" t="s">
        <v>11732</v>
      </c>
      <c r="D4112" s="1" t="s">
        <v>103</v>
      </c>
      <c r="E4112" s="1" t="s">
        <v>29</v>
      </c>
      <c r="F4112" s="5">
        <v>150000.0</v>
      </c>
      <c r="G4112" s="1" t="s">
        <v>7016</v>
      </c>
      <c r="H4112" s="4">
        <v>44652.0</v>
      </c>
      <c r="I4112" s="1" t="s">
        <v>80</v>
      </c>
      <c r="K4112" s="1">
        <v>0.0</v>
      </c>
      <c r="L4112" s="1" t="s">
        <v>4723</v>
      </c>
      <c r="M4112" s="1" t="str">
        <f>VLOOKUP(L4112,'Copy of PMD Workday Constants -'!B4111:W4797,22,false)</f>
        <v>#N/A</v>
      </c>
      <c r="N4112" s="1" t="s">
        <v>32</v>
      </c>
      <c r="O4112" s="1" t="s">
        <v>33</v>
      </c>
      <c r="P4112" s="1" t="s">
        <v>210</v>
      </c>
      <c r="Q4112" s="1" t="s">
        <v>210</v>
      </c>
      <c r="R4112" s="1" t="s">
        <v>211</v>
      </c>
      <c r="S4112" s="1" t="s">
        <v>1313</v>
      </c>
      <c r="T4112" s="1">
        <v>1.00585834E8</v>
      </c>
      <c r="X4112" s="1" t="s">
        <v>5511</v>
      </c>
    </row>
    <row r="4113">
      <c r="A4113" s="1" t="s">
        <v>11733</v>
      </c>
      <c r="B4113" s="1" t="s">
        <v>10713</v>
      </c>
      <c r="C4113" s="1" t="s">
        <v>11734</v>
      </c>
      <c r="D4113" s="1" t="s">
        <v>28</v>
      </c>
      <c r="E4113" s="1" t="s">
        <v>29</v>
      </c>
      <c r="F4113" s="5">
        <v>150000.0</v>
      </c>
      <c r="G4113" s="1" t="s">
        <v>7016</v>
      </c>
      <c r="H4113" s="1" t="s">
        <v>1161</v>
      </c>
      <c r="I4113" s="1" t="s">
        <v>152</v>
      </c>
      <c r="K4113" s="1">
        <v>0.0</v>
      </c>
      <c r="L4113" s="1" t="s">
        <v>7718</v>
      </c>
      <c r="M4113" s="1" t="str">
        <f>VLOOKUP(L4113,'Copy of PMD Workday Constants -'!B4112:W4798,22,false)</f>
        <v>#N/A</v>
      </c>
      <c r="N4113" s="1" t="s">
        <v>32</v>
      </c>
      <c r="O4113" s="1" t="s">
        <v>33</v>
      </c>
      <c r="P4113" s="1" t="s">
        <v>112</v>
      </c>
      <c r="Q4113" s="1" t="s">
        <v>112</v>
      </c>
      <c r="R4113" s="1" t="s">
        <v>113</v>
      </c>
      <c r="S4113" s="1" t="s">
        <v>134</v>
      </c>
      <c r="T4113" s="1">
        <v>1.00625107E8</v>
      </c>
      <c r="W4113" s="1" t="s">
        <v>74</v>
      </c>
      <c r="X4113" s="1" t="s">
        <v>977</v>
      </c>
    </row>
    <row r="4114">
      <c r="A4114" s="1" t="s">
        <v>11735</v>
      </c>
      <c r="B4114" s="1" t="s">
        <v>11736</v>
      </c>
      <c r="C4114" s="1" t="s">
        <v>11737</v>
      </c>
      <c r="D4114" s="1" t="s">
        <v>51</v>
      </c>
      <c r="E4114" s="1" t="s">
        <v>29</v>
      </c>
      <c r="F4114" s="5">
        <v>150000.0</v>
      </c>
      <c r="G4114" s="1" t="s">
        <v>7016</v>
      </c>
      <c r="H4114" s="1" t="s">
        <v>42</v>
      </c>
      <c r="I4114" s="1" t="s">
        <v>80</v>
      </c>
      <c r="K4114" s="1">
        <v>0.0</v>
      </c>
      <c r="L4114" s="1" t="s">
        <v>7135</v>
      </c>
      <c r="M4114" s="1" t="str">
        <f>VLOOKUP(L4114,'Copy of PMD Workday Constants -'!B4113:W4799,22,false)</f>
        <v>#N/A</v>
      </c>
      <c r="N4114" s="1" t="s">
        <v>32</v>
      </c>
      <c r="O4114" s="1" t="s">
        <v>33</v>
      </c>
      <c r="P4114" s="1" t="s">
        <v>222</v>
      </c>
      <c r="Q4114" s="1" t="s">
        <v>222</v>
      </c>
      <c r="R4114" s="1" t="s">
        <v>223</v>
      </c>
      <c r="S4114" s="1" t="s">
        <v>482</v>
      </c>
      <c r="T4114" s="1">
        <v>1.0059632E8</v>
      </c>
      <c r="W4114" s="1" t="s">
        <v>250</v>
      </c>
      <c r="X4114" s="1" t="s">
        <v>11738</v>
      </c>
    </row>
    <row r="4115">
      <c r="A4115" s="1" t="s">
        <v>11739</v>
      </c>
      <c r="B4115" s="1" t="s">
        <v>11740</v>
      </c>
      <c r="C4115" s="1" t="s">
        <v>11741</v>
      </c>
      <c r="D4115" s="1" t="s">
        <v>51</v>
      </c>
      <c r="E4115" s="1" t="s">
        <v>29</v>
      </c>
      <c r="F4115" s="5">
        <v>150000.0</v>
      </c>
      <c r="G4115" s="1" t="s">
        <v>7016</v>
      </c>
      <c r="H4115" s="4">
        <v>44870.0</v>
      </c>
      <c r="I4115" s="1" t="s">
        <v>80</v>
      </c>
      <c r="K4115" s="1">
        <v>0.0</v>
      </c>
      <c r="L4115" s="1" t="s">
        <v>2507</v>
      </c>
      <c r="M4115" s="1" t="str">
        <f>VLOOKUP(L4115,'Copy of PMD Workday Constants -'!B4114:W4800,22,false)</f>
        <v>#N/A</v>
      </c>
      <c r="N4115" s="1" t="s">
        <v>32</v>
      </c>
      <c r="O4115" s="1" t="s">
        <v>33</v>
      </c>
      <c r="P4115" s="1" t="s">
        <v>222</v>
      </c>
      <c r="Q4115" s="1" t="s">
        <v>222</v>
      </c>
      <c r="R4115" s="1" t="s">
        <v>223</v>
      </c>
      <c r="T4115" s="1">
        <v>1.00659458E8</v>
      </c>
      <c r="W4115" s="1" t="s">
        <v>2098</v>
      </c>
      <c r="X4115" s="1" t="s">
        <v>2507</v>
      </c>
    </row>
    <row r="4116">
      <c r="A4116" s="1" t="s">
        <v>11742</v>
      </c>
      <c r="B4116" s="1" t="s">
        <v>10713</v>
      </c>
      <c r="C4116" s="1" t="s">
        <v>11743</v>
      </c>
      <c r="D4116" s="1" t="s">
        <v>28</v>
      </c>
      <c r="E4116" s="1" t="s">
        <v>29</v>
      </c>
      <c r="F4116" s="5">
        <v>150000.0</v>
      </c>
      <c r="G4116" s="1" t="s">
        <v>7016</v>
      </c>
      <c r="H4116" s="1" t="s">
        <v>1161</v>
      </c>
      <c r="I4116" s="1" t="s">
        <v>217</v>
      </c>
      <c r="K4116" s="1">
        <v>0.0</v>
      </c>
      <c r="L4116" s="1" t="s">
        <v>7718</v>
      </c>
      <c r="M4116" s="1" t="str">
        <f>VLOOKUP(L4116,'Copy of PMD Workday Constants -'!B4115:W4801,22,false)</f>
        <v>#N/A</v>
      </c>
      <c r="N4116" s="1" t="s">
        <v>32</v>
      </c>
      <c r="O4116" s="1" t="s">
        <v>33</v>
      </c>
      <c r="P4116" s="1" t="s">
        <v>112</v>
      </c>
      <c r="Q4116" s="1" t="s">
        <v>112</v>
      </c>
      <c r="R4116" s="1" t="s">
        <v>113</v>
      </c>
      <c r="S4116" s="1" t="s">
        <v>134</v>
      </c>
      <c r="T4116" s="1">
        <v>1.00625107E8</v>
      </c>
      <c r="W4116" s="1" t="s">
        <v>74</v>
      </c>
      <c r="X4116" s="1" t="s">
        <v>977</v>
      </c>
    </row>
    <row r="4117">
      <c r="A4117" s="1" t="s">
        <v>11744</v>
      </c>
      <c r="B4117" s="1" t="s">
        <v>637</v>
      </c>
      <c r="C4117" s="1" t="s">
        <v>11745</v>
      </c>
      <c r="D4117" s="1" t="s">
        <v>28</v>
      </c>
      <c r="E4117" s="1" t="s">
        <v>29</v>
      </c>
      <c r="F4117" s="5">
        <v>150000.0</v>
      </c>
      <c r="G4117" s="1" t="s">
        <v>7016</v>
      </c>
      <c r="H4117" s="1" t="s">
        <v>3998</v>
      </c>
      <c r="I4117" s="1" t="s">
        <v>80</v>
      </c>
      <c r="K4117" s="1">
        <v>0.0</v>
      </c>
      <c r="L4117" s="1" t="s">
        <v>678</v>
      </c>
      <c r="M4117" s="1" t="str">
        <f>VLOOKUP(L4117,'Copy of PMD Workday Constants -'!B4116:W4802,22,false)</f>
        <v>#N/A</v>
      </c>
      <c r="N4117" s="1" t="s">
        <v>32</v>
      </c>
      <c r="O4117" s="1" t="s">
        <v>33</v>
      </c>
      <c r="P4117" s="1" t="s">
        <v>210</v>
      </c>
      <c r="Q4117" s="1" t="s">
        <v>210</v>
      </c>
      <c r="R4117" s="1" t="s">
        <v>211</v>
      </c>
      <c r="S4117" s="1" t="s">
        <v>416</v>
      </c>
      <c r="T4117" s="1">
        <v>1.00609073E8</v>
      </c>
      <c r="W4117" s="1" t="s">
        <v>56</v>
      </c>
      <c r="X4117" s="1" t="s">
        <v>678</v>
      </c>
    </row>
    <row r="4118">
      <c r="A4118" s="1" t="s">
        <v>11746</v>
      </c>
      <c r="B4118" s="1" t="s">
        <v>4606</v>
      </c>
      <c r="C4118" s="1" t="s">
        <v>11747</v>
      </c>
      <c r="D4118" s="1" t="s">
        <v>51</v>
      </c>
      <c r="E4118" s="1" t="s">
        <v>29</v>
      </c>
      <c r="F4118" s="5">
        <v>150000.0</v>
      </c>
      <c r="G4118" s="1" t="s">
        <v>7016</v>
      </c>
      <c r="H4118" s="4">
        <v>44654.0</v>
      </c>
      <c r="I4118" s="1" t="s">
        <v>132</v>
      </c>
      <c r="K4118" s="1">
        <v>0.0</v>
      </c>
      <c r="L4118" s="1" t="s">
        <v>4608</v>
      </c>
      <c r="M4118" s="1" t="str">
        <f>VLOOKUP(L4118,'Copy of PMD Workday Constants -'!B4117:W4803,22,false)</f>
        <v>#N/A</v>
      </c>
      <c r="N4118" s="1" t="s">
        <v>32</v>
      </c>
      <c r="O4118" s="1" t="s">
        <v>33</v>
      </c>
      <c r="P4118" s="1" t="s">
        <v>222</v>
      </c>
      <c r="Q4118" s="1" t="s">
        <v>222</v>
      </c>
      <c r="R4118" s="1" t="s">
        <v>223</v>
      </c>
      <c r="S4118" s="1" t="s">
        <v>482</v>
      </c>
      <c r="T4118" s="1">
        <v>1.00592715E8</v>
      </c>
      <c r="W4118" s="1" t="s">
        <v>115</v>
      </c>
      <c r="X4118" s="1" t="s">
        <v>4608</v>
      </c>
    </row>
    <row r="4119">
      <c r="A4119" s="1" t="s">
        <v>11748</v>
      </c>
      <c r="B4119" s="1" t="s">
        <v>4935</v>
      </c>
      <c r="C4119" s="1" t="s">
        <v>11749</v>
      </c>
      <c r="D4119" s="1" t="s">
        <v>28</v>
      </c>
      <c r="E4119" s="1" t="s">
        <v>29</v>
      </c>
      <c r="F4119" s="5">
        <v>150000.0</v>
      </c>
      <c r="G4119" s="1" t="s">
        <v>7016</v>
      </c>
      <c r="H4119" s="1" t="s">
        <v>301</v>
      </c>
      <c r="I4119" s="1" t="s">
        <v>96</v>
      </c>
      <c r="K4119" s="1">
        <v>0.0</v>
      </c>
      <c r="L4119" s="1" t="s">
        <v>2020</v>
      </c>
      <c r="M4119" s="1" t="str">
        <f>VLOOKUP(L4119,'Copy of PMD Workday Constants -'!B4118:W4804,22,false)</f>
        <v>#N/A</v>
      </c>
      <c r="N4119" s="1" t="s">
        <v>32</v>
      </c>
      <c r="O4119" s="1" t="s">
        <v>33</v>
      </c>
      <c r="P4119" s="1" t="s">
        <v>34</v>
      </c>
      <c r="Q4119" s="1" t="s">
        <v>34</v>
      </c>
      <c r="R4119" s="1" t="s">
        <v>35</v>
      </c>
      <c r="S4119" s="1" t="s">
        <v>1336</v>
      </c>
      <c r="T4119" s="1">
        <v>1.00893232E8</v>
      </c>
      <c r="W4119" s="1" t="s">
        <v>147</v>
      </c>
      <c r="X4119" s="1" t="s">
        <v>2020</v>
      </c>
    </row>
    <row r="4120">
      <c r="A4120" s="1" t="s">
        <v>11750</v>
      </c>
      <c r="B4120" s="1" t="s">
        <v>489</v>
      </c>
      <c r="C4120" s="1" t="s">
        <v>11751</v>
      </c>
      <c r="D4120" s="1" t="s">
        <v>28</v>
      </c>
      <c r="E4120" s="1" t="s">
        <v>29</v>
      </c>
      <c r="F4120" s="5">
        <v>150000.0</v>
      </c>
      <c r="G4120" s="1" t="s">
        <v>7016</v>
      </c>
      <c r="H4120" s="4">
        <v>44806.0</v>
      </c>
      <c r="I4120" s="1" t="s">
        <v>414</v>
      </c>
      <c r="K4120" s="1">
        <v>0.0</v>
      </c>
      <c r="L4120" s="1" t="s">
        <v>11752</v>
      </c>
      <c r="M4120" s="1" t="str">
        <f>VLOOKUP(L4120,'Copy of PMD Workday Constants -'!B4119:W4805,22,false)</f>
        <v>#N/A</v>
      </c>
      <c r="N4120" s="1" t="s">
        <v>32</v>
      </c>
      <c r="O4120" s="1" t="s">
        <v>33</v>
      </c>
      <c r="P4120" s="1" t="s">
        <v>34</v>
      </c>
      <c r="Q4120" s="1" t="s">
        <v>34</v>
      </c>
      <c r="R4120" s="1" t="s">
        <v>35</v>
      </c>
      <c r="T4120" s="1">
        <v>1.00597572E8</v>
      </c>
      <c r="W4120" s="1" t="s">
        <v>493</v>
      </c>
      <c r="X4120" s="1" t="s">
        <v>11752</v>
      </c>
    </row>
    <row r="4121">
      <c r="A4121" s="1" t="s">
        <v>11753</v>
      </c>
      <c r="B4121" s="1" t="s">
        <v>11754</v>
      </c>
      <c r="C4121" s="1" t="s">
        <v>11755</v>
      </c>
      <c r="D4121" s="1" t="s">
        <v>28</v>
      </c>
      <c r="E4121" s="1" t="s">
        <v>29</v>
      </c>
      <c r="F4121" s="5">
        <v>150000.0</v>
      </c>
      <c r="G4121" s="1" t="s">
        <v>7016</v>
      </c>
      <c r="H4121" s="1" t="s">
        <v>1708</v>
      </c>
      <c r="I4121" s="1" t="s">
        <v>2485</v>
      </c>
      <c r="K4121" s="1">
        <v>0.0</v>
      </c>
      <c r="L4121" s="1" t="s">
        <v>2201</v>
      </c>
      <c r="M4121" s="1" t="str">
        <f>VLOOKUP(L4121,'Copy of PMD Workday Constants -'!B4120:W4806,22,false)</f>
        <v>#N/A</v>
      </c>
      <c r="N4121" s="1" t="s">
        <v>32</v>
      </c>
      <c r="O4121" s="1" t="s">
        <v>33</v>
      </c>
      <c r="P4121" s="1" t="s">
        <v>64</v>
      </c>
      <c r="Q4121" s="1" t="s">
        <v>64</v>
      </c>
      <c r="R4121" s="1" t="s">
        <v>65</v>
      </c>
      <c r="S4121" s="1" t="s">
        <v>1496</v>
      </c>
      <c r="T4121" s="1">
        <v>1.00649936E8</v>
      </c>
      <c r="W4121" s="1" t="s">
        <v>258</v>
      </c>
      <c r="X4121" s="1" t="s">
        <v>11756</v>
      </c>
    </row>
    <row r="4122">
      <c r="A4122" s="1" t="s">
        <v>11757</v>
      </c>
      <c r="B4122" s="1" t="s">
        <v>11758</v>
      </c>
      <c r="C4122" s="1" t="s">
        <v>11759</v>
      </c>
      <c r="D4122" s="1" t="s">
        <v>28</v>
      </c>
      <c r="E4122" s="1" t="s">
        <v>29</v>
      </c>
      <c r="F4122" s="5">
        <v>150000.0</v>
      </c>
      <c r="G4122" s="1" t="s">
        <v>7016</v>
      </c>
      <c r="H4122" s="1" t="s">
        <v>5241</v>
      </c>
      <c r="I4122" s="1" t="s">
        <v>810</v>
      </c>
      <c r="K4122" s="1">
        <v>0.0</v>
      </c>
      <c r="L4122" s="1" t="s">
        <v>11760</v>
      </c>
      <c r="M4122" s="1" t="str">
        <f>VLOOKUP(L4122,'Copy of PMD Workday Constants -'!B4121:W4807,22,false)</f>
        <v>#N/A</v>
      </c>
      <c r="N4122" s="1" t="s">
        <v>32</v>
      </c>
      <c r="O4122" s="1" t="s">
        <v>33</v>
      </c>
      <c r="P4122" s="1" t="s">
        <v>222</v>
      </c>
      <c r="Q4122" s="1" t="s">
        <v>222</v>
      </c>
      <c r="R4122" s="1" t="s">
        <v>223</v>
      </c>
      <c r="S4122" s="1" t="s">
        <v>601</v>
      </c>
      <c r="T4122" s="1">
        <v>1.01146063E8</v>
      </c>
      <c r="W4122" s="1" t="s">
        <v>947</v>
      </c>
      <c r="X4122" s="1" t="s">
        <v>11760</v>
      </c>
    </row>
    <row r="4123">
      <c r="A4123" s="1" t="s">
        <v>11761</v>
      </c>
      <c r="B4123" s="1" t="s">
        <v>3489</v>
      </c>
      <c r="C4123" s="1" t="s">
        <v>11762</v>
      </c>
      <c r="D4123" s="1" t="s">
        <v>79</v>
      </c>
      <c r="E4123" s="1" t="s">
        <v>29</v>
      </c>
      <c r="F4123" s="5">
        <v>150000.0</v>
      </c>
      <c r="G4123" s="1" t="s">
        <v>7016</v>
      </c>
      <c r="H4123" s="4">
        <v>44567.0</v>
      </c>
      <c r="I4123" s="1" t="s">
        <v>132</v>
      </c>
      <c r="K4123" s="1">
        <v>0.0</v>
      </c>
      <c r="L4123" s="1" t="s">
        <v>2310</v>
      </c>
      <c r="M4123" s="1" t="str">
        <f>VLOOKUP(L4123,'Copy of PMD Workday Constants -'!B4122:W4808,22,false)</f>
        <v>#N/A</v>
      </c>
      <c r="N4123" s="1" t="s">
        <v>32</v>
      </c>
      <c r="O4123" s="1" t="s">
        <v>33</v>
      </c>
      <c r="P4123" s="1" t="s">
        <v>82</v>
      </c>
      <c r="Q4123" s="1" t="s">
        <v>82</v>
      </c>
      <c r="R4123" s="1" t="s">
        <v>83</v>
      </c>
      <c r="S4123" s="1" t="s">
        <v>180</v>
      </c>
      <c r="T4123" s="1">
        <v>1.01078216E8</v>
      </c>
      <c r="W4123" s="1" t="s">
        <v>85</v>
      </c>
      <c r="X4123" s="1" t="s">
        <v>5357</v>
      </c>
    </row>
    <row r="4124">
      <c r="A4124" s="1" t="s">
        <v>11763</v>
      </c>
      <c r="B4124" s="1" t="s">
        <v>485</v>
      </c>
      <c r="C4124" s="1" t="s">
        <v>11764</v>
      </c>
      <c r="D4124" s="1" t="s">
        <v>28</v>
      </c>
      <c r="E4124" s="1" t="s">
        <v>29</v>
      </c>
      <c r="F4124" s="5">
        <v>150000.0</v>
      </c>
      <c r="G4124" s="1" t="s">
        <v>7016</v>
      </c>
      <c r="H4124" s="4">
        <v>43990.0</v>
      </c>
      <c r="I4124" s="1" t="s">
        <v>80</v>
      </c>
      <c r="K4124" s="1">
        <v>0.0</v>
      </c>
      <c r="L4124" s="1" t="s">
        <v>1120</v>
      </c>
      <c r="M4124" s="1" t="str">
        <f>VLOOKUP(L4124,'Copy of PMD Workday Constants -'!B4123:W4809,22,false)</f>
        <v>#N/A</v>
      </c>
      <c r="N4124" s="1" t="s">
        <v>32</v>
      </c>
      <c r="O4124" s="1" t="s">
        <v>33</v>
      </c>
      <c r="P4124" s="1" t="s">
        <v>82</v>
      </c>
      <c r="Q4124" s="1" t="s">
        <v>82</v>
      </c>
      <c r="R4124" s="1" t="s">
        <v>83</v>
      </c>
      <c r="S4124" s="1" t="s">
        <v>180</v>
      </c>
      <c r="T4124" s="1">
        <v>1.00603613E8</v>
      </c>
      <c r="W4124" s="1" t="s">
        <v>85</v>
      </c>
      <c r="X4124" s="1" t="s">
        <v>5126</v>
      </c>
    </row>
    <row r="4125">
      <c r="A4125" s="1" t="s">
        <v>11765</v>
      </c>
      <c r="B4125" s="1" t="s">
        <v>5151</v>
      </c>
      <c r="C4125" s="1" t="s">
        <v>11766</v>
      </c>
      <c r="D4125" s="1" t="s">
        <v>28</v>
      </c>
      <c r="E4125" s="1" t="s">
        <v>29</v>
      </c>
      <c r="F4125" s="5">
        <v>150000.0</v>
      </c>
      <c r="G4125" s="1" t="s">
        <v>7016</v>
      </c>
      <c r="H4125" s="1" t="s">
        <v>2069</v>
      </c>
      <c r="I4125" s="1" t="s">
        <v>302</v>
      </c>
      <c r="K4125" s="1">
        <v>0.0</v>
      </c>
      <c r="L4125" s="1" t="s">
        <v>963</v>
      </c>
      <c r="M4125" s="1" t="str">
        <f>VLOOKUP(L4125,'Copy of PMD Workday Constants -'!B4124:W4810,22,false)</f>
        <v>#N/A</v>
      </c>
      <c r="N4125" s="1" t="s">
        <v>32</v>
      </c>
      <c r="O4125" s="1" t="s">
        <v>33</v>
      </c>
      <c r="P4125" s="1" t="s">
        <v>173</v>
      </c>
      <c r="Q4125" s="1" t="s">
        <v>173</v>
      </c>
      <c r="R4125" s="1" t="s">
        <v>174</v>
      </c>
      <c r="S4125" s="1" t="s">
        <v>612</v>
      </c>
      <c r="T4125" s="1">
        <v>1.00708984E8</v>
      </c>
      <c r="W4125" s="1" t="s">
        <v>947</v>
      </c>
      <c r="X4125" s="1" t="s">
        <v>3066</v>
      </c>
    </row>
    <row r="4126">
      <c r="A4126" s="1" t="s">
        <v>11767</v>
      </c>
      <c r="B4126" s="1" t="s">
        <v>11768</v>
      </c>
      <c r="C4126" s="1" t="s">
        <v>11769</v>
      </c>
      <c r="D4126" s="1" t="s">
        <v>28</v>
      </c>
      <c r="E4126" s="1" t="s">
        <v>29</v>
      </c>
      <c r="F4126" s="5">
        <v>150000.0</v>
      </c>
      <c r="G4126" s="1" t="s">
        <v>7016</v>
      </c>
      <c r="H4126" s="4">
        <v>44657.0</v>
      </c>
      <c r="I4126" s="4">
        <v>44872.0</v>
      </c>
      <c r="K4126" s="1">
        <v>0.0</v>
      </c>
      <c r="L4126" s="1" t="s">
        <v>2762</v>
      </c>
      <c r="M4126" s="1" t="str">
        <f>VLOOKUP(L4126,'Copy of PMD Workday Constants -'!B4125:W4811,22,false)</f>
        <v>#N/A</v>
      </c>
      <c r="N4126" s="1" t="s">
        <v>32</v>
      </c>
      <c r="O4126" s="1" t="s">
        <v>33</v>
      </c>
      <c r="P4126" s="1" t="s">
        <v>82</v>
      </c>
      <c r="Q4126" s="1" t="s">
        <v>82</v>
      </c>
      <c r="R4126" s="1" t="s">
        <v>83</v>
      </c>
      <c r="S4126" s="1" t="s">
        <v>583</v>
      </c>
      <c r="T4126" s="1">
        <v>1.00637221E8</v>
      </c>
      <c r="W4126" s="1" t="s">
        <v>4719</v>
      </c>
      <c r="X4126" s="1" t="s">
        <v>768</v>
      </c>
    </row>
    <row r="4127">
      <c r="A4127" s="1" t="s">
        <v>11770</v>
      </c>
      <c r="B4127" s="1" t="s">
        <v>1096</v>
      </c>
      <c r="C4127" s="1" t="s">
        <v>11771</v>
      </c>
      <c r="D4127" s="1" t="s">
        <v>28</v>
      </c>
      <c r="E4127" s="1" t="s">
        <v>29</v>
      </c>
      <c r="F4127" s="5">
        <v>150000.0</v>
      </c>
      <c r="G4127" s="1" t="s">
        <v>7016</v>
      </c>
      <c r="H4127" s="1" t="s">
        <v>2241</v>
      </c>
      <c r="I4127" s="1" t="s">
        <v>1470</v>
      </c>
      <c r="K4127" s="1">
        <v>0.0</v>
      </c>
      <c r="L4127" s="1" t="s">
        <v>1622</v>
      </c>
      <c r="M4127" s="1" t="str">
        <f>VLOOKUP(L4127,'Copy of PMD Workday Constants -'!B4126:W4812,22,false)</f>
        <v>#N/A</v>
      </c>
      <c r="N4127" s="1" t="s">
        <v>32</v>
      </c>
      <c r="O4127" s="1" t="s">
        <v>33</v>
      </c>
      <c r="P4127" s="1" t="s">
        <v>173</v>
      </c>
      <c r="Q4127" s="1" t="s">
        <v>173</v>
      </c>
      <c r="R4127" s="1" t="s">
        <v>174</v>
      </c>
      <c r="S4127" s="1" t="s">
        <v>153</v>
      </c>
      <c r="T4127" s="1">
        <v>1.00643454E8</v>
      </c>
      <c r="U4127" s="1" t="s">
        <v>11772</v>
      </c>
      <c r="V4127" s="1" t="s">
        <v>781</v>
      </c>
      <c r="W4127" s="1" t="s">
        <v>456</v>
      </c>
      <c r="X4127" s="1" t="s">
        <v>1622</v>
      </c>
    </row>
    <row r="4128">
      <c r="A4128" s="1" t="s">
        <v>11773</v>
      </c>
      <c r="B4128" s="1" t="s">
        <v>10977</v>
      </c>
      <c r="C4128" s="1" t="s">
        <v>11774</v>
      </c>
      <c r="D4128" s="1" t="s">
        <v>28</v>
      </c>
      <c r="E4128" s="1" t="s">
        <v>29</v>
      </c>
      <c r="F4128" s="5">
        <v>150000.0</v>
      </c>
      <c r="G4128" s="1" t="s">
        <v>7016</v>
      </c>
      <c r="H4128" s="4">
        <v>43990.0</v>
      </c>
      <c r="I4128" s="1" t="s">
        <v>901</v>
      </c>
      <c r="K4128" s="1">
        <v>0.0</v>
      </c>
      <c r="L4128" s="1" t="s">
        <v>8174</v>
      </c>
      <c r="M4128" s="1" t="str">
        <f>VLOOKUP(L4128,'Copy of PMD Workday Constants -'!B4127:W4813,22,false)</f>
        <v>#N/A</v>
      </c>
      <c r="N4128" s="1" t="s">
        <v>32</v>
      </c>
      <c r="O4128" s="1" t="s">
        <v>33</v>
      </c>
      <c r="P4128" s="1" t="s">
        <v>82</v>
      </c>
      <c r="Q4128" s="1" t="s">
        <v>82</v>
      </c>
      <c r="R4128" s="1" t="s">
        <v>83</v>
      </c>
      <c r="S4128" s="1" t="s">
        <v>180</v>
      </c>
      <c r="T4128" s="1">
        <v>1.00609615E8</v>
      </c>
      <c r="W4128" s="1" t="s">
        <v>85</v>
      </c>
      <c r="X4128" s="1" t="s">
        <v>5126</v>
      </c>
    </row>
    <row r="4129">
      <c r="A4129" s="1" t="s">
        <v>11775</v>
      </c>
      <c r="B4129" s="1" t="s">
        <v>11776</v>
      </c>
      <c r="C4129" s="1" t="s">
        <v>11777</v>
      </c>
      <c r="D4129" s="1" t="s">
        <v>51</v>
      </c>
      <c r="E4129" s="1" t="s">
        <v>29</v>
      </c>
      <c r="F4129" s="5">
        <v>150000.0</v>
      </c>
      <c r="G4129" s="1" t="s">
        <v>7016</v>
      </c>
      <c r="H4129" s="4">
        <v>44173.0</v>
      </c>
      <c r="I4129" s="1" t="s">
        <v>132</v>
      </c>
      <c r="K4129" s="1">
        <v>0.0</v>
      </c>
      <c r="L4129" s="1" t="s">
        <v>255</v>
      </c>
      <c r="M4129" s="1" t="str">
        <f>VLOOKUP(L4129,'Copy of PMD Workday Constants -'!B4128:W4814,22,false)</f>
        <v>#N/A</v>
      </c>
      <c r="N4129" s="1" t="s">
        <v>32</v>
      </c>
      <c r="O4129" s="1" t="s">
        <v>33</v>
      </c>
      <c r="P4129" s="1" t="s">
        <v>112</v>
      </c>
      <c r="Q4129" s="1" t="s">
        <v>112</v>
      </c>
      <c r="R4129" s="1" t="s">
        <v>113</v>
      </c>
      <c r="S4129" s="1" t="s">
        <v>256</v>
      </c>
      <c r="T4129" s="1">
        <v>1.00659114E8</v>
      </c>
      <c r="W4129" s="1" t="s">
        <v>258</v>
      </c>
      <c r="X4129" s="1" t="s">
        <v>423</v>
      </c>
    </row>
    <row r="4130">
      <c r="A4130" s="1" t="s">
        <v>11778</v>
      </c>
      <c r="B4130" s="1" t="s">
        <v>610</v>
      </c>
      <c r="C4130" s="1" t="s">
        <v>11779</v>
      </c>
      <c r="D4130" s="1" t="s">
        <v>51</v>
      </c>
      <c r="E4130" s="1" t="s">
        <v>29</v>
      </c>
      <c r="F4130" s="5">
        <v>150000.0</v>
      </c>
      <c r="G4130" s="1" t="s">
        <v>7016</v>
      </c>
      <c r="H4130" s="1" t="s">
        <v>592</v>
      </c>
      <c r="I4130" s="1" t="s">
        <v>166</v>
      </c>
      <c r="K4130" s="1">
        <v>0.0</v>
      </c>
      <c r="L4130" s="1" t="s">
        <v>238</v>
      </c>
      <c r="M4130" s="1" t="str">
        <f>VLOOKUP(L4130,'Copy of PMD Workday Constants -'!B4129:W4815,22,false)</f>
        <v>#N/A</v>
      </c>
      <c r="N4130" s="1" t="s">
        <v>32</v>
      </c>
      <c r="O4130" s="1" t="s">
        <v>33</v>
      </c>
      <c r="P4130" s="1" t="s">
        <v>112</v>
      </c>
      <c r="Q4130" s="1" t="s">
        <v>112</v>
      </c>
      <c r="R4130" s="1" t="s">
        <v>113</v>
      </c>
      <c r="S4130" s="1" t="s">
        <v>114</v>
      </c>
      <c r="T4130" s="1">
        <v>1.00658519E8</v>
      </c>
      <c r="W4130" s="1" t="s">
        <v>47</v>
      </c>
      <c r="X4130" s="1" t="s">
        <v>1068</v>
      </c>
    </row>
    <row r="4131">
      <c r="A4131" s="1" t="s">
        <v>11780</v>
      </c>
      <c r="B4131" s="1" t="s">
        <v>2440</v>
      </c>
      <c r="C4131" s="1" t="s">
        <v>11781</v>
      </c>
      <c r="D4131" s="1" t="s">
        <v>103</v>
      </c>
      <c r="E4131" s="1" t="s">
        <v>29</v>
      </c>
      <c r="F4131" s="5">
        <v>150000.0</v>
      </c>
      <c r="G4131" s="1" t="s">
        <v>7016</v>
      </c>
      <c r="H4131" s="1" t="s">
        <v>865</v>
      </c>
      <c r="I4131" s="4">
        <v>44717.0</v>
      </c>
      <c r="K4131" s="1">
        <v>0.0</v>
      </c>
      <c r="L4131" s="1" t="s">
        <v>3392</v>
      </c>
      <c r="M4131" s="1" t="str">
        <f>VLOOKUP(L4131,'Copy of PMD Workday Constants -'!B4130:W4816,22,false)</f>
        <v>#N/A</v>
      </c>
      <c r="N4131" s="1" t="s">
        <v>32</v>
      </c>
      <c r="O4131" s="1" t="s">
        <v>33</v>
      </c>
      <c r="P4131" s="1" t="s">
        <v>64</v>
      </c>
      <c r="Q4131" s="1" t="s">
        <v>64</v>
      </c>
      <c r="R4131" s="1" t="s">
        <v>65</v>
      </c>
      <c r="T4131" s="1">
        <v>1.00653021E8</v>
      </c>
      <c r="W4131" s="1" t="s">
        <v>2098</v>
      </c>
      <c r="X4131" s="1" t="s">
        <v>3392</v>
      </c>
    </row>
    <row r="4132">
      <c r="A4132" s="1" t="s">
        <v>11782</v>
      </c>
      <c r="B4132" s="1" t="s">
        <v>70</v>
      </c>
      <c r="C4132" s="1" t="s">
        <v>11783</v>
      </c>
      <c r="D4132" s="1" t="s">
        <v>28</v>
      </c>
      <c r="E4132" s="1" t="s">
        <v>29</v>
      </c>
      <c r="F4132" s="5">
        <v>150000.0</v>
      </c>
      <c r="G4132" s="1" t="s">
        <v>7016</v>
      </c>
      <c r="H4132" s="1" t="s">
        <v>9333</v>
      </c>
      <c r="I4132" s="1" t="s">
        <v>575</v>
      </c>
      <c r="K4132" s="1">
        <v>0.0</v>
      </c>
      <c r="L4132" s="1" t="s">
        <v>2042</v>
      </c>
      <c r="M4132" s="1" t="str">
        <f>VLOOKUP(L4132,'Copy of PMD Workday Constants -'!B4131:W4817,22,false)</f>
        <v>#N/A</v>
      </c>
      <c r="N4132" s="1" t="s">
        <v>32</v>
      </c>
      <c r="O4132" s="1" t="s">
        <v>33</v>
      </c>
      <c r="P4132" s="1" t="s">
        <v>34</v>
      </c>
      <c r="Q4132" s="1" t="s">
        <v>34</v>
      </c>
      <c r="R4132" s="1" t="s">
        <v>35</v>
      </c>
      <c r="S4132" s="1" t="s">
        <v>126</v>
      </c>
      <c r="T4132" s="1">
        <v>1.00611284E8</v>
      </c>
      <c r="W4132" s="1" t="s">
        <v>74</v>
      </c>
      <c r="X4132" s="1" t="s">
        <v>2042</v>
      </c>
    </row>
    <row r="4133">
      <c r="A4133" s="1" t="s">
        <v>11784</v>
      </c>
      <c r="B4133" s="1" t="s">
        <v>7154</v>
      </c>
      <c r="C4133" s="1" t="s">
        <v>11785</v>
      </c>
      <c r="D4133" s="1" t="s">
        <v>28</v>
      </c>
      <c r="E4133" s="1" t="s">
        <v>29</v>
      </c>
      <c r="F4133" s="5">
        <v>150000.0</v>
      </c>
      <c r="G4133" s="1" t="s">
        <v>7016</v>
      </c>
      <c r="H4133" s="4">
        <v>44685.0</v>
      </c>
      <c r="I4133" s="1" t="s">
        <v>152</v>
      </c>
      <c r="K4133" s="1">
        <v>0.0</v>
      </c>
      <c r="L4133" s="1" t="s">
        <v>7047</v>
      </c>
      <c r="M4133" s="1" t="str">
        <f>VLOOKUP(L4133,'Copy of PMD Workday Constants -'!B4132:W4818,22,false)</f>
        <v>#N/A</v>
      </c>
      <c r="N4133" s="1" t="s">
        <v>32</v>
      </c>
      <c r="O4133" s="1" t="s">
        <v>33</v>
      </c>
      <c r="P4133" s="1" t="s">
        <v>34</v>
      </c>
      <c r="Q4133" s="1" t="s">
        <v>34</v>
      </c>
      <c r="R4133" s="1" t="s">
        <v>35</v>
      </c>
      <c r="S4133" s="1" t="s">
        <v>1166</v>
      </c>
      <c r="T4133" s="1">
        <v>1.01090216E8</v>
      </c>
      <c r="W4133" s="1" t="s">
        <v>456</v>
      </c>
      <c r="X4133" s="1" t="s">
        <v>7108</v>
      </c>
    </row>
    <row r="4134">
      <c r="A4134" s="1" t="s">
        <v>11786</v>
      </c>
      <c r="B4134" s="1" t="s">
        <v>11787</v>
      </c>
      <c r="C4134" s="1" t="s">
        <v>11788</v>
      </c>
      <c r="D4134" s="1" t="s">
        <v>28</v>
      </c>
      <c r="E4134" s="1" t="s">
        <v>29</v>
      </c>
      <c r="F4134" s="5">
        <v>150000.0</v>
      </c>
      <c r="G4134" s="1" t="s">
        <v>7016</v>
      </c>
      <c r="H4134" s="1" t="s">
        <v>1708</v>
      </c>
      <c r="I4134" s="1" t="s">
        <v>217</v>
      </c>
      <c r="K4134" s="1">
        <v>0.0</v>
      </c>
      <c r="L4134" s="1" t="s">
        <v>11789</v>
      </c>
      <c r="M4134" s="1" t="str">
        <f>VLOOKUP(L4134,'Copy of PMD Workday Constants -'!B4133:W4819,22,false)</f>
        <v>#N/A</v>
      </c>
      <c r="N4134" s="1" t="s">
        <v>32</v>
      </c>
      <c r="O4134" s="1" t="s">
        <v>33</v>
      </c>
      <c r="P4134" s="1" t="s">
        <v>54</v>
      </c>
      <c r="Q4134" s="1" t="s">
        <v>54</v>
      </c>
      <c r="R4134" s="1" t="s">
        <v>55</v>
      </c>
      <c r="S4134" s="1" t="s">
        <v>701</v>
      </c>
      <c r="T4134" s="1">
        <v>1.01176139E8</v>
      </c>
      <c r="W4134" s="1" t="s">
        <v>74</v>
      </c>
      <c r="X4134" s="1" t="s">
        <v>11789</v>
      </c>
    </row>
    <row r="4135">
      <c r="A4135" s="1" t="s">
        <v>11790</v>
      </c>
      <c r="B4135" s="1" t="s">
        <v>11791</v>
      </c>
      <c r="C4135" s="1" t="s">
        <v>11792</v>
      </c>
      <c r="D4135" s="1" t="s">
        <v>79</v>
      </c>
      <c r="E4135" s="1" t="s">
        <v>29</v>
      </c>
      <c r="F4135" s="5">
        <v>150000.0</v>
      </c>
      <c r="G4135" s="1" t="s">
        <v>7016</v>
      </c>
      <c r="H4135" s="1" t="s">
        <v>466</v>
      </c>
      <c r="I4135" s="1" t="s">
        <v>301</v>
      </c>
      <c r="K4135" s="1">
        <v>0.0</v>
      </c>
      <c r="L4135" s="1" t="s">
        <v>2294</v>
      </c>
      <c r="M4135" s="1" t="str">
        <f>VLOOKUP(L4135,'Copy of PMD Workday Constants -'!B4134:W4820,22,false)</f>
        <v>#N/A</v>
      </c>
      <c r="N4135" s="1" t="s">
        <v>32</v>
      </c>
      <c r="O4135" s="1" t="s">
        <v>33</v>
      </c>
      <c r="P4135" s="1" t="s">
        <v>173</v>
      </c>
      <c r="Q4135" s="1" t="s">
        <v>173</v>
      </c>
      <c r="R4135" s="1" t="s">
        <v>174</v>
      </c>
      <c r="T4135" s="1">
        <v>1.00656722E8</v>
      </c>
      <c r="W4135" s="1" t="s">
        <v>140</v>
      </c>
      <c r="X4135" s="1" t="s">
        <v>2294</v>
      </c>
    </row>
    <row r="4136">
      <c r="A4136" s="1" t="s">
        <v>11793</v>
      </c>
      <c r="B4136" s="1" t="s">
        <v>521</v>
      </c>
      <c r="C4136" s="1" t="s">
        <v>11794</v>
      </c>
      <c r="D4136" s="1" t="s">
        <v>51</v>
      </c>
      <c r="E4136" s="1" t="s">
        <v>29</v>
      </c>
      <c r="F4136" s="5">
        <v>150000.0</v>
      </c>
      <c r="G4136" s="1" t="s">
        <v>7016</v>
      </c>
      <c r="H4136" s="4">
        <v>44656.0</v>
      </c>
      <c r="I4136" s="1" t="s">
        <v>2485</v>
      </c>
      <c r="K4136" s="1">
        <v>0.0</v>
      </c>
      <c r="L4136" s="1" t="s">
        <v>9909</v>
      </c>
      <c r="M4136" s="1" t="str">
        <f>VLOOKUP(L4136,'Copy of PMD Workday Constants -'!B4135:W4821,22,false)</f>
        <v>#N/A</v>
      </c>
      <c r="N4136" s="1" t="s">
        <v>32</v>
      </c>
      <c r="O4136" s="1" t="s">
        <v>33</v>
      </c>
      <c r="P4136" s="1" t="s">
        <v>34</v>
      </c>
      <c r="Q4136" s="1" t="s">
        <v>34</v>
      </c>
      <c r="R4136" s="1" t="s">
        <v>35</v>
      </c>
      <c r="T4136" s="1">
        <v>1.00608771E8</v>
      </c>
      <c r="W4136" s="1" t="s">
        <v>85</v>
      </c>
      <c r="X4136" s="1" t="s">
        <v>11795</v>
      </c>
    </row>
    <row r="4137">
      <c r="A4137" s="1" t="s">
        <v>11796</v>
      </c>
      <c r="B4137" s="1" t="s">
        <v>11797</v>
      </c>
      <c r="C4137" s="1" t="s">
        <v>11798</v>
      </c>
      <c r="D4137" s="1" t="s">
        <v>51</v>
      </c>
      <c r="E4137" s="1" t="s">
        <v>29</v>
      </c>
      <c r="F4137" s="5">
        <v>150000.0</v>
      </c>
      <c r="G4137" s="1" t="s">
        <v>7016</v>
      </c>
      <c r="H4137" s="1" t="s">
        <v>110</v>
      </c>
      <c r="I4137" s="1" t="s">
        <v>104</v>
      </c>
      <c r="K4137" s="1">
        <v>0.0</v>
      </c>
      <c r="L4137" s="1" t="s">
        <v>2955</v>
      </c>
      <c r="M4137" s="1" t="str">
        <f>VLOOKUP(L4137,'Copy of PMD Workday Constants -'!B4136:W4822,22,false)</f>
        <v>#N/A</v>
      </c>
      <c r="N4137" s="1" t="s">
        <v>32</v>
      </c>
      <c r="O4137" s="1" t="s">
        <v>33</v>
      </c>
      <c r="P4137" s="1" t="s">
        <v>34</v>
      </c>
      <c r="Q4137" s="1" t="s">
        <v>34</v>
      </c>
      <c r="R4137" s="1" t="s">
        <v>35</v>
      </c>
      <c r="T4137" s="1">
        <v>1.00589892E8</v>
      </c>
      <c r="W4137" s="1" t="s">
        <v>250</v>
      </c>
      <c r="X4137" s="1" t="s">
        <v>2955</v>
      </c>
    </row>
    <row r="4138">
      <c r="A4138" s="1" t="s">
        <v>11799</v>
      </c>
      <c r="B4138" s="1" t="s">
        <v>8738</v>
      </c>
      <c r="C4138" s="1" t="s">
        <v>11800</v>
      </c>
      <c r="D4138" s="1" t="s">
        <v>28</v>
      </c>
      <c r="E4138" s="1" t="s">
        <v>29</v>
      </c>
      <c r="F4138" s="5">
        <v>150000.0</v>
      </c>
      <c r="G4138" s="1" t="s">
        <v>7016</v>
      </c>
      <c r="H4138" s="1" t="s">
        <v>1474</v>
      </c>
      <c r="I4138" s="1" t="s">
        <v>80</v>
      </c>
      <c r="K4138" s="1">
        <v>0.0</v>
      </c>
      <c r="L4138" s="1" t="s">
        <v>5199</v>
      </c>
      <c r="M4138" s="1" t="str">
        <f>VLOOKUP(L4138,'Copy of PMD Workday Constants -'!B4137:W4823,22,false)</f>
        <v>#N/A</v>
      </c>
      <c r="N4138" s="1" t="s">
        <v>32</v>
      </c>
      <c r="O4138" s="1" t="s">
        <v>33</v>
      </c>
      <c r="P4138" s="1" t="s">
        <v>173</v>
      </c>
      <c r="Q4138" s="1" t="s">
        <v>173</v>
      </c>
      <c r="R4138" s="1" t="s">
        <v>174</v>
      </c>
      <c r="T4138" s="1">
        <v>1.00659846E8</v>
      </c>
      <c r="W4138" s="1" t="s">
        <v>250</v>
      </c>
      <c r="X4138" s="1" t="s">
        <v>5199</v>
      </c>
    </row>
    <row r="4139">
      <c r="A4139" s="1" t="s">
        <v>11801</v>
      </c>
      <c r="B4139" s="1" t="s">
        <v>304</v>
      </c>
      <c r="C4139" s="1" t="s">
        <v>11802</v>
      </c>
      <c r="D4139" s="1" t="s">
        <v>51</v>
      </c>
      <c r="E4139" s="1" t="s">
        <v>29</v>
      </c>
      <c r="F4139" s="5">
        <v>150000.0</v>
      </c>
      <c r="G4139" s="1" t="s">
        <v>7016</v>
      </c>
      <c r="H4139" s="1" t="s">
        <v>545</v>
      </c>
      <c r="I4139" s="1" t="s">
        <v>302</v>
      </c>
      <c r="K4139" s="1">
        <v>0.0</v>
      </c>
      <c r="L4139" s="1" t="s">
        <v>2343</v>
      </c>
      <c r="M4139" s="1" t="str">
        <f>VLOOKUP(L4139,'Copy of PMD Workday Constants -'!B4138:W4824,22,false)</f>
        <v>#N/A</v>
      </c>
      <c r="N4139" s="1" t="s">
        <v>32</v>
      </c>
      <c r="O4139" s="1" t="s">
        <v>33</v>
      </c>
      <c r="P4139" s="1" t="s">
        <v>222</v>
      </c>
      <c r="Q4139" s="1" t="s">
        <v>222</v>
      </c>
      <c r="R4139" s="1" t="s">
        <v>223</v>
      </c>
      <c r="S4139" s="1" t="s">
        <v>601</v>
      </c>
      <c r="T4139" s="1">
        <v>1.00619128E8</v>
      </c>
      <c r="W4139" s="1" t="s">
        <v>308</v>
      </c>
      <c r="X4139" s="1" t="s">
        <v>718</v>
      </c>
    </row>
    <row r="4140">
      <c r="A4140" s="1" t="s">
        <v>11803</v>
      </c>
      <c r="B4140" s="1" t="s">
        <v>11804</v>
      </c>
      <c r="C4140" s="1" t="s">
        <v>11805</v>
      </c>
      <c r="D4140" s="1" t="s">
        <v>103</v>
      </c>
      <c r="E4140" s="1" t="s">
        <v>29</v>
      </c>
      <c r="F4140" s="5">
        <v>150000.0</v>
      </c>
      <c r="G4140" s="1" t="s">
        <v>7016</v>
      </c>
      <c r="H4140" s="1" t="s">
        <v>5094</v>
      </c>
      <c r="I4140" s="1" t="s">
        <v>301</v>
      </c>
      <c r="K4140" s="1">
        <v>0.0</v>
      </c>
      <c r="L4140" s="1" t="s">
        <v>10851</v>
      </c>
      <c r="M4140" s="1" t="str">
        <f>VLOOKUP(L4140,'Copy of PMD Workday Constants -'!B4139:W4825,22,false)</f>
        <v>#N/A</v>
      </c>
      <c r="N4140" s="1" t="s">
        <v>32</v>
      </c>
      <c r="O4140" s="1" t="s">
        <v>33</v>
      </c>
      <c r="P4140" s="1" t="s">
        <v>222</v>
      </c>
      <c r="Q4140" s="1" t="s">
        <v>222</v>
      </c>
      <c r="R4140" s="1" t="s">
        <v>223</v>
      </c>
      <c r="S4140" s="1" t="s">
        <v>482</v>
      </c>
      <c r="T4140" s="1">
        <v>1.00592873E8</v>
      </c>
      <c r="W4140" s="1" t="s">
        <v>47</v>
      </c>
      <c r="X4140" s="1" t="s">
        <v>4218</v>
      </c>
    </row>
    <row r="4141">
      <c r="A4141" s="1" t="s">
        <v>11806</v>
      </c>
      <c r="B4141" s="1" t="s">
        <v>11807</v>
      </c>
      <c r="C4141" s="1" t="s">
        <v>11808</v>
      </c>
      <c r="D4141" s="1" t="s">
        <v>51</v>
      </c>
      <c r="E4141" s="1" t="s">
        <v>29</v>
      </c>
      <c r="F4141" s="5">
        <v>150000.0</v>
      </c>
      <c r="G4141" s="1" t="s">
        <v>7016</v>
      </c>
      <c r="H4141" s="1" t="s">
        <v>1220</v>
      </c>
      <c r="I4141" s="1" t="s">
        <v>152</v>
      </c>
      <c r="K4141" s="1">
        <v>0.0</v>
      </c>
      <c r="L4141" s="1" t="s">
        <v>2205</v>
      </c>
      <c r="M4141" s="1" t="str">
        <f>VLOOKUP(L4141,'Copy of PMD Workday Constants -'!B4140:W4826,22,false)</f>
        <v>#N/A</v>
      </c>
      <c r="N4141" s="1" t="s">
        <v>32</v>
      </c>
      <c r="O4141" s="1" t="s">
        <v>33</v>
      </c>
      <c r="P4141" s="1" t="s">
        <v>112</v>
      </c>
      <c r="Q4141" s="1" t="s">
        <v>112</v>
      </c>
      <c r="R4141" s="1" t="s">
        <v>113</v>
      </c>
      <c r="S4141" s="1" t="s">
        <v>307</v>
      </c>
      <c r="T4141" s="1">
        <v>1.0059365E8</v>
      </c>
      <c r="W4141" s="1" t="s">
        <v>947</v>
      </c>
      <c r="X4141" s="1" t="s">
        <v>2205</v>
      </c>
    </row>
    <row r="4142">
      <c r="A4142" s="1" t="s">
        <v>11809</v>
      </c>
      <c r="B4142" s="1" t="s">
        <v>11810</v>
      </c>
      <c r="C4142" s="1" t="s">
        <v>11811</v>
      </c>
      <c r="D4142" s="1" t="s">
        <v>79</v>
      </c>
      <c r="E4142" s="1" t="s">
        <v>29</v>
      </c>
      <c r="F4142" s="5">
        <v>150000.0</v>
      </c>
      <c r="G4142" s="1" t="s">
        <v>7016</v>
      </c>
      <c r="H4142" s="4">
        <v>44594.0</v>
      </c>
      <c r="I4142" s="1" t="s">
        <v>301</v>
      </c>
      <c r="K4142" s="1">
        <v>0.0</v>
      </c>
      <c r="L4142" s="1" t="s">
        <v>249</v>
      </c>
      <c r="M4142" s="1" t="str">
        <f>VLOOKUP(L4142,'Copy of PMD Workday Constants -'!B4141:W4827,22,false)</f>
        <v>#N/A</v>
      </c>
      <c r="N4142" s="1" t="s">
        <v>32</v>
      </c>
      <c r="O4142" s="1" t="s">
        <v>33</v>
      </c>
      <c r="P4142" s="1" t="s">
        <v>112</v>
      </c>
      <c r="Q4142" s="1" t="s">
        <v>112</v>
      </c>
      <c r="R4142" s="1" t="s">
        <v>113</v>
      </c>
      <c r="T4142" s="1">
        <v>1.00640433E8</v>
      </c>
      <c r="W4142" s="1" t="s">
        <v>308</v>
      </c>
      <c r="X4142" s="1" t="s">
        <v>8045</v>
      </c>
    </row>
    <row r="4143">
      <c r="A4143" s="1" t="s">
        <v>11812</v>
      </c>
      <c r="B4143" s="1" t="s">
        <v>1163</v>
      </c>
      <c r="C4143" s="1" t="s">
        <v>11813</v>
      </c>
      <c r="D4143" s="1" t="s">
        <v>28</v>
      </c>
      <c r="E4143" s="1" t="s">
        <v>29</v>
      </c>
      <c r="F4143" s="5">
        <v>150000.0</v>
      </c>
      <c r="G4143" s="1" t="s">
        <v>7016</v>
      </c>
      <c r="H4143" s="4">
        <v>44806.0</v>
      </c>
      <c r="I4143" s="4">
        <v>44779.0</v>
      </c>
      <c r="K4143" s="1">
        <v>0.0</v>
      </c>
      <c r="L4143" s="1" t="s">
        <v>3891</v>
      </c>
      <c r="M4143" s="1" t="str">
        <f>VLOOKUP(L4143,'Copy of PMD Workday Constants -'!B4142:W4828,22,false)</f>
        <v>#N/A</v>
      </c>
      <c r="N4143" s="1" t="s">
        <v>32</v>
      </c>
      <c r="O4143" s="1" t="s">
        <v>33</v>
      </c>
      <c r="P4143" s="1" t="s">
        <v>112</v>
      </c>
      <c r="Q4143" s="1" t="s">
        <v>112</v>
      </c>
      <c r="R4143" s="1" t="s">
        <v>113</v>
      </c>
      <c r="S4143" s="1" t="s">
        <v>114</v>
      </c>
      <c r="T4143" s="1">
        <v>1.00589299E8</v>
      </c>
      <c r="W4143" s="1" t="s">
        <v>147</v>
      </c>
      <c r="X4143" s="1" t="s">
        <v>5505</v>
      </c>
    </row>
    <row r="4144">
      <c r="A4144" s="1" t="s">
        <v>11814</v>
      </c>
      <c r="B4144" s="1" t="s">
        <v>11815</v>
      </c>
      <c r="C4144" s="1" t="s">
        <v>11816</v>
      </c>
      <c r="D4144" s="1" t="s">
        <v>51</v>
      </c>
      <c r="E4144" s="1" t="s">
        <v>29</v>
      </c>
      <c r="F4144" s="5">
        <v>150000.0</v>
      </c>
      <c r="G4144" s="1" t="s">
        <v>7016</v>
      </c>
      <c r="H4144" s="1" t="s">
        <v>283</v>
      </c>
      <c r="I4144" s="1" t="s">
        <v>302</v>
      </c>
      <c r="K4144" s="1">
        <v>0.0</v>
      </c>
      <c r="L4144" s="1" t="s">
        <v>3137</v>
      </c>
      <c r="M4144" s="1" t="str">
        <f>VLOOKUP(L4144,'Copy of PMD Workday Constants -'!B4143:W4829,22,false)</f>
        <v>#N/A</v>
      </c>
      <c r="N4144" s="1" t="s">
        <v>32</v>
      </c>
      <c r="O4144" s="1" t="s">
        <v>33</v>
      </c>
      <c r="P4144" s="1" t="s">
        <v>82</v>
      </c>
      <c r="Q4144" s="1" t="s">
        <v>82</v>
      </c>
      <c r="R4144" s="1" t="s">
        <v>83</v>
      </c>
      <c r="S4144" s="1" t="s">
        <v>180</v>
      </c>
      <c r="T4144" s="1">
        <v>1.00586452E8</v>
      </c>
      <c r="W4144" s="1" t="s">
        <v>85</v>
      </c>
      <c r="X4144" s="1" t="s">
        <v>5126</v>
      </c>
    </row>
    <row r="4145">
      <c r="A4145" s="1" t="s">
        <v>11817</v>
      </c>
      <c r="B4145" s="1" t="s">
        <v>7753</v>
      </c>
      <c r="C4145" s="1" t="s">
        <v>11818</v>
      </c>
      <c r="D4145" s="1" t="s">
        <v>103</v>
      </c>
      <c r="E4145" s="1" t="s">
        <v>29</v>
      </c>
      <c r="F4145" s="5">
        <v>150000.0</v>
      </c>
      <c r="G4145" s="1" t="s">
        <v>7016</v>
      </c>
      <c r="H4145" s="1" t="s">
        <v>7755</v>
      </c>
      <c r="I4145" s="1" t="s">
        <v>7756</v>
      </c>
      <c r="K4145" s="1">
        <v>0.0</v>
      </c>
      <c r="L4145" s="1" t="s">
        <v>198</v>
      </c>
      <c r="M4145" s="1" t="str">
        <f>VLOOKUP(L4145,'Copy of PMD Workday Constants -'!B4144:W4830,22,false)</f>
        <v>#N/A</v>
      </c>
      <c r="N4145" s="1" t="s">
        <v>32</v>
      </c>
      <c r="O4145" s="1" t="s">
        <v>33</v>
      </c>
      <c r="P4145" s="1" t="s">
        <v>82</v>
      </c>
      <c r="Q4145" s="1" t="s">
        <v>82</v>
      </c>
      <c r="R4145" s="1" t="s">
        <v>83</v>
      </c>
      <c r="S4145" s="1" t="s">
        <v>180</v>
      </c>
      <c r="T4145" s="1">
        <v>1.00590896E8</v>
      </c>
      <c r="W4145" s="1" t="s">
        <v>85</v>
      </c>
      <c r="X4145" s="1" t="s">
        <v>2311</v>
      </c>
    </row>
    <row r="4146">
      <c r="A4146" s="1" t="s">
        <v>11819</v>
      </c>
      <c r="B4146" s="1" t="s">
        <v>11820</v>
      </c>
      <c r="C4146" s="1" t="s">
        <v>11821</v>
      </c>
      <c r="D4146" s="1" t="s">
        <v>103</v>
      </c>
      <c r="E4146" s="1" t="s">
        <v>29</v>
      </c>
      <c r="F4146" s="5">
        <v>150000.0</v>
      </c>
      <c r="G4146" s="1" t="s">
        <v>7016</v>
      </c>
      <c r="H4146" s="1" t="s">
        <v>131</v>
      </c>
      <c r="I4146" s="1" t="s">
        <v>732</v>
      </c>
      <c r="K4146" s="1">
        <v>0.0</v>
      </c>
      <c r="L4146" s="1" t="s">
        <v>9612</v>
      </c>
      <c r="M4146" s="1" t="str">
        <f>VLOOKUP(L4146,'Copy of PMD Workday Constants -'!B4145:W4831,22,false)</f>
        <v>#N/A</v>
      </c>
      <c r="N4146" s="1" t="s">
        <v>32</v>
      </c>
      <c r="O4146" s="1" t="s">
        <v>33</v>
      </c>
      <c r="P4146" s="1" t="s">
        <v>82</v>
      </c>
      <c r="Q4146" s="1" t="s">
        <v>82</v>
      </c>
      <c r="R4146" s="1" t="s">
        <v>83</v>
      </c>
      <c r="S4146" s="1" t="s">
        <v>180</v>
      </c>
      <c r="T4146" s="1">
        <v>1.0059101E8</v>
      </c>
      <c r="W4146" s="1" t="s">
        <v>85</v>
      </c>
      <c r="X4146" s="1" t="s">
        <v>11822</v>
      </c>
    </row>
    <row r="4147">
      <c r="A4147" s="1" t="s">
        <v>11823</v>
      </c>
      <c r="B4147" s="1" t="s">
        <v>1546</v>
      </c>
      <c r="C4147" s="1" t="s">
        <v>11824</v>
      </c>
      <c r="D4147" s="1" t="s">
        <v>28</v>
      </c>
      <c r="E4147" s="1" t="s">
        <v>29</v>
      </c>
      <c r="F4147" s="5">
        <v>150000.0</v>
      </c>
      <c r="G4147" s="1" t="s">
        <v>7016</v>
      </c>
      <c r="H4147" s="1" t="s">
        <v>698</v>
      </c>
      <c r="I4147" s="1" t="s">
        <v>526</v>
      </c>
      <c r="K4147" s="1">
        <v>0.0</v>
      </c>
      <c r="L4147" s="1" t="s">
        <v>1549</v>
      </c>
      <c r="M4147" s="1" t="str">
        <f>VLOOKUP(L4147,'Copy of PMD Workday Constants -'!B4146:W4832,22,false)</f>
        <v>#N/A</v>
      </c>
      <c r="N4147" s="1" t="s">
        <v>32</v>
      </c>
      <c r="O4147" s="1" t="s">
        <v>33</v>
      </c>
      <c r="P4147" s="1" t="s">
        <v>173</v>
      </c>
      <c r="Q4147" s="1" t="s">
        <v>173</v>
      </c>
      <c r="R4147" s="1" t="s">
        <v>174</v>
      </c>
      <c r="S4147" s="1" t="s">
        <v>2055</v>
      </c>
      <c r="T4147" s="1">
        <v>1.00646908E8</v>
      </c>
      <c r="W4147" s="1" t="s">
        <v>1303</v>
      </c>
      <c r="X4147" s="1" t="s">
        <v>1549</v>
      </c>
    </row>
    <row r="4148">
      <c r="A4148" s="1" t="s">
        <v>11825</v>
      </c>
      <c r="B4148" s="1" t="s">
        <v>1631</v>
      </c>
      <c r="C4148" s="1" t="s">
        <v>11826</v>
      </c>
      <c r="D4148" s="1" t="s">
        <v>51</v>
      </c>
      <c r="E4148" s="1" t="s">
        <v>29</v>
      </c>
      <c r="F4148" s="5">
        <v>150000.0</v>
      </c>
      <c r="G4148" s="1" t="s">
        <v>7016</v>
      </c>
      <c r="H4148" s="4">
        <v>44626.0</v>
      </c>
      <c r="I4148" s="1" t="s">
        <v>132</v>
      </c>
      <c r="K4148" s="1">
        <v>0.0</v>
      </c>
      <c r="L4148" s="1" t="s">
        <v>499</v>
      </c>
      <c r="M4148" s="1" t="str">
        <f>VLOOKUP(L4148,'Copy of PMD Workday Constants -'!B4147:W4833,22,false)</f>
        <v>#N/A</v>
      </c>
      <c r="N4148" s="1" t="s">
        <v>32</v>
      </c>
      <c r="O4148" s="1" t="s">
        <v>33</v>
      </c>
      <c r="P4148" s="1" t="s">
        <v>34</v>
      </c>
      <c r="Q4148" s="1" t="s">
        <v>34</v>
      </c>
      <c r="R4148" s="1" t="s">
        <v>35</v>
      </c>
      <c r="T4148" s="1">
        <v>1.00627768E8</v>
      </c>
      <c r="W4148" s="1" t="s">
        <v>456</v>
      </c>
      <c r="X4148" s="1" t="s">
        <v>499</v>
      </c>
    </row>
    <row r="4149">
      <c r="A4149" s="1" t="s">
        <v>11827</v>
      </c>
      <c r="B4149" s="1" t="s">
        <v>3743</v>
      </c>
      <c r="C4149" s="1" t="s">
        <v>11828</v>
      </c>
      <c r="D4149" s="1" t="s">
        <v>28</v>
      </c>
      <c r="E4149" s="1" t="s">
        <v>29</v>
      </c>
      <c r="F4149" s="5">
        <v>150000.0</v>
      </c>
      <c r="G4149" s="1" t="s">
        <v>7016</v>
      </c>
      <c r="H4149" s="4">
        <v>44653.0</v>
      </c>
      <c r="I4149" s="1" t="s">
        <v>301</v>
      </c>
      <c r="K4149" s="1">
        <v>0.0</v>
      </c>
      <c r="L4149" s="1" t="s">
        <v>678</v>
      </c>
      <c r="M4149" s="1" t="str">
        <f>VLOOKUP(L4149,'Copy of PMD Workday Constants -'!B4148:W4834,22,false)</f>
        <v>#N/A</v>
      </c>
      <c r="N4149" s="1" t="s">
        <v>32</v>
      </c>
      <c r="O4149" s="1" t="s">
        <v>33</v>
      </c>
      <c r="P4149" s="1" t="s">
        <v>210</v>
      </c>
      <c r="Q4149" s="1" t="s">
        <v>210</v>
      </c>
      <c r="R4149" s="1" t="s">
        <v>211</v>
      </c>
      <c r="S4149" s="1" t="s">
        <v>416</v>
      </c>
      <c r="T4149" s="1">
        <v>1.00609073E8</v>
      </c>
      <c r="W4149" s="1" t="s">
        <v>56</v>
      </c>
      <c r="X4149" s="1" t="s">
        <v>9090</v>
      </c>
    </row>
    <row r="4150">
      <c r="A4150" s="1" t="s">
        <v>11829</v>
      </c>
      <c r="B4150" s="1" t="s">
        <v>11830</v>
      </c>
      <c r="C4150" s="1" t="s">
        <v>11831</v>
      </c>
      <c r="D4150" s="1" t="s">
        <v>51</v>
      </c>
      <c r="E4150" s="1" t="s">
        <v>29</v>
      </c>
      <c r="F4150" s="5">
        <v>150000.0</v>
      </c>
      <c r="G4150" s="1" t="s">
        <v>7016</v>
      </c>
      <c r="H4150" s="1" t="s">
        <v>131</v>
      </c>
      <c r="I4150" s="1" t="s">
        <v>104</v>
      </c>
      <c r="K4150" s="1">
        <v>0.0</v>
      </c>
      <c r="L4150" s="1" t="s">
        <v>5005</v>
      </c>
      <c r="M4150" s="1" t="str">
        <f>VLOOKUP(L4150,'Copy of PMD Workday Constants -'!B4149:W4835,22,false)</f>
        <v>#N/A</v>
      </c>
      <c r="N4150" s="1" t="s">
        <v>32</v>
      </c>
      <c r="O4150" s="1" t="s">
        <v>33</v>
      </c>
      <c r="P4150" s="1" t="s">
        <v>82</v>
      </c>
      <c r="Q4150" s="1" t="s">
        <v>82</v>
      </c>
      <c r="R4150" s="1" t="s">
        <v>83</v>
      </c>
      <c r="S4150" s="1" t="s">
        <v>180</v>
      </c>
      <c r="T4150" s="1">
        <v>1.00615814E8</v>
      </c>
      <c r="X4150" s="1" t="s">
        <v>11832</v>
      </c>
    </row>
    <row r="4151">
      <c r="A4151" s="1" t="s">
        <v>11833</v>
      </c>
      <c r="B4151" s="1" t="s">
        <v>3154</v>
      </c>
      <c r="C4151" s="1" t="s">
        <v>11834</v>
      </c>
      <c r="D4151" s="1" t="s">
        <v>28</v>
      </c>
      <c r="E4151" s="1" t="s">
        <v>29</v>
      </c>
      <c r="F4151" s="5">
        <v>150000.0</v>
      </c>
      <c r="G4151" s="1" t="s">
        <v>7016</v>
      </c>
      <c r="H4151" s="1" t="s">
        <v>9074</v>
      </c>
      <c r="I4151" s="1" t="s">
        <v>80</v>
      </c>
      <c r="K4151" s="1">
        <v>0.0</v>
      </c>
      <c r="L4151" s="1" t="s">
        <v>2703</v>
      </c>
      <c r="M4151" s="1" t="str">
        <f>VLOOKUP(L4151,'Copy of PMD Workday Constants -'!B4150:W4836,22,false)</f>
        <v>#N/A</v>
      </c>
      <c r="N4151" s="1" t="s">
        <v>32</v>
      </c>
      <c r="O4151" s="1" t="s">
        <v>33</v>
      </c>
      <c r="P4151" s="1" t="s">
        <v>34</v>
      </c>
      <c r="Q4151" s="1" t="s">
        <v>34</v>
      </c>
      <c r="R4151" s="1" t="s">
        <v>35</v>
      </c>
      <c r="S4151" s="1" t="s">
        <v>383</v>
      </c>
      <c r="T4151" s="1">
        <v>1.00866856E8</v>
      </c>
      <c r="W4151" s="1" t="s">
        <v>147</v>
      </c>
      <c r="X4151" s="1" t="s">
        <v>2703</v>
      </c>
    </row>
    <row r="4152">
      <c r="A4152" s="1" t="s">
        <v>11835</v>
      </c>
      <c r="B4152" s="1" t="s">
        <v>3122</v>
      </c>
      <c r="C4152" s="1" t="s">
        <v>11836</v>
      </c>
      <c r="D4152" s="1" t="s">
        <v>28</v>
      </c>
      <c r="E4152" s="1" t="s">
        <v>29</v>
      </c>
      <c r="F4152" s="5">
        <v>150000.0</v>
      </c>
      <c r="G4152" s="1" t="s">
        <v>7016</v>
      </c>
      <c r="H4152" s="1" t="s">
        <v>1455</v>
      </c>
      <c r="I4152" s="1" t="s">
        <v>699</v>
      </c>
      <c r="K4152" s="1">
        <v>0.0</v>
      </c>
      <c r="L4152" s="1" t="s">
        <v>956</v>
      </c>
      <c r="M4152" s="1" t="str">
        <f>VLOOKUP(L4152,'Copy of PMD Workday Constants -'!B4151:W4837,22,false)</f>
        <v>#N/A</v>
      </c>
      <c r="N4152" s="1" t="s">
        <v>32</v>
      </c>
      <c r="O4152" s="1" t="s">
        <v>33</v>
      </c>
      <c r="P4152" s="1" t="s">
        <v>173</v>
      </c>
      <c r="Q4152" s="1" t="s">
        <v>173</v>
      </c>
      <c r="R4152" s="1" t="s">
        <v>174</v>
      </c>
      <c r="S4152" s="1" t="s">
        <v>612</v>
      </c>
      <c r="T4152" s="1">
        <v>1.00623421E8</v>
      </c>
      <c r="W4152" s="1" t="s">
        <v>74</v>
      </c>
      <c r="X4152" s="1" t="s">
        <v>3124</v>
      </c>
    </row>
    <row r="4153">
      <c r="A4153" s="1" t="s">
        <v>11837</v>
      </c>
      <c r="B4153" s="1" t="s">
        <v>756</v>
      </c>
      <c r="C4153" s="1" t="s">
        <v>11838</v>
      </c>
      <c r="D4153" s="1" t="s">
        <v>28</v>
      </c>
      <c r="E4153" s="1" t="s">
        <v>29</v>
      </c>
      <c r="F4153" s="5">
        <v>150000.0</v>
      </c>
      <c r="G4153" s="1" t="s">
        <v>7016</v>
      </c>
      <c r="H4153" s="4">
        <v>44743.0</v>
      </c>
      <c r="I4153" s="1" t="s">
        <v>191</v>
      </c>
      <c r="K4153" s="1">
        <v>0.0</v>
      </c>
      <c r="L4153" s="1" t="s">
        <v>2734</v>
      </c>
      <c r="M4153" s="1" t="str">
        <f>VLOOKUP(L4153,'Copy of PMD Workday Constants -'!B4152:W4838,22,false)</f>
        <v>#N/A</v>
      </c>
      <c r="N4153" s="1" t="s">
        <v>32</v>
      </c>
      <c r="O4153" s="1" t="s">
        <v>33</v>
      </c>
      <c r="P4153" s="1" t="s">
        <v>222</v>
      </c>
      <c r="Q4153" s="1" t="s">
        <v>222</v>
      </c>
      <c r="R4153" s="1" t="s">
        <v>223</v>
      </c>
      <c r="T4153" s="1">
        <v>1.00630147E8</v>
      </c>
      <c r="W4153" s="1" t="s">
        <v>74</v>
      </c>
      <c r="X4153" s="1" t="s">
        <v>2734</v>
      </c>
    </row>
    <row r="4154">
      <c r="A4154" s="1" t="s">
        <v>11839</v>
      </c>
      <c r="B4154" s="1" t="s">
        <v>11840</v>
      </c>
      <c r="C4154" s="1" t="s">
        <v>10652</v>
      </c>
      <c r="D4154" s="1" t="s">
        <v>103</v>
      </c>
      <c r="E4154" s="1" t="s">
        <v>29</v>
      </c>
      <c r="F4154" s="5">
        <v>150000.0</v>
      </c>
      <c r="G4154" s="1" t="s">
        <v>7016</v>
      </c>
      <c r="H4154" s="4">
        <v>44512.0</v>
      </c>
      <c r="I4154" s="1" t="s">
        <v>104</v>
      </c>
      <c r="K4154" s="1">
        <v>0.0</v>
      </c>
      <c r="L4154" s="1" t="s">
        <v>10653</v>
      </c>
      <c r="M4154" s="1" t="str">
        <f>VLOOKUP(L4154,'Copy of PMD Workday Constants -'!B4153:W4839,22,false)</f>
        <v>#N/A</v>
      </c>
      <c r="N4154" s="1" t="s">
        <v>32</v>
      </c>
      <c r="O4154" s="1" t="s">
        <v>33</v>
      </c>
      <c r="P4154" s="1" t="s">
        <v>222</v>
      </c>
      <c r="Q4154" s="1" t="s">
        <v>222</v>
      </c>
      <c r="R4154" s="1" t="s">
        <v>223</v>
      </c>
      <c r="S4154" s="1" t="s">
        <v>482</v>
      </c>
      <c r="T4154" s="1">
        <v>1.01154609E8</v>
      </c>
      <c r="W4154" s="1" t="s">
        <v>74</v>
      </c>
      <c r="X4154" s="1" t="s">
        <v>3727</v>
      </c>
    </row>
    <row r="4155">
      <c r="A4155" s="1" t="s">
        <v>11841</v>
      </c>
      <c r="B4155" s="1" t="s">
        <v>168</v>
      </c>
      <c r="C4155" s="1" t="s">
        <v>11842</v>
      </c>
      <c r="D4155" s="1" t="s">
        <v>51</v>
      </c>
      <c r="E4155" s="1" t="s">
        <v>29</v>
      </c>
      <c r="F4155" s="5">
        <v>150000.0</v>
      </c>
      <c r="G4155" s="1" t="s">
        <v>7016</v>
      </c>
      <c r="H4155" s="1" t="s">
        <v>3443</v>
      </c>
      <c r="I4155" s="1" t="s">
        <v>104</v>
      </c>
      <c r="K4155" s="1">
        <v>0.0</v>
      </c>
      <c r="L4155" s="1" t="s">
        <v>172</v>
      </c>
      <c r="M4155" s="1" t="str">
        <f>VLOOKUP(L4155,'Copy of PMD Workday Constants -'!B4154:W4840,22,false)</f>
        <v>#N/A</v>
      </c>
      <c r="N4155" s="1" t="s">
        <v>32</v>
      </c>
      <c r="O4155" s="1" t="s">
        <v>33</v>
      </c>
      <c r="P4155" s="1" t="s">
        <v>173</v>
      </c>
      <c r="Q4155" s="1" t="s">
        <v>173</v>
      </c>
      <c r="R4155" s="1" t="s">
        <v>174</v>
      </c>
      <c r="T4155" s="1">
        <v>1.00619165E8</v>
      </c>
      <c r="W4155" s="1" t="s">
        <v>37</v>
      </c>
      <c r="X4155" s="1" t="s">
        <v>1554</v>
      </c>
    </row>
    <row r="4156">
      <c r="A4156" s="1" t="s">
        <v>11843</v>
      </c>
      <c r="B4156" s="1" t="s">
        <v>11844</v>
      </c>
      <c r="C4156" s="1" t="s">
        <v>11845</v>
      </c>
      <c r="D4156" s="1" t="s">
        <v>28</v>
      </c>
      <c r="E4156" s="1" t="s">
        <v>29</v>
      </c>
      <c r="F4156" s="5">
        <v>150000.0</v>
      </c>
      <c r="G4156" s="1" t="s">
        <v>7016</v>
      </c>
      <c r="H4156" s="1" t="s">
        <v>7400</v>
      </c>
      <c r="I4156" s="1" t="s">
        <v>865</v>
      </c>
      <c r="K4156" s="1">
        <v>0.0</v>
      </c>
      <c r="L4156" s="1" t="s">
        <v>2703</v>
      </c>
      <c r="M4156" s="1" t="str">
        <f>VLOOKUP(L4156,'Copy of PMD Workday Constants -'!B4155:W4841,22,false)</f>
        <v>#N/A</v>
      </c>
      <c r="N4156" s="1" t="s">
        <v>32</v>
      </c>
      <c r="O4156" s="1" t="s">
        <v>33</v>
      </c>
      <c r="P4156" s="1" t="s">
        <v>34</v>
      </c>
      <c r="Q4156" s="1" t="s">
        <v>34</v>
      </c>
      <c r="R4156" s="1" t="s">
        <v>35</v>
      </c>
      <c r="S4156" s="1" t="s">
        <v>383</v>
      </c>
      <c r="T4156" s="1">
        <v>1.00866856E8</v>
      </c>
      <c r="W4156" s="1" t="s">
        <v>147</v>
      </c>
      <c r="X4156" s="1" t="s">
        <v>2703</v>
      </c>
    </row>
    <row r="4157">
      <c r="A4157" s="1" t="s">
        <v>11846</v>
      </c>
      <c r="B4157" s="1" t="s">
        <v>11847</v>
      </c>
      <c r="C4157" s="1" t="s">
        <v>11848</v>
      </c>
      <c r="D4157" s="1" t="s">
        <v>51</v>
      </c>
      <c r="E4157" s="1" t="s">
        <v>29</v>
      </c>
      <c r="F4157" s="5">
        <v>150000.0</v>
      </c>
      <c r="G4157" s="1" t="s">
        <v>7016</v>
      </c>
      <c r="H4157" s="1" t="s">
        <v>569</v>
      </c>
      <c r="I4157" s="1" t="s">
        <v>1134</v>
      </c>
      <c r="K4157" s="1">
        <v>0.0</v>
      </c>
      <c r="L4157" s="1" t="s">
        <v>11849</v>
      </c>
      <c r="M4157" s="1" t="str">
        <f>VLOOKUP(L4157,'Copy of PMD Workday Constants -'!B4156:W4842,22,false)</f>
        <v>#N/A</v>
      </c>
      <c r="N4157" s="1" t="s">
        <v>32</v>
      </c>
      <c r="O4157" s="1" t="s">
        <v>33</v>
      </c>
      <c r="P4157" s="1" t="s">
        <v>54</v>
      </c>
      <c r="Q4157" s="1" t="s">
        <v>54</v>
      </c>
      <c r="R4157" s="1" t="s">
        <v>55</v>
      </c>
      <c r="S4157" s="1" t="s">
        <v>1457</v>
      </c>
      <c r="T4157" s="1">
        <v>1.00624248E8</v>
      </c>
      <c r="W4157" s="1" t="s">
        <v>85</v>
      </c>
      <c r="X4157" s="1" t="s">
        <v>8925</v>
      </c>
    </row>
    <row r="4158">
      <c r="A4158" s="1" t="s">
        <v>11850</v>
      </c>
      <c r="B4158" s="1" t="s">
        <v>7899</v>
      </c>
      <c r="C4158" s="1" t="s">
        <v>11851</v>
      </c>
      <c r="D4158" s="1" t="s">
        <v>103</v>
      </c>
      <c r="E4158" s="1" t="s">
        <v>29</v>
      </c>
      <c r="F4158" s="5">
        <v>150000.0</v>
      </c>
      <c r="G4158" s="1" t="s">
        <v>7016</v>
      </c>
      <c r="H4158" s="1" t="s">
        <v>2290</v>
      </c>
      <c r="I4158" s="1" t="s">
        <v>699</v>
      </c>
      <c r="K4158" s="1">
        <v>0.0</v>
      </c>
      <c r="L4158" s="1" t="s">
        <v>2699</v>
      </c>
      <c r="M4158" s="1" t="str">
        <f>VLOOKUP(L4158,'Copy of PMD Workday Constants -'!B4157:W4843,22,false)</f>
        <v>#N/A</v>
      </c>
      <c r="N4158" s="1" t="s">
        <v>32</v>
      </c>
      <c r="O4158" s="1" t="s">
        <v>33</v>
      </c>
      <c r="P4158" s="1" t="s">
        <v>34</v>
      </c>
      <c r="Q4158" s="1" t="s">
        <v>34</v>
      </c>
      <c r="R4158" s="1" t="s">
        <v>35</v>
      </c>
      <c r="S4158" s="1" t="s">
        <v>126</v>
      </c>
      <c r="T4158" s="1">
        <v>1.00610367E8</v>
      </c>
      <c r="W4158" s="1" t="s">
        <v>74</v>
      </c>
      <c r="X4158" s="1" t="s">
        <v>3038</v>
      </c>
    </row>
    <row r="4159">
      <c r="A4159" s="1" t="s">
        <v>11852</v>
      </c>
      <c r="B4159" s="1" t="s">
        <v>1062</v>
      </c>
      <c r="C4159" s="1" t="s">
        <v>11853</v>
      </c>
      <c r="D4159" s="1" t="s">
        <v>51</v>
      </c>
      <c r="E4159" s="1" t="s">
        <v>29</v>
      </c>
      <c r="F4159" s="5">
        <v>150000.0</v>
      </c>
      <c r="G4159" s="1" t="s">
        <v>7016</v>
      </c>
      <c r="H4159" s="1" t="s">
        <v>2290</v>
      </c>
      <c r="I4159" s="1" t="s">
        <v>152</v>
      </c>
      <c r="K4159" s="1">
        <v>0.0</v>
      </c>
      <c r="L4159" s="1" t="s">
        <v>1065</v>
      </c>
      <c r="M4159" s="1" t="str">
        <f>VLOOKUP(L4159,'Copy of PMD Workday Constants -'!B4158:W4844,22,false)</f>
        <v>#N/A</v>
      </c>
      <c r="N4159" s="1" t="s">
        <v>32</v>
      </c>
      <c r="O4159" s="1" t="s">
        <v>33</v>
      </c>
      <c r="P4159" s="1" t="s">
        <v>173</v>
      </c>
      <c r="Q4159" s="1" t="s">
        <v>173</v>
      </c>
      <c r="R4159" s="1" t="s">
        <v>174</v>
      </c>
      <c r="S4159" s="1" t="s">
        <v>134</v>
      </c>
      <c r="T4159" s="1">
        <v>1.00594872E8</v>
      </c>
      <c r="W4159" s="1" t="s">
        <v>493</v>
      </c>
      <c r="X4159" s="1" t="s">
        <v>1711</v>
      </c>
    </row>
    <row r="4160">
      <c r="A4160" s="1" t="s">
        <v>11854</v>
      </c>
      <c r="B4160" s="1" t="s">
        <v>5270</v>
      </c>
      <c r="C4160" s="1" t="s">
        <v>11855</v>
      </c>
      <c r="D4160" s="1" t="s">
        <v>51</v>
      </c>
      <c r="E4160" s="1" t="s">
        <v>29</v>
      </c>
      <c r="F4160" s="5">
        <v>150000.0</v>
      </c>
      <c r="G4160" s="1" t="s">
        <v>7016</v>
      </c>
      <c r="H4160" s="4">
        <v>44897.0</v>
      </c>
      <c r="I4160" s="1" t="s">
        <v>732</v>
      </c>
      <c r="K4160" s="1">
        <v>0.0</v>
      </c>
      <c r="L4160" s="1" t="s">
        <v>11856</v>
      </c>
      <c r="M4160" s="1" t="str">
        <f>VLOOKUP(L4160,'Copy of PMD Workday Constants -'!B4159:W4845,22,false)</f>
        <v>#N/A</v>
      </c>
      <c r="N4160" s="1" t="s">
        <v>32</v>
      </c>
      <c r="O4160" s="1" t="s">
        <v>33</v>
      </c>
      <c r="P4160" s="1" t="s">
        <v>173</v>
      </c>
      <c r="Q4160" s="1" t="s">
        <v>173</v>
      </c>
      <c r="R4160" s="1" t="s">
        <v>174</v>
      </c>
      <c r="T4160" s="1">
        <v>1.00609381E8</v>
      </c>
      <c r="U4160" s="1" t="s">
        <v>11857</v>
      </c>
      <c r="V4160" s="1" t="s">
        <v>187</v>
      </c>
      <c r="W4160" s="1" t="s">
        <v>74</v>
      </c>
      <c r="X4160" s="1" t="s">
        <v>8736</v>
      </c>
    </row>
    <row r="4161">
      <c r="A4161" s="1" t="s">
        <v>11858</v>
      </c>
      <c r="B4161" s="1" t="s">
        <v>5012</v>
      </c>
      <c r="C4161" s="1" t="s">
        <v>11859</v>
      </c>
      <c r="D4161" s="1" t="s">
        <v>28</v>
      </c>
      <c r="E4161" s="1" t="s">
        <v>29</v>
      </c>
      <c r="F4161" s="5">
        <v>150000.0</v>
      </c>
      <c r="G4161" s="1" t="s">
        <v>7016</v>
      </c>
      <c r="H4161" s="4">
        <v>44867.0</v>
      </c>
      <c r="I4161" s="1" t="s">
        <v>1528</v>
      </c>
      <c r="K4161" s="1">
        <v>0.0</v>
      </c>
      <c r="L4161" s="1" t="s">
        <v>3617</v>
      </c>
      <c r="M4161" s="1" t="str">
        <f>VLOOKUP(L4161,'Copy of PMD Workday Constants -'!B4160:W4846,22,false)</f>
        <v>#N/A</v>
      </c>
      <c r="N4161" s="1" t="s">
        <v>32</v>
      </c>
      <c r="O4161" s="1" t="s">
        <v>33</v>
      </c>
      <c r="P4161" s="1" t="s">
        <v>173</v>
      </c>
      <c r="Q4161" s="1" t="s">
        <v>173</v>
      </c>
      <c r="R4161" s="1" t="s">
        <v>174</v>
      </c>
      <c r="T4161" s="1">
        <v>1.00574828E8</v>
      </c>
      <c r="W4161" s="1" t="s">
        <v>85</v>
      </c>
      <c r="X4161" s="1" t="s">
        <v>5014</v>
      </c>
    </row>
    <row r="4162">
      <c r="A4162" s="1" t="s">
        <v>11860</v>
      </c>
      <c r="B4162" s="1" t="s">
        <v>11861</v>
      </c>
      <c r="C4162" s="1" t="s">
        <v>11862</v>
      </c>
      <c r="D4162" s="1" t="s">
        <v>51</v>
      </c>
      <c r="E4162" s="1" t="s">
        <v>29</v>
      </c>
      <c r="F4162" s="5">
        <v>150000.0</v>
      </c>
      <c r="G4162" s="1" t="s">
        <v>7016</v>
      </c>
      <c r="H4162" s="1" t="s">
        <v>1005</v>
      </c>
      <c r="I4162" s="1" t="s">
        <v>80</v>
      </c>
      <c r="K4162" s="1">
        <v>0.0</v>
      </c>
      <c r="L4162" s="1" t="s">
        <v>2013</v>
      </c>
      <c r="M4162" s="1" t="str">
        <f>VLOOKUP(L4162,'Copy of PMD Workday Constants -'!B4161:W4847,22,false)</f>
        <v>#N/A</v>
      </c>
      <c r="N4162" s="1" t="s">
        <v>32</v>
      </c>
      <c r="O4162" s="1" t="s">
        <v>33</v>
      </c>
      <c r="P4162" s="1" t="s">
        <v>222</v>
      </c>
      <c r="Q4162" s="1" t="s">
        <v>222</v>
      </c>
      <c r="R4162" s="1" t="s">
        <v>223</v>
      </c>
      <c r="S4162" s="1" t="s">
        <v>482</v>
      </c>
      <c r="T4162" s="1">
        <v>1.00596618E8</v>
      </c>
      <c r="W4162" s="1" t="s">
        <v>56</v>
      </c>
      <c r="X4162" s="1" t="s">
        <v>11863</v>
      </c>
    </row>
    <row r="4163">
      <c r="A4163" s="1" t="s">
        <v>11864</v>
      </c>
      <c r="B4163" s="1" t="s">
        <v>489</v>
      </c>
      <c r="C4163" s="1" t="s">
        <v>11865</v>
      </c>
      <c r="D4163" s="1" t="s">
        <v>51</v>
      </c>
      <c r="E4163" s="1" t="s">
        <v>29</v>
      </c>
      <c r="F4163" s="5">
        <v>150000.0</v>
      </c>
      <c r="G4163" s="1" t="s">
        <v>7016</v>
      </c>
      <c r="H4163" s="4">
        <v>44626.0</v>
      </c>
      <c r="I4163" s="1" t="s">
        <v>96</v>
      </c>
      <c r="K4163" s="1">
        <v>0.0</v>
      </c>
      <c r="L4163" s="1" t="s">
        <v>847</v>
      </c>
      <c r="M4163" s="1" t="str">
        <f>VLOOKUP(L4163,'Copy of PMD Workday Constants -'!B4162:W4848,22,false)</f>
        <v>#N/A</v>
      </c>
      <c r="N4163" s="1" t="s">
        <v>32</v>
      </c>
      <c r="O4163" s="1" t="s">
        <v>33</v>
      </c>
      <c r="P4163" s="1" t="s">
        <v>173</v>
      </c>
      <c r="Q4163" s="1" t="s">
        <v>173</v>
      </c>
      <c r="R4163" s="1" t="s">
        <v>174</v>
      </c>
      <c r="T4163" s="1">
        <v>1.00586701E8</v>
      </c>
      <c r="W4163" s="1" t="s">
        <v>493</v>
      </c>
      <c r="X4163" s="1" t="s">
        <v>2034</v>
      </c>
    </row>
    <row r="4164">
      <c r="A4164" s="1" t="s">
        <v>11866</v>
      </c>
      <c r="B4164" s="1" t="s">
        <v>776</v>
      </c>
      <c r="C4164" s="1" t="s">
        <v>11867</v>
      </c>
      <c r="D4164" s="1" t="s">
        <v>28</v>
      </c>
      <c r="E4164" s="1" t="s">
        <v>29</v>
      </c>
      <c r="F4164" s="5">
        <v>150000.0</v>
      </c>
      <c r="G4164" s="1" t="s">
        <v>7016</v>
      </c>
      <c r="H4164" s="1" t="s">
        <v>4103</v>
      </c>
      <c r="I4164" s="1" t="s">
        <v>166</v>
      </c>
      <c r="K4164" s="1">
        <v>0.0</v>
      </c>
      <c r="L4164" s="1" t="s">
        <v>2547</v>
      </c>
      <c r="M4164" s="1" t="str">
        <f>VLOOKUP(L4164,'Copy of PMD Workday Constants -'!B4163:W4849,22,false)</f>
        <v>#N/A</v>
      </c>
      <c r="N4164" s="1" t="s">
        <v>32</v>
      </c>
      <c r="O4164" s="1" t="s">
        <v>33</v>
      </c>
      <c r="P4164" s="1" t="s">
        <v>64</v>
      </c>
      <c r="Q4164" s="1" t="s">
        <v>64</v>
      </c>
      <c r="R4164" s="1" t="s">
        <v>65</v>
      </c>
      <c r="S4164" s="1" t="s">
        <v>185</v>
      </c>
      <c r="T4164" s="1">
        <v>1.00592932E8</v>
      </c>
      <c r="W4164" s="1" t="s">
        <v>74</v>
      </c>
      <c r="X4164" s="1" t="s">
        <v>2547</v>
      </c>
    </row>
    <row r="4165">
      <c r="A4165" s="1" t="s">
        <v>11868</v>
      </c>
      <c r="B4165" s="1" t="s">
        <v>11869</v>
      </c>
      <c r="C4165" s="1" t="s">
        <v>11870</v>
      </c>
      <c r="D4165" s="1" t="s">
        <v>51</v>
      </c>
      <c r="E4165" s="1" t="s">
        <v>29</v>
      </c>
      <c r="F4165" s="5">
        <v>150000.0</v>
      </c>
      <c r="G4165" s="1" t="s">
        <v>7016</v>
      </c>
      <c r="H4165" s="1" t="s">
        <v>110</v>
      </c>
      <c r="I4165" s="1" t="s">
        <v>152</v>
      </c>
      <c r="K4165" s="1">
        <v>0.0</v>
      </c>
      <c r="L4165" s="1" t="s">
        <v>1242</v>
      </c>
      <c r="M4165" s="1" t="str">
        <f>VLOOKUP(L4165,'Copy of PMD Workday Constants -'!B4164:W4850,22,false)</f>
        <v>#N/A</v>
      </c>
      <c r="N4165" s="1" t="s">
        <v>32</v>
      </c>
      <c r="O4165" s="1" t="s">
        <v>33</v>
      </c>
      <c r="P4165" s="1" t="s">
        <v>34</v>
      </c>
      <c r="Q4165" s="1" t="s">
        <v>34</v>
      </c>
      <c r="R4165" s="1" t="s">
        <v>35</v>
      </c>
      <c r="T4165" s="1">
        <v>1.00626898E8</v>
      </c>
      <c r="W4165" s="1" t="s">
        <v>140</v>
      </c>
      <c r="X4165" s="1" t="s">
        <v>1242</v>
      </c>
    </row>
    <row r="4166">
      <c r="A4166" s="1" t="s">
        <v>11871</v>
      </c>
      <c r="B4166" s="1" t="s">
        <v>1163</v>
      </c>
      <c r="C4166" s="1" t="s">
        <v>11872</v>
      </c>
      <c r="D4166" s="1" t="s">
        <v>28</v>
      </c>
      <c r="E4166" s="1" t="s">
        <v>29</v>
      </c>
      <c r="F4166" s="5">
        <v>150000.0</v>
      </c>
      <c r="G4166" s="1" t="s">
        <v>7016</v>
      </c>
      <c r="H4166" s="4">
        <v>44775.0</v>
      </c>
      <c r="I4166" s="1" t="s">
        <v>1141</v>
      </c>
      <c r="K4166" s="1">
        <v>0.0</v>
      </c>
      <c r="L4166" s="1" t="s">
        <v>1165</v>
      </c>
      <c r="M4166" s="1" t="str">
        <f>VLOOKUP(L4166,'Copy of PMD Workday Constants -'!B4165:W4851,22,false)</f>
        <v>#N/A</v>
      </c>
      <c r="N4166" s="1" t="s">
        <v>32</v>
      </c>
      <c r="O4166" s="1" t="s">
        <v>33</v>
      </c>
      <c r="P4166" s="1" t="s">
        <v>34</v>
      </c>
      <c r="Q4166" s="1" t="s">
        <v>34</v>
      </c>
      <c r="R4166" s="1" t="s">
        <v>35</v>
      </c>
      <c r="S4166" s="1" t="s">
        <v>1166</v>
      </c>
      <c r="T4166" s="1">
        <v>1.00586863E8</v>
      </c>
      <c r="W4166" s="1" t="s">
        <v>147</v>
      </c>
      <c r="X4166" s="1" t="s">
        <v>5505</v>
      </c>
    </row>
    <row r="4167">
      <c r="A4167" s="1" t="s">
        <v>11873</v>
      </c>
      <c r="B4167" s="1" t="s">
        <v>970</v>
      </c>
      <c r="C4167" s="1" t="s">
        <v>11874</v>
      </c>
      <c r="D4167" s="1" t="s">
        <v>28</v>
      </c>
      <c r="E4167" s="1" t="s">
        <v>29</v>
      </c>
      <c r="F4167" s="5">
        <v>150000.0</v>
      </c>
      <c r="G4167" s="1" t="s">
        <v>7016</v>
      </c>
      <c r="H4167" s="4">
        <v>44442.0</v>
      </c>
      <c r="I4167" s="1" t="s">
        <v>302</v>
      </c>
      <c r="K4167" s="1">
        <v>0.0</v>
      </c>
      <c r="L4167" s="1" t="s">
        <v>4112</v>
      </c>
      <c r="M4167" s="1" t="str">
        <f>VLOOKUP(L4167,'Copy of PMD Workday Constants -'!B4166:W4852,22,false)</f>
        <v>#N/A</v>
      </c>
      <c r="N4167" s="1" t="s">
        <v>32</v>
      </c>
      <c r="O4167" s="1" t="s">
        <v>33</v>
      </c>
      <c r="P4167" s="1" t="s">
        <v>34</v>
      </c>
      <c r="Q4167" s="1" t="s">
        <v>34</v>
      </c>
      <c r="R4167" s="1" t="s">
        <v>35</v>
      </c>
      <c r="S4167" s="1" t="s">
        <v>126</v>
      </c>
      <c r="T4167" s="1">
        <v>1.00584558E8</v>
      </c>
      <c r="W4167" s="1" t="s">
        <v>308</v>
      </c>
      <c r="X4167" s="1" t="s">
        <v>2197</v>
      </c>
    </row>
    <row r="4168">
      <c r="A4168" s="1" t="s">
        <v>11875</v>
      </c>
      <c r="B4168" s="1" t="s">
        <v>11876</v>
      </c>
      <c r="C4168" s="1" t="s">
        <v>11877</v>
      </c>
      <c r="D4168" s="1" t="s">
        <v>103</v>
      </c>
      <c r="E4168" s="1" t="s">
        <v>29</v>
      </c>
      <c r="F4168" s="5">
        <v>150000.0</v>
      </c>
      <c r="G4168" s="1" t="s">
        <v>7016</v>
      </c>
      <c r="H4168" s="1" t="s">
        <v>9626</v>
      </c>
      <c r="I4168" s="1" t="s">
        <v>80</v>
      </c>
      <c r="K4168" s="1">
        <v>0.0</v>
      </c>
      <c r="L4168" s="1" t="s">
        <v>10851</v>
      </c>
      <c r="M4168" s="1" t="str">
        <f>VLOOKUP(L4168,'Copy of PMD Workday Constants -'!B4167:W4853,22,false)</f>
        <v>#N/A</v>
      </c>
      <c r="N4168" s="1" t="s">
        <v>32</v>
      </c>
      <c r="O4168" s="1" t="s">
        <v>33</v>
      </c>
      <c r="P4168" s="1" t="s">
        <v>222</v>
      </c>
      <c r="Q4168" s="1" t="s">
        <v>222</v>
      </c>
      <c r="R4168" s="1" t="s">
        <v>223</v>
      </c>
      <c r="S4168" s="1" t="s">
        <v>482</v>
      </c>
      <c r="T4168" s="1">
        <v>1.00592873E8</v>
      </c>
      <c r="W4168" s="1" t="s">
        <v>115</v>
      </c>
      <c r="X4168" s="1" t="s">
        <v>11738</v>
      </c>
    </row>
    <row r="4169">
      <c r="A4169" s="1" t="s">
        <v>11878</v>
      </c>
      <c r="B4169" s="1" t="s">
        <v>1596</v>
      </c>
      <c r="C4169" s="1" t="s">
        <v>11879</v>
      </c>
      <c r="D4169" s="1" t="s">
        <v>28</v>
      </c>
      <c r="E4169" s="1" t="s">
        <v>29</v>
      </c>
      <c r="F4169" s="5">
        <v>150000.0</v>
      </c>
      <c r="G4169" s="1" t="s">
        <v>7016</v>
      </c>
      <c r="H4169" s="4">
        <v>44899.0</v>
      </c>
      <c r="I4169" s="1" t="s">
        <v>264</v>
      </c>
      <c r="K4169" s="1">
        <v>0.0</v>
      </c>
      <c r="L4169" s="1" t="s">
        <v>999</v>
      </c>
      <c r="M4169" s="1" t="str">
        <f>VLOOKUP(L4169,'Copy of PMD Workday Constants -'!B4168:W4854,22,false)</f>
        <v>#N/A</v>
      </c>
      <c r="N4169" s="1" t="s">
        <v>32</v>
      </c>
      <c r="O4169" s="1" t="s">
        <v>33</v>
      </c>
      <c r="P4169" s="1" t="s">
        <v>112</v>
      </c>
      <c r="Q4169" s="1" t="s">
        <v>112</v>
      </c>
      <c r="R4169" s="1" t="s">
        <v>113</v>
      </c>
      <c r="S4169" s="1" t="s">
        <v>307</v>
      </c>
      <c r="T4169" s="1">
        <v>1.00623453E8</v>
      </c>
      <c r="W4169" s="1" t="s">
        <v>391</v>
      </c>
      <c r="X4169" s="1" t="s">
        <v>2660</v>
      </c>
    </row>
    <row r="4170">
      <c r="A4170" s="1" t="s">
        <v>11880</v>
      </c>
      <c r="B4170" s="1" t="s">
        <v>3646</v>
      </c>
      <c r="C4170" s="1" t="s">
        <v>11881</v>
      </c>
      <c r="D4170" s="1" t="s">
        <v>28</v>
      </c>
      <c r="E4170" s="1" t="s">
        <v>29</v>
      </c>
      <c r="F4170" s="5">
        <v>150000.0</v>
      </c>
      <c r="G4170" s="1" t="s">
        <v>7016</v>
      </c>
      <c r="H4170" s="4">
        <v>44235.0</v>
      </c>
      <c r="I4170" s="1" t="s">
        <v>1470</v>
      </c>
      <c r="K4170" s="1">
        <v>0.0</v>
      </c>
      <c r="L4170" s="1" t="s">
        <v>1049</v>
      </c>
      <c r="M4170" s="1" t="str">
        <f>VLOOKUP(L4170,'Copy of PMD Workday Constants -'!B4169:W4855,22,false)</f>
        <v>#N/A</v>
      </c>
      <c r="N4170" s="1" t="s">
        <v>32</v>
      </c>
      <c r="O4170" s="1" t="s">
        <v>33</v>
      </c>
      <c r="P4170" s="1" t="s">
        <v>210</v>
      </c>
      <c r="Q4170" s="1" t="s">
        <v>210</v>
      </c>
      <c r="R4170" s="1" t="s">
        <v>211</v>
      </c>
      <c r="S4170" s="1" t="s">
        <v>297</v>
      </c>
      <c r="T4170" s="1">
        <v>1.00650344E8</v>
      </c>
      <c r="W4170" s="1" t="s">
        <v>258</v>
      </c>
      <c r="X4170" s="1" t="s">
        <v>3287</v>
      </c>
    </row>
    <row r="4171">
      <c r="A4171" s="1" t="s">
        <v>11882</v>
      </c>
      <c r="B4171" s="1" t="s">
        <v>615</v>
      </c>
      <c r="C4171" s="1" t="s">
        <v>11883</v>
      </c>
      <c r="D4171" s="1" t="s">
        <v>28</v>
      </c>
      <c r="E4171" s="1" t="s">
        <v>29</v>
      </c>
      <c r="F4171" s="5">
        <v>150000.0</v>
      </c>
      <c r="G4171" s="1" t="s">
        <v>7016</v>
      </c>
      <c r="H4171" s="1" t="s">
        <v>1474</v>
      </c>
      <c r="I4171" s="1" t="s">
        <v>132</v>
      </c>
      <c r="K4171" s="1">
        <v>0.0</v>
      </c>
      <c r="L4171" s="1" t="s">
        <v>618</v>
      </c>
      <c r="M4171" s="1" t="str">
        <f>VLOOKUP(L4171,'Copy of PMD Workday Constants -'!B4170:W4856,22,false)</f>
        <v>#N/A</v>
      </c>
      <c r="N4171" s="1" t="s">
        <v>32</v>
      </c>
      <c r="O4171" s="1" t="s">
        <v>33</v>
      </c>
      <c r="P4171" s="1" t="s">
        <v>173</v>
      </c>
      <c r="Q4171" s="1" t="s">
        <v>173</v>
      </c>
      <c r="R4171" s="1" t="s">
        <v>174</v>
      </c>
      <c r="T4171" s="1">
        <v>1.00591141E8</v>
      </c>
      <c r="W4171" s="1" t="s">
        <v>74</v>
      </c>
      <c r="X4171" s="1" t="s">
        <v>5288</v>
      </c>
    </row>
    <row r="4172">
      <c r="A4172" s="1" t="s">
        <v>11884</v>
      </c>
      <c r="B4172" s="1" t="s">
        <v>2129</v>
      </c>
      <c r="C4172" s="1" t="s">
        <v>11885</v>
      </c>
      <c r="D4172" s="1" t="s">
        <v>103</v>
      </c>
      <c r="E4172" s="1" t="s">
        <v>29</v>
      </c>
      <c r="F4172" s="5">
        <v>150000.0</v>
      </c>
      <c r="G4172" s="1" t="s">
        <v>7016</v>
      </c>
      <c r="H4172" s="1" t="s">
        <v>1474</v>
      </c>
      <c r="I4172" s="1" t="s">
        <v>80</v>
      </c>
      <c r="K4172" s="1">
        <v>0.0</v>
      </c>
      <c r="L4172" s="1" t="s">
        <v>9456</v>
      </c>
      <c r="M4172" s="1" t="str">
        <f>VLOOKUP(L4172,'Copy of PMD Workday Constants -'!B4171:W4857,22,false)</f>
        <v>#N/A</v>
      </c>
      <c r="N4172" s="1" t="s">
        <v>32</v>
      </c>
      <c r="O4172" s="1" t="s">
        <v>33</v>
      </c>
      <c r="P4172" s="1" t="s">
        <v>222</v>
      </c>
      <c r="Q4172" s="1" t="s">
        <v>222</v>
      </c>
      <c r="R4172" s="1" t="s">
        <v>223</v>
      </c>
      <c r="T4172" s="1">
        <v>1.00609628E8</v>
      </c>
      <c r="W4172" s="1" t="s">
        <v>91</v>
      </c>
      <c r="X4172" s="1" t="s">
        <v>11886</v>
      </c>
    </row>
    <row r="4173">
      <c r="A4173" s="1" t="s">
        <v>11887</v>
      </c>
      <c r="B4173" s="1" t="s">
        <v>5503</v>
      </c>
      <c r="C4173" s="1" t="s">
        <v>11888</v>
      </c>
      <c r="D4173" s="1" t="s">
        <v>28</v>
      </c>
      <c r="E4173" s="1" t="s">
        <v>29</v>
      </c>
      <c r="F4173" s="5">
        <v>150000.0</v>
      </c>
      <c r="G4173" s="1" t="s">
        <v>7016</v>
      </c>
      <c r="H4173" s="1" t="s">
        <v>131</v>
      </c>
      <c r="I4173" s="1" t="s">
        <v>1226</v>
      </c>
      <c r="K4173" s="1">
        <v>0.0</v>
      </c>
      <c r="L4173" s="1" t="s">
        <v>1587</v>
      </c>
      <c r="M4173" s="1" t="str">
        <f>VLOOKUP(L4173,'Copy of PMD Workday Constants -'!B4172:W4858,22,false)</f>
        <v>#N/A</v>
      </c>
      <c r="N4173" s="1" t="s">
        <v>32</v>
      </c>
      <c r="O4173" s="1" t="s">
        <v>33</v>
      </c>
      <c r="P4173" s="1" t="s">
        <v>64</v>
      </c>
      <c r="Q4173" s="1" t="s">
        <v>64</v>
      </c>
      <c r="R4173" s="1" t="s">
        <v>65</v>
      </c>
      <c r="S4173" s="1" t="s">
        <v>1336</v>
      </c>
      <c r="T4173" s="1">
        <v>1.01141441E8</v>
      </c>
      <c r="W4173" s="1" t="s">
        <v>947</v>
      </c>
      <c r="X4173" s="1" t="s">
        <v>5505</v>
      </c>
    </row>
    <row r="4174">
      <c r="A4174" s="1" t="s">
        <v>11889</v>
      </c>
      <c r="B4174" s="1" t="s">
        <v>11890</v>
      </c>
      <c r="C4174" s="1" t="s">
        <v>11891</v>
      </c>
      <c r="D4174" s="1" t="s">
        <v>28</v>
      </c>
      <c r="E4174" s="1" t="s">
        <v>29</v>
      </c>
      <c r="F4174" s="5">
        <v>150000.0</v>
      </c>
      <c r="G4174" s="1" t="s">
        <v>7016</v>
      </c>
      <c r="H4174" s="4">
        <v>44868.0</v>
      </c>
      <c r="I4174" s="1" t="s">
        <v>810</v>
      </c>
      <c r="K4174" s="1">
        <v>0.0</v>
      </c>
      <c r="L4174" s="1" t="s">
        <v>1981</v>
      </c>
      <c r="M4174" s="1" t="str">
        <f>VLOOKUP(L4174,'Copy of PMD Workday Constants -'!B4173:W4859,22,false)</f>
        <v>#N/A</v>
      </c>
      <c r="N4174" s="1" t="s">
        <v>32</v>
      </c>
      <c r="O4174" s="1" t="s">
        <v>33</v>
      </c>
      <c r="P4174" s="1" t="s">
        <v>64</v>
      </c>
      <c r="Q4174" s="1" t="s">
        <v>64</v>
      </c>
      <c r="R4174" s="1" t="s">
        <v>65</v>
      </c>
      <c r="S4174" s="1" t="s">
        <v>1336</v>
      </c>
      <c r="T4174" s="1">
        <v>1.00638494E8</v>
      </c>
      <c r="W4174" s="1" t="s">
        <v>74</v>
      </c>
      <c r="X4174" s="1" t="s">
        <v>1982</v>
      </c>
    </row>
    <row r="4175">
      <c r="A4175" s="1" t="s">
        <v>11892</v>
      </c>
      <c r="B4175" s="1" t="s">
        <v>11890</v>
      </c>
      <c r="C4175" s="1" t="s">
        <v>11891</v>
      </c>
      <c r="D4175" s="1" t="s">
        <v>28</v>
      </c>
      <c r="E4175" s="1" t="s">
        <v>29</v>
      </c>
      <c r="F4175" s="5">
        <v>150000.0</v>
      </c>
      <c r="G4175" s="1" t="s">
        <v>7016</v>
      </c>
      <c r="H4175" s="4">
        <v>44868.0</v>
      </c>
      <c r="I4175" s="1" t="s">
        <v>810</v>
      </c>
      <c r="K4175" s="1">
        <v>0.0</v>
      </c>
      <c r="L4175" s="1" t="s">
        <v>1981</v>
      </c>
      <c r="M4175" s="1" t="str">
        <f>VLOOKUP(L4175,'Copy of PMD Workday Constants -'!B4174:W4860,22,false)</f>
        <v>#N/A</v>
      </c>
      <c r="N4175" s="1" t="s">
        <v>32</v>
      </c>
      <c r="O4175" s="1" t="s">
        <v>33</v>
      </c>
      <c r="P4175" s="1" t="s">
        <v>64</v>
      </c>
      <c r="Q4175" s="1" t="s">
        <v>64</v>
      </c>
      <c r="R4175" s="1" t="s">
        <v>65</v>
      </c>
      <c r="S4175" s="1" t="s">
        <v>1336</v>
      </c>
      <c r="T4175" s="1">
        <v>1.00638494E8</v>
      </c>
      <c r="W4175" s="1" t="s">
        <v>74</v>
      </c>
      <c r="X4175" s="1" t="s">
        <v>1982</v>
      </c>
    </row>
    <row r="4176">
      <c r="A4176" s="1" t="s">
        <v>11893</v>
      </c>
      <c r="B4176" s="1" t="s">
        <v>143</v>
      </c>
      <c r="C4176" s="1" t="s">
        <v>11894</v>
      </c>
      <c r="D4176" s="1" t="s">
        <v>28</v>
      </c>
      <c r="E4176" s="1" t="s">
        <v>29</v>
      </c>
      <c r="F4176" s="5">
        <v>150000.0</v>
      </c>
      <c r="G4176" s="1" t="s">
        <v>7016</v>
      </c>
      <c r="H4176" s="4">
        <v>44747.0</v>
      </c>
      <c r="I4176" s="1" t="s">
        <v>526</v>
      </c>
      <c r="K4176" s="1">
        <v>0.0</v>
      </c>
      <c r="L4176" s="1" t="s">
        <v>7637</v>
      </c>
      <c r="M4176" s="1" t="str">
        <f>VLOOKUP(L4176,'Copy of PMD Workday Constants -'!B4175:W4861,22,false)</f>
        <v>#N/A</v>
      </c>
      <c r="N4176" s="1" t="s">
        <v>32</v>
      </c>
      <c r="O4176" s="1" t="s">
        <v>33</v>
      </c>
      <c r="P4176" s="1" t="s">
        <v>5253</v>
      </c>
      <c r="Q4176" s="1" t="s">
        <v>5253</v>
      </c>
      <c r="R4176" s="1" t="s">
        <v>35</v>
      </c>
      <c r="T4176" s="1">
        <v>1.00613849E8</v>
      </c>
      <c r="W4176" s="1" t="s">
        <v>147</v>
      </c>
      <c r="X4176" s="1" t="s">
        <v>11895</v>
      </c>
    </row>
    <row r="4177">
      <c r="A4177" s="1" t="s">
        <v>11896</v>
      </c>
      <c r="B4177" s="1" t="s">
        <v>11897</v>
      </c>
      <c r="C4177" s="1" t="s">
        <v>11898</v>
      </c>
      <c r="D4177" s="1" t="s">
        <v>103</v>
      </c>
      <c r="E4177" s="1" t="s">
        <v>29</v>
      </c>
      <c r="F4177" s="5">
        <v>150000.0</v>
      </c>
      <c r="G4177" s="1" t="s">
        <v>7016</v>
      </c>
      <c r="H4177" s="1" t="s">
        <v>2069</v>
      </c>
      <c r="I4177" s="1" t="s">
        <v>1134</v>
      </c>
      <c r="K4177" s="1">
        <v>0.0</v>
      </c>
      <c r="L4177" s="1" t="s">
        <v>3392</v>
      </c>
      <c r="M4177" s="1" t="str">
        <f>VLOOKUP(L4177,'Copy of PMD Workday Constants -'!B4176:W4862,22,false)</f>
        <v>#N/A</v>
      </c>
      <c r="N4177" s="1" t="s">
        <v>32</v>
      </c>
      <c r="O4177" s="1" t="s">
        <v>33</v>
      </c>
      <c r="P4177" s="1" t="s">
        <v>64</v>
      </c>
      <c r="Q4177" s="1" t="s">
        <v>64</v>
      </c>
      <c r="R4177" s="1" t="s">
        <v>65</v>
      </c>
      <c r="T4177" s="1">
        <v>1.00653021E8</v>
      </c>
      <c r="W4177" s="1" t="s">
        <v>2098</v>
      </c>
      <c r="X4177" s="1" t="s">
        <v>3392</v>
      </c>
    </row>
    <row r="4178">
      <c r="A4178" s="1" t="s">
        <v>11899</v>
      </c>
      <c r="B4178" s="1" t="s">
        <v>751</v>
      </c>
      <c r="C4178" s="1" t="s">
        <v>11900</v>
      </c>
      <c r="D4178" s="1" t="s">
        <v>28</v>
      </c>
      <c r="E4178" s="1" t="s">
        <v>29</v>
      </c>
      <c r="F4178" s="5">
        <v>150000.0</v>
      </c>
      <c r="G4178" s="1" t="s">
        <v>7016</v>
      </c>
      <c r="H4178" s="4">
        <v>44200.0</v>
      </c>
      <c r="I4178" s="4">
        <v>44816.0</v>
      </c>
      <c r="K4178" s="1">
        <v>0.0</v>
      </c>
      <c r="L4178" s="1" t="s">
        <v>2381</v>
      </c>
      <c r="M4178" s="1" t="str">
        <f>VLOOKUP(L4178,'Copy of PMD Workday Constants -'!B4177:W4863,22,false)</f>
        <v>#N/A</v>
      </c>
      <c r="N4178" s="1" t="s">
        <v>32</v>
      </c>
      <c r="O4178" s="1" t="s">
        <v>33</v>
      </c>
      <c r="P4178" s="1" t="s">
        <v>112</v>
      </c>
      <c r="Q4178" s="1" t="s">
        <v>112</v>
      </c>
      <c r="R4178" s="1" t="s">
        <v>113</v>
      </c>
      <c r="S4178" s="1" t="s">
        <v>185</v>
      </c>
      <c r="T4178" s="1">
        <v>1.00625755E8</v>
      </c>
      <c r="W4178" s="1" t="s">
        <v>85</v>
      </c>
      <c r="X4178" s="1" t="s">
        <v>4406</v>
      </c>
    </row>
    <row r="4179">
      <c r="A4179" s="1" t="s">
        <v>11901</v>
      </c>
      <c r="B4179" s="1" t="s">
        <v>1583</v>
      </c>
      <c r="C4179" s="1" t="s">
        <v>11902</v>
      </c>
      <c r="D4179" s="1" t="s">
        <v>51</v>
      </c>
      <c r="E4179" s="1" t="s">
        <v>29</v>
      </c>
      <c r="F4179" s="5">
        <v>150000.0</v>
      </c>
      <c r="G4179" s="1" t="s">
        <v>7016</v>
      </c>
      <c r="H4179" s="4">
        <v>44598.0</v>
      </c>
      <c r="I4179" s="4">
        <v>44568.0</v>
      </c>
      <c r="K4179" s="1">
        <v>0.0</v>
      </c>
      <c r="L4179" s="1" t="s">
        <v>983</v>
      </c>
      <c r="M4179" s="1" t="str">
        <f>VLOOKUP(L4179,'Copy of PMD Workday Constants -'!B4178:W4864,22,false)</f>
        <v>#N/A</v>
      </c>
      <c r="N4179" s="1" t="s">
        <v>32</v>
      </c>
      <c r="O4179" s="1" t="s">
        <v>33</v>
      </c>
      <c r="P4179" s="1" t="s">
        <v>112</v>
      </c>
      <c r="Q4179" s="1" t="s">
        <v>112</v>
      </c>
      <c r="R4179" s="1" t="s">
        <v>113</v>
      </c>
      <c r="S4179" s="1" t="s">
        <v>455</v>
      </c>
      <c r="T4179" s="1">
        <v>1.00607644E8</v>
      </c>
      <c r="W4179" s="1" t="s">
        <v>85</v>
      </c>
      <c r="X4179" s="1" t="s">
        <v>11903</v>
      </c>
    </row>
    <row r="4180">
      <c r="A4180" s="1" t="s">
        <v>11904</v>
      </c>
      <c r="B4180" s="1" t="s">
        <v>1392</v>
      </c>
      <c r="C4180" s="1" t="s">
        <v>11905</v>
      </c>
      <c r="D4180" s="1" t="s">
        <v>28</v>
      </c>
      <c r="E4180" s="1" t="s">
        <v>29</v>
      </c>
      <c r="F4180" s="5">
        <v>150000.0</v>
      </c>
      <c r="G4180" s="1" t="s">
        <v>7016</v>
      </c>
      <c r="H4180" s="1" t="s">
        <v>1287</v>
      </c>
      <c r="I4180" s="1" t="s">
        <v>132</v>
      </c>
      <c r="K4180" s="1">
        <v>0.0</v>
      </c>
      <c r="L4180" s="1" t="s">
        <v>1916</v>
      </c>
      <c r="M4180" s="1" t="str">
        <f>VLOOKUP(L4180,'Copy of PMD Workday Constants -'!B4179:W4865,22,false)</f>
        <v>#N/A</v>
      </c>
      <c r="N4180" s="1" t="s">
        <v>32</v>
      </c>
      <c r="O4180" s="1" t="s">
        <v>33</v>
      </c>
      <c r="P4180" s="1" t="s">
        <v>222</v>
      </c>
      <c r="Q4180" s="1" t="s">
        <v>222</v>
      </c>
      <c r="R4180" s="1" t="s">
        <v>223</v>
      </c>
      <c r="S4180" s="1" t="s">
        <v>601</v>
      </c>
      <c r="T4180" s="1">
        <v>1.00955805E8</v>
      </c>
      <c r="W4180" s="1" t="s">
        <v>947</v>
      </c>
      <c r="X4180" s="1" t="s">
        <v>8312</v>
      </c>
    </row>
    <row r="4181">
      <c r="A4181" s="1" t="s">
        <v>11906</v>
      </c>
      <c r="B4181" s="1" t="s">
        <v>7281</v>
      </c>
      <c r="C4181" s="1" t="s">
        <v>11907</v>
      </c>
      <c r="D4181" s="1" t="s">
        <v>103</v>
      </c>
      <c r="E4181" s="1" t="s">
        <v>29</v>
      </c>
      <c r="F4181" s="5">
        <v>150000.0</v>
      </c>
      <c r="G4181" s="1" t="s">
        <v>7016</v>
      </c>
      <c r="H4181" s="1" t="s">
        <v>569</v>
      </c>
      <c r="I4181" s="1" t="s">
        <v>810</v>
      </c>
      <c r="K4181" s="1">
        <v>0.0</v>
      </c>
      <c r="L4181" s="1" t="s">
        <v>7656</v>
      </c>
      <c r="M4181" s="1" t="str">
        <f>VLOOKUP(L4181,'Copy of PMD Workday Constants -'!B4180:W4866,22,false)</f>
        <v>#N/A</v>
      </c>
      <c r="N4181" s="1" t="s">
        <v>32</v>
      </c>
      <c r="O4181" s="1" t="s">
        <v>33</v>
      </c>
      <c r="P4181" s="1" t="s">
        <v>222</v>
      </c>
      <c r="Q4181" s="1" t="s">
        <v>222</v>
      </c>
      <c r="R4181" s="1" t="s">
        <v>223</v>
      </c>
      <c r="S4181" s="1" t="s">
        <v>482</v>
      </c>
      <c r="T4181" s="1">
        <v>1.01154613E8</v>
      </c>
      <c r="W4181" s="1" t="s">
        <v>115</v>
      </c>
      <c r="X4181" s="1" t="s">
        <v>11908</v>
      </c>
    </row>
    <row r="4182">
      <c r="A4182" s="1" t="s">
        <v>11909</v>
      </c>
      <c r="B4182" s="1" t="s">
        <v>11910</v>
      </c>
      <c r="C4182" s="1" t="s">
        <v>11911</v>
      </c>
      <c r="D4182" s="1" t="s">
        <v>51</v>
      </c>
      <c r="E4182" s="1" t="s">
        <v>29</v>
      </c>
      <c r="F4182" s="5">
        <v>150000.0</v>
      </c>
      <c r="G4182" s="1" t="s">
        <v>7016</v>
      </c>
      <c r="H4182" s="4">
        <v>44900.0</v>
      </c>
      <c r="I4182" s="1" t="s">
        <v>80</v>
      </c>
      <c r="K4182" s="1">
        <v>0.0</v>
      </c>
      <c r="L4182" s="1" t="s">
        <v>3565</v>
      </c>
      <c r="M4182" s="1" t="str">
        <f>VLOOKUP(L4182,'Copy of PMD Workday Constants -'!B4181:W4867,22,false)</f>
        <v>#N/A</v>
      </c>
      <c r="N4182" s="1" t="s">
        <v>32</v>
      </c>
      <c r="O4182" s="1" t="s">
        <v>33</v>
      </c>
      <c r="P4182" s="1" t="s">
        <v>112</v>
      </c>
      <c r="Q4182" s="1" t="s">
        <v>112</v>
      </c>
      <c r="R4182" s="1" t="s">
        <v>113</v>
      </c>
      <c r="S4182" s="1" t="s">
        <v>256</v>
      </c>
      <c r="T4182" s="1">
        <v>1.00658777E8</v>
      </c>
      <c r="U4182" s="1" t="s">
        <v>11912</v>
      </c>
      <c r="V4182" s="1" t="s">
        <v>46</v>
      </c>
      <c r="W4182" s="1" t="s">
        <v>258</v>
      </c>
      <c r="X4182" s="1" t="s">
        <v>4381</v>
      </c>
    </row>
    <row r="4183">
      <c r="A4183" s="1" t="s">
        <v>11913</v>
      </c>
      <c r="B4183" s="1" t="s">
        <v>3962</v>
      </c>
      <c r="C4183" s="1" t="s">
        <v>11914</v>
      </c>
      <c r="D4183" s="1" t="s">
        <v>51</v>
      </c>
      <c r="E4183" s="1" t="s">
        <v>29</v>
      </c>
      <c r="F4183" s="5">
        <v>150000.0</v>
      </c>
      <c r="G4183" s="1" t="s">
        <v>7016</v>
      </c>
      <c r="H4183" s="4">
        <v>44900.0</v>
      </c>
      <c r="I4183" s="4">
        <v>44626.0</v>
      </c>
      <c r="K4183" s="1">
        <v>0.0</v>
      </c>
      <c r="L4183" s="1" t="s">
        <v>2843</v>
      </c>
      <c r="M4183" s="1" t="str">
        <f>VLOOKUP(L4183,'Copy of PMD Workday Constants -'!B4182:W4868,22,false)</f>
        <v>#N/A</v>
      </c>
      <c r="N4183" s="1" t="s">
        <v>32</v>
      </c>
      <c r="O4183" s="1" t="s">
        <v>33</v>
      </c>
      <c r="P4183" s="1" t="s">
        <v>112</v>
      </c>
      <c r="Q4183" s="1" t="s">
        <v>112</v>
      </c>
      <c r="R4183" s="1" t="s">
        <v>113</v>
      </c>
      <c r="T4183" s="1">
        <v>1.00610052E8</v>
      </c>
      <c r="W4183" s="1" t="s">
        <v>456</v>
      </c>
      <c r="X4183" s="1" t="s">
        <v>11915</v>
      </c>
    </row>
    <row r="4184">
      <c r="A4184" s="1" t="s">
        <v>11916</v>
      </c>
      <c r="B4184" s="1" t="s">
        <v>11917</v>
      </c>
      <c r="C4184" s="1" t="s">
        <v>11918</v>
      </c>
      <c r="D4184" s="1" t="s">
        <v>103</v>
      </c>
      <c r="E4184" s="1" t="s">
        <v>29</v>
      </c>
      <c r="F4184" s="5">
        <v>150000.0</v>
      </c>
      <c r="G4184" s="1" t="s">
        <v>7016</v>
      </c>
      <c r="H4184" s="4">
        <v>44900.0</v>
      </c>
      <c r="I4184" s="1" t="s">
        <v>104</v>
      </c>
      <c r="K4184" s="1">
        <v>0.0</v>
      </c>
      <c r="L4184" s="1" t="s">
        <v>4031</v>
      </c>
      <c r="M4184" s="1" t="str">
        <f>VLOOKUP(L4184,'Copy of PMD Workday Constants -'!B4183:W4869,22,false)</f>
        <v>#N/A</v>
      </c>
      <c r="N4184" s="1" t="s">
        <v>32</v>
      </c>
      <c r="O4184" s="1" t="s">
        <v>33</v>
      </c>
      <c r="P4184" s="1" t="s">
        <v>34</v>
      </c>
      <c r="Q4184" s="1" t="s">
        <v>34</v>
      </c>
      <c r="R4184" s="1" t="s">
        <v>35</v>
      </c>
      <c r="S4184" s="1" t="s">
        <v>1166</v>
      </c>
      <c r="T4184" s="1">
        <v>1.00581763E8</v>
      </c>
      <c r="W4184" s="1" t="s">
        <v>456</v>
      </c>
      <c r="X4184" s="1" t="s">
        <v>4031</v>
      </c>
    </row>
    <row r="4185">
      <c r="A4185" s="1" t="s">
        <v>11919</v>
      </c>
      <c r="B4185" s="1" t="s">
        <v>2263</v>
      </c>
      <c r="C4185" s="1" t="s">
        <v>11920</v>
      </c>
      <c r="D4185" s="1" t="s">
        <v>51</v>
      </c>
      <c r="E4185" s="1" t="s">
        <v>29</v>
      </c>
      <c r="F4185" s="5">
        <v>150000.0</v>
      </c>
      <c r="G4185" s="1" t="s">
        <v>7016</v>
      </c>
      <c r="H4185" s="4">
        <v>44839.0</v>
      </c>
      <c r="I4185" s="1" t="s">
        <v>104</v>
      </c>
      <c r="K4185" s="1">
        <v>0.0</v>
      </c>
      <c r="L4185" s="1" t="s">
        <v>5295</v>
      </c>
      <c r="M4185" s="1" t="str">
        <f>VLOOKUP(L4185,'Copy of PMD Workday Constants -'!B4184:W4870,22,false)</f>
        <v>#N/A</v>
      </c>
      <c r="N4185" s="1" t="s">
        <v>32</v>
      </c>
      <c r="O4185" s="1" t="s">
        <v>33</v>
      </c>
      <c r="P4185" s="1" t="s">
        <v>222</v>
      </c>
      <c r="Q4185" s="1" t="s">
        <v>222</v>
      </c>
      <c r="R4185" s="1" t="s">
        <v>223</v>
      </c>
      <c r="T4185" s="1">
        <v>1.00605581E8</v>
      </c>
      <c r="W4185" s="1" t="s">
        <v>56</v>
      </c>
      <c r="X4185" s="1" t="s">
        <v>11480</v>
      </c>
    </row>
    <row r="4186">
      <c r="A4186" s="1" t="s">
        <v>11921</v>
      </c>
      <c r="B4186" s="1" t="s">
        <v>3026</v>
      </c>
      <c r="C4186" s="1" t="s">
        <v>11922</v>
      </c>
      <c r="D4186" s="1" t="s">
        <v>28</v>
      </c>
      <c r="E4186" s="1" t="s">
        <v>29</v>
      </c>
      <c r="F4186" s="5">
        <v>150000.0</v>
      </c>
      <c r="G4186" s="1" t="s">
        <v>7016</v>
      </c>
      <c r="H4186" s="1" t="s">
        <v>3496</v>
      </c>
      <c r="I4186" s="1" t="s">
        <v>302</v>
      </c>
      <c r="K4186" s="1">
        <v>0.0</v>
      </c>
      <c r="L4186" s="1" t="s">
        <v>2703</v>
      </c>
      <c r="M4186" s="1" t="str">
        <f>VLOOKUP(L4186,'Copy of PMD Workday Constants -'!B4185:W4871,22,false)</f>
        <v>#N/A</v>
      </c>
      <c r="N4186" s="1" t="s">
        <v>32</v>
      </c>
      <c r="O4186" s="1" t="s">
        <v>33</v>
      </c>
      <c r="P4186" s="1" t="s">
        <v>34</v>
      </c>
      <c r="Q4186" s="1" t="s">
        <v>34</v>
      </c>
      <c r="R4186" s="1" t="s">
        <v>35</v>
      </c>
      <c r="S4186" s="1" t="s">
        <v>383</v>
      </c>
      <c r="T4186" s="1">
        <v>1.00866856E8</v>
      </c>
      <c r="W4186" s="1" t="s">
        <v>258</v>
      </c>
      <c r="X4186" s="1" t="s">
        <v>2703</v>
      </c>
    </row>
    <row r="4187">
      <c r="A4187" s="1" t="s">
        <v>11923</v>
      </c>
      <c r="B4187" s="1" t="s">
        <v>2867</v>
      </c>
      <c r="C4187" s="1" t="s">
        <v>11924</v>
      </c>
      <c r="D4187" s="1" t="s">
        <v>51</v>
      </c>
      <c r="E4187" s="1" t="s">
        <v>29</v>
      </c>
      <c r="F4187" s="5">
        <v>150000.0</v>
      </c>
      <c r="G4187" s="1" t="s">
        <v>7016</v>
      </c>
      <c r="H4187" s="1" t="s">
        <v>11925</v>
      </c>
      <c r="I4187" s="1" t="s">
        <v>166</v>
      </c>
      <c r="K4187" s="1">
        <v>0.0</v>
      </c>
      <c r="L4187" s="1" t="s">
        <v>8174</v>
      </c>
      <c r="M4187" s="1" t="str">
        <f>VLOOKUP(L4187,'Copy of PMD Workday Constants -'!B4186:W4872,22,false)</f>
        <v>#N/A</v>
      </c>
      <c r="N4187" s="1" t="s">
        <v>32</v>
      </c>
      <c r="O4187" s="1" t="s">
        <v>33</v>
      </c>
      <c r="P4187" s="1" t="s">
        <v>82</v>
      </c>
      <c r="Q4187" s="1" t="s">
        <v>82</v>
      </c>
      <c r="R4187" s="1" t="s">
        <v>83</v>
      </c>
      <c r="S4187" s="1" t="s">
        <v>180</v>
      </c>
      <c r="T4187" s="1">
        <v>1.00609615E8</v>
      </c>
      <c r="W4187" s="1" t="s">
        <v>85</v>
      </c>
      <c r="X4187" s="1" t="s">
        <v>6663</v>
      </c>
    </row>
    <row r="4188">
      <c r="A4188" s="1" t="s">
        <v>11926</v>
      </c>
      <c r="B4188" s="1" t="s">
        <v>10484</v>
      </c>
      <c r="C4188" s="1" t="s">
        <v>11927</v>
      </c>
      <c r="D4188" s="1" t="s">
        <v>103</v>
      </c>
      <c r="E4188" s="1" t="s">
        <v>29</v>
      </c>
      <c r="F4188" s="5">
        <v>150000.0</v>
      </c>
      <c r="G4188" s="1" t="s">
        <v>7016</v>
      </c>
      <c r="H4188" s="1" t="s">
        <v>1215</v>
      </c>
      <c r="I4188" s="1" t="s">
        <v>810</v>
      </c>
      <c r="K4188" s="1">
        <v>0.0</v>
      </c>
      <c r="L4188" s="1" t="s">
        <v>7276</v>
      </c>
      <c r="M4188" s="1" t="str">
        <f>VLOOKUP(L4188,'Copy of PMD Workday Constants -'!B4187:W4873,22,false)</f>
        <v>#N/A</v>
      </c>
      <c r="N4188" s="1" t="s">
        <v>32</v>
      </c>
      <c r="O4188" s="1" t="s">
        <v>33</v>
      </c>
      <c r="P4188" s="1" t="s">
        <v>64</v>
      </c>
      <c r="Q4188" s="1" t="s">
        <v>64</v>
      </c>
      <c r="R4188" s="1" t="s">
        <v>65</v>
      </c>
      <c r="S4188" s="1" t="s">
        <v>1336</v>
      </c>
      <c r="T4188" s="1">
        <v>1.00587219E8</v>
      </c>
      <c r="U4188" s="1" t="s">
        <v>10486</v>
      </c>
      <c r="V4188" s="1" t="s">
        <v>46</v>
      </c>
      <c r="W4188" s="1" t="s">
        <v>115</v>
      </c>
      <c r="X4188" s="1" t="s">
        <v>11928</v>
      </c>
    </row>
    <row r="4189">
      <c r="A4189" s="1" t="s">
        <v>11929</v>
      </c>
      <c r="B4189" s="1" t="s">
        <v>3140</v>
      </c>
      <c r="C4189" s="1" t="s">
        <v>11930</v>
      </c>
      <c r="D4189" s="1" t="s">
        <v>28</v>
      </c>
      <c r="E4189" s="1" t="s">
        <v>29</v>
      </c>
      <c r="F4189" s="5">
        <v>150000.0</v>
      </c>
      <c r="G4189" s="1" t="s">
        <v>7016</v>
      </c>
      <c r="H4189" s="1" t="s">
        <v>61</v>
      </c>
      <c r="I4189" s="1" t="s">
        <v>302</v>
      </c>
      <c r="K4189" s="1">
        <v>0.0</v>
      </c>
      <c r="L4189" s="1" t="s">
        <v>11931</v>
      </c>
      <c r="M4189" s="1" t="str">
        <f>VLOOKUP(L4189,'Copy of PMD Workday Constants -'!B4188:W4874,22,false)</f>
        <v>#N/A</v>
      </c>
      <c r="N4189" s="1" t="s">
        <v>32</v>
      </c>
      <c r="O4189" s="1" t="s">
        <v>33</v>
      </c>
      <c r="P4189" s="1" t="s">
        <v>210</v>
      </c>
      <c r="Q4189" s="1" t="s">
        <v>210</v>
      </c>
      <c r="R4189" s="1" t="s">
        <v>211</v>
      </c>
      <c r="S4189" s="1" t="s">
        <v>416</v>
      </c>
      <c r="T4189" s="1">
        <v>1.00582836E8</v>
      </c>
      <c r="W4189" s="1" t="s">
        <v>56</v>
      </c>
      <c r="X4189" s="1" t="s">
        <v>4240</v>
      </c>
    </row>
    <row r="4190">
      <c r="A4190" s="1" t="s">
        <v>11932</v>
      </c>
      <c r="B4190" s="1" t="s">
        <v>1624</v>
      </c>
      <c r="C4190" s="1" t="s">
        <v>11933</v>
      </c>
      <c r="D4190" s="1" t="s">
        <v>51</v>
      </c>
      <c r="E4190" s="1" t="s">
        <v>29</v>
      </c>
      <c r="F4190" s="5">
        <v>150000.0</v>
      </c>
      <c r="G4190" s="1" t="s">
        <v>7016</v>
      </c>
      <c r="H4190" s="4">
        <v>44868.0</v>
      </c>
      <c r="I4190" s="4">
        <v>44571.0</v>
      </c>
      <c r="K4190" s="1">
        <v>0.0</v>
      </c>
      <c r="L4190" s="1" t="s">
        <v>5087</v>
      </c>
      <c r="M4190" s="1" t="str">
        <f>VLOOKUP(L4190,'Copy of PMD Workday Constants -'!B4189:W4875,22,false)</f>
        <v>#N/A</v>
      </c>
      <c r="N4190" s="1" t="s">
        <v>32</v>
      </c>
      <c r="O4190" s="1" t="s">
        <v>33</v>
      </c>
      <c r="P4190" s="1" t="s">
        <v>64</v>
      </c>
      <c r="Q4190" s="1" t="s">
        <v>64</v>
      </c>
      <c r="R4190" s="1" t="s">
        <v>65</v>
      </c>
      <c r="S4190" s="1" t="s">
        <v>1166</v>
      </c>
      <c r="T4190" s="1">
        <v>1.00610826E8</v>
      </c>
      <c r="W4190" s="1" t="s">
        <v>456</v>
      </c>
      <c r="X4190" s="1" t="s">
        <v>11934</v>
      </c>
    </row>
    <row r="4191">
      <c r="A4191" s="1" t="s">
        <v>11935</v>
      </c>
      <c r="B4191" s="1" t="s">
        <v>5830</v>
      </c>
      <c r="C4191" s="1" t="s">
        <v>11936</v>
      </c>
      <c r="D4191" s="1" t="s">
        <v>28</v>
      </c>
      <c r="E4191" s="1" t="s">
        <v>29</v>
      </c>
      <c r="F4191" s="5">
        <v>150000.0</v>
      </c>
      <c r="G4191" s="1" t="s">
        <v>7016</v>
      </c>
      <c r="H4191" s="4">
        <v>44420.0</v>
      </c>
      <c r="I4191" s="1" t="s">
        <v>152</v>
      </c>
      <c r="K4191" s="1">
        <v>0.0</v>
      </c>
      <c r="L4191" s="1" t="s">
        <v>5832</v>
      </c>
      <c r="M4191" s="1" t="str">
        <f>VLOOKUP(L4191,'Copy of PMD Workday Constants -'!B4190:W4876,22,false)</f>
        <v>#N/A</v>
      </c>
      <c r="N4191" s="1" t="s">
        <v>32</v>
      </c>
      <c r="O4191" s="1" t="s">
        <v>33</v>
      </c>
      <c r="P4191" s="1" t="s">
        <v>64</v>
      </c>
      <c r="Q4191" s="1" t="s">
        <v>64</v>
      </c>
      <c r="R4191" s="1" t="s">
        <v>65</v>
      </c>
      <c r="S4191" s="1" t="s">
        <v>1496</v>
      </c>
      <c r="T4191" s="1">
        <v>1.00609257E8</v>
      </c>
      <c r="W4191" s="1" t="s">
        <v>258</v>
      </c>
      <c r="X4191" s="1" t="s">
        <v>5833</v>
      </c>
    </row>
    <row r="4192">
      <c r="A4192" s="1" t="s">
        <v>11937</v>
      </c>
      <c r="B4192" s="1" t="s">
        <v>5830</v>
      </c>
      <c r="C4192" s="1" t="s">
        <v>11938</v>
      </c>
      <c r="D4192" s="1" t="s">
        <v>28</v>
      </c>
      <c r="E4192" s="1" t="s">
        <v>29</v>
      </c>
      <c r="F4192" s="5">
        <v>150000.0</v>
      </c>
      <c r="G4192" s="1" t="s">
        <v>7016</v>
      </c>
      <c r="H4192" s="4">
        <v>44420.0</v>
      </c>
      <c r="I4192" s="1" t="s">
        <v>152</v>
      </c>
      <c r="K4192" s="1">
        <v>0.0</v>
      </c>
      <c r="L4192" s="1" t="s">
        <v>5832</v>
      </c>
      <c r="M4192" s="1" t="str">
        <f>VLOOKUP(L4192,'Copy of PMD Workday Constants -'!B4191:W4877,22,false)</f>
        <v>#N/A</v>
      </c>
      <c r="N4192" s="1" t="s">
        <v>32</v>
      </c>
      <c r="O4192" s="1" t="s">
        <v>33</v>
      </c>
      <c r="P4192" s="1" t="s">
        <v>64</v>
      </c>
      <c r="Q4192" s="1" t="s">
        <v>64</v>
      </c>
      <c r="R4192" s="1" t="s">
        <v>65</v>
      </c>
      <c r="S4192" s="1" t="s">
        <v>1496</v>
      </c>
      <c r="T4192" s="1">
        <v>1.00609257E8</v>
      </c>
      <c r="W4192" s="1" t="s">
        <v>258</v>
      </c>
      <c r="X4192" s="1" t="s">
        <v>5833</v>
      </c>
    </row>
    <row r="4193">
      <c r="A4193" s="1" t="s">
        <v>11939</v>
      </c>
      <c r="B4193" s="1" t="s">
        <v>5830</v>
      </c>
      <c r="C4193" s="1" t="s">
        <v>11940</v>
      </c>
      <c r="D4193" s="1" t="s">
        <v>28</v>
      </c>
      <c r="E4193" s="1" t="s">
        <v>29</v>
      </c>
      <c r="F4193" s="5">
        <v>150000.0</v>
      </c>
      <c r="G4193" s="1" t="s">
        <v>7016</v>
      </c>
      <c r="H4193" s="4">
        <v>44420.0</v>
      </c>
      <c r="I4193" s="1" t="s">
        <v>302</v>
      </c>
      <c r="K4193" s="1">
        <v>0.0</v>
      </c>
      <c r="L4193" s="1" t="s">
        <v>5832</v>
      </c>
      <c r="M4193" s="1" t="str">
        <f>VLOOKUP(L4193,'Copy of PMD Workday Constants -'!B4192:W4878,22,false)</f>
        <v>#N/A</v>
      </c>
      <c r="N4193" s="1" t="s">
        <v>32</v>
      </c>
      <c r="O4193" s="1" t="s">
        <v>33</v>
      </c>
      <c r="P4193" s="1" t="s">
        <v>64</v>
      </c>
      <c r="Q4193" s="1" t="s">
        <v>64</v>
      </c>
      <c r="R4193" s="1" t="s">
        <v>65</v>
      </c>
      <c r="S4193" s="1" t="s">
        <v>1496</v>
      </c>
      <c r="T4193" s="1">
        <v>1.00609257E8</v>
      </c>
      <c r="W4193" s="1" t="s">
        <v>258</v>
      </c>
      <c r="X4193" s="1" t="s">
        <v>5833</v>
      </c>
    </row>
    <row r="4194">
      <c r="A4194" s="1" t="s">
        <v>11941</v>
      </c>
      <c r="B4194" s="1" t="s">
        <v>7446</v>
      </c>
      <c r="C4194" s="1" t="s">
        <v>11942</v>
      </c>
      <c r="D4194" s="1" t="s">
        <v>28</v>
      </c>
      <c r="E4194" s="1" t="s">
        <v>29</v>
      </c>
      <c r="F4194" s="5">
        <v>150000.0</v>
      </c>
      <c r="G4194" s="1" t="s">
        <v>7016</v>
      </c>
      <c r="H4194" s="4">
        <v>44565.0</v>
      </c>
      <c r="I4194" s="1" t="s">
        <v>1859</v>
      </c>
      <c r="K4194" s="1">
        <v>0.0</v>
      </c>
      <c r="L4194" s="1" t="s">
        <v>1344</v>
      </c>
      <c r="M4194" s="1" t="str">
        <f>VLOOKUP(L4194,'Copy of PMD Workday Constants -'!B4193:W4879,22,false)</f>
        <v>#N/A</v>
      </c>
      <c r="N4194" s="1" t="s">
        <v>32</v>
      </c>
      <c r="O4194" s="1" t="s">
        <v>33</v>
      </c>
      <c r="P4194" s="1" t="s">
        <v>112</v>
      </c>
      <c r="Q4194" s="1" t="s">
        <v>112</v>
      </c>
      <c r="R4194" s="1" t="s">
        <v>113</v>
      </c>
      <c r="S4194" s="1" t="s">
        <v>134</v>
      </c>
      <c r="T4194" s="1">
        <v>1.0061941E8</v>
      </c>
      <c r="W4194" s="1" t="s">
        <v>74</v>
      </c>
      <c r="X4194" s="1" t="s">
        <v>11943</v>
      </c>
    </row>
    <row r="4195">
      <c r="A4195" s="1" t="s">
        <v>11944</v>
      </c>
      <c r="B4195" s="1" t="s">
        <v>3154</v>
      </c>
      <c r="C4195" s="1" t="s">
        <v>11945</v>
      </c>
      <c r="D4195" s="1" t="s">
        <v>51</v>
      </c>
      <c r="E4195" s="1" t="s">
        <v>29</v>
      </c>
      <c r="F4195" s="5">
        <v>150000.0</v>
      </c>
      <c r="G4195" s="1" t="s">
        <v>7016</v>
      </c>
      <c r="H4195" s="1" t="s">
        <v>1733</v>
      </c>
      <c r="I4195" s="1" t="s">
        <v>80</v>
      </c>
      <c r="K4195" s="1">
        <v>0.0</v>
      </c>
      <c r="L4195" s="1" t="s">
        <v>2703</v>
      </c>
      <c r="M4195" s="1" t="str">
        <f>VLOOKUP(L4195,'Copy of PMD Workday Constants -'!B4194:W4880,22,false)</f>
        <v>#N/A</v>
      </c>
      <c r="N4195" s="1" t="s">
        <v>32</v>
      </c>
      <c r="O4195" s="1" t="s">
        <v>33</v>
      </c>
      <c r="P4195" s="1" t="s">
        <v>34</v>
      </c>
      <c r="Q4195" s="1" t="s">
        <v>34</v>
      </c>
      <c r="R4195" s="1" t="s">
        <v>35</v>
      </c>
      <c r="T4195" s="1">
        <v>1.00866856E8</v>
      </c>
      <c r="W4195" s="1" t="s">
        <v>456</v>
      </c>
      <c r="X4195" s="1" t="s">
        <v>4451</v>
      </c>
    </row>
    <row r="4196">
      <c r="A4196" s="1" t="s">
        <v>11946</v>
      </c>
      <c r="B4196" s="1" t="s">
        <v>7454</v>
      </c>
      <c r="C4196" s="1" t="s">
        <v>11947</v>
      </c>
      <c r="D4196" s="1" t="s">
        <v>79</v>
      </c>
      <c r="E4196" s="1" t="s">
        <v>29</v>
      </c>
      <c r="F4196" s="5">
        <v>150000.0</v>
      </c>
      <c r="G4196" s="1" t="s">
        <v>7016</v>
      </c>
      <c r="H4196" s="4">
        <v>44809.0</v>
      </c>
      <c r="I4196" s="4">
        <v>44870.0</v>
      </c>
      <c r="K4196" s="1">
        <v>0.0</v>
      </c>
      <c r="L4196" s="1" t="s">
        <v>871</v>
      </c>
      <c r="M4196" s="1" t="str">
        <f>VLOOKUP(L4196,'Copy of PMD Workday Constants -'!B4195:W4881,22,false)</f>
        <v>#N/A</v>
      </c>
      <c r="N4196" s="1" t="s">
        <v>32</v>
      </c>
      <c r="O4196" s="1" t="s">
        <v>33</v>
      </c>
      <c r="P4196" s="1" t="s">
        <v>64</v>
      </c>
      <c r="Q4196" s="1" t="s">
        <v>64</v>
      </c>
      <c r="R4196" s="1" t="s">
        <v>65</v>
      </c>
      <c r="T4196" s="1">
        <v>1.00653785E8</v>
      </c>
      <c r="W4196" s="1" t="s">
        <v>37</v>
      </c>
      <c r="X4196" s="1" t="s">
        <v>11948</v>
      </c>
    </row>
    <row r="4197">
      <c r="A4197" s="1" t="s">
        <v>11949</v>
      </c>
      <c r="B4197" s="1" t="s">
        <v>403</v>
      </c>
      <c r="C4197" s="1" t="s">
        <v>11950</v>
      </c>
      <c r="D4197" s="1" t="s">
        <v>28</v>
      </c>
      <c r="E4197" s="1" t="s">
        <v>29</v>
      </c>
      <c r="F4197" s="5">
        <v>150000.0</v>
      </c>
      <c r="G4197" s="1" t="s">
        <v>7016</v>
      </c>
      <c r="H4197" s="4">
        <v>44776.0</v>
      </c>
      <c r="I4197" s="1" t="s">
        <v>152</v>
      </c>
      <c r="K4197" s="1">
        <v>0.0</v>
      </c>
      <c r="L4197" s="1" t="s">
        <v>2136</v>
      </c>
      <c r="M4197" s="1" t="str">
        <f>VLOOKUP(L4197,'Copy of PMD Workday Constants -'!B4196:W4882,22,false)</f>
        <v>#N/A</v>
      </c>
      <c r="N4197" s="1" t="s">
        <v>32</v>
      </c>
      <c r="O4197" s="1" t="s">
        <v>33</v>
      </c>
      <c r="P4197" s="1" t="s">
        <v>34</v>
      </c>
      <c r="Q4197" s="1" t="s">
        <v>34</v>
      </c>
      <c r="R4197" s="1" t="s">
        <v>35</v>
      </c>
      <c r="T4197" s="1">
        <v>1.00610903E8</v>
      </c>
      <c r="W4197" s="1" t="s">
        <v>37</v>
      </c>
      <c r="X4197" s="1" t="s">
        <v>9740</v>
      </c>
    </row>
    <row r="4198">
      <c r="A4198" s="1" t="s">
        <v>11951</v>
      </c>
      <c r="B4198" s="1" t="s">
        <v>425</v>
      </c>
      <c r="C4198" s="1" t="s">
        <v>11952</v>
      </c>
      <c r="D4198" s="1" t="s">
        <v>51</v>
      </c>
      <c r="E4198" s="1" t="s">
        <v>29</v>
      </c>
      <c r="F4198" s="5">
        <v>150000.0</v>
      </c>
      <c r="G4198" s="1" t="s">
        <v>7016</v>
      </c>
      <c r="H4198" s="4">
        <v>44565.0</v>
      </c>
      <c r="I4198" s="1" t="s">
        <v>1349</v>
      </c>
      <c r="K4198" s="1">
        <v>0.0</v>
      </c>
      <c r="L4198" s="1" t="s">
        <v>428</v>
      </c>
      <c r="M4198" s="1" t="str">
        <f>VLOOKUP(L4198,'Copy of PMD Workday Constants -'!B4197:W4883,22,false)</f>
        <v>#N/A</v>
      </c>
      <c r="N4198" s="1" t="s">
        <v>32</v>
      </c>
      <c r="O4198" s="1" t="s">
        <v>33</v>
      </c>
      <c r="P4198" s="1" t="s">
        <v>173</v>
      </c>
      <c r="Q4198" s="1" t="s">
        <v>173</v>
      </c>
      <c r="R4198" s="1" t="s">
        <v>174</v>
      </c>
      <c r="S4198" s="1" t="s">
        <v>153</v>
      </c>
      <c r="T4198" s="1">
        <v>1.00654085E8</v>
      </c>
      <c r="W4198" s="1" t="s">
        <v>74</v>
      </c>
      <c r="X4198" s="1" t="s">
        <v>4982</v>
      </c>
    </row>
    <row r="4199">
      <c r="A4199" s="1" t="s">
        <v>11953</v>
      </c>
      <c r="B4199" s="1" t="s">
        <v>1257</v>
      </c>
      <c r="C4199" s="1" t="s">
        <v>11954</v>
      </c>
      <c r="D4199" s="1" t="s">
        <v>28</v>
      </c>
      <c r="E4199" s="1" t="s">
        <v>29</v>
      </c>
      <c r="F4199" s="5">
        <v>150000.0</v>
      </c>
      <c r="G4199" s="1" t="s">
        <v>7016</v>
      </c>
      <c r="H4199" s="1" t="s">
        <v>2837</v>
      </c>
      <c r="I4199" s="1" t="s">
        <v>810</v>
      </c>
      <c r="K4199" s="1">
        <v>0.0</v>
      </c>
      <c r="L4199" s="1" t="s">
        <v>1700</v>
      </c>
      <c r="M4199" s="1" t="str">
        <f>VLOOKUP(L4199,'Copy of PMD Workday Constants -'!B4198:W4884,22,false)</f>
        <v>#N/A</v>
      </c>
      <c r="N4199" s="1" t="s">
        <v>32</v>
      </c>
      <c r="O4199" s="1" t="s">
        <v>33</v>
      </c>
      <c r="P4199" s="1" t="s">
        <v>112</v>
      </c>
      <c r="Q4199" s="1" t="s">
        <v>112</v>
      </c>
      <c r="R4199" s="1" t="s">
        <v>113</v>
      </c>
      <c r="S4199" s="1" t="s">
        <v>120</v>
      </c>
      <c r="T4199" s="1">
        <v>1.00596555E8</v>
      </c>
      <c r="W4199" s="1" t="s">
        <v>56</v>
      </c>
      <c r="X4199" s="1" t="s">
        <v>9090</v>
      </c>
    </row>
    <row r="4200">
      <c r="A4200" s="1" t="s">
        <v>11955</v>
      </c>
      <c r="B4200" s="1" t="s">
        <v>11956</v>
      </c>
      <c r="C4200" s="1" t="s">
        <v>11957</v>
      </c>
      <c r="D4200" s="1" t="s">
        <v>28</v>
      </c>
      <c r="E4200" s="1" t="s">
        <v>29</v>
      </c>
      <c r="F4200" s="5">
        <v>150000.0</v>
      </c>
      <c r="G4200" s="1" t="s">
        <v>7016</v>
      </c>
      <c r="H4200" s="1" t="s">
        <v>3443</v>
      </c>
      <c r="I4200" s="1" t="s">
        <v>104</v>
      </c>
      <c r="K4200" s="1">
        <v>0.0</v>
      </c>
      <c r="L4200" s="1" t="s">
        <v>2417</v>
      </c>
      <c r="M4200" s="1" t="str">
        <f>VLOOKUP(L4200,'Copy of PMD Workday Constants -'!B4199:W4885,22,false)</f>
        <v>#N/A</v>
      </c>
      <c r="N4200" s="1" t="s">
        <v>32</v>
      </c>
      <c r="O4200" s="1" t="s">
        <v>33</v>
      </c>
      <c r="P4200" s="1" t="s">
        <v>34</v>
      </c>
      <c r="Q4200" s="1" t="s">
        <v>34</v>
      </c>
      <c r="R4200" s="1" t="s">
        <v>35</v>
      </c>
      <c r="T4200" s="1">
        <v>1.00642238E8</v>
      </c>
      <c r="W4200" s="1" t="s">
        <v>147</v>
      </c>
      <c r="X4200" s="1" t="s">
        <v>8708</v>
      </c>
    </row>
    <row r="4201">
      <c r="A4201" s="1" t="s">
        <v>11958</v>
      </c>
      <c r="B4201" s="1" t="s">
        <v>324</v>
      </c>
      <c r="C4201" s="1" t="s">
        <v>11959</v>
      </c>
      <c r="D4201" s="1" t="s">
        <v>28</v>
      </c>
      <c r="E4201" s="1" t="s">
        <v>29</v>
      </c>
      <c r="F4201" s="5">
        <v>150000.0</v>
      </c>
      <c r="G4201" s="1" t="s">
        <v>7016</v>
      </c>
      <c r="H4201" s="4">
        <v>44450.0</v>
      </c>
      <c r="I4201" s="1" t="s">
        <v>80</v>
      </c>
      <c r="K4201" s="1">
        <v>0.0</v>
      </c>
      <c r="L4201" s="1" t="s">
        <v>3333</v>
      </c>
      <c r="M4201" s="1" t="str">
        <f>VLOOKUP(L4201,'Copy of PMD Workday Constants -'!B4200:W4886,22,false)</f>
        <v>#N/A</v>
      </c>
      <c r="N4201" s="1" t="s">
        <v>32</v>
      </c>
      <c r="O4201" s="1" t="s">
        <v>33</v>
      </c>
      <c r="P4201" s="1" t="s">
        <v>210</v>
      </c>
      <c r="Q4201" s="1" t="s">
        <v>210</v>
      </c>
      <c r="R4201" s="1" t="s">
        <v>211</v>
      </c>
      <c r="S4201" s="1" t="s">
        <v>212</v>
      </c>
      <c r="T4201" s="1">
        <v>1.00636461E8</v>
      </c>
      <c r="W4201" s="1" t="s">
        <v>56</v>
      </c>
      <c r="X4201" s="1" t="s">
        <v>3333</v>
      </c>
    </row>
    <row r="4202">
      <c r="A4202" s="1" t="s">
        <v>11960</v>
      </c>
      <c r="B4202" s="1" t="s">
        <v>521</v>
      </c>
      <c r="C4202" s="1" t="s">
        <v>11961</v>
      </c>
      <c r="D4202" s="1" t="s">
        <v>28</v>
      </c>
      <c r="E4202" s="1" t="s">
        <v>29</v>
      </c>
      <c r="F4202" s="5">
        <v>150000.0</v>
      </c>
      <c r="G4202" s="1" t="s">
        <v>7016</v>
      </c>
      <c r="H4202" s="1" t="s">
        <v>273</v>
      </c>
      <c r="I4202" s="1" t="s">
        <v>302</v>
      </c>
      <c r="K4202" s="1">
        <v>0.0</v>
      </c>
      <c r="L4202" s="1" t="s">
        <v>428</v>
      </c>
      <c r="M4202" s="1" t="str">
        <f>VLOOKUP(L4202,'Copy of PMD Workday Constants -'!B4201:W4887,22,false)</f>
        <v>#N/A</v>
      </c>
      <c r="N4202" s="1" t="s">
        <v>32</v>
      </c>
      <c r="O4202" s="1" t="s">
        <v>33</v>
      </c>
      <c r="P4202" s="1" t="s">
        <v>173</v>
      </c>
      <c r="Q4202" s="1" t="s">
        <v>173</v>
      </c>
      <c r="R4202" s="1" t="s">
        <v>174</v>
      </c>
      <c r="S4202" s="1" t="s">
        <v>6672</v>
      </c>
      <c r="T4202" s="1">
        <v>1.00654085E8</v>
      </c>
      <c r="W4202" s="1" t="s">
        <v>85</v>
      </c>
      <c r="X4202" s="1" t="s">
        <v>3714</v>
      </c>
    </row>
    <row r="4203">
      <c r="A4203" s="1" t="s">
        <v>11962</v>
      </c>
      <c r="B4203" s="1" t="s">
        <v>1096</v>
      </c>
      <c r="C4203" s="1" t="s">
        <v>11963</v>
      </c>
      <c r="D4203" s="1" t="s">
        <v>51</v>
      </c>
      <c r="E4203" s="1" t="s">
        <v>29</v>
      </c>
      <c r="F4203" s="5">
        <v>150000.0</v>
      </c>
      <c r="G4203" s="1" t="s">
        <v>7016</v>
      </c>
      <c r="H4203" s="4">
        <v>44686.0</v>
      </c>
      <c r="I4203" s="1" t="s">
        <v>80</v>
      </c>
      <c r="K4203" s="1">
        <v>0.0</v>
      </c>
      <c r="L4203" s="1" t="s">
        <v>7095</v>
      </c>
      <c r="M4203" s="1" t="str">
        <f>VLOOKUP(L4203,'Copy of PMD Workday Constants -'!B4202:W4888,22,false)</f>
        <v>#N/A</v>
      </c>
      <c r="N4203" s="1" t="s">
        <v>32</v>
      </c>
      <c r="O4203" s="1" t="s">
        <v>33</v>
      </c>
      <c r="P4203" s="1" t="s">
        <v>222</v>
      </c>
      <c r="Q4203" s="1" t="s">
        <v>222</v>
      </c>
      <c r="R4203" s="1" t="s">
        <v>223</v>
      </c>
      <c r="S4203" s="1" t="s">
        <v>512</v>
      </c>
      <c r="T4203" s="1">
        <v>1.00963608E8</v>
      </c>
      <c r="W4203" s="1" t="s">
        <v>456</v>
      </c>
      <c r="X4203" s="1" t="s">
        <v>7095</v>
      </c>
    </row>
    <row r="4204">
      <c r="A4204" s="1" t="s">
        <v>11964</v>
      </c>
      <c r="B4204" s="1" t="s">
        <v>11965</v>
      </c>
      <c r="C4204" s="1" t="s">
        <v>11966</v>
      </c>
      <c r="D4204" s="1" t="s">
        <v>51</v>
      </c>
      <c r="E4204" s="1" t="s">
        <v>29</v>
      </c>
      <c r="F4204" s="5">
        <v>150000.0</v>
      </c>
      <c r="G4204" s="1" t="s">
        <v>7016</v>
      </c>
      <c r="H4204" s="4">
        <v>44598.0</v>
      </c>
      <c r="I4204" s="1" t="s">
        <v>80</v>
      </c>
      <c r="K4204" s="1">
        <v>0.0</v>
      </c>
      <c r="L4204" s="1" t="s">
        <v>7664</v>
      </c>
      <c r="M4204" s="1" t="str">
        <f>VLOOKUP(L4204,'Copy of PMD Workday Constants -'!B4203:W4889,22,false)</f>
        <v>#N/A</v>
      </c>
      <c r="N4204" s="1" t="s">
        <v>32</v>
      </c>
      <c r="O4204" s="1" t="s">
        <v>33</v>
      </c>
      <c r="P4204" s="1" t="s">
        <v>222</v>
      </c>
      <c r="Q4204" s="1" t="s">
        <v>222</v>
      </c>
      <c r="R4204" s="1" t="s">
        <v>223</v>
      </c>
      <c r="S4204" s="1" t="s">
        <v>601</v>
      </c>
      <c r="T4204" s="1">
        <v>1.00882877E8</v>
      </c>
      <c r="W4204" s="1" t="s">
        <v>85</v>
      </c>
      <c r="X4204" s="1" t="s">
        <v>5058</v>
      </c>
    </row>
    <row r="4205">
      <c r="A4205" s="1" t="s">
        <v>11967</v>
      </c>
      <c r="B4205" s="1" t="s">
        <v>507</v>
      </c>
      <c r="C4205" s="1" t="s">
        <v>11968</v>
      </c>
      <c r="D4205" s="1" t="s">
        <v>28</v>
      </c>
      <c r="E4205" s="1" t="s">
        <v>29</v>
      </c>
      <c r="F4205" s="5">
        <v>150000.0</v>
      </c>
      <c r="G4205" s="1" t="s">
        <v>7016</v>
      </c>
      <c r="H4205" s="1" t="s">
        <v>1524</v>
      </c>
      <c r="I4205" s="4">
        <v>44570.0</v>
      </c>
      <c r="K4205" s="1">
        <v>0.0</v>
      </c>
      <c r="L4205" s="1" t="s">
        <v>3290</v>
      </c>
      <c r="M4205" s="1" t="str">
        <f>VLOOKUP(L4205,'Copy of PMD Workday Constants -'!B4204:W4890,22,false)</f>
        <v>#N/A</v>
      </c>
      <c r="N4205" s="1" t="s">
        <v>32</v>
      </c>
      <c r="O4205" s="1" t="s">
        <v>33</v>
      </c>
      <c r="P4205" s="1" t="s">
        <v>112</v>
      </c>
      <c r="Q4205" s="1" t="s">
        <v>112</v>
      </c>
      <c r="R4205" s="1" t="s">
        <v>113</v>
      </c>
      <c r="S4205" s="1" t="s">
        <v>512</v>
      </c>
      <c r="T4205" s="1">
        <v>1.00625578E8</v>
      </c>
      <c r="W4205" s="1" t="s">
        <v>456</v>
      </c>
      <c r="X4205" s="1" t="s">
        <v>11969</v>
      </c>
    </row>
    <row r="4206">
      <c r="A4206" s="1" t="s">
        <v>11970</v>
      </c>
      <c r="B4206" s="1" t="s">
        <v>70</v>
      </c>
      <c r="C4206" s="1" t="s">
        <v>11971</v>
      </c>
      <c r="D4206" s="1" t="s">
        <v>28</v>
      </c>
      <c r="E4206" s="1" t="s">
        <v>29</v>
      </c>
      <c r="F4206" s="5">
        <v>150000.0</v>
      </c>
      <c r="G4206" s="1" t="s">
        <v>7016</v>
      </c>
      <c r="H4206" s="1" t="s">
        <v>1341</v>
      </c>
      <c r="I4206" s="1" t="s">
        <v>80</v>
      </c>
      <c r="K4206" s="1">
        <v>0.0</v>
      </c>
      <c r="L4206" s="1" t="s">
        <v>1380</v>
      </c>
      <c r="M4206" s="1" t="str">
        <f>VLOOKUP(L4206,'Copy of PMD Workday Constants -'!B4205:W4891,22,false)</f>
        <v>#N/A</v>
      </c>
      <c r="N4206" s="1" t="s">
        <v>32</v>
      </c>
      <c r="O4206" s="1" t="s">
        <v>33</v>
      </c>
      <c r="P4206" s="1" t="s">
        <v>34</v>
      </c>
      <c r="Q4206" s="1" t="s">
        <v>34</v>
      </c>
      <c r="R4206" s="1" t="s">
        <v>35</v>
      </c>
      <c r="S4206" s="1" t="s">
        <v>126</v>
      </c>
      <c r="T4206" s="1">
        <v>1.00587434E8</v>
      </c>
      <c r="W4206" s="1" t="s">
        <v>74</v>
      </c>
      <c r="X4206" s="1" t="s">
        <v>3038</v>
      </c>
    </row>
    <row r="4207">
      <c r="A4207" s="1" t="s">
        <v>11972</v>
      </c>
      <c r="B4207" s="1" t="s">
        <v>5835</v>
      </c>
      <c r="C4207" s="1" t="s">
        <v>11973</v>
      </c>
      <c r="D4207" s="1" t="s">
        <v>28</v>
      </c>
      <c r="E4207" s="1" t="s">
        <v>29</v>
      </c>
      <c r="F4207" s="5">
        <v>150000.0</v>
      </c>
      <c r="G4207" s="1" t="s">
        <v>7016</v>
      </c>
      <c r="H4207" s="1" t="s">
        <v>569</v>
      </c>
      <c r="I4207" s="4">
        <v>44601.0</v>
      </c>
      <c r="K4207" s="1">
        <v>0.0</v>
      </c>
      <c r="L4207" s="1" t="s">
        <v>1198</v>
      </c>
      <c r="M4207" s="1" t="str">
        <f>VLOOKUP(L4207,'Copy of PMD Workday Constants -'!B4206:W4892,22,false)</f>
        <v>#N/A</v>
      </c>
      <c r="N4207" s="1" t="s">
        <v>32</v>
      </c>
      <c r="O4207" s="1" t="s">
        <v>33</v>
      </c>
      <c r="P4207" s="1" t="s">
        <v>64</v>
      </c>
      <c r="Q4207" s="1" t="s">
        <v>64</v>
      </c>
      <c r="R4207" s="1" t="s">
        <v>65</v>
      </c>
      <c r="T4207" s="1">
        <v>1.01127868E8</v>
      </c>
      <c r="W4207" s="1" t="s">
        <v>308</v>
      </c>
      <c r="X4207" s="1" t="s">
        <v>2197</v>
      </c>
    </row>
    <row r="4208">
      <c r="A4208" s="1" t="s">
        <v>11974</v>
      </c>
      <c r="B4208" s="1" t="s">
        <v>970</v>
      </c>
      <c r="C4208" s="1" t="s">
        <v>11975</v>
      </c>
      <c r="D4208" s="1" t="s">
        <v>28</v>
      </c>
      <c r="E4208" s="1" t="s">
        <v>29</v>
      </c>
      <c r="F4208" s="5">
        <v>150000.0</v>
      </c>
      <c r="G4208" s="1" t="s">
        <v>7016</v>
      </c>
      <c r="H4208" s="1" t="s">
        <v>569</v>
      </c>
      <c r="I4208" s="1" t="s">
        <v>104</v>
      </c>
      <c r="K4208" s="1">
        <v>0.0</v>
      </c>
      <c r="L4208" s="1" t="s">
        <v>963</v>
      </c>
      <c r="M4208" s="1" t="str">
        <f>VLOOKUP(L4208,'Copy of PMD Workday Constants -'!B4207:W4893,22,false)</f>
        <v>#N/A</v>
      </c>
      <c r="N4208" s="1" t="s">
        <v>32</v>
      </c>
      <c r="O4208" s="1" t="s">
        <v>33</v>
      </c>
      <c r="P4208" s="1" t="s">
        <v>173</v>
      </c>
      <c r="Q4208" s="1" t="s">
        <v>173</v>
      </c>
      <c r="R4208" s="1" t="s">
        <v>174</v>
      </c>
      <c r="T4208" s="1">
        <v>1.00708984E8</v>
      </c>
      <c r="W4208" s="1" t="s">
        <v>308</v>
      </c>
      <c r="X4208" s="1" t="s">
        <v>2197</v>
      </c>
    </row>
    <row r="4209">
      <c r="A4209" s="1" t="s">
        <v>11976</v>
      </c>
      <c r="B4209" s="1" t="s">
        <v>9935</v>
      </c>
      <c r="C4209" s="1" t="s">
        <v>11977</v>
      </c>
      <c r="D4209" s="1" t="s">
        <v>28</v>
      </c>
      <c r="E4209" s="1" t="s">
        <v>29</v>
      </c>
      <c r="F4209" s="5">
        <v>150000.0</v>
      </c>
      <c r="G4209" s="1" t="s">
        <v>7016</v>
      </c>
      <c r="H4209" s="1" t="s">
        <v>1027</v>
      </c>
      <c r="I4209" s="1" t="s">
        <v>302</v>
      </c>
      <c r="K4209" s="1">
        <v>0.0</v>
      </c>
      <c r="L4209" s="1" t="s">
        <v>1238</v>
      </c>
      <c r="M4209" s="1" t="str">
        <f>VLOOKUP(L4209,'Copy of PMD Workday Constants -'!B4208:W4894,22,false)</f>
        <v>#N/A</v>
      </c>
      <c r="N4209" s="1" t="s">
        <v>32</v>
      </c>
      <c r="O4209" s="1" t="s">
        <v>33</v>
      </c>
      <c r="P4209" s="1" t="s">
        <v>210</v>
      </c>
      <c r="Q4209" s="1" t="s">
        <v>210</v>
      </c>
      <c r="R4209" s="1" t="s">
        <v>211</v>
      </c>
      <c r="S4209" s="1" t="s">
        <v>416</v>
      </c>
      <c r="T4209" s="1">
        <v>1.00586959E8</v>
      </c>
      <c r="W4209" s="1" t="s">
        <v>56</v>
      </c>
      <c r="X4209" s="1" t="s">
        <v>2569</v>
      </c>
    </row>
    <row r="4210">
      <c r="A4210" s="1" t="s">
        <v>11978</v>
      </c>
      <c r="B4210" s="1" t="s">
        <v>11979</v>
      </c>
      <c r="C4210" s="1" t="s">
        <v>11980</v>
      </c>
      <c r="D4210" s="1" t="s">
        <v>51</v>
      </c>
      <c r="E4210" s="1" t="s">
        <v>29</v>
      </c>
      <c r="F4210" s="5">
        <v>150000.0</v>
      </c>
      <c r="G4210" s="1" t="s">
        <v>7016</v>
      </c>
      <c r="H4210" s="1" t="s">
        <v>2559</v>
      </c>
      <c r="I4210" s="1" t="s">
        <v>152</v>
      </c>
      <c r="K4210" s="1">
        <v>0.0</v>
      </c>
      <c r="L4210" s="1" t="s">
        <v>3137</v>
      </c>
      <c r="M4210" s="1" t="str">
        <f>VLOOKUP(L4210,'Copy of PMD Workday Constants -'!B4209:W4895,22,false)</f>
        <v>#N/A</v>
      </c>
      <c r="N4210" s="1" t="s">
        <v>32</v>
      </c>
      <c r="O4210" s="1" t="s">
        <v>33</v>
      </c>
      <c r="P4210" s="1" t="s">
        <v>82</v>
      </c>
      <c r="Q4210" s="1" t="s">
        <v>82</v>
      </c>
      <c r="R4210" s="1" t="s">
        <v>83</v>
      </c>
      <c r="S4210" s="1" t="s">
        <v>180</v>
      </c>
      <c r="T4210" s="1">
        <v>1.00586452E8</v>
      </c>
      <c r="W4210" s="1" t="s">
        <v>85</v>
      </c>
      <c r="X4210" s="1" t="s">
        <v>5126</v>
      </c>
    </row>
    <row r="4211">
      <c r="A4211" s="1" t="s">
        <v>11981</v>
      </c>
      <c r="B4211" s="1" t="s">
        <v>458</v>
      </c>
      <c r="C4211" s="1" t="s">
        <v>11982</v>
      </c>
      <c r="D4211" s="1" t="s">
        <v>51</v>
      </c>
      <c r="E4211" s="1" t="s">
        <v>29</v>
      </c>
      <c r="F4211" s="5">
        <v>150000.0</v>
      </c>
      <c r="G4211" s="1" t="s">
        <v>7016</v>
      </c>
      <c r="H4211" s="4">
        <v>44685.0</v>
      </c>
      <c r="I4211" s="1" t="s">
        <v>132</v>
      </c>
      <c r="K4211" s="1">
        <v>0.0</v>
      </c>
      <c r="L4211" s="1" t="s">
        <v>6578</v>
      </c>
      <c r="M4211" s="1" t="str">
        <f>VLOOKUP(L4211,'Copy of PMD Workday Constants -'!B4210:W4896,22,false)</f>
        <v>#N/A</v>
      </c>
      <c r="N4211" s="1" t="s">
        <v>32</v>
      </c>
      <c r="O4211" s="1" t="s">
        <v>33</v>
      </c>
      <c r="P4211" s="1" t="s">
        <v>222</v>
      </c>
      <c r="Q4211" s="1" t="s">
        <v>222</v>
      </c>
      <c r="R4211" s="1" t="s">
        <v>223</v>
      </c>
      <c r="S4211" s="1" t="s">
        <v>654</v>
      </c>
      <c r="T4211" s="1">
        <v>1.00597339E8</v>
      </c>
      <c r="W4211" s="1" t="s">
        <v>56</v>
      </c>
      <c r="X4211" s="1" t="s">
        <v>6579</v>
      </c>
    </row>
    <row r="4212">
      <c r="A4212" s="1" t="s">
        <v>11983</v>
      </c>
      <c r="B4212" s="1" t="s">
        <v>2394</v>
      </c>
      <c r="C4212" s="1" t="s">
        <v>11984</v>
      </c>
      <c r="D4212" s="1" t="s">
        <v>51</v>
      </c>
      <c r="E4212" s="1" t="s">
        <v>29</v>
      </c>
      <c r="F4212" s="5">
        <v>150000.0</v>
      </c>
      <c r="G4212" s="1" t="s">
        <v>7016</v>
      </c>
      <c r="H4212" s="4">
        <v>44685.0</v>
      </c>
      <c r="I4212" s="1" t="s">
        <v>217</v>
      </c>
      <c r="K4212" s="1">
        <v>0.0</v>
      </c>
      <c r="L4212" s="1" t="s">
        <v>238</v>
      </c>
      <c r="M4212" s="1" t="str">
        <f>VLOOKUP(L4212,'Copy of PMD Workday Constants -'!B4211:W4897,22,false)</f>
        <v>#N/A</v>
      </c>
      <c r="N4212" s="1" t="s">
        <v>32</v>
      </c>
      <c r="O4212" s="1" t="s">
        <v>33</v>
      </c>
      <c r="P4212" s="1" t="s">
        <v>112</v>
      </c>
      <c r="Q4212" s="1" t="s">
        <v>112</v>
      </c>
      <c r="R4212" s="1" t="s">
        <v>113</v>
      </c>
      <c r="S4212" s="1" t="s">
        <v>540</v>
      </c>
      <c r="T4212" s="1">
        <v>1.00658519E8</v>
      </c>
      <c r="W4212" s="1" t="s">
        <v>250</v>
      </c>
      <c r="X4212" s="1" t="s">
        <v>2396</v>
      </c>
    </row>
    <row r="4213">
      <c r="A4213" s="1" t="s">
        <v>11985</v>
      </c>
      <c r="B4213" s="1" t="s">
        <v>11986</v>
      </c>
      <c r="C4213" s="1" t="s">
        <v>11987</v>
      </c>
      <c r="D4213" s="1" t="s">
        <v>51</v>
      </c>
      <c r="E4213" s="1" t="s">
        <v>29</v>
      </c>
      <c r="F4213" s="5">
        <v>150000.0</v>
      </c>
      <c r="G4213" s="1" t="s">
        <v>7016</v>
      </c>
      <c r="H4213" s="4">
        <v>43710.0</v>
      </c>
      <c r="I4213" s="1" t="s">
        <v>264</v>
      </c>
      <c r="K4213" s="1">
        <v>0.0</v>
      </c>
      <c r="L4213" s="1" t="s">
        <v>2042</v>
      </c>
      <c r="M4213" s="1" t="str">
        <f>VLOOKUP(L4213,'Copy of PMD Workday Constants -'!B4212:W4898,22,false)</f>
        <v>#N/A</v>
      </c>
      <c r="N4213" s="1" t="s">
        <v>32</v>
      </c>
      <c r="O4213" s="1" t="s">
        <v>33</v>
      </c>
      <c r="P4213" s="1" t="s">
        <v>34</v>
      </c>
      <c r="Q4213" s="1" t="s">
        <v>34</v>
      </c>
      <c r="R4213" s="1" t="s">
        <v>35</v>
      </c>
      <c r="S4213" s="1" t="s">
        <v>1313</v>
      </c>
      <c r="T4213" s="1">
        <v>1.00611284E8</v>
      </c>
      <c r="W4213" s="1" t="s">
        <v>436</v>
      </c>
      <c r="X4213" s="1" t="s">
        <v>11988</v>
      </c>
    </row>
    <row r="4214">
      <c r="A4214" s="1" t="s">
        <v>11989</v>
      </c>
      <c r="B4214" s="1" t="s">
        <v>11990</v>
      </c>
      <c r="C4214" s="1" t="s">
        <v>11991</v>
      </c>
      <c r="D4214" s="1" t="s">
        <v>103</v>
      </c>
      <c r="E4214" s="1" t="s">
        <v>29</v>
      </c>
      <c r="F4214" s="5">
        <v>150000.0</v>
      </c>
      <c r="G4214" s="1" t="s">
        <v>7016</v>
      </c>
      <c r="H4214" s="4">
        <v>44481.0</v>
      </c>
      <c r="I4214" s="1" t="s">
        <v>810</v>
      </c>
      <c r="K4214" s="1">
        <v>0.0</v>
      </c>
      <c r="L4214" s="1" t="s">
        <v>8104</v>
      </c>
      <c r="M4214" s="1" t="str">
        <f>VLOOKUP(L4214,'Copy of PMD Workday Constants -'!B4213:W4899,22,false)</f>
        <v>#N/A</v>
      </c>
      <c r="N4214" s="1" t="s">
        <v>32</v>
      </c>
      <c r="O4214" s="1" t="s">
        <v>33</v>
      </c>
      <c r="P4214" s="1" t="s">
        <v>222</v>
      </c>
      <c r="Q4214" s="1" t="s">
        <v>222</v>
      </c>
      <c r="R4214" s="1" t="s">
        <v>223</v>
      </c>
      <c r="S4214" s="1" t="s">
        <v>601</v>
      </c>
      <c r="T4214" s="1">
        <v>1.00627554E8</v>
      </c>
      <c r="W4214" s="1" t="s">
        <v>85</v>
      </c>
      <c r="X4214" s="1" t="s">
        <v>8104</v>
      </c>
    </row>
    <row r="4215">
      <c r="A4215" s="1" t="s">
        <v>11992</v>
      </c>
      <c r="B4215" s="1" t="s">
        <v>11993</v>
      </c>
      <c r="C4215" s="1" t="s">
        <v>11994</v>
      </c>
      <c r="D4215" s="1" t="s">
        <v>28</v>
      </c>
      <c r="E4215" s="1" t="s">
        <v>29</v>
      </c>
      <c r="F4215" s="5">
        <v>150000.0</v>
      </c>
      <c r="G4215" s="1" t="s">
        <v>7016</v>
      </c>
      <c r="H4215" s="4">
        <v>44748.0</v>
      </c>
      <c r="I4215" s="1" t="s">
        <v>692</v>
      </c>
      <c r="K4215" s="1">
        <v>0.0</v>
      </c>
      <c r="L4215" s="1" t="s">
        <v>1790</v>
      </c>
      <c r="M4215" s="1" t="str">
        <f>VLOOKUP(L4215,'Copy of PMD Workday Constants -'!B4214:W4900,22,false)</f>
        <v>#N/A</v>
      </c>
      <c r="N4215" s="1" t="s">
        <v>32</v>
      </c>
      <c r="O4215" s="1" t="s">
        <v>33</v>
      </c>
      <c r="P4215" s="1" t="s">
        <v>222</v>
      </c>
      <c r="Q4215" s="1" t="s">
        <v>222</v>
      </c>
      <c r="R4215" s="1" t="s">
        <v>223</v>
      </c>
      <c r="S4215" s="1" t="s">
        <v>601</v>
      </c>
      <c r="T4215" s="1">
        <v>1.00645232E8</v>
      </c>
      <c r="W4215" s="1" t="s">
        <v>258</v>
      </c>
      <c r="X4215" s="1" t="s">
        <v>8560</v>
      </c>
    </row>
    <row r="4216">
      <c r="A4216" s="1" t="s">
        <v>11995</v>
      </c>
      <c r="B4216" s="1" t="s">
        <v>8716</v>
      </c>
      <c r="C4216" s="1" t="s">
        <v>11996</v>
      </c>
      <c r="D4216" s="1" t="s">
        <v>51</v>
      </c>
      <c r="E4216" s="1" t="s">
        <v>29</v>
      </c>
      <c r="F4216" s="5">
        <v>150000.0</v>
      </c>
      <c r="G4216" s="1" t="s">
        <v>7016</v>
      </c>
      <c r="H4216" s="1" t="s">
        <v>11997</v>
      </c>
      <c r="I4216" s="1" t="s">
        <v>80</v>
      </c>
      <c r="K4216" s="1">
        <v>0.0</v>
      </c>
      <c r="L4216" s="1" t="s">
        <v>3571</v>
      </c>
      <c r="M4216" s="1" t="str">
        <f>VLOOKUP(L4216,'Copy of PMD Workday Constants -'!B4215:W4901,22,false)</f>
        <v>#N/A</v>
      </c>
      <c r="N4216" s="1" t="s">
        <v>32</v>
      </c>
      <c r="O4216" s="1" t="s">
        <v>33</v>
      </c>
      <c r="P4216" s="1" t="s">
        <v>173</v>
      </c>
      <c r="Q4216" s="1" t="s">
        <v>173</v>
      </c>
      <c r="R4216" s="1" t="s">
        <v>174</v>
      </c>
      <c r="S4216" s="1" t="s">
        <v>612</v>
      </c>
      <c r="T4216" s="1">
        <v>1.00651086E8</v>
      </c>
      <c r="W4216" s="1" t="s">
        <v>436</v>
      </c>
      <c r="X4216" s="1" t="s">
        <v>831</v>
      </c>
    </row>
    <row r="4217">
      <c r="A4217" s="1" t="s">
        <v>11998</v>
      </c>
      <c r="B4217" s="1" t="s">
        <v>160</v>
      </c>
      <c r="C4217" s="1" t="s">
        <v>11999</v>
      </c>
      <c r="D4217" s="1" t="s">
        <v>28</v>
      </c>
      <c r="E4217" s="1" t="s">
        <v>29</v>
      </c>
      <c r="F4217" s="5">
        <v>150000.0</v>
      </c>
      <c r="G4217" s="1" t="s">
        <v>7016</v>
      </c>
      <c r="H4217" s="1" t="s">
        <v>1042</v>
      </c>
      <c r="I4217" s="1" t="s">
        <v>509</v>
      </c>
      <c r="K4217" s="1">
        <v>0.0</v>
      </c>
      <c r="L4217" s="1" t="s">
        <v>570</v>
      </c>
      <c r="M4217" s="1" t="str">
        <f>VLOOKUP(L4217,'Copy of PMD Workday Constants -'!B4216:W4902,22,false)</f>
        <v>#N/A</v>
      </c>
      <c r="N4217" s="1" t="s">
        <v>32</v>
      </c>
      <c r="O4217" s="1" t="s">
        <v>33</v>
      </c>
      <c r="P4217" s="1" t="s">
        <v>112</v>
      </c>
      <c r="Q4217" s="1" t="s">
        <v>112</v>
      </c>
      <c r="R4217" s="1" t="s">
        <v>113</v>
      </c>
      <c r="S4217" s="1" t="s">
        <v>120</v>
      </c>
      <c r="T4217" s="1">
        <v>1.00625415E8</v>
      </c>
      <c r="W4217" s="1" t="s">
        <v>56</v>
      </c>
      <c r="X4217" s="1" t="s">
        <v>4243</v>
      </c>
    </row>
    <row r="4218">
      <c r="A4218" s="1" t="s">
        <v>12000</v>
      </c>
      <c r="B4218" s="1" t="s">
        <v>931</v>
      </c>
      <c r="C4218" s="1" t="s">
        <v>12001</v>
      </c>
      <c r="D4218" s="1" t="s">
        <v>28</v>
      </c>
      <c r="E4218" s="1" t="s">
        <v>29</v>
      </c>
      <c r="F4218" s="5">
        <v>150000.0</v>
      </c>
      <c r="G4218" s="1" t="s">
        <v>7016</v>
      </c>
      <c r="H4218" s="1" t="s">
        <v>698</v>
      </c>
      <c r="I4218" s="1" t="s">
        <v>1350</v>
      </c>
      <c r="K4218" s="1">
        <v>0.0</v>
      </c>
      <c r="L4218" s="1" t="s">
        <v>7634</v>
      </c>
      <c r="M4218" s="1" t="str">
        <f>VLOOKUP(L4218,'Copy of PMD Workday Constants -'!B4217:W4903,22,false)</f>
        <v>#N/A</v>
      </c>
      <c r="N4218" s="1" t="s">
        <v>32</v>
      </c>
      <c r="O4218" s="1" t="s">
        <v>33</v>
      </c>
      <c r="P4218" s="1" t="s">
        <v>222</v>
      </c>
      <c r="Q4218" s="1" t="s">
        <v>222</v>
      </c>
      <c r="R4218" s="1" t="s">
        <v>223</v>
      </c>
      <c r="T4218" s="1">
        <v>1.00599745E8</v>
      </c>
      <c r="W4218" s="1" t="s">
        <v>85</v>
      </c>
      <c r="X4218" s="1" t="s">
        <v>9112</v>
      </c>
    </row>
    <row r="4219">
      <c r="A4219" s="1" t="s">
        <v>12002</v>
      </c>
      <c r="B4219" s="1" t="s">
        <v>2277</v>
      </c>
      <c r="C4219" s="1" t="s">
        <v>12003</v>
      </c>
      <c r="D4219" s="1" t="s">
        <v>51</v>
      </c>
      <c r="E4219" s="1" t="s">
        <v>29</v>
      </c>
      <c r="F4219" s="5">
        <v>150000.0</v>
      </c>
      <c r="G4219" s="1" t="s">
        <v>7016</v>
      </c>
      <c r="H4219" s="4">
        <v>44200.0</v>
      </c>
      <c r="I4219" s="1" t="s">
        <v>80</v>
      </c>
      <c r="K4219" s="1">
        <v>0.0</v>
      </c>
      <c r="L4219" s="1" t="s">
        <v>1335</v>
      </c>
      <c r="M4219" s="1" t="str">
        <f>VLOOKUP(L4219,'Copy of PMD Workday Constants -'!B4218:W4904,22,false)</f>
        <v>#N/A</v>
      </c>
      <c r="N4219" s="1" t="s">
        <v>32</v>
      </c>
      <c r="O4219" s="1" t="s">
        <v>33</v>
      </c>
      <c r="P4219" s="1" t="s">
        <v>210</v>
      </c>
      <c r="Q4219" s="1" t="s">
        <v>210</v>
      </c>
      <c r="R4219" s="1" t="s">
        <v>211</v>
      </c>
      <c r="S4219" s="1" t="s">
        <v>1336</v>
      </c>
      <c r="T4219" s="1">
        <v>1.00594397E8</v>
      </c>
      <c r="W4219" s="1" t="s">
        <v>258</v>
      </c>
      <c r="X4219" s="1" t="s">
        <v>2847</v>
      </c>
    </row>
    <row r="4220">
      <c r="A4220" s="1" t="s">
        <v>12004</v>
      </c>
      <c r="B4220" s="1" t="s">
        <v>776</v>
      </c>
      <c r="C4220" s="1" t="s">
        <v>12005</v>
      </c>
      <c r="D4220" s="1" t="s">
        <v>28</v>
      </c>
      <c r="E4220" s="1" t="s">
        <v>29</v>
      </c>
      <c r="F4220" s="5">
        <v>150000.0</v>
      </c>
      <c r="G4220" s="1" t="s">
        <v>7016</v>
      </c>
      <c r="H4220" s="4">
        <v>44201.0</v>
      </c>
      <c r="I4220" s="1" t="s">
        <v>166</v>
      </c>
      <c r="K4220" s="1">
        <v>0.0</v>
      </c>
      <c r="L4220" s="1" t="s">
        <v>2547</v>
      </c>
      <c r="M4220" s="1" t="str">
        <f>VLOOKUP(L4220,'Copy of PMD Workday Constants -'!B4219:W4905,22,false)</f>
        <v>#N/A</v>
      </c>
      <c r="N4220" s="1" t="s">
        <v>32</v>
      </c>
      <c r="O4220" s="1" t="s">
        <v>33</v>
      </c>
      <c r="P4220" s="1" t="s">
        <v>64</v>
      </c>
      <c r="Q4220" s="1" t="s">
        <v>64</v>
      </c>
      <c r="R4220" s="1" t="s">
        <v>65</v>
      </c>
      <c r="S4220" s="1" t="s">
        <v>185</v>
      </c>
      <c r="T4220" s="1">
        <v>1.00592932E8</v>
      </c>
      <c r="W4220" s="1" t="s">
        <v>74</v>
      </c>
      <c r="X4220" s="1" t="s">
        <v>11458</v>
      </c>
    </row>
    <row r="4221">
      <c r="A4221" s="1" t="s">
        <v>12006</v>
      </c>
      <c r="B4221" s="1" t="s">
        <v>12007</v>
      </c>
      <c r="C4221" s="1" t="s">
        <v>12008</v>
      </c>
      <c r="D4221" s="1" t="s">
        <v>103</v>
      </c>
      <c r="E4221" s="1" t="s">
        <v>29</v>
      </c>
      <c r="F4221" s="5">
        <v>150000.0</v>
      </c>
      <c r="G4221" s="1" t="s">
        <v>7016</v>
      </c>
      <c r="H4221" s="4">
        <v>44900.0</v>
      </c>
      <c r="I4221" s="1" t="s">
        <v>810</v>
      </c>
      <c r="K4221" s="1">
        <v>0.0</v>
      </c>
      <c r="L4221" s="1" t="s">
        <v>2819</v>
      </c>
      <c r="M4221" s="1" t="str">
        <f>VLOOKUP(L4221,'Copy of PMD Workday Constants -'!B4220:W4906,22,false)</f>
        <v>#N/A</v>
      </c>
      <c r="N4221" s="1" t="s">
        <v>32</v>
      </c>
      <c r="O4221" s="1" t="s">
        <v>33</v>
      </c>
      <c r="P4221" s="1" t="s">
        <v>34</v>
      </c>
      <c r="Q4221" s="1" t="s">
        <v>34</v>
      </c>
      <c r="R4221" s="1" t="s">
        <v>35</v>
      </c>
      <c r="T4221" s="1">
        <v>1.00602451E8</v>
      </c>
      <c r="W4221" s="1" t="s">
        <v>147</v>
      </c>
      <c r="X4221" s="1" t="s">
        <v>12009</v>
      </c>
    </row>
    <row r="4222">
      <c r="A4222" s="1" t="s">
        <v>12010</v>
      </c>
      <c r="B4222" s="1" t="s">
        <v>403</v>
      </c>
      <c r="C4222" s="1" t="s">
        <v>12011</v>
      </c>
      <c r="D4222" s="1" t="s">
        <v>28</v>
      </c>
      <c r="E4222" s="1" t="s">
        <v>29</v>
      </c>
      <c r="F4222" s="5">
        <v>150000.0</v>
      </c>
      <c r="G4222" s="1" t="s">
        <v>7016</v>
      </c>
      <c r="H4222" s="1" t="s">
        <v>2386</v>
      </c>
      <c r="I4222" s="1" t="s">
        <v>152</v>
      </c>
      <c r="K4222" s="1">
        <v>0.0</v>
      </c>
      <c r="L4222" s="1" t="s">
        <v>407</v>
      </c>
      <c r="M4222" s="1" t="str">
        <f>VLOOKUP(L4222,'Copy of PMD Workday Constants -'!B4221:W4907,22,false)</f>
        <v>#N/A</v>
      </c>
      <c r="N4222" s="1" t="s">
        <v>32</v>
      </c>
      <c r="O4222" s="1" t="s">
        <v>33</v>
      </c>
      <c r="P4222" s="1" t="s">
        <v>34</v>
      </c>
      <c r="Q4222" s="1" t="s">
        <v>34</v>
      </c>
      <c r="R4222" s="1" t="s">
        <v>35</v>
      </c>
      <c r="S4222" s="1" t="s">
        <v>36</v>
      </c>
      <c r="T4222" s="1">
        <v>1.0064407E8</v>
      </c>
      <c r="W4222" s="1" t="s">
        <v>37</v>
      </c>
      <c r="X4222" s="1" t="s">
        <v>9740</v>
      </c>
    </row>
    <row r="4223">
      <c r="A4223" s="1" t="s">
        <v>12012</v>
      </c>
      <c r="B4223" s="1" t="s">
        <v>756</v>
      </c>
      <c r="C4223" s="1" t="s">
        <v>12013</v>
      </c>
      <c r="D4223" s="1" t="s">
        <v>51</v>
      </c>
      <c r="E4223" s="1" t="s">
        <v>29</v>
      </c>
      <c r="F4223" s="5">
        <v>150000.0</v>
      </c>
      <c r="G4223" s="1" t="s">
        <v>7016</v>
      </c>
      <c r="H4223" s="4">
        <v>44563.0</v>
      </c>
      <c r="I4223" s="1" t="s">
        <v>152</v>
      </c>
      <c r="K4223" s="1">
        <v>0.0</v>
      </c>
      <c r="L4223" s="1" t="s">
        <v>1344</v>
      </c>
      <c r="M4223" s="1" t="str">
        <f>VLOOKUP(L4223,'Copy of PMD Workday Constants -'!B4222:W4908,22,false)</f>
        <v>#N/A</v>
      </c>
      <c r="N4223" s="1" t="s">
        <v>32</v>
      </c>
      <c r="O4223" s="1" t="s">
        <v>33</v>
      </c>
      <c r="P4223" s="1" t="s">
        <v>112</v>
      </c>
      <c r="Q4223" s="1" t="s">
        <v>112</v>
      </c>
      <c r="R4223" s="1" t="s">
        <v>113</v>
      </c>
      <c r="S4223" s="1" t="s">
        <v>134</v>
      </c>
      <c r="T4223" s="1">
        <v>1.0061941E8</v>
      </c>
      <c r="W4223" s="1" t="s">
        <v>74</v>
      </c>
      <c r="X4223" s="1" t="s">
        <v>1711</v>
      </c>
    </row>
    <row r="4224">
      <c r="A4224" s="1" t="s">
        <v>12014</v>
      </c>
      <c r="B4224" s="1" t="s">
        <v>225</v>
      </c>
      <c r="C4224" s="1" t="s">
        <v>12015</v>
      </c>
      <c r="D4224" s="1" t="s">
        <v>28</v>
      </c>
      <c r="E4224" s="1" t="s">
        <v>29</v>
      </c>
      <c r="F4224" s="5">
        <v>150000.0</v>
      </c>
      <c r="G4224" s="1" t="s">
        <v>7016</v>
      </c>
      <c r="H4224" s="4">
        <v>44595.0</v>
      </c>
      <c r="I4224" s="4">
        <v>44601.0</v>
      </c>
      <c r="K4224" s="1">
        <v>0.0</v>
      </c>
      <c r="L4224" s="1" t="s">
        <v>866</v>
      </c>
      <c r="M4224" s="1" t="str">
        <f>VLOOKUP(L4224,'Copy of PMD Workday Constants -'!B4223:W4909,22,false)</f>
        <v>#N/A</v>
      </c>
      <c r="N4224" s="1" t="s">
        <v>32</v>
      </c>
      <c r="O4224" s="1" t="s">
        <v>33</v>
      </c>
      <c r="P4224" s="1" t="s">
        <v>82</v>
      </c>
      <c r="Q4224" s="1" t="s">
        <v>82</v>
      </c>
      <c r="R4224" s="1" t="s">
        <v>83</v>
      </c>
      <c r="S4224" s="1" t="s">
        <v>84</v>
      </c>
      <c r="T4224" s="1">
        <v>1.00941744E8</v>
      </c>
      <c r="W4224" s="1" t="s">
        <v>85</v>
      </c>
      <c r="X4224" s="1" t="s">
        <v>12016</v>
      </c>
    </row>
    <row r="4225">
      <c r="A4225" s="1" t="s">
        <v>12017</v>
      </c>
      <c r="B4225" s="1" t="s">
        <v>12018</v>
      </c>
      <c r="C4225" s="1" t="s">
        <v>12019</v>
      </c>
      <c r="D4225" s="1" t="s">
        <v>103</v>
      </c>
      <c r="E4225" s="1" t="s">
        <v>29</v>
      </c>
      <c r="F4225" s="5">
        <v>150000.0</v>
      </c>
      <c r="G4225" s="1" t="s">
        <v>7016</v>
      </c>
      <c r="H4225" s="1" t="s">
        <v>2290</v>
      </c>
      <c r="I4225" s="1" t="s">
        <v>526</v>
      </c>
      <c r="K4225" s="1">
        <v>0.0</v>
      </c>
      <c r="L4225" s="1" t="s">
        <v>10653</v>
      </c>
      <c r="M4225" s="1" t="str">
        <f>VLOOKUP(L4225,'Copy of PMD Workday Constants -'!B4224:W4910,22,false)</f>
        <v>#N/A</v>
      </c>
      <c r="N4225" s="1" t="s">
        <v>32</v>
      </c>
      <c r="O4225" s="1" t="s">
        <v>33</v>
      </c>
      <c r="P4225" s="1" t="s">
        <v>222</v>
      </c>
      <c r="Q4225" s="1" t="s">
        <v>222</v>
      </c>
      <c r="R4225" s="1" t="s">
        <v>223</v>
      </c>
      <c r="S4225" s="1" t="s">
        <v>482</v>
      </c>
      <c r="T4225" s="1">
        <v>1.01154609E8</v>
      </c>
      <c r="W4225" s="1" t="s">
        <v>250</v>
      </c>
      <c r="X4225" s="1" t="s">
        <v>10653</v>
      </c>
    </row>
    <row r="4226">
      <c r="A4226" s="1" t="s">
        <v>12020</v>
      </c>
      <c r="B4226" s="1" t="s">
        <v>12021</v>
      </c>
      <c r="C4226" s="1" t="s">
        <v>12022</v>
      </c>
      <c r="D4226" s="1" t="s">
        <v>103</v>
      </c>
      <c r="E4226" s="1" t="s">
        <v>29</v>
      </c>
      <c r="F4226" s="5">
        <v>150000.0</v>
      </c>
      <c r="G4226" s="1" t="s">
        <v>7016</v>
      </c>
      <c r="H4226" s="4">
        <v>44449.0</v>
      </c>
      <c r="I4226" s="1" t="s">
        <v>104</v>
      </c>
      <c r="K4226" s="1">
        <v>0.0</v>
      </c>
      <c r="L4226" s="1" t="s">
        <v>1939</v>
      </c>
      <c r="M4226" s="1" t="str">
        <f>VLOOKUP(L4226,'Copy of PMD Workday Constants -'!B4225:W4911,22,false)</f>
        <v>#N/A</v>
      </c>
      <c r="N4226" s="1" t="s">
        <v>32</v>
      </c>
      <c r="O4226" s="1" t="s">
        <v>33</v>
      </c>
      <c r="P4226" s="1" t="s">
        <v>173</v>
      </c>
      <c r="Q4226" s="1" t="s">
        <v>173</v>
      </c>
      <c r="R4226" s="1" t="s">
        <v>174</v>
      </c>
      <c r="S4226" s="1" t="s">
        <v>153</v>
      </c>
      <c r="T4226" s="1">
        <v>1.00649264E8</v>
      </c>
      <c r="W4226" s="1" t="s">
        <v>258</v>
      </c>
      <c r="X4226" s="1" t="s">
        <v>6271</v>
      </c>
    </row>
    <row r="4227">
      <c r="A4227" s="1" t="s">
        <v>12023</v>
      </c>
      <c r="B4227" s="1" t="s">
        <v>225</v>
      </c>
      <c r="C4227" s="1" t="s">
        <v>12024</v>
      </c>
      <c r="D4227" s="1" t="s">
        <v>28</v>
      </c>
      <c r="E4227" s="1" t="s">
        <v>29</v>
      </c>
      <c r="F4227" s="5">
        <v>150000.0</v>
      </c>
      <c r="G4227" s="1" t="s">
        <v>7016</v>
      </c>
      <c r="H4227" s="1" t="s">
        <v>3574</v>
      </c>
      <c r="I4227" s="1" t="s">
        <v>191</v>
      </c>
      <c r="K4227" s="1">
        <v>0.0</v>
      </c>
      <c r="L4227" s="1" t="s">
        <v>3575</v>
      </c>
      <c r="M4227" s="1" t="str">
        <f>VLOOKUP(L4227,'Copy of PMD Workday Constants -'!B4226:W4912,22,false)</f>
        <v>#N/A</v>
      </c>
      <c r="N4227" s="1" t="s">
        <v>32</v>
      </c>
      <c r="O4227" s="1" t="s">
        <v>33</v>
      </c>
      <c r="P4227" s="1" t="s">
        <v>64</v>
      </c>
      <c r="Q4227" s="1" t="s">
        <v>64</v>
      </c>
      <c r="R4227" s="1" t="s">
        <v>65</v>
      </c>
      <c r="S4227" s="1" t="s">
        <v>229</v>
      </c>
      <c r="T4227" s="1">
        <v>1.00652666E8</v>
      </c>
      <c r="W4227" s="1" t="s">
        <v>85</v>
      </c>
      <c r="X4227" s="1" t="s">
        <v>4406</v>
      </c>
    </row>
    <row r="4228">
      <c r="A4228" s="1" t="s">
        <v>12025</v>
      </c>
      <c r="B4228" s="1" t="s">
        <v>3343</v>
      </c>
      <c r="C4228" s="1" t="s">
        <v>12026</v>
      </c>
      <c r="D4228" s="1" t="s">
        <v>28</v>
      </c>
      <c r="E4228" s="1" t="s">
        <v>29</v>
      </c>
      <c r="F4228" s="5">
        <v>150000.0</v>
      </c>
      <c r="G4228" s="1" t="s">
        <v>7016</v>
      </c>
      <c r="H4228" s="4">
        <v>44595.0</v>
      </c>
      <c r="I4228" s="4">
        <v>44928.0</v>
      </c>
      <c r="K4228" s="1">
        <v>0.0</v>
      </c>
      <c r="L4228" s="1" t="s">
        <v>1241</v>
      </c>
      <c r="M4228" s="1" t="str">
        <f>VLOOKUP(L4228,'Copy of PMD Workday Constants -'!B4227:W4913,22,false)</f>
        <v>#N/A</v>
      </c>
      <c r="N4228" s="1" t="s">
        <v>32</v>
      </c>
      <c r="O4228" s="1" t="s">
        <v>33</v>
      </c>
      <c r="P4228" s="1" t="s">
        <v>34</v>
      </c>
      <c r="Q4228" s="1" t="s">
        <v>34</v>
      </c>
      <c r="R4228" s="1" t="s">
        <v>35</v>
      </c>
      <c r="T4228" s="1">
        <v>1.00621724E8</v>
      </c>
      <c r="W4228" s="1" t="s">
        <v>140</v>
      </c>
      <c r="X4228" s="1" t="s">
        <v>8440</v>
      </c>
    </row>
    <row r="4229">
      <c r="A4229" s="1" t="s">
        <v>12027</v>
      </c>
      <c r="B4229" s="1" t="s">
        <v>1096</v>
      </c>
      <c r="C4229" s="1" t="s">
        <v>12028</v>
      </c>
      <c r="D4229" s="1" t="s">
        <v>28</v>
      </c>
      <c r="E4229" s="1" t="s">
        <v>29</v>
      </c>
      <c r="F4229" s="5">
        <v>150000.0</v>
      </c>
      <c r="G4229" s="1" t="s">
        <v>7016</v>
      </c>
      <c r="H4229" s="1" t="s">
        <v>556</v>
      </c>
      <c r="I4229" s="1" t="s">
        <v>12029</v>
      </c>
      <c r="K4229" s="1">
        <v>0.0</v>
      </c>
      <c r="L4229" s="1" t="s">
        <v>1447</v>
      </c>
      <c r="M4229" s="1" t="str">
        <f>VLOOKUP(L4229,'Copy of PMD Workday Constants -'!B4228:W4914,22,false)</f>
        <v>#N/A</v>
      </c>
      <c r="N4229" s="1" t="s">
        <v>32</v>
      </c>
      <c r="O4229" s="1" t="s">
        <v>33</v>
      </c>
      <c r="P4229" s="1" t="s">
        <v>64</v>
      </c>
      <c r="Q4229" s="1" t="s">
        <v>64</v>
      </c>
      <c r="R4229" s="1" t="s">
        <v>65</v>
      </c>
      <c r="T4229" s="1">
        <v>1.00997154E8</v>
      </c>
      <c r="W4229" s="1" t="s">
        <v>456</v>
      </c>
      <c r="X4229" s="1" t="s">
        <v>3259</v>
      </c>
    </row>
    <row r="4230">
      <c r="A4230" s="1" t="s">
        <v>12030</v>
      </c>
      <c r="B4230" s="1" t="s">
        <v>12031</v>
      </c>
      <c r="C4230" s="1" t="s">
        <v>12032</v>
      </c>
      <c r="D4230" s="1" t="s">
        <v>28</v>
      </c>
      <c r="E4230" s="1" t="s">
        <v>29</v>
      </c>
      <c r="F4230" s="5">
        <v>150000.0</v>
      </c>
      <c r="G4230" s="1" t="s">
        <v>7016</v>
      </c>
      <c r="H4230" s="4">
        <v>44808.0</v>
      </c>
      <c r="I4230" s="1" t="s">
        <v>301</v>
      </c>
      <c r="K4230" s="1">
        <v>0.0</v>
      </c>
      <c r="L4230" s="1" t="s">
        <v>3392</v>
      </c>
      <c r="M4230" s="1" t="str">
        <f>VLOOKUP(L4230,'Copy of PMD Workday Constants -'!B4229:W4915,22,false)</f>
        <v>#N/A</v>
      </c>
      <c r="N4230" s="1" t="s">
        <v>32</v>
      </c>
      <c r="O4230" s="1" t="s">
        <v>33</v>
      </c>
      <c r="P4230" s="1" t="s">
        <v>64</v>
      </c>
      <c r="Q4230" s="1" t="s">
        <v>64</v>
      </c>
      <c r="R4230" s="1" t="s">
        <v>65</v>
      </c>
      <c r="T4230" s="1">
        <v>1.00653021E8</v>
      </c>
      <c r="W4230" s="1" t="s">
        <v>250</v>
      </c>
      <c r="X4230" s="1" t="s">
        <v>3392</v>
      </c>
    </row>
    <row r="4231">
      <c r="A4231" s="1" t="s">
        <v>12033</v>
      </c>
      <c r="B4231" s="1" t="s">
        <v>2263</v>
      </c>
      <c r="C4231" s="1" t="s">
        <v>12034</v>
      </c>
      <c r="D4231" s="1" t="s">
        <v>51</v>
      </c>
      <c r="E4231" s="1" t="s">
        <v>29</v>
      </c>
      <c r="F4231" s="5">
        <v>145488.0</v>
      </c>
      <c r="G4231" s="1" t="s">
        <v>7016</v>
      </c>
      <c r="H4231" s="1" t="s">
        <v>2463</v>
      </c>
      <c r="I4231" s="4">
        <v>44571.0</v>
      </c>
      <c r="K4231" s="1">
        <v>0.0</v>
      </c>
      <c r="L4231" s="1" t="s">
        <v>4235</v>
      </c>
      <c r="M4231" s="1" t="str">
        <f>VLOOKUP(L4231,'Copy of PMD Workday Constants -'!B4230:W4916,22,false)</f>
        <v>#N/A</v>
      </c>
      <c r="N4231" s="1" t="s">
        <v>32</v>
      </c>
      <c r="O4231" s="1" t="s">
        <v>33</v>
      </c>
      <c r="P4231" s="1" t="s">
        <v>210</v>
      </c>
      <c r="Q4231" s="1" t="s">
        <v>210</v>
      </c>
      <c r="R4231" s="1" t="s">
        <v>211</v>
      </c>
      <c r="S4231" s="1" t="s">
        <v>1313</v>
      </c>
      <c r="T4231" s="1">
        <v>1.00628891E8</v>
      </c>
      <c r="W4231" s="1" t="s">
        <v>577</v>
      </c>
      <c r="X4231" s="1" t="s">
        <v>7115</v>
      </c>
    </row>
    <row r="4232">
      <c r="A4232" s="1" t="s">
        <v>12035</v>
      </c>
      <c r="B4232" s="1" t="s">
        <v>2263</v>
      </c>
      <c r="C4232" s="1" t="s">
        <v>12036</v>
      </c>
      <c r="D4232" s="1" t="s">
        <v>51</v>
      </c>
      <c r="E4232" s="1" t="s">
        <v>29</v>
      </c>
      <c r="F4232" s="5">
        <v>145488.0</v>
      </c>
      <c r="G4232" s="1" t="s">
        <v>7016</v>
      </c>
      <c r="H4232" s="1" t="s">
        <v>2463</v>
      </c>
      <c r="I4232" s="4">
        <v>44568.0</v>
      </c>
      <c r="K4232" s="1">
        <v>0.0</v>
      </c>
      <c r="L4232" s="1" t="s">
        <v>4235</v>
      </c>
      <c r="M4232" s="1" t="str">
        <f>VLOOKUP(L4232,'Copy of PMD Workday Constants -'!B4231:W4917,22,false)</f>
        <v>#N/A</v>
      </c>
      <c r="N4232" s="1" t="s">
        <v>32</v>
      </c>
      <c r="O4232" s="1" t="s">
        <v>33</v>
      </c>
      <c r="P4232" s="1" t="s">
        <v>210</v>
      </c>
      <c r="Q4232" s="1" t="s">
        <v>210</v>
      </c>
      <c r="R4232" s="1" t="s">
        <v>211</v>
      </c>
      <c r="S4232" s="1" t="s">
        <v>1313</v>
      </c>
      <c r="T4232" s="1">
        <v>1.00628891E8</v>
      </c>
      <c r="W4232" s="1" t="s">
        <v>577</v>
      </c>
      <c r="X4232" s="1" t="s">
        <v>7115</v>
      </c>
    </row>
    <row r="4233">
      <c r="A4233" s="1" t="s">
        <v>12037</v>
      </c>
      <c r="B4233" s="1" t="s">
        <v>12038</v>
      </c>
      <c r="C4233" s="1" t="s">
        <v>12039</v>
      </c>
      <c r="D4233" s="1" t="s">
        <v>51</v>
      </c>
      <c r="E4233" s="1" t="s">
        <v>29</v>
      </c>
      <c r="F4233" s="5">
        <v>145465.49</v>
      </c>
      <c r="G4233" s="1" t="s">
        <v>7016</v>
      </c>
      <c r="H4233" s="1" t="s">
        <v>52</v>
      </c>
      <c r="I4233" s="1" t="s">
        <v>732</v>
      </c>
      <c r="K4233" s="1">
        <v>0.0</v>
      </c>
      <c r="L4233" s="1" t="s">
        <v>8293</v>
      </c>
      <c r="M4233" s="1" t="str">
        <f>VLOOKUP(L4233,'Copy of PMD Workday Constants -'!B4232:W4918,22,false)</f>
        <v>#N/A</v>
      </c>
      <c r="N4233" s="1" t="s">
        <v>32</v>
      </c>
      <c r="O4233" s="1" t="s">
        <v>33</v>
      </c>
      <c r="P4233" s="1" t="s">
        <v>5253</v>
      </c>
      <c r="Q4233" s="1" t="s">
        <v>5253</v>
      </c>
      <c r="R4233" s="1" t="s">
        <v>65</v>
      </c>
      <c r="T4233" s="1">
        <v>1.00591676E8</v>
      </c>
      <c r="W4233" s="1" t="s">
        <v>56</v>
      </c>
      <c r="X4233" s="1" t="s">
        <v>12040</v>
      </c>
    </row>
    <row r="4234">
      <c r="A4234" s="1" t="s">
        <v>12041</v>
      </c>
      <c r="B4234" s="1" t="s">
        <v>6344</v>
      </c>
      <c r="C4234" s="1" t="s">
        <v>12042</v>
      </c>
      <c r="D4234" s="1" t="s">
        <v>103</v>
      </c>
      <c r="E4234" s="1" t="s">
        <v>29</v>
      </c>
      <c r="F4234" s="5">
        <v>145000.0</v>
      </c>
      <c r="G4234" s="1" t="s">
        <v>7016</v>
      </c>
      <c r="H4234" s="1" t="s">
        <v>2724</v>
      </c>
      <c r="I4234" s="1" t="s">
        <v>1349</v>
      </c>
      <c r="K4234" s="1">
        <v>0.0</v>
      </c>
      <c r="L4234" s="1" t="s">
        <v>7062</v>
      </c>
      <c r="M4234" s="1" t="str">
        <f>VLOOKUP(L4234,'Copy of PMD Workday Constants -'!B4233:W4919,22,false)</f>
        <v>#N/A</v>
      </c>
      <c r="N4234" s="1" t="s">
        <v>32</v>
      </c>
      <c r="O4234" s="1" t="s">
        <v>33</v>
      </c>
      <c r="P4234" s="1" t="s">
        <v>222</v>
      </c>
      <c r="Q4234" s="1" t="s">
        <v>222</v>
      </c>
      <c r="R4234" s="1" t="s">
        <v>223</v>
      </c>
      <c r="S4234" s="1" t="s">
        <v>482</v>
      </c>
      <c r="T4234" s="1">
        <v>1.00614969E8</v>
      </c>
      <c r="W4234" s="1" t="s">
        <v>85</v>
      </c>
      <c r="X4234" s="1" t="s">
        <v>12043</v>
      </c>
    </row>
    <row r="4235">
      <c r="A4235" s="1" t="s">
        <v>12044</v>
      </c>
      <c r="B4235" s="1" t="s">
        <v>2670</v>
      </c>
      <c r="C4235" s="1" t="s">
        <v>12045</v>
      </c>
      <c r="D4235" s="1" t="s">
        <v>103</v>
      </c>
      <c r="E4235" s="1" t="s">
        <v>29</v>
      </c>
      <c r="F4235" s="5">
        <v>145000.0</v>
      </c>
      <c r="G4235" s="1" t="s">
        <v>7016</v>
      </c>
      <c r="H4235" s="1" t="s">
        <v>1785</v>
      </c>
      <c r="I4235" s="1" t="s">
        <v>80</v>
      </c>
      <c r="K4235" s="1">
        <v>0.0</v>
      </c>
      <c r="L4235" s="1" t="s">
        <v>9234</v>
      </c>
      <c r="M4235" s="1" t="str">
        <f>VLOOKUP(L4235,'Copy of PMD Workday Constants -'!B4234:W4920,22,false)</f>
        <v>#N/A</v>
      </c>
      <c r="N4235" s="1" t="s">
        <v>32</v>
      </c>
      <c r="O4235" s="1" t="s">
        <v>33</v>
      </c>
      <c r="P4235" s="1" t="s">
        <v>173</v>
      </c>
      <c r="Q4235" s="1" t="s">
        <v>173</v>
      </c>
      <c r="R4235" s="1" t="s">
        <v>174</v>
      </c>
      <c r="T4235" s="1">
        <v>1.00611781E8</v>
      </c>
      <c r="W4235" s="1" t="s">
        <v>493</v>
      </c>
      <c r="X4235" s="1" t="s">
        <v>9234</v>
      </c>
    </row>
    <row r="4236">
      <c r="A4236" s="1" t="s">
        <v>12046</v>
      </c>
      <c r="B4236" s="1" t="s">
        <v>324</v>
      </c>
      <c r="C4236" s="1" t="s">
        <v>12047</v>
      </c>
      <c r="D4236" s="1" t="s">
        <v>51</v>
      </c>
      <c r="E4236" s="1" t="s">
        <v>29</v>
      </c>
      <c r="F4236" s="5">
        <v>145000.0</v>
      </c>
      <c r="G4236" s="1" t="s">
        <v>7016</v>
      </c>
      <c r="H4236" s="4">
        <v>44598.0</v>
      </c>
      <c r="I4236" s="1" t="s">
        <v>941</v>
      </c>
      <c r="K4236" s="1">
        <v>0.0</v>
      </c>
      <c r="L4236" s="1" t="s">
        <v>3994</v>
      </c>
      <c r="M4236" s="1" t="str">
        <f>VLOOKUP(L4236,'Copy of PMD Workday Constants -'!B4235:W4921,22,false)</f>
        <v>#N/A</v>
      </c>
      <c r="N4236" s="1" t="s">
        <v>32</v>
      </c>
      <c r="O4236" s="1" t="s">
        <v>33</v>
      </c>
      <c r="P4236" s="1" t="s">
        <v>210</v>
      </c>
      <c r="Q4236" s="1" t="s">
        <v>210</v>
      </c>
      <c r="R4236" s="1" t="s">
        <v>211</v>
      </c>
      <c r="S4236" s="1" t="s">
        <v>1313</v>
      </c>
      <c r="T4236" s="1">
        <v>1.00646809E8</v>
      </c>
      <c r="W4236" s="1" t="s">
        <v>56</v>
      </c>
      <c r="X4236" s="1" t="s">
        <v>12048</v>
      </c>
    </row>
    <row r="4237">
      <c r="A4237" s="1" t="s">
        <v>12049</v>
      </c>
      <c r="B4237" s="1" t="s">
        <v>12050</v>
      </c>
      <c r="C4237" s="1" t="s">
        <v>12051</v>
      </c>
      <c r="D4237" s="1" t="s">
        <v>51</v>
      </c>
      <c r="E4237" s="1" t="s">
        <v>29</v>
      </c>
      <c r="F4237" s="5">
        <v>145000.0</v>
      </c>
      <c r="G4237" s="1" t="s">
        <v>7016</v>
      </c>
      <c r="H4237" s="1" t="s">
        <v>592</v>
      </c>
      <c r="I4237" s="1" t="s">
        <v>816</v>
      </c>
      <c r="K4237" s="1">
        <v>0.0</v>
      </c>
      <c r="L4237" s="1" t="s">
        <v>1748</v>
      </c>
      <c r="M4237" s="1" t="str">
        <f>VLOOKUP(L4237,'Copy of PMD Workday Constants -'!B4236:W4922,22,false)</f>
        <v>#N/A</v>
      </c>
      <c r="N4237" s="1" t="s">
        <v>32</v>
      </c>
      <c r="O4237" s="1" t="s">
        <v>33</v>
      </c>
      <c r="P4237" s="1" t="s">
        <v>34</v>
      </c>
      <c r="Q4237" s="1" t="s">
        <v>34</v>
      </c>
      <c r="R4237" s="1" t="s">
        <v>35</v>
      </c>
      <c r="S4237" s="1" t="s">
        <v>1166</v>
      </c>
      <c r="T4237" s="1">
        <v>1.00610242E8</v>
      </c>
      <c r="W4237" s="1" t="s">
        <v>456</v>
      </c>
      <c r="X4237" s="1" t="s">
        <v>12052</v>
      </c>
    </row>
    <row r="4238">
      <c r="A4238" s="1" t="s">
        <v>12053</v>
      </c>
      <c r="B4238" s="1" t="s">
        <v>12054</v>
      </c>
      <c r="C4238" s="1" t="s">
        <v>12055</v>
      </c>
      <c r="D4238" s="1" t="s">
        <v>51</v>
      </c>
      <c r="E4238" s="1" t="s">
        <v>29</v>
      </c>
      <c r="F4238" s="5">
        <v>145000.0</v>
      </c>
      <c r="G4238" s="1" t="s">
        <v>7016</v>
      </c>
      <c r="H4238" s="4">
        <v>44327.0</v>
      </c>
      <c r="I4238" s="4">
        <v>44568.0</v>
      </c>
      <c r="K4238" s="1">
        <v>0.0</v>
      </c>
      <c r="L4238" s="1" t="s">
        <v>1087</v>
      </c>
      <c r="M4238" s="1" t="str">
        <f>VLOOKUP(L4238,'Copy of PMD Workday Constants -'!B4237:W4923,22,false)</f>
        <v>#N/A</v>
      </c>
      <c r="N4238" s="1" t="s">
        <v>32</v>
      </c>
      <c r="O4238" s="1" t="s">
        <v>33</v>
      </c>
      <c r="P4238" s="1" t="s">
        <v>112</v>
      </c>
      <c r="Q4238" s="1" t="s">
        <v>112</v>
      </c>
      <c r="R4238" s="1" t="s">
        <v>113</v>
      </c>
      <c r="S4238" s="1" t="s">
        <v>307</v>
      </c>
      <c r="T4238" s="1">
        <v>1.00634994E8</v>
      </c>
      <c r="W4238" s="1" t="s">
        <v>436</v>
      </c>
      <c r="X4238" s="1" t="s">
        <v>12056</v>
      </c>
    </row>
    <row r="4239">
      <c r="A4239" s="1" t="s">
        <v>12057</v>
      </c>
      <c r="B4239" s="1" t="s">
        <v>507</v>
      </c>
      <c r="C4239" s="1" t="s">
        <v>12058</v>
      </c>
      <c r="D4239" s="1" t="s">
        <v>28</v>
      </c>
      <c r="E4239" s="1" t="s">
        <v>29</v>
      </c>
      <c r="F4239" s="5">
        <v>142274.0</v>
      </c>
      <c r="G4239" s="1" t="s">
        <v>7016</v>
      </c>
      <c r="H4239" s="4">
        <v>44748.0</v>
      </c>
      <c r="I4239" s="1" t="s">
        <v>132</v>
      </c>
      <c r="K4239" s="1">
        <v>0.0</v>
      </c>
      <c r="L4239" s="1" t="s">
        <v>511</v>
      </c>
      <c r="M4239" s="1" t="str">
        <f>VLOOKUP(L4239,'Copy of PMD Workday Constants -'!B4238:W4924,22,false)</f>
        <v>#N/A</v>
      </c>
      <c r="N4239" s="1" t="s">
        <v>32</v>
      </c>
      <c r="O4239" s="1" t="s">
        <v>33</v>
      </c>
      <c r="P4239" s="1" t="s">
        <v>54</v>
      </c>
      <c r="Q4239" s="1" t="s">
        <v>54</v>
      </c>
      <c r="R4239" s="1" t="s">
        <v>55</v>
      </c>
      <c r="S4239" s="1" t="s">
        <v>512</v>
      </c>
      <c r="T4239" s="1">
        <v>1.00620711E8</v>
      </c>
      <c r="W4239" s="1" t="s">
        <v>456</v>
      </c>
      <c r="X4239" s="1" t="s">
        <v>513</v>
      </c>
    </row>
    <row r="4240">
      <c r="A4240" s="1" t="s">
        <v>12059</v>
      </c>
      <c r="B4240" s="1" t="s">
        <v>3222</v>
      </c>
      <c r="C4240" s="1" t="s">
        <v>12060</v>
      </c>
      <c r="D4240" s="1" t="s">
        <v>51</v>
      </c>
      <c r="E4240" s="1" t="s">
        <v>29</v>
      </c>
      <c r="F4240" s="5">
        <v>140000.0</v>
      </c>
      <c r="G4240" s="1" t="s">
        <v>7016</v>
      </c>
      <c r="H4240" s="1" t="s">
        <v>301</v>
      </c>
      <c r="I4240" s="1" t="s">
        <v>941</v>
      </c>
      <c r="K4240" s="1">
        <v>0.0</v>
      </c>
      <c r="L4240" s="1" t="s">
        <v>999</v>
      </c>
      <c r="M4240" s="1" t="str">
        <f>VLOOKUP(L4240,'Copy of PMD Workday Constants -'!B4239:W4925,22,false)</f>
        <v>#N/A</v>
      </c>
      <c r="N4240" s="1" t="s">
        <v>32</v>
      </c>
      <c r="O4240" s="1" t="s">
        <v>33</v>
      </c>
      <c r="P4240" s="1" t="s">
        <v>112</v>
      </c>
      <c r="Q4240" s="1" t="s">
        <v>112</v>
      </c>
      <c r="R4240" s="1" t="s">
        <v>113</v>
      </c>
      <c r="S4240" s="1" t="s">
        <v>204</v>
      </c>
      <c r="T4240" s="1">
        <v>1.00623453E8</v>
      </c>
      <c r="W4240" s="1" t="s">
        <v>37</v>
      </c>
      <c r="X4240" s="1" t="s">
        <v>881</v>
      </c>
    </row>
    <row r="4241">
      <c r="A4241" s="1" t="s">
        <v>12061</v>
      </c>
      <c r="B4241" s="1" t="s">
        <v>6404</v>
      </c>
      <c r="C4241" s="1" t="s">
        <v>12062</v>
      </c>
      <c r="D4241" s="1" t="s">
        <v>28</v>
      </c>
      <c r="E4241" s="1" t="s">
        <v>29</v>
      </c>
      <c r="F4241" s="5">
        <v>140000.0</v>
      </c>
      <c r="G4241" s="1" t="s">
        <v>7016</v>
      </c>
      <c r="H4241" s="1" t="s">
        <v>1708</v>
      </c>
      <c r="I4241" s="1" t="s">
        <v>104</v>
      </c>
      <c r="K4241" s="1">
        <v>0.0</v>
      </c>
      <c r="L4241" s="1" t="s">
        <v>6744</v>
      </c>
      <c r="M4241" s="1" t="str">
        <f>VLOOKUP(L4241,'Copy of PMD Workday Constants -'!B4240:W4926,22,false)</f>
        <v>#N/A</v>
      </c>
      <c r="N4241" s="1" t="s">
        <v>32</v>
      </c>
      <c r="O4241" s="1" t="s">
        <v>33</v>
      </c>
      <c r="P4241" s="1" t="s">
        <v>173</v>
      </c>
      <c r="Q4241" s="1" t="s">
        <v>173</v>
      </c>
      <c r="R4241" s="1" t="s">
        <v>174</v>
      </c>
      <c r="T4241" s="1">
        <v>1.00599152E8</v>
      </c>
      <c r="W4241" s="1" t="s">
        <v>115</v>
      </c>
      <c r="X4241" s="1" t="s">
        <v>6773</v>
      </c>
    </row>
    <row r="4242">
      <c r="A4242" s="1" t="s">
        <v>12063</v>
      </c>
      <c r="B4242" s="1" t="s">
        <v>2236</v>
      </c>
      <c r="C4242" s="1" t="s">
        <v>12064</v>
      </c>
      <c r="D4242" s="1" t="s">
        <v>28</v>
      </c>
      <c r="E4242" s="1" t="s">
        <v>29</v>
      </c>
      <c r="F4242" s="5">
        <v>140000.0</v>
      </c>
      <c r="G4242" s="1" t="s">
        <v>7016</v>
      </c>
      <c r="H4242" s="4">
        <v>44839.0</v>
      </c>
      <c r="I4242" s="1" t="s">
        <v>191</v>
      </c>
      <c r="K4242" s="1">
        <v>0.0</v>
      </c>
      <c r="L4242" s="1" t="s">
        <v>11159</v>
      </c>
      <c r="M4242" s="1" t="str">
        <f>VLOOKUP(L4242,'Copy of PMD Workday Constants -'!B4241:W4927,22,false)</f>
        <v>#N/A</v>
      </c>
      <c r="N4242" s="1" t="s">
        <v>32</v>
      </c>
      <c r="O4242" s="1" t="s">
        <v>33</v>
      </c>
      <c r="P4242" s="1" t="s">
        <v>222</v>
      </c>
      <c r="Q4242" s="1" t="s">
        <v>222</v>
      </c>
      <c r="R4242" s="1" t="s">
        <v>223</v>
      </c>
      <c r="S4242" s="1" t="s">
        <v>482</v>
      </c>
      <c r="T4242" s="1">
        <v>1.00602248E8</v>
      </c>
      <c r="W4242" s="1" t="s">
        <v>258</v>
      </c>
      <c r="X4242" s="1" t="s">
        <v>12065</v>
      </c>
    </row>
    <row r="4243">
      <c r="A4243" s="1" t="s">
        <v>12066</v>
      </c>
      <c r="B4243" s="1" t="s">
        <v>4344</v>
      </c>
      <c r="C4243" s="1" t="s">
        <v>12067</v>
      </c>
      <c r="D4243" s="1" t="s">
        <v>103</v>
      </c>
      <c r="E4243" s="1" t="s">
        <v>29</v>
      </c>
      <c r="F4243" s="5">
        <v>140000.0</v>
      </c>
      <c r="G4243" s="1" t="s">
        <v>7016</v>
      </c>
      <c r="H4243" s="4">
        <v>44626.0</v>
      </c>
      <c r="I4243" s="4">
        <v>44568.0</v>
      </c>
      <c r="K4243" s="1">
        <v>0.0</v>
      </c>
      <c r="L4243" s="1" t="s">
        <v>1591</v>
      </c>
      <c r="M4243" s="1" t="str">
        <f>VLOOKUP(L4243,'Copy of PMD Workday Constants -'!B4242:W4928,22,false)</f>
        <v>#N/A</v>
      </c>
      <c r="N4243" s="1" t="s">
        <v>32</v>
      </c>
      <c r="O4243" s="1" t="s">
        <v>33</v>
      </c>
      <c r="P4243" s="1" t="s">
        <v>34</v>
      </c>
      <c r="Q4243" s="1" t="s">
        <v>34</v>
      </c>
      <c r="R4243" s="1" t="s">
        <v>35</v>
      </c>
      <c r="T4243" s="1">
        <v>1.00587799E8</v>
      </c>
      <c r="W4243" s="1" t="s">
        <v>147</v>
      </c>
      <c r="X4243" s="1" t="s">
        <v>5078</v>
      </c>
    </row>
    <row r="4244">
      <c r="A4244" s="1" t="s">
        <v>12068</v>
      </c>
      <c r="B4244" s="1" t="s">
        <v>129</v>
      </c>
      <c r="C4244" s="1" t="s">
        <v>12069</v>
      </c>
      <c r="D4244" s="1" t="s">
        <v>28</v>
      </c>
      <c r="E4244" s="1" t="s">
        <v>29</v>
      </c>
      <c r="F4244" s="5">
        <v>140000.0</v>
      </c>
      <c r="G4244" s="1" t="s">
        <v>7016</v>
      </c>
      <c r="H4244" s="4">
        <v>44563.0</v>
      </c>
      <c r="I4244" s="4">
        <v>44813.0</v>
      </c>
      <c r="K4244" s="1">
        <v>0.0</v>
      </c>
      <c r="L4244" s="1" t="s">
        <v>4937</v>
      </c>
      <c r="M4244" s="1" t="str">
        <f>VLOOKUP(L4244,'Copy of PMD Workday Constants -'!B4243:W4929,22,false)</f>
        <v>#N/A</v>
      </c>
      <c r="N4244" s="1" t="s">
        <v>32</v>
      </c>
      <c r="O4244" s="1" t="s">
        <v>33</v>
      </c>
      <c r="P4244" s="1" t="s">
        <v>34</v>
      </c>
      <c r="Q4244" s="1" t="s">
        <v>34</v>
      </c>
      <c r="R4244" s="1" t="s">
        <v>35</v>
      </c>
      <c r="S4244" s="1" t="s">
        <v>1336</v>
      </c>
      <c r="T4244" s="1">
        <v>1.00644939E8</v>
      </c>
      <c r="U4244" s="1" t="s">
        <v>12070</v>
      </c>
      <c r="V4244" s="1" t="s">
        <v>187</v>
      </c>
      <c r="W4244" s="1" t="s">
        <v>308</v>
      </c>
      <c r="X4244" s="1" t="s">
        <v>4392</v>
      </c>
    </row>
    <row r="4245">
      <c r="A4245" s="1" t="s">
        <v>12071</v>
      </c>
      <c r="B4245" s="1" t="s">
        <v>12072</v>
      </c>
      <c r="C4245" s="1" t="s">
        <v>10470</v>
      </c>
      <c r="D4245" s="1" t="s">
        <v>51</v>
      </c>
      <c r="E4245" s="1" t="s">
        <v>29</v>
      </c>
      <c r="F4245" s="5">
        <v>136430.97</v>
      </c>
      <c r="G4245" s="1" t="s">
        <v>7016</v>
      </c>
      <c r="H4245" s="1" t="s">
        <v>569</v>
      </c>
      <c r="I4245" s="1" t="s">
        <v>80</v>
      </c>
      <c r="K4245" s="1">
        <v>0.0</v>
      </c>
      <c r="L4245" s="1" t="s">
        <v>4785</v>
      </c>
      <c r="M4245" s="1" t="str">
        <f>VLOOKUP(L4245,'Copy of PMD Workday Constants -'!B4244:W4930,22,false)</f>
        <v>#N/A</v>
      </c>
      <c r="N4245" s="1" t="s">
        <v>32</v>
      </c>
      <c r="O4245" s="1" t="s">
        <v>33</v>
      </c>
      <c r="P4245" s="1" t="s">
        <v>173</v>
      </c>
      <c r="Q4245" s="1" t="s">
        <v>173</v>
      </c>
      <c r="R4245" s="1" t="s">
        <v>174</v>
      </c>
      <c r="T4245" s="1">
        <v>1.00609226E8</v>
      </c>
      <c r="W4245" s="1" t="s">
        <v>577</v>
      </c>
      <c r="X4245" s="1" t="s">
        <v>12073</v>
      </c>
    </row>
    <row r="4246">
      <c r="A4246" s="1" t="s">
        <v>12074</v>
      </c>
      <c r="B4246" s="1" t="s">
        <v>49</v>
      </c>
      <c r="C4246" s="1" t="s">
        <v>12075</v>
      </c>
      <c r="D4246" s="1" t="s">
        <v>79</v>
      </c>
      <c r="E4246" s="1" t="s">
        <v>29</v>
      </c>
      <c r="F4246" s="5">
        <v>135000.0</v>
      </c>
      <c r="G4246" s="1" t="s">
        <v>7016</v>
      </c>
      <c r="H4246" s="4">
        <v>44626.0</v>
      </c>
      <c r="I4246" s="4">
        <v>44780.0</v>
      </c>
      <c r="K4246" s="1">
        <v>0.0</v>
      </c>
      <c r="L4246" s="1" t="s">
        <v>3333</v>
      </c>
      <c r="M4246" s="1" t="str">
        <f>VLOOKUP(L4246,'Copy of PMD Workday Constants -'!B4245:W4931,22,false)</f>
        <v>#N/A</v>
      </c>
      <c r="N4246" s="1" t="s">
        <v>32</v>
      </c>
      <c r="O4246" s="1" t="s">
        <v>33</v>
      </c>
      <c r="P4246" s="1" t="s">
        <v>210</v>
      </c>
      <c r="Q4246" s="1" t="s">
        <v>210</v>
      </c>
      <c r="R4246" s="1" t="s">
        <v>211</v>
      </c>
      <c r="S4246" s="1" t="s">
        <v>212</v>
      </c>
      <c r="T4246" s="1">
        <v>1.00636461E8</v>
      </c>
      <c r="W4246" s="1" t="s">
        <v>56</v>
      </c>
      <c r="X4246" s="1" t="s">
        <v>12076</v>
      </c>
    </row>
    <row r="4247">
      <c r="A4247" s="1" t="s">
        <v>12077</v>
      </c>
      <c r="B4247" s="1" t="s">
        <v>12078</v>
      </c>
      <c r="C4247" s="1" t="s">
        <v>12079</v>
      </c>
      <c r="D4247" s="1" t="s">
        <v>103</v>
      </c>
      <c r="E4247" s="1" t="s">
        <v>29</v>
      </c>
      <c r="F4247" s="5">
        <v>135000.0</v>
      </c>
      <c r="G4247" s="1" t="s">
        <v>7016</v>
      </c>
      <c r="H4247" s="1" t="s">
        <v>1570</v>
      </c>
      <c r="I4247" s="1" t="s">
        <v>302</v>
      </c>
      <c r="K4247" s="1">
        <v>0.0</v>
      </c>
      <c r="L4247" s="1" t="s">
        <v>11159</v>
      </c>
      <c r="M4247" s="1" t="str">
        <f>VLOOKUP(L4247,'Copy of PMD Workday Constants -'!B4246:W4932,22,false)</f>
        <v>#N/A</v>
      </c>
      <c r="N4247" s="1" t="s">
        <v>32</v>
      </c>
      <c r="O4247" s="1" t="s">
        <v>33</v>
      </c>
      <c r="P4247" s="1" t="s">
        <v>222</v>
      </c>
      <c r="Q4247" s="1" t="s">
        <v>222</v>
      </c>
      <c r="R4247" s="1" t="s">
        <v>223</v>
      </c>
      <c r="S4247" s="1" t="s">
        <v>482</v>
      </c>
      <c r="T4247" s="1">
        <v>1.00602248E8</v>
      </c>
      <c r="W4247" s="1" t="s">
        <v>74</v>
      </c>
      <c r="X4247" s="1" t="s">
        <v>12065</v>
      </c>
    </row>
    <row r="4248">
      <c r="A4248" s="1" t="s">
        <v>12080</v>
      </c>
      <c r="B4248" s="1" t="s">
        <v>12081</v>
      </c>
      <c r="C4248" s="1" t="s">
        <v>12082</v>
      </c>
      <c r="D4248" s="1" t="s">
        <v>51</v>
      </c>
      <c r="E4248" s="1" t="s">
        <v>29</v>
      </c>
      <c r="F4248" s="5">
        <v>132000.0</v>
      </c>
      <c r="G4248" s="1" t="s">
        <v>7016</v>
      </c>
      <c r="H4248" s="1" t="s">
        <v>6879</v>
      </c>
      <c r="I4248" s="1" t="s">
        <v>104</v>
      </c>
      <c r="K4248" s="1">
        <v>0.0</v>
      </c>
      <c r="L4248" s="1" t="s">
        <v>2602</v>
      </c>
      <c r="M4248" s="1" t="str">
        <f>VLOOKUP(L4248,'Copy of PMD Workday Constants -'!B4247:W4933,22,false)</f>
        <v>#N/A</v>
      </c>
      <c r="N4248" s="1" t="s">
        <v>32</v>
      </c>
      <c r="O4248" s="1" t="s">
        <v>33</v>
      </c>
      <c r="P4248" s="1" t="s">
        <v>173</v>
      </c>
      <c r="Q4248" s="1" t="s">
        <v>173</v>
      </c>
      <c r="R4248" s="1" t="s">
        <v>174</v>
      </c>
      <c r="S4248" s="1" t="s">
        <v>383</v>
      </c>
      <c r="T4248" s="1">
        <v>1.00611351E8</v>
      </c>
      <c r="W4248" s="1" t="s">
        <v>1303</v>
      </c>
      <c r="X4248" s="1" t="s">
        <v>2914</v>
      </c>
    </row>
    <row r="4249">
      <c r="A4249" s="1" t="s">
        <v>12083</v>
      </c>
      <c r="B4249" s="1" t="s">
        <v>324</v>
      </c>
      <c r="C4249" s="1" t="s">
        <v>12084</v>
      </c>
      <c r="D4249" s="1" t="s">
        <v>51</v>
      </c>
      <c r="E4249" s="1" t="s">
        <v>29</v>
      </c>
      <c r="F4249" s="5">
        <v>130000.0</v>
      </c>
      <c r="G4249" s="1" t="s">
        <v>7016</v>
      </c>
      <c r="H4249" s="4">
        <v>44807.0</v>
      </c>
      <c r="I4249" s="4">
        <v>44872.0</v>
      </c>
      <c r="K4249" s="1">
        <v>0.0</v>
      </c>
      <c r="L4249" s="1" t="s">
        <v>3986</v>
      </c>
      <c r="M4249" s="1" t="str">
        <f>VLOOKUP(L4249,'Copy of PMD Workday Constants -'!B4248:W4934,22,false)</f>
        <v>#N/A</v>
      </c>
      <c r="N4249" s="1" t="s">
        <v>32</v>
      </c>
      <c r="O4249" s="1" t="s">
        <v>33</v>
      </c>
      <c r="P4249" s="1" t="s">
        <v>222</v>
      </c>
      <c r="Q4249" s="1" t="s">
        <v>222</v>
      </c>
      <c r="R4249" s="1" t="s">
        <v>223</v>
      </c>
      <c r="S4249" s="1" t="s">
        <v>601</v>
      </c>
      <c r="T4249" s="1">
        <v>1.00605616E8</v>
      </c>
      <c r="W4249" s="1" t="s">
        <v>56</v>
      </c>
      <c r="X4249" s="1" t="s">
        <v>12085</v>
      </c>
    </row>
    <row r="4250">
      <c r="A4250" s="1" t="s">
        <v>12086</v>
      </c>
      <c r="B4250" s="1" t="s">
        <v>12087</v>
      </c>
      <c r="C4250" s="1" t="s">
        <v>12088</v>
      </c>
      <c r="D4250" s="1" t="s">
        <v>103</v>
      </c>
      <c r="E4250" s="1" t="s">
        <v>29</v>
      </c>
      <c r="F4250" s="5">
        <v>130000.0</v>
      </c>
      <c r="G4250" s="1" t="s">
        <v>7016</v>
      </c>
      <c r="H4250" s="1" t="s">
        <v>1330</v>
      </c>
      <c r="I4250" s="1" t="s">
        <v>732</v>
      </c>
      <c r="K4250" s="1">
        <v>0.0</v>
      </c>
      <c r="L4250" s="1" t="s">
        <v>3148</v>
      </c>
      <c r="M4250" s="1" t="str">
        <f>VLOOKUP(L4250,'Copy of PMD Workday Constants -'!B4249:W4935,22,false)</f>
        <v>#N/A</v>
      </c>
      <c r="N4250" s="1" t="s">
        <v>32</v>
      </c>
      <c r="O4250" s="1" t="s">
        <v>33</v>
      </c>
      <c r="P4250" s="1" t="s">
        <v>112</v>
      </c>
      <c r="Q4250" s="1" t="s">
        <v>112</v>
      </c>
      <c r="R4250" s="1" t="s">
        <v>113</v>
      </c>
      <c r="S4250" s="1" t="s">
        <v>492</v>
      </c>
      <c r="T4250" s="1">
        <v>1.00620159E8</v>
      </c>
      <c r="X4250" s="1" t="s">
        <v>7432</v>
      </c>
    </row>
    <row r="4251">
      <c r="A4251" s="1" t="s">
        <v>12089</v>
      </c>
      <c r="B4251" s="1" t="s">
        <v>7833</v>
      </c>
      <c r="C4251" s="1" t="s">
        <v>12090</v>
      </c>
      <c r="D4251" s="1" t="s">
        <v>79</v>
      </c>
      <c r="E4251" s="1" t="s">
        <v>29</v>
      </c>
      <c r="F4251" s="5">
        <v>130000.0</v>
      </c>
      <c r="G4251" s="1" t="s">
        <v>7016</v>
      </c>
      <c r="H4251" s="4">
        <v>44598.0</v>
      </c>
      <c r="I4251" s="4">
        <v>44568.0</v>
      </c>
      <c r="K4251" s="1">
        <v>0.0</v>
      </c>
      <c r="L4251" s="1" t="s">
        <v>5057</v>
      </c>
      <c r="M4251" s="1" t="str">
        <f>VLOOKUP(L4251,'Copy of PMD Workday Constants -'!B4250:W4936,22,false)</f>
        <v>#N/A</v>
      </c>
      <c r="N4251" s="1" t="s">
        <v>32</v>
      </c>
      <c r="O4251" s="1" t="s">
        <v>33</v>
      </c>
      <c r="P4251" s="1" t="s">
        <v>222</v>
      </c>
      <c r="Q4251" s="1" t="s">
        <v>222</v>
      </c>
      <c r="R4251" s="1" t="s">
        <v>223</v>
      </c>
      <c r="T4251" s="1">
        <v>1.01211068E8</v>
      </c>
      <c r="W4251" s="1" t="s">
        <v>258</v>
      </c>
      <c r="X4251" s="1" t="s">
        <v>5058</v>
      </c>
    </row>
    <row r="4252">
      <c r="A4252" s="1" t="s">
        <v>12091</v>
      </c>
      <c r="B4252" s="1" t="s">
        <v>40</v>
      </c>
      <c r="C4252" s="1" t="s">
        <v>12092</v>
      </c>
      <c r="D4252" s="1" t="s">
        <v>103</v>
      </c>
      <c r="E4252" s="1" t="s">
        <v>29</v>
      </c>
      <c r="F4252" s="5">
        <v>127500.0</v>
      </c>
      <c r="G4252" s="1" t="s">
        <v>7016</v>
      </c>
      <c r="H4252" s="1" t="s">
        <v>170</v>
      </c>
      <c r="I4252" s="1" t="s">
        <v>80</v>
      </c>
      <c r="K4252" s="1">
        <v>0.0</v>
      </c>
      <c r="L4252" s="1" t="s">
        <v>5295</v>
      </c>
      <c r="M4252" s="1" t="str">
        <f>VLOOKUP(L4252,'Copy of PMD Workday Constants -'!B4251:W4937,22,false)</f>
        <v>#N/A</v>
      </c>
      <c r="N4252" s="1" t="s">
        <v>32</v>
      </c>
      <c r="O4252" s="1" t="s">
        <v>33</v>
      </c>
      <c r="P4252" s="1" t="s">
        <v>222</v>
      </c>
      <c r="Q4252" s="1" t="s">
        <v>222</v>
      </c>
      <c r="R4252" s="1" t="s">
        <v>223</v>
      </c>
      <c r="S4252" s="1" t="s">
        <v>482</v>
      </c>
      <c r="T4252" s="1">
        <v>1.00605581E8</v>
      </c>
      <c r="U4252" s="1" t="s">
        <v>332</v>
      </c>
      <c r="V4252" s="1" t="s">
        <v>46</v>
      </c>
      <c r="W4252" s="1" t="s">
        <v>47</v>
      </c>
      <c r="X4252" s="1" t="s">
        <v>12093</v>
      </c>
    </row>
    <row r="4253">
      <c r="A4253" s="1" t="s">
        <v>12094</v>
      </c>
      <c r="B4253" s="1" t="s">
        <v>10536</v>
      </c>
      <c r="C4253" s="1" t="s">
        <v>12095</v>
      </c>
      <c r="D4253" s="1" t="s">
        <v>103</v>
      </c>
      <c r="E4253" s="1" t="s">
        <v>29</v>
      </c>
      <c r="F4253" s="5">
        <v>125401.28</v>
      </c>
      <c r="G4253" s="1" t="s">
        <v>7016</v>
      </c>
      <c r="H4253" s="1" t="s">
        <v>2348</v>
      </c>
      <c r="I4253" s="1" t="s">
        <v>80</v>
      </c>
      <c r="J4253" s="1" t="s">
        <v>12096</v>
      </c>
      <c r="K4253" s="1">
        <v>0.0</v>
      </c>
      <c r="L4253" s="1" t="s">
        <v>10538</v>
      </c>
      <c r="M4253" s="1" t="str">
        <f>VLOOKUP(L4253,'Copy of PMD Workday Constants -'!B4252:W4938,22,false)</f>
        <v>#N/A</v>
      </c>
      <c r="N4253" s="1" t="s">
        <v>32</v>
      </c>
      <c r="O4253" s="1" t="s">
        <v>33</v>
      </c>
      <c r="P4253" s="1" t="s">
        <v>5253</v>
      </c>
      <c r="Q4253" s="1" t="s">
        <v>5253</v>
      </c>
      <c r="R4253" s="1" t="s">
        <v>211</v>
      </c>
      <c r="T4253" s="1">
        <v>1.00614269E8</v>
      </c>
      <c r="W4253" s="1" t="s">
        <v>115</v>
      </c>
      <c r="X4253" s="1" t="s">
        <v>10539</v>
      </c>
    </row>
    <row r="4254">
      <c r="A4254" s="1" t="s">
        <v>12097</v>
      </c>
      <c r="B4254" s="1" t="s">
        <v>12098</v>
      </c>
      <c r="C4254" s="1" t="s">
        <v>12099</v>
      </c>
      <c r="D4254" s="1" t="s">
        <v>28</v>
      </c>
      <c r="E4254" s="1" t="s">
        <v>29</v>
      </c>
      <c r="F4254" s="5">
        <v>125000.0</v>
      </c>
      <c r="G4254" s="1" t="s">
        <v>7016</v>
      </c>
      <c r="H4254" s="4">
        <v>44625.0</v>
      </c>
      <c r="I4254" s="1" t="s">
        <v>104</v>
      </c>
      <c r="K4254" s="1">
        <v>0.0</v>
      </c>
      <c r="L4254" s="1" t="s">
        <v>1036</v>
      </c>
      <c r="M4254" s="1" t="str">
        <f>VLOOKUP(L4254,'Copy of PMD Workday Constants -'!B4253:W4939,22,false)</f>
        <v>#N/A</v>
      </c>
      <c r="N4254" s="1" t="s">
        <v>32</v>
      </c>
      <c r="O4254" s="1" t="s">
        <v>33</v>
      </c>
      <c r="P4254" s="1" t="s">
        <v>82</v>
      </c>
      <c r="Q4254" s="1" t="s">
        <v>82</v>
      </c>
      <c r="R4254" s="1" t="s">
        <v>83</v>
      </c>
      <c r="S4254" s="1" t="s">
        <v>612</v>
      </c>
      <c r="T4254" s="1">
        <v>1.0090037E8</v>
      </c>
      <c r="W4254" s="1" t="s">
        <v>85</v>
      </c>
      <c r="X4254" s="1" t="s">
        <v>1036</v>
      </c>
    </row>
    <row r="4255">
      <c r="A4255" s="1" t="s">
        <v>12100</v>
      </c>
      <c r="B4255" s="1" t="s">
        <v>12101</v>
      </c>
      <c r="C4255" s="1" t="s">
        <v>12102</v>
      </c>
      <c r="D4255" s="1" t="s">
        <v>51</v>
      </c>
      <c r="E4255" s="1" t="s">
        <v>29</v>
      </c>
      <c r="F4255" s="5">
        <v>125000.0</v>
      </c>
      <c r="G4255" s="1" t="s">
        <v>7016</v>
      </c>
      <c r="H4255" s="1" t="s">
        <v>3034</v>
      </c>
      <c r="I4255" s="1" t="s">
        <v>810</v>
      </c>
      <c r="K4255" s="1">
        <v>0.0</v>
      </c>
      <c r="L4255" s="1" t="s">
        <v>5558</v>
      </c>
      <c r="M4255" s="1" t="str">
        <f>VLOOKUP(L4255,'Copy of PMD Workday Constants -'!B4254:W4940,22,false)</f>
        <v>#N/A</v>
      </c>
      <c r="N4255" s="1" t="s">
        <v>32</v>
      </c>
      <c r="O4255" s="1" t="s">
        <v>33</v>
      </c>
      <c r="P4255" s="1" t="s">
        <v>222</v>
      </c>
      <c r="Q4255" s="1" t="s">
        <v>222</v>
      </c>
      <c r="R4255" s="1" t="s">
        <v>223</v>
      </c>
      <c r="S4255" s="1" t="s">
        <v>482</v>
      </c>
      <c r="T4255" s="1">
        <v>1.00652479E8</v>
      </c>
      <c r="W4255" s="1" t="s">
        <v>1801</v>
      </c>
      <c r="X4255" s="1" t="s">
        <v>12103</v>
      </c>
    </row>
    <row r="4256">
      <c r="A4256" s="1" t="s">
        <v>12104</v>
      </c>
      <c r="B4256" s="1" t="s">
        <v>615</v>
      </c>
      <c r="C4256" s="1" t="s">
        <v>12105</v>
      </c>
      <c r="D4256" s="1" t="s">
        <v>28</v>
      </c>
      <c r="E4256" s="1" t="s">
        <v>29</v>
      </c>
      <c r="F4256" s="5">
        <v>125000.0</v>
      </c>
      <c r="G4256" s="1" t="s">
        <v>7016</v>
      </c>
      <c r="H4256" s="1" t="s">
        <v>5674</v>
      </c>
      <c r="I4256" s="1" t="s">
        <v>699</v>
      </c>
      <c r="K4256" s="1">
        <v>0.0</v>
      </c>
      <c r="L4256" s="1" t="s">
        <v>1170</v>
      </c>
      <c r="M4256" s="1" t="str">
        <f>VLOOKUP(L4256,'Copy of PMD Workday Constants -'!B4255:W4941,22,false)</f>
        <v>#N/A</v>
      </c>
      <c r="N4256" s="1" t="s">
        <v>32</v>
      </c>
      <c r="O4256" s="1" t="s">
        <v>33</v>
      </c>
      <c r="P4256" s="1" t="s">
        <v>112</v>
      </c>
      <c r="Q4256" s="1" t="s">
        <v>112</v>
      </c>
      <c r="R4256" s="1" t="s">
        <v>113</v>
      </c>
      <c r="S4256" s="1" t="s">
        <v>1336</v>
      </c>
      <c r="T4256" s="1">
        <v>1.00595231E8</v>
      </c>
      <c r="W4256" s="1" t="s">
        <v>74</v>
      </c>
      <c r="X4256" s="1" t="s">
        <v>3174</v>
      </c>
    </row>
    <row r="4257">
      <c r="A4257" s="1" t="s">
        <v>12106</v>
      </c>
      <c r="B4257" s="1" t="s">
        <v>5374</v>
      </c>
      <c r="C4257" s="1" t="s">
        <v>12107</v>
      </c>
      <c r="D4257" s="1" t="s">
        <v>51</v>
      </c>
      <c r="E4257" s="1" t="s">
        <v>29</v>
      </c>
      <c r="F4257" s="5">
        <v>125000.0</v>
      </c>
      <c r="G4257" s="1" t="s">
        <v>7016</v>
      </c>
      <c r="H4257" s="4">
        <v>44713.0</v>
      </c>
      <c r="I4257" s="1" t="s">
        <v>104</v>
      </c>
      <c r="K4257" s="1">
        <v>0.0</v>
      </c>
      <c r="L4257" s="1" t="s">
        <v>428</v>
      </c>
      <c r="M4257" s="1" t="str">
        <f>VLOOKUP(L4257,'Copy of PMD Workday Constants -'!B4256:W4942,22,false)</f>
        <v>#N/A</v>
      </c>
      <c r="N4257" s="1" t="s">
        <v>32</v>
      </c>
      <c r="O4257" s="1" t="s">
        <v>33</v>
      </c>
      <c r="P4257" s="1" t="s">
        <v>173</v>
      </c>
      <c r="Q4257" s="1" t="s">
        <v>173</v>
      </c>
      <c r="R4257" s="1" t="s">
        <v>174</v>
      </c>
      <c r="S4257" s="1" t="s">
        <v>153</v>
      </c>
      <c r="T4257" s="1">
        <v>1.00654085E8</v>
      </c>
      <c r="W4257" s="1" t="s">
        <v>85</v>
      </c>
      <c r="X4257" s="1" t="s">
        <v>3220</v>
      </c>
    </row>
    <row r="4258">
      <c r="A4258" s="1" t="s">
        <v>12108</v>
      </c>
      <c r="B4258" s="1" t="s">
        <v>12109</v>
      </c>
      <c r="C4258" s="1" t="s">
        <v>12110</v>
      </c>
      <c r="D4258" s="1" t="s">
        <v>103</v>
      </c>
      <c r="E4258" s="1" t="s">
        <v>29</v>
      </c>
      <c r="F4258" s="5">
        <v>125000.0</v>
      </c>
      <c r="G4258" s="1" t="s">
        <v>7016</v>
      </c>
      <c r="H4258" s="1" t="s">
        <v>2994</v>
      </c>
      <c r="I4258" s="1" t="s">
        <v>80</v>
      </c>
      <c r="K4258" s="1">
        <v>0.0</v>
      </c>
      <c r="L4258" s="1" t="s">
        <v>7062</v>
      </c>
      <c r="M4258" s="1" t="str">
        <f>VLOOKUP(L4258,'Copy of PMD Workday Constants -'!B4257:W4943,22,false)</f>
        <v>#N/A</v>
      </c>
      <c r="N4258" s="1" t="s">
        <v>32</v>
      </c>
      <c r="O4258" s="1" t="s">
        <v>33</v>
      </c>
      <c r="P4258" s="1" t="s">
        <v>222</v>
      </c>
      <c r="Q4258" s="1" t="s">
        <v>222</v>
      </c>
      <c r="R4258" s="1" t="s">
        <v>223</v>
      </c>
      <c r="S4258" s="1" t="s">
        <v>482</v>
      </c>
      <c r="T4258" s="1">
        <v>1.00614969E8</v>
      </c>
      <c r="W4258" s="1" t="s">
        <v>74</v>
      </c>
      <c r="X4258" s="1" t="s">
        <v>12111</v>
      </c>
    </row>
    <row r="4259">
      <c r="A4259" s="1" t="s">
        <v>12112</v>
      </c>
      <c r="B4259" s="1" t="s">
        <v>8517</v>
      </c>
      <c r="C4259" s="1" t="s">
        <v>12113</v>
      </c>
      <c r="D4259" s="1" t="s">
        <v>51</v>
      </c>
      <c r="E4259" s="1" t="s">
        <v>29</v>
      </c>
      <c r="F4259" s="5">
        <v>125000.0</v>
      </c>
      <c r="G4259" s="1" t="s">
        <v>7016</v>
      </c>
      <c r="H4259" s="1" t="s">
        <v>1455</v>
      </c>
      <c r="I4259" s="4">
        <v>44840.0</v>
      </c>
      <c r="K4259" s="1">
        <v>0.0</v>
      </c>
      <c r="L4259" s="1" t="s">
        <v>9390</v>
      </c>
      <c r="M4259" s="1" t="str">
        <f>VLOOKUP(L4259,'Copy of PMD Workday Constants -'!B4258:W4944,22,false)</f>
        <v>#N/A</v>
      </c>
      <c r="N4259" s="1" t="s">
        <v>32</v>
      </c>
      <c r="O4259" s="1" t="s">
        <v>33</v>
      </c>
      <c r="P4259" s="1" t="s">
        <v>64</v>
      </c>
      <c r="Q4259" s="1" t="s">
        <v>64</v>
      </c>
      <c r="R4259" s="1" t="s">
        <v>65</v>
      </c>
      <c r="S4259" s="1" t="s">
        <v>1336</v>
      </c>
      <c r="T4259" s="1">
        <v>1.01148689E8</v>
      </c>
      <c r="W4259" s="1" t="s">
        <v>456</v>
      </c>
      <c r="X4259" s="1" t="s">
        <v>1981</v>
      </c>
    </row>
    <row r="4260">
      <c r="A4260" s="1" t="s">
        <v>12114</v>
      </c>
      <c r="B4260" s="1" t="s">
        <v>12115</v>
      </c>
      <c r="C4260" s="1" t="s">
        <v>12116</v>
      </c>
      <c r="D4260" s="1" t="s">
        <v>51</v>
      </c>
      <c r="E4260" s="1" t="s">
        <v>29</v>
      </c>
      <c r="F4260" s="5">
        <v>125000.0</v>
      </c>
      <c r="G4260" s="1" t="s">
        <v>7016</v>
      </c>
      <c r="H4260" s="1" t="s">
        <v>1245</v>
      </c>
      <c r="I4260" s="1" t="s">
        <v>248</v>
      </c>
      <c r="K4260" s="1">
        <v>0.0</v>
      </c>
      <c r="L4260" s="1" t="s">
        <v>2081</v>
      </c>
      <c r="M4260" s="1" t="str">
        <f>VLOOKUP(L4260,'Copy of PMD Workday Constants -'!B4259:W4945,22,false)</f>
        <v>#N/A</v>
      </c>
      <c r="N4260" s="1" t="s">
        <v>32</v>
      </c>
      <c r="O4260" s="1" t="s">
        <v>33</v>
      </c>
      <c r="P4260" s="1" t="s">
        <v>34</v>
      </c>
      <c r="Q4260" s="1" t="s">
        <v>34</v>
      </c>
      <c r="R4260" s="1" t="s">
        <v>35</v>
      </c>
      <c r="T4260" s="1">
        <v>1.01215106E8</v>
      </c>
      <c r="X4260" s="1" t="s">
        <v>2081</v>
      </c>
    </row>
    <row r="4261">
      <c r="A4261" s="1" t="s">
        <v>12117</v>
      </c>
      <c r="B4261" s="1" t="s">
        <v>10713</v>
      </c>
      <c r="C4261" s="1" t="s">
        <v>12118</v>
      </c>
      <c r="D4261" s="1" t="s">
        <v>28</v>
      </c>
      <c r="E4261" s="1" t="s">
        <v>29</v>
      </c>
      <c r="F4261" s="5">
        <v>125000.0</v>
      </c>
      <c r="G4261" s="1" t="s">
        <v>7016</v>
      </c>
      <c r="H4261" s="1" t="s">
        <v>1436</v>
      </c>
      <c r="I4261" s="1" t="s">
        <v>2380</v>
      </c>
      <c r="K4261" s="1">
        <v>0.0</v>
      </c>
      <c r="L4261" s="1" t="s">
        <v>9456</v>
      </c>
      <c r="M4261" s="1" t="str">
        <f>VLOOKUP(L4261,'Copy of PMD Workday Constants -'!B4260:W4946,22,false)</f>
        <v>#N/A</v>
      </c>
      <c r="N4261" s="1" t="s">
        <v>32</v>
      </c>
      <c r="O4261" s="1" t="s">
        <v>33</v>
      </c>
      <c r="P4261" s="1" t="s">
        <v>222</v>
      </c>
      <c r="Q4261" s="1" t="s">
        <v>222</v>
      </c>
      <c r="R4261" s="1" t="s">
        <v>223</v>
      </c>
      <c r="S4261" s="1" t="s">
        <v>482</v>
      </c>
      <c r="T4261" s="1">
        <v>1.00609628E8</v>
      </c>
      <c r="W4261" s="1" t="s">
        <v>74</v>
      </c>
      <c r="X4261" s="1" t="s">
        <v>12119</v>
      </c>
    </row>
    <row r="4262">
      <c r="A4262" s="1" t="s">
        <v>12120</v>
      </c>
      <c r="B4262" s="1" t="s">
        <v>3820</v>
      </c>
      <c r="C4262" s="1" t="s">
        <v>12121</v>
      </c>
      <c r="D4262" s="1" t="s">
        <v>103</v>
      </c>
      <c r="E4262" s="1" t="s">
        <v>29</v>
      </c>
      <c r="F4262" s="5">
        <v>125000.0</v>
      </c>
      <c r="G4262" s="1" t="s">
        <v>7016</v>
      </c>
      <c r="H4262" s="1" t="s">
        <v>3028</v>
      </c>
      <c r="I4262" s="1" t="s">
        <v>96</v>
      </c>
      <c r="K4262" s="1">
        <v>0.0</v>
      </c>
      <c r="L4262" s="1" t="s">
        <v>1238</v>
      </c>
      <c r="M4262" s="1" t="str">
        <f>VLOOKUP(L4262,'Copy of PMD Workday Constants -'!B4261:W4947,22,false)</f>
        <v>#N/A</v>
      </c>
      <c r="N4262" s="1" t="s">
        <v>32</v>
      </c>
      <c r="O4262" s="1" t="s">
        <v>33</v>
      </c>
      <c r="P4262" s="1" t="s">
        <v>210</v>
      </c>
      <c r="Q4262" s="1" t="s">
        <v>210</v>
      </c>
      <c r="R4262" s="1" t="s">
        <v>211</v>
      </c>
      <c r="S4262" s="1" t="s">
        <v>416</v>
      </c>
      <c r="T4262" s="1">
        <v>1.00586959E8</v>
      </c>
      <c r="W4262" s="1" t="s">
        <v>56</v>
      </c>
      <c r="X4262" s="1" t="s">
        <v>968</v>
      </c>
    </row>
    <row r="4263">
      <c r="A4263" s="1" t="s">
        <v>12122</v>
      </c>
      <c r="B4263" s="1" t="s">
        <v>87</v>
      </c>
      <c r="C4263" s="1" t="s">
        <v>12123</v>
      </c>
      <c r="D4263" s="1" t="s">
        <v>28</v>
      </c>
      <c r="E4263" s="1" t="s">
        <v>29</v>
      </c>
      <c r="F4263" s="5">
        <v>125000.0</v>
      </c>
      <c r="G4263" s="1" t="s">
        <v>7016</v>
      </c>
      <c r="H4263" s="4">
        <v>44654.0</v>
      </c>
      <c r="I4263" s="1" t="s">
        <v>810</v>
      </c>
      <c r="K4263" s="1">
        <v>0.0</v>
      </c>
      <c r="L4263" s="1" t="s">
        <v>1370</v>
      </c>
      <c r="M4263" s="1" t="str">
        <f>VLOOKUP(L4263,'Copy of PMD Workday Constants -'!B4262:W4948,22,false)</f>
        <v>#N/A</v>
      </c>
      <c r="N4263" s="1" t="s">
        <v>32</v>
      </c>
      <c r="O4263" s="1" t="s">
        <v>33</v>
      </c>
      <c r="P4263" s="1" t="s">
        <v>173</v>
      </c>
      <c r="Q4263" s="1" t="s">
        <v>173</v>
      </c>
      <c r="R4263" s="1" t="s">
        <v>174</v>
      </c>
      <c r="T4263" s="1">
        <v>1.00869794E8</v>
      </c>
      <c r="W4263" s="1" t="s">
        <v>91</v>
      </c>
      <c r="X4263" s="1" t="s">
        <v>158</v>
      </c>
    </row>
    <row r="4264">
      <c r="A4264" s="1" t="s">
        <v>12124</v>
      </c>
      <c r="B4264" s="1" t="s">
        <v>289</v>
      </c>
      <c r="C4264" s="1" t="s">
        <v>851</v>
      </c>
      <c r="D4264" s="1" t="s">
        <v>79</v>
      </c>
      <c r="E4264" s="1" t="s">
        <v>29</v>
      </c>
      <c r="F4264" s="5">
        <v>125000.0</v>
      </c>
      <c r="G4264" s="1" t="s">
        <v>7016</v>
      </c>
      <c r="H4264" s="4">
        <v>44746.0</v>
      </c>
      <c r="I4264" s="1" t="s">
        <v>870</v>
      </c>
      <c r="K4264" s="1">
        <v>0.0</v>
      </c>
      <c r="L4264" s="1" t="s">
        <v>539</v>
      </c>
      <c r="M4264" s="1" t="str">
        <f>VLOOKUP(L4264,'Copy of PMD Workday Constants -'!B4263:W4949,22,false)</f>
        <v>#N/A</v>
      </c>
      <c r="N4264" s="1" t="s">
        <v>32</v>
      </c>
      <c r="O4264" s="1" t="s">
        <v>33</v>
      </c>
      <c r="P4264" s="1" t="s">
        <v>173</v>
      </c>
      <c r="Q4264" s="1" t="s">
        <v>173</v>
      </c>
      <c r="R4264" s="1" t="s">
        <v>174</v>
      </c>
      <c r="T4264" s="1">
        <v>1.00586314E8</v>
      </c>
      <c r="V4264" s="1" t="s">
        <v>67</v>
      </c>
      <c r="W4264" s="1" t="s">
        <v>74</v>
      </c>
      <c r="X4264" s="1" t="s">
        <v>852</v>
      </c>
    </row>
    <row r="4265">
      <c r="A4265" s="1" t="s">
        <v>12125</v>
      </c>
      <c r="B4265" s="1" t="s">
        <v>324</v>
      </c>
      <c r="C4265" s="1" t="s">
        <v>12126</v>
      </c>
      <c r="D4265" s="1" t="s">
        <v>51</v>
      </c>
      <c r="E4265" s="1" t="s">
        <v>29</v>
      </c>
      <c r="F4265" s="5">
        <v>125000.0</v>
      </c>
      <c r="G4265" s="1" t="s">
        <v>7016</v>
      </c>
      <c r="H4265" s="1" t="s">
        <v>301</v>
      </c>
      <c r="I4265" s="4">
        <v>44809.0</v>
      </c>
      <c r="K4265" s="1">
        <v>0.0</v>
      </c>
      <c r="L4265" s="1" t="s">
        <v>3994</v>
      </c>
      <c r="M4265" s="1" t="str">
        <f>VLOOKUP(L4265,'Copy of PMD Workday Constants -'!B4264:W4950,22,false)</f>
        <v>#N/A</v>
      </c>
      <c r="N4265" s="1" t="s">
        <v>32</v>
      </c>
      <c r="O4265" s="1" t="s">
        <v>33</v>
      </c>
      <c r="P4265" s="1" t="s">
        <v>210</v>
      </c>
      <c r="Q4265" s="1" t="s">
        <v>210</v>
      </c>
      <c r="R4265" s="1" t="s">
        <v>211</v>
      </c>
      <c r="S4265" s="1" t="s">
        <v>1313</v>
      </c>
      <c r="T4265" s="1">
        <v>1.00646809E8</v>
      </c>
      <c r="W4265" s="1" t="s">
        <v>56</v>
      </c>
      <c r="X4265" s="1" t="s">
        <v>11499</v>
      </c>
    </row>
    <row r="4266">
      <c r="A4266" s="1" t="s">
        <v>12127</v>
      </c>
      <c r="B4266" s="1" t="s">
        <v>12128</v>
      </c>
      <c r="C4266" s="1" t="s">
        <v>12129</v>
      </c>
      <c r="D4266" s="1" t="s">
        <v>28</v>
      </c>
      <c r="E4266" s="1" t="s">
        <v>29</v>
      </c>
      <c r="F4266" s="5">
        <v>125000.0</v>
      </c>
      <c r="G4266" s="1" t="s">
        <v>7016</v>
      </c>
      <c r="H4266" s="4">
        <v>44714.0</v>
      </c>
      <c r="I4266" s="1" t="s">
        <v>43</v>
      </c>
      <c r="K4266" s="1">
        <v>0.0</v>
      </c>
      <c r="L4266" s="1" t="s">
        <v>2547</v>
      </c>
      <c r="M4266" s="1" t="str">
        <f>VLOOKUP(L4266,'Copy of PMD Workday Constants -'!B4265:W4951,22,false)</f>
        <v>#N/A</v>
      </c>
      <c r="N4266" s="1" t="s">
        <v>32</v>
      </c>
      <c r="O4266" s="1" t="s">
        <v>33</v>
      </c>
      <c r="P4266" s="1" t="s">
        <v>64</v>
      </c>
      <c r="Q4266" s="1" t="s">
        <v>64</v>
      </c>
      <c r="R4266" s="1" t="s">
        <v>65</v>
      </c>
      <c r="S4266" s="1" t="s">
        <v>185</v>
      </c>
      <c r="T4266" s="1">
        <v>1.00592932E8</v>
      </c>
      <c r="W4266" s="1" t="s">
        <v>250</v>
      </c>
      <c r="X4266" s="1" t="s">
        <v>12130</v>
      </c>
    </row>
    <row r="4267">
      <c r="A4267" s="1" t="s">
        <v>12131</v>
      </c>
      <c r="B4267" s="1" t="s">
        <v>3549</v>
      </c>
      <c r="C4267" s="1" t="s">
        <v>12132</v>
      </c>
      <c r="D4267" s="1" t="s">
        <v>103</v>
      </c>
      <c r="E4267" s="1" t="s">
        <v>29</v>
      </c>
      <c r="F4267" s="5">
        <v>125000.0</v>
      </c>
      <c r="G4267" s="1" t="s">
        <v>7016</v>
      </c>
      <c r="H4267" s="1" t="s">
        <v>1708</v>
      </c>
      <c r="I4267" s="1" t="s">
        <v>526</v>
      </c>
      <c r="K4267" s="1">
        <v>0.0</v>
      </c>
      <c r="L4267" s="1" t="s">
        <v>2343</v>
      </c>
      <c r="M4267" s="1" t="str">
        <f>VLOOKUP(L4267,'Copy of PMD Workday Constants -'!B4266:W4952,22,false)</f>
        <v>#N/A</v>
      </c>
      <c r="N4267" s="1" t="s">
        <v>32</v>
      </c>
      <c r="O4267" s="1" t="s">
        <v>33</v>
      </c>
      <c r="P4267" s="1" t="s">
        <v>222</v>
      </c>
      <c r="Q4267" s="1" t="s">
        <v>222</v>
      </c>
      <c r="R4267" s="1" t="s">
        <v>223</v>
      </c>
      <c r="S4267" s="1" t="s">
        <v>482</v>
      </c>
      <c r="T4267" s="1">
        <v>1.00619128E8</v>
      </c>
      <c r="W4267" s="1" t="s">
        <v>308</v>
      </c>
      <c r="X4267" s="1" t="s">
        <v>7481</v>
      </c>
    </row>
    <row r="4268">
      <c r="A4268" s="1" t="s">
        <v>12133</v>
      </c>
      <c r="B4268" s="1" t="s">
        <v>2648</v>
      </c>
      <c r="C4268" s="1" t="s">
        <v>12134</v>
      </c>
      <c r="D4268" s="1" t="s">
        <v>28</v>
      </c>
      <c r="E4268" s="1" t="s">
        <v>29</v>
      </c>
      <c r="F4268" s="5">
        <v>125000.0</v>
      </c>
      <c r="G4268" s="1" t="s">
        <v>7016</v>
      </c>
      <c r="H4268" s="1" t="s">
        <v>1708</v>
      </c>
      <c r="I4268" s="1" t="s">
        <v>810</v>
      </c>
      <c r="K4268" s="1">
        <v>0.0</v>
      </c>
      <c r="L4268" s="1" t="s">
        <v>1151</v>
      </c>
      <c r="M4268" s="1" t="str">
        <f>VLOOKUP(L4268,'Copy of PMD Workday Constants -'!B4267:W4953,22,false)</f>
        <v>#N/A</v>
      </c>
      <c r="N4268" s="1" t="s">
        <v>32</v>
      </c>
      <c r="O4268" s="1" t="s">
        <v>33</v>
      </c>
      <c r="P4268" s="1" t="s">
        <v>173</v>
      </c>
      <c r="Q4268" s="1" t="s">
        <v>173</v>
      </c>
      <c r="R4268" s="1" t="s">
        <v>174</v>
      </c>
      <c r="T4268" s="1">
        <v>1.00654991E8</v>
      </c>
      <c r="W4268" s="1" t="s">
        <v>74</v>
      </c>
      <c r="X4268" s="1" t="s">
        <v>852</v>
      </c>
    </row>
    <row r="4269">
      <c r="A4269" s="1" t="s">
        <v>12135</v>
      </c>
      <c r="B4269" s="1" t="s">
        <v>2648</v>
      </c>
      <c r="C4269" s="1" t="s">
        <v>12136</v>
      </c>
      <c r="D4269" s="1" t="s">
        <v>28</v>
      </c>
      <c r="E4269" s="1" t="s">
        <v>29</v>
      </c>
      <c r="F4269" s="5">
        <v>125000.0</v>
      </c>
      <c r="G4269" s="1" t="s">
        <v>7016</v>
      </c>
      <c r="H4269" s="1" t="s">
        <v>1708</v>
      </c>
      <c r="I4269" s="1" t="s">
        <v>810</v>
      </c>
      <c r="K4269" s="1">
        <v>0.0</v>
      </c>
      <c r="L4269" s="1" t="s">
        <v>1151</v>
      </c>
      <c r="M4269" s="1" t="str">
        <f>VLOOKUP(L4269,'Copy of PMD Workday Constants -'!B4268:W4954,22,false)</f>
        <v>#N/A</v>
      </c>
      <c r="N4269" s="1" t="s">
        <v>32</v>
      </c>
      <c r="O4269" s="1" t="s">
        <v>33</v>
      </c>
      <c r="P4269" s="1" t="s">
        <v>173</v>
      </c>
      <c r="Q4269" s="1" t="s">
        <v>173</v>
      </c>
      <c r="R4269" s="1" t="s">
        <v>174</v>
      </c>
      <c r="T4269" s="1">
        <v>1.00654991E8</v>
      </c>
      <c r="W4269" s="1" t="s">
        <v>74</v>
      </c>
      <c r="X4269" s="1" t="s">
        <v>852</v>
      </c>
    </row>
    <row r="4270">
      <c r="A4270" s="1" t="s">
        <v>12137</v>
      </c>
      <c r="B4270" s="1" t="s">
        <v>12138</v>
      </c>
      <c r="C4270" s="1" t="s">
        <v>12139</v>
      </c>
      <c r="D4270" s="1" t="s">
        <v>51</v>
      </c>
      <c r="E4270" s="1" t="s">
        <v>29</v>
      </c>
      <c r="F4270" s="5">
        <v>125000.0</v>
      </c>
      <c r="G4270" s="1" t="s">
        <v>7016</v>
      </c>
      <c r="H4270" s="4">
        <v>44810.0</v>
      </c>
      <c r="I4270" s="1" t="s">
        <v>104</v>
      </c>
      <c r="K4270" s="1">
        <v>0.0</v>
      </c>
      <c r="L4270" s="1" t="s">
        <v>12140</v>
      </c>
      <c r="M4270" s="1" t="str">
        <f>VLOOKUP(L4270,'Copy of PMD Workday Constants -'!B4269:W4955,22,false)</f>
        <v>#N/A</v>
      </c>
      <c r="N4270" s="1" t="s">
        <v>32</v>
      </c>
      <c r="O4270" s="1" t="s">
        <v>33</v>
      </c>
      <c r="P4270" s="1" t="s">
        <v>173</v>
      </c>
      <c r="Q4270" s="1" t="s">
        <v>173</v>
      </c>
      <c r="R4270" s="1" t="s">
        <v>174</v>
      </c>
      <c r="T4270" s="1">
        <v>1.00620371E8</v>
      </c>
      <c r="X4270" s="1" t="s">
        <v>12140</v>
      </c>
    </row>
    <row r="4271">
      <c r="A4271" s="1" t="s">
        <v>12141</v>
      </c>
      <c r="B4271" s="1" t="s">
        <v>12142</v>
      </c>
      <c r="C4271" s="1" t="s">
        <v>12143</v>
      </c>
      <c r="D4271" s="1" t="s">
        <v>103</v>
      </c>
      <c r="E4271" s="1" t="s">
        <v>29</v>
      </c>
      <c r="F4271" s="5">
        <v>125000.0</v>
      </c>
      <c r="G4271" s="1" t="s">
        <v>7016</v>
      </c>
      <c r="H4271" s="1" t="s">
        <v>2062</v>
      </c>
      <c r="I4271" s="1" t="s">
        <v>80</v>
      </c>
      <c r="K4271" s="1">
        <v>0.0</v>
      </c>
      <c r="L4271" s="1" t="s">
        <v>6578</v>
      </c>
      <c r="M4271" s="1" t="str">
        <f>VLOOKUP(L4271,'Copy of PMD Workday Constants -'!B4270:W4956,22,false)</f>
        <v>#N/A</v>
      </c>
      <c r="N4271" s="1" t="s">
        <v>32</v>
      </c>
      <c r="O4271" s="1" t="s">
        <v>33</v>
      </c>
      <c r="P4271" s="1" t="s">
        <v>222</v>
      </c>
      <c r="Q4271" s="1" t="s">
        <v>222</v>
      </c>
      <c r="R4271" s="1" t="s">
        <v>223</v>
      </c>
      <c r="S4271" s="1" t="s">
        <v>482</v>
      </c>
      <c r="T4271" s="1">
        <v>1.00597339E8</v>
      </c>
      <c r="W4271" s="1" t="s">
        <v>85</v>
      </c>
      <c r="X4271" s="1" t="s">
        <v>6578</v>
      </c>
    </row>
    <row r="4272">
      <c r="A4272" s="1" t="s">
        <v>12144</v>
      </c>
      <c r="B4272" s="1" t="s">
        <v>12145</v>
      </c>
      <c r="C4272" s="1" t="s">
        <v>12146</v>
      </c>
      <c r="D4272" s="1" t="s">
        <v>51</v>
      </c>
      <c r="E4272" s="1" t="s">
        <v>29</v>
      </c>
      <c r="F4272" s="5">
        <v>125000.0</v>
      </c>
      <c r="G4272" s="1" t="s">
        <v>7016</v>
      </c>
      <c r="H4272" s="4">
        <v>44898.0</v>
      </c>
      <c r="I4272" s="1" t="s">
        <v>865</v>
      </c>
      <c r="K4272" s="1">
        <v>0.0</v>
      </c>
      <c r="L4272" s="1" t="s">
        <v>5558</v>
      </c>
      <c r="M4272" s="1" t="str">
        <f>VLOOKUP(L4272,'Copy of PMD Workday Constants -'!B4271:W4957,22,false)</f>
        <v>#N/A</v>
      </c>
      <c r="N4272" s="1" t="s">
        <v>32</v>
      </c>
      <c r="O4272" s="1" t="s">
        <v>33</v>
      </c>
      <c r="P4272" s="1" t="s">
        <v>222</v>
      </c>
      <c r="Q4272" s="1" t="s">
        <v>222</v>
      </c>
      <c r="R4272" s="1" t="s">
        <v>223</v>
      </c>
      <c r="S4272" s="1" t="s">
        <v>482</v>
      </c>
      <c r="T4272" s="1">
        <v>1.00652479E8</v>
      </c>
      <c r="W4272" s="1" t="s">
        <v>115</v>
      </c>
      <c r="X4272" s="1" t="s">
        <v>12147</v>
      </c>
    </row>
    <row r="4273">
      <c r="A4273" s="1" t="s">
        <v>12148</v>
      </c>
      <c r="B4273" s="1" t="s">
        <v>1149</v>
      </c>
      <c r="C4273" s="1" t="s">
        <v>12149</v>
      </c>
      <c r="D4273" s="1" t="s">
        <v>51</v>
      </c>
      <c r="E4273" s="1" t="s">
        <v>29</v>
      </c>
      <c r="F4273" s="5">
        <v>125000.0</v>
      </c>
      <c r="G4273" s="1" t="s">
        <v>7016</v>
      </c>
      <c r="H4273" s="1" t="s">
        <v>4103</v>
      </c>
      <c r="I4273" s="1" t="s">
        <v>302</v>
      </c>
      <c r="K4273" s="1">
        <v>0.0</v>
      </c>
      <c r="L4273" s="1" t="s">
        <v>11159</v>
      </c>
      <c r="M4273" s="1" t="str">
        <f>VLOOKUP(L4273,'Copy of PMD Workday Constants -'!B4272:W4958,22,false)</f>
        <v>#N/A</v>
      </c>
      <c r="N4273" s="1" t="s">
        <v>32</v>
      </c>
      <c r="O4273" s="1" t="s">
        <v>33</v>
      </c>
      <c r="P4273" s="1" t="s">
        <v>222</v>
      </c>
      <c r="Q4273" s="1" t="s">
        <v>222</v>
      </c>
      <c r="R4273" s="1" t="s">
        <v>223</v>
      </c>
      <c r="S4273" s="1" t="s">
        <v>482</v>
      </c>
      <c r="T4273" s="1">
        <v>1.00602248E8</v>
      </c>
      <c r="W4273" s="1" t="s">
        <v>115</v>
      </c>
      <c r="X4273" s="1" t="s">
        <v>12065</v>
      </c>
    </row>
    <row r="4274">
      <c r="A4274" s="1" t="s">
        <v>12150</v>
      </c>
      <c r="B4274" s="1" t="s">
        <v>776</v>
      </c>
      <c r="C4274" s="1" t="s">
        <v>12151</v>
      </c>
      <c r="D4274" s="1" t="s">
        <v>51</v>
      </c>
      <c r="E4274" s="1" t="s">
        <v>29</v>
      </c>
      <c r="F4274" s="5">
        <v>125000.0</v>
      </c>
      <c r="G4274" s="1" t="s">
        <v>7016</v>
      </c>
      <c r="H4274" s="1" t="s">
        <v>509</v>
      </c>
      <c r="I4274" s="1" t="s">
        <v>80</v>
      </c>
      <c r="K4274" s="1">
        <v>0.0</v>
      </c>
      <c r="L4274" s="1" t="s">
        <v>779</v>
      </c>
      <c r="M4274" s="1" t="str">
        <f>VLOOKUP(L4274,'Copy of PMD Workday Constants -'!B4273:W4959,22,false)</f>
        <v>#N/A</v>
      </c>
      <c r="N4274" s="1" t="s">
        <v>32</v>
      </c>
      <c r="O4274" s="1" t="s">
        <v>33</v>
      </c>
      <c r="P4274" s="1" t="s">
        <v>222</v>
      </c>
      <c r="Q4274" s="1" t="s">
        <v>222</v>
      </c>
      <c r="R4274" s="1" t="s">
        <v>223</v>
      </c>
      <c r="S4274" s="1" t="s">
        <v>601</v>
      </c>
      <c r="T4274" s="1">
        <v>1.0061139E8</v>
      </c>
      <c r="W4274" s="1" t="s">
        <v>74</v>
      </c>
      <c r="X4274" s="1" t="s">
        <v>12152</v>
      </c>
    </row>
    <row r="4275">
      <c r="A4275" s="1" t="s">
        <v>12153</v>
      </c>
      <c r="B4275" s="1" t="s">
        <v>289</v>
      </c>
      <c r="C4275" s="1" t="s">
        <v>12154</v>
      </c>
      <c r="D4275" s="1" t="s">
        <v>28</v>
      </c>
      <c r="E4275" s="1" t="s">
        <v>29</v>
      </c>
      <c r="F4275" s="5">
        <v>125000.0</v>
      </c>
      <c r="G4275" s="1" t="s">
        <v>7016</v>
      </c>
      <c r="H4275" s="1" t="s">
        <v>2484</v>
      </c>
      <c r="I4275" s="4">
        <v>44568.0</v>
      </c>
      <c r="K4275" s="1">
        <v>0.0</v>
      </c>
      <c r="L4275" s="1" t="s">
        <v>3784</v>
      </c>
      <c r="M4275" s="1" t="str">
        <f>VLOOKUP(L4275,'Copy of PMD Workday Constants -'!B4274:W4960,22,false)</f>
        <v>#N/A</v>
      </c>
      <c r="N4275" s="1" t="s">
        <v>32</v>
      </c>
      <c r="O4275" s="1" t="s">
        <v>33</v>
      </c>
      <c r="P4275" s="1" t="s">
        <v>210</v>
      </c>
      <c r="Q4275" s="1" t="s">
        <v>210</v>
      </c>
      <c r="R4275" s="1" t="s">
        <v>211</v>
      </c>
      <c r="T4275" s="1">
        <v>1.00637651E8</v>
      </c>
      <c r="W4275" s="1" t="s">
        <v>74</v>
      </c>
      <c r="X4275" s="1" t="s">
        <v>852</v>
      </c>
    </row>
    <row r="4276">
      <c r="A4276" s="1" t="s">
        <v>12155</v>
      </c>
      <c r="B4276" s="1" t="s">
        <v>6446</v>
      </c>
      <c r="C4276" s="1" t="s">
        <v>12156</v>
      </c>
      <c r="D4276" s="1" t="s">
        <v>79</v>
      </c>
      <c r="E4276" s="1" t="s">
        <v>29</v>
      </c>
      <c r="F4276" s="5">
        <v>125000.0</v>
      </c>
      <c r="G4276" s="1" t="s">
        <v>7016</v>
      </c>
      <c r="H4276" s="4">
        <v>44869.0</v>
      </c>
      <c r="I4276" s="1" t="s">
        <v>96</v>
      </c>
      <c r="K4276" s="1">
        <v>0.0</v>
      </c>
      <c r="L4276" s="1" t="s">
        <v>1790</v>
      </c>
      <c r="M4276" s="1" t="str">
        <f>VLOOKUP(L4276,'Copy of PMD Workday Constants -'!B4275:W4961,22,false)</f>
        <v>#N/A</v>
      </c>
      <c r="N4276" s="1" t="s">
        <v>32</v>
      </c>
      <c r="O4276" s="1" t="s">
        <v>33</v>
      </c>
      <c r="P4276" s="1" t="s">
        <v>222</v>
      </c>
      <c r="Q4276" s="1" t="s">
        <v>222</v>
      </c>
      <c r="R4276" s="1" t="s">
        <v>223</v>
      </c>
      <c r="S4276" s="1" t="s">
        <v>601</v>
      </c>
      <c r="T4276" s="1">
        <v>1.00645232E8</v>
      </c>
      <c r="W4276" s="1" t="s">
        <v>436</v>
      </c>
      <c r="X4276" s="1" t="s">
        <v>12157</v>
      </c>
    </row>
    <row r="4277">
      <c r="A4277" s="1" t="s">
        <v>12158</v>
      </c>
      <c r="B4277" s="1" t="s">
        <v>6161</v>
      </c>
      <c r="C4277" s="1" t="s">
        <v>12159</v>
      </c>
      <c r="D4277" s="1" t="s">
        <v>103</v>
      </c>
      <c r="E4277" s="1" t="s">
        <v>29</v>
      </c>
      <c r="F4277" s="5">
        <v>125000.0</v>
      </c>
      <c r="G4277" s="1" t="s">
        <v>7016</v>
      </c>
      <c r="H4277" s="1" t="s">
        <v>12160</v>
      </c>
      <c r="I4277" s="1" t="s">
        <v>152</v>
      </c>
      <c r="K4277" s="1">
        <v>0.0</v>
      </c>
      <c r="L4277" s="1" t="s">
        <v>198</v>
      </c>
      <c r="M4277" s="1" t="str">
        <f>VLOOKUP(L4277,'Copy of PMD Workday Constants -'!B4276:W4962,22,false)</f>
        <v>#N/A</v>
      </c>
      <c r="N4277" s="1" t="s">
        <v>32</v>
      </c>
      <c r="O4277" s="1" t="s">
        <v>33</v>
      </c>
      <c r="P4277" s="1" t="s">
        <v>82</v>
      </c>
      <c r="Q4277" s="1" t="s">
        <v>82</v>
      </c>
      <c r="R4277" s="1" t="s">
        <v>83</v>
      </c>
      <c r="S4277" s="1" t="s">
        <v>180</v>
      </c>
      <c r="T4277" s="1">
        <v>1.00590896E8</v>
      </c>
      <c r="W4277" s="1" t="s">
        <v>85</v>
      </c>
      <c r="X4277" s="1" t="s">
        <v>3087</v>
      </c>
    </row>
    <row r="4278">
      <c r="A4278" s="1" t="s">
        <v>12161</v>
      </c>
      <c r="B4278" s="1" t="s">
        <v>12162</v>
      </c>
      <c r="C4278" s="1" t="s">
        <v>12163</v>
      </c>
      <c r="D4278" s="1" t="s">
        <v>28</v>
      </c>
      <c r="E4278" s="1" t="s">
        <v>29</v>
      </c>
      <c r="F4278" s="5">
        <v>125000.0</v>
      </c>
      <c r="G4278" s="1" t="s">
        <v>7016</v>
      </c>
      <c r="H4278" s="4">
        <v>44870.0</v>
      </c>
      <c r="I4278" s="4">
        <v>44927.0</v>
      </c>
      <c r="K4278" s="1">
        <v>0.0</v>
      </c>
      <c r="L4278" s="1" t="s">
        <v>9987</v>
      </c>
      <c r="M4278" s="1" t="str">
        <f>VLOOKUP(L4278,'Copy of PMD Workday Constants -'!B4277:W4963,22,false)</f>
        <v>#N/A</v>
      </c>
      <c r="N4278" s="1" t="s">
        <v>32</v>
      </c>
      <c r="O4278" s="1" t="s">
        <v>33</v>
      </c>
      <c r="P4278" s="1" t="s">
        <v>64</v>
      </c>
      <c r="Q4278" s="1" t="s">
        <v>64</v>
      </c>
      <c r="R4278" s="1" t="s">
        <v>65</v>
      </c>
      <c r="S4278" s="1" t="s">
        <v>1336</v>
      </c>
      <c r="T4278" s="1">
        <v>1.01211126E8</v>
      </c>
      <c r="W4278" s="1" t="s">
        <v>533</v>
      </c>
      <c r="X4278" s="1" t="s">
        <v>9987</v>
      </c>
    </row>
    <row r="4279">
      <c r="A4279" s="1" t="s">
        <v>12164</v>
      </c>
      <c r="B4279" s="1" t="s">
        <v>12165</v>
      </c>
      <c r="C4279" s="1" t="s">
        <v>12166</v>
      </c>
      <c r="D4279" s="1" t="s">
        <v>28</v>
      </c>
      <c r="E4279" s="1" t="s">
        <v>29</v>
      </c>
      <c r="F4279" s="5">
        <v>125000.0</v>
      </c>
      <c r="G4279" s="1" t="s">
        <v>7016</v>
      </c>
      <c r="H4279" s="4">
        <v>44870.0</v>
      </c>
      <c r="I4279" s="4">
        <v>44927.0</v>
      </c>
      <c r="K4279" s="1">
        <v>0.0</v>
      </c>
      <c r="L4279" s="1" t="s">
        <v>9987</v>
      </c>
      <c r="M4279" s="1" t="str">
        <f>VLOOKUP(L4279,'Copy of PMD Workday Constants -'!B4278:W4964,22,false)</f>
        <v>#N/A</v>
      </c>
      <c r="N4279" s="1" t="s">
        <v>32</v>
      </c>
      <c r="O4279" s="1" t="s">
        <v>33</v>
      </c>
      <c r="P4279" s="1" t="s">
        <v>64</v>
      </c>
      <c r="Q4279" s="1" t="s">
        <v>64</v>
      </c>
      <c r="R4279" s="1" t="s">
        <v>65</v>
      </c>
      <c r="S4279" s="1" t="s">
        <v>1336</v>
      </c>
      <c r="T4279" s="1">
        <v>1.01211126E8</v>
      </c>
      <c r="W4279" s="1" t="s">
        <v>533</v>
      </c>
      <c r="X4279" s="1" t="s">
        <v>9987</v>
      </c>
    </row>
    <row r="4280">
      <c r="A4280" s="1" t="s">
        <v>12167</v>
      </c>
      <c r="B4280" s="1" t="s">
        <v>12168</v>
      </c>
      <c r="C4280" s="1" t="s">
        <v>12169</v>
      </c>
      <c r="D4280" s="1" t="s">
        <v>28</v>
      </c>
      <c r="E4280" s="1" t="s">
        <v>29</v>
      </c>
      <c r="F4280" s="5">
        <v>125000.0</v>
      </c>
      <c r="G4280" s="1" t="s">
        <v>7016</v>
      </c>
      <c r="H4280" s="4">
        <v>44870.0</v>
      </c>
      <c r="I4280" s="4">
        <v>44927.0</v>
      </c>
      <c r="K4280" s="1">
        <v>0.0</v>
      </c>
      <c r="L4280" s="1" t="s">
        <v>9987</v>
      </c>
      <c r="M4280" s="1" t="str">
        <f>VLOOKUP(L4280,'Copy of PMD Workday Constants -'!B4279:W4965,22,false)</f>
        <v>#N/A</v>
      </c>
      <c r="N4280" s="1" t="s">
        <v>32</v>
      </c>
      <c r="O4280" s="1" t="s">
        <v>33</v>
      </c>
      <c r="P4280" s="1" t="s">
        <v>64</v>
      </c>
      <c r="Q4280" s="1" t="s">
        <v>64</v>
      </c>
      <c r="R4280" s="1" t="s">
        <v>65</v>
      </c>
      <c r="S4280" s="1" t="s">
        <v>1336</v>
      </c>
      <c r="T4280" s="1">
        <v>1.01211126E8</v>
      </c>
      <c r="W4280" s="1" t="s">
        <v>533</v>
      </c>
      <c r="X4280" s="1" t="s">
        <v>9987</v>
      </c>
    </row>
    <row r="4281">
      <c r="A4281" s="1" t="s">
        <v>12170</v>
      </c>
      <c r="B4281" s="1" t="s">
        <v>3154</v>
      </c>
      <c r="C4281" s="1" t="s">
        <v>12171</v>
      </c>
      <c r="D4281" s="1" t="s">
        <v>51</v>
      </c>
      <c r="E4281" s="1" t="s">
        <v>29</v>
      </c>
      <c r="F4281" s="5">
        <v>125000.0</v>
      </c>
      <c r="G4281" s="1" t="s">
        <v>7016</v>
      </c>
      <c r="H4281" s="4">
        <v>44870.0</v>
      </c>
      <c r="I4281" s="4">
        <v>44569.0</v>
      </c>
      <c r="K4281" s="1">
        <v>0.0</v>
      </c>
      <c r="L4281" s="1" t="s">
        <v>1635</v>
      </c>
      <c r="M4281" s="1" t="str">
        <f>VLOOKUP(L4281,'Copy of PMD Workday Constants -'!B4280:W4966,22,false)</f>
        <v>#N/A</v>
      </c>
      <c r="N4281" s="1" t="s">
        <v>32</v>
      </c>
      <c r="O4281" s="1" t="s">
        <v>33</v>
      </c>
      <c r="P4281" s="1" t="s">
        <v>34</v>
      </c>
      <c r="Q4281" s="1" t="s">
        <v>34</v>
      </c>
      <c r="R4281" s="1" t="s">
        <v>35</v>
      </c>
      <c r="S4281" s="1" t="s">
        <v>1166</v>
      </c>
      <c r="T4281" s="1">
        <v>1.00656371E8</v>
      </c>
      <c r="W4281" s="1" t="s">
        <v>456</v>
      </c>
      <c r="X4281" s="1" t="s">
        <v>1635</v>
      </c>
    </row>
    <row r="4282">
      <c r="A4282" s="1" t="s">
        <v>12172</v>
      </c>
      <c r="B4282" s="1" t="s">
        <v>8204</v>
      </c>
      <c r="C4282" s="1" t="s">
        <v>12173</v>
      </c>
      <c r="D4282" s="1" t="s">
        <v>79</v>
      </c>
      <c r="E4282" s="1" t="s">
        <v>29</v>
      </c>
      <c r="F4282" s="5">
        <v>123846.31</v>
      </c>
      <c r="G4282" s="1" t="s">
        <v>7016</v>
      </c>
      <c r="H4282" s="4">
        <v>44654.0</v>
      </c>
      <c r="I4282" s="1" t="s">
        <v>12174</v>
      </c>
      <c r="K4282" s="1">
        <v>0.0</v>
      </c>
      <c r="L4282" s="1" t="s">
        <v>7637</v>
      </c>
      <c r="M4282" s="1" t="str">
        <f>VLOOKUP(L4282,'Copy of PMD Workday Constants -'!B4281:W4967,22,false)</f>
        <v>#N/A</v>
      </c>
      <c r="N4282" s="1" t="s">
        <v>32</v>
      </c>
      <c r="O4282" s="1" t="s">
        <v>33</v>
      </c>
      <c r="P4282" s="1" t="s">
        <v>5253</v>
      </c>
      <c r="Q4282" s="1" t="s">
        <v>5253</v>
      </c>
      <c r="R4282" s="1" t="s">
        <v>35</v>
      </c>
      <c r="T4282" s="1">
        <v>1.00613849E8</v>
      </c>
      <c r="W4282" s="1" t="s">
        <v>140</v>
      </c>
      <c r="X4282" s="1" t="s">
        <v>7638</v>
      </c>
    </row>
    <row r="4283">
      <c r="A4283" s="1" t="s">
        <v>12175</v>
      </c>
      <c r="B4283" s="1" t="s">
        <v>12176</v>
      </c>
      <c r="C4283" s="1" t="s">
        <v>12177</v>
      </c>
      <c r="D4283" s="1" t="s">
        <v>79</v>
      </c>
      <c r="E4283" s="1" t="s">
        <v>29</v>
      </c>
      <c r="F4283" s="5">
        <v>123180.0</v>
      </c>
      <c r="G4283" s="1" t="s">
        <v>7016</v>
      </c>
      <c r="H4283" s="1" t="s">
        <v>5175</v>
      </c>
      <c r="I4283" s="1" t="s">
        <v>166</v>
      </c>
      <c r="K4283" s="1">
        <v>0.0</v>
      </c>
      <c r="L4283" s="1" t="s">
        <v>8174</v>
      </c>
      <c r="M4283" s="1" t="str">
        <f>VLOOKUP(L4283,'Copy of PMD Workday Constants -'!B4282:W4968,22,false)</f>
        <v>#N/A</v>
      </c>
      <c r="N4283" s="1" t="s">
        <v>32</v>
      </c>
      <c r="O4283" s="1" t="s">
        <v>33</v>
      </c>
      <c r="P4283" s="1" t="s">
        <v>82</v>
      </c>
      <c r="Q4283" s="1" t="s">
        <v>82</v>
      </c>
      <c r="R4283" s="1" t="s">
        <v>83</v>
      </c>
      <c r="S4283" s="1" t="s">
        <v>180</v>
      </c>
      <c r="T4283" s="1">
        <v>1.00609615E8</v>
      </c>
      <c r="W4283" s="1" t="s">
        <v>436</v>
      </c>
      <c r="X4283" s="1" t="s">
        <v>5126</v>
      </c>
    </row>
    <row r="4284">
      <c r="A4284" s="1" t="s">
        <v>12178</v>
      </c>
      <c r="B4284" s="1" t="s">
        <v>12179</v>
      </c>
      <c r="C4284" s="1" t="s">
        <v>12180</v>
      </c>
      <c r="D4284" s="1" t="s">
        <v>51</v>
      </c>
      <c r="E4284" s="1" t="s">
        <v>29</v>
      </c>
      <c r="F4284" s="5">
        <v>120000.0</v>
      </c>
      <c r="G4284" s="1" t="s">
        <v>7016</v>
      </c>
      <c r="H4284" s="1" t="s">
        <v>263</v>
      </c>
      <c r="I4284" s="1" t="s">
        <v>80</v>
      </c>
      <c r="K4284" s="1">
        <v>0.0</v>
      </c>
      <c r="L4284" s="1" t="s">
        <v>2201</v>
      </c>
      <c r="M4284" s="1" t="str">
        <f>VLOOKUP(L4284,'Copy of PMD Workday Constants -'!B4283:W4969,22,false)</f>
        <v>#N/A</v>
      </c>
      <c r="N4284" s="1" t="s">
        <v>32</v>
      </c>
      <c r="O4284" s="1" t="s">
        <v>33</v>
      </c>
      <c r="P4284" s="1" t="s">
        <v>64</v>
      </c>
      <c r="Q4284" s="1" t="s">
        <v>64</v>
      </c>
      <c r="R4284" s="1" t="s">
        <v>65</v>
      </c>
      <c r="S4284" s="1" t="s">
        <v>1496</v>
      </c>
      <c r="T4284" s="1">
        <v>1.00649936E8</v>
      </c>
      <c r="W4284" s="1" t="s">
        <v>258</v>
      </c>
      <c r="X4284" s="1" t="s">
        <v>8591</v>
      </c>
    </row>
    <row r="4285">
      <c r="A4285" s="1" t="s">
        <v>12181</v>
      </c>
      <c r="B4285" s="1" t="s">
        <v>155</v>
      </c>
      <c r="C4285" s="1" t="s">
        <v>12182</v>
      </c>
      <c r="D4285" s="1" t="s">
        <v>79</v>
      </c>
      <c r="E4285" s="1" t="s">
        <v>29</v>
      </c>
      <c r="F4285" s="5">
        <v>120000.0</v>
      </c>
      <c r="G4285" s="1" t="s">
        <v>7016</v>
      </c>
      <c r="H4285" s="1" t="s">
        <v>1287</v>
      </c>
      <c r="I4285" s="1" t="s">
        <v>1134</v>
      </c>
      <c r="K4285" s="1">
        <v>0.0</v>
      </c>
      <c r="L4285" s="1" t="s">
        <v>1587</v>
      </c>
      <c r="M4285" s="1" t="str">
        <f>VLOOKUP(L4285,'Copy of PMD Workday Constants -'!B4284:W4970,22,false)</f>
        <v>#N/A</v>
      </c>
      <c r="N4285" s="1" t="s">
        <v>32</v>
      </c>
      <c r="O4285" s="1" t="s">
        <v>33</v>
      </c>
      <c r="P4285" s="1" t="s">
        <v>64</v>
      </c>
      <c r="Q4285" s="1" t="s">
        <v>64</v>
      </c>
      <c r="R4285" s="1" t="s">
        <v>65</v>
      </c>
      <c r="S4285" s="1" t="s">
        <v>1336</v>
      </c>
      <c r="T4285" s="1">
        <v>1.01141441E8</v>
      </c>
      <c r="W4285" s="1" t="s">
        <v>91</v>
      </c>
      <c r="X4285" s="1" t="s">
        <v>3349</v>
      </c>
    </row>
    <row r="4286">
      <c r="A4286" s="1" t="s">
        <v>12183</v>
      </c>
      <c r="B4286" s="1" t="s">
        <v>324</v>
      </c>
      <c r="C4286" s="1" t="s">
        <v>12184</v>
      </c>
      <c r="D4286" s="1" t="s">
        <v>79</v>
      </c>
      <c r="E4286" s="1" t="s">
        <v>29</v>
      </c>
      <c r="F4286" s="5">
        <v>120000.0</v>
      </c>
      <c r="G4286" s="1" t="s">
        <v>7016</v>
      </c>
      <c r="H4286" s="1" t="s">
        <v>4625</v>
      </c>
      <c r="I4286" s="4">
        <v>44718.0</v>
      </c>
      <c r="K4286" s="1">
        <v>0.0</v>
      </c>
      <c r="L4286" s="1" t="s">
        <v>3994</v>
      </c>
      <c r="M4286" s="1" t="str">
        <f>VLOOKUP(L4286,'Copy of PMD Workday Constants -'!B4285:W4971,22,false)</f>
        <v>#N/A</v>
      </c>
      <c r="N4286" s="1" t="s">
        <v>32</v>
      </c>
      <c r="O4286" s="1" t="s">
        <v>33</v>
      </c>
      <c r="P4286" s="1" t="s">
        <v>210</v>
      </c>
      <c r="Q4286" s="1" t="s">
        <v>210</v>
      </c>
      <c r="R4286" s="1" t="s">
        <v>211</v>
      </c>
      <c r="S4286" s="1" t="s">
        <v>1313</v>
      </c>
      <c r="T4286" s="1">
        <v>1.00646809E8</v>
      </c>
      <c r="W4286" s="1" t="s">
        <v>56</v>
      </c>
      <c r="X4286" s="1" t="s">
        <v>3995</v>
      </c>
    </row>
    <row r="4287">
      <c r="A4287" s="1" t="s">
        <v>12185</v>
      </c>
      <c r="B4287" s="1" t="s">
        <v>489</v>
      </c>
      <c r="C4287" s="1" t="s">
        <v>12186</v>
      </c>
      <c r="D4287" s="1" t="s">
        <v>28</v>
      </c>
      <c r="E4287" s="1" t="s">
        <v>29</v>
      </c>
      <c r="F4287" s="5">
        <v>120000.0</v>
      </c>
      <c r="G4287" s="1" t="s">
        <v>7016</v>
      </c>
      <c r="H4287" s="1" t="s">
        <v>816</v>
      </c>
      <c r="I4287" s="1" t="s">
        <v>732</v>
      </c>
      <c r="K4287" s="1">
        <v>0.0</v>
      </c>
      <c r="L4287" s="1" t="s">
        <v>4873</v>
      </c>
      <c r="M4287" s="1" t="str">
        <f>VLOOKUP(L4287,'Copy of PMD Workday Constants -'!B4286:W4972,22,false)</f>
        <v>#N/A</v>
      </c>
      <c r="N4287" s="1" t="s">
        <v>32</v>
      </c>
      <c r="O4287" s="1" t="s">
        <v>33</v>
      </c>
      <c r="P4287" s="1" t="s">
        <v>34</v>
      </c>
      <c r="Q4287" s="1" t="s">
        <v>34</v>
      </c>
      <c r="R4287" s="1" t="s">
        <v>35</v>
      </c>
      <c r="T4287" s="1">
        <v>1.00587881E8</v>
      </c>
      <c r="W4287" s="1" t="s">
        <v>493</v>
      </c>
      <c r="X4287" s="1" t="s">
        <v>4873</v>
      </c>
    </row>
    <row r="4288">
      <c r="A4288" s="1" t="s">
        <v>12187</v>
      </c>
      <c r="B4288" s="1" t="s">
        <v>7030</v>
      </c>
      <c r="C4288" s="1" t="s">
        <v>12188</v>
      </c>
      <c r="D4288" s="1" t="s">
        <v>103</v>
      </c>
      <c r="E4288" s="1" t="s">
        <v>29</v>
      </c>
      <c r="F4288" s="5">
        <v>120000.0</v>
      </c>
      <c r="G4288" s="1" t="s">
        <v>7016</v>
      </c>
      <c r="H4288" s="1" t="s">
        <v>870</v>
      </c>
      <c r="I4288" s="1" t="s">
        <v>80</v>
      </c>
      <c r="K4288" s="1">
        <v>0.0</v>
      </c>
      <c r="L4288" s="1" t="s">
        <v>7276</v>
      </c>
      <c r="M4288" s="1" t="str">
        <f>VLOOKUP(L4288,'Copy of PMD Workday Constants -'!B4287:W4973,22,false)</f>
        <v>#N/A</v>
      </c>
      <c r="N4288" s="1" t="s">
        <v>32</v>
      </c>
      <c r="O4288" s="1" t="s">
        <v>33</v>
      </c>
      <c r="P4288" s="1" t="s">
        <v>64</v>
      </c>
      <c r="Q4288" s="1" t="s">
        <v>64</v>
      </c>
      <c r="R4288" s="1" t="s">
        <v>65</v>
      </c>
      <c r="S4288" s="1" t="s">
        <v>1336</v>
      </c>
      <c r="T4288" s="1">
        <v>1.00587219E8</v>
      </c>
      <c r="W4288" s="1" t="s">
        <v>147</v>
      </c>
      <c r="X4288" s="1" t="s">
        <v>10487</v>
      </c>
    </row>
    <row r="4289">
      <c r="A4289" s="1" t="s">
        <v>12189</v>
      </c>
      <c r="B4289" s="1" t="s">
        <v>1163</v>
      </c>
      <c r="C4289" s="1" t="s">
        <v>12190</v>
      </c>
      <c r="D4289" s="1" t="s">
        <v>28</v>
      </c>
      <c r="E4289" s="1" t="s">
        <v>29</v>
      </c>
      <c r="F4289" s="5">
        <v>120000.0</v>
      </c>
      <c r="G4289" s="1" t="s">
        <v>7016</v>
      </c>
      <c r="H4289" s="4">
        <v>44656.0</v>
      </c>
      <c r="I4289" s="1" t="s">
        <v>526</v>
      </c>
      <c r="K4289" s="1">
        <v>0.0</v>
      </c>
      <c r="L4289" s="1" t="s">
        <v>387</v>
      </c>
      <c r="M4289" s="1" t="str">
        <f>VLOOKUP(L4289,'Copy of PMD Workday Constants -'!B4288:W4974,22,false)</f>
        <v>#N/A</v>
      </c>
      <c r="N4289" s="1" t="s">
        <v>32</v>
      </c>
      <c r="O4289" s="1" t="s">
        <v>33</v>
      </c>
      <c r="P4289" s="1" t="s">
        <v>34</v>
      </c>
      <c r="Q4289" s="1" t="s">
        <v>34</v>
      </c>
      <c r="R4289" s="1" t="s">
        <v>35</v>
      </c>
      <c r="T4289" s="1">
        <v>1.00642129E8</v>
      </c>
      <c r="W4289" s="1" t="s">
        <v>147</v>
      </c>
      <c r="X4289" s="1" t="s">
        <v>387</v>
      </c>
    </row>
    <row r="4290">
      <c r="A4290" s="1" t="s">
        <v>12191</v>
      </c>
      <c r="B4290" s="1" t="s">
        <v>580</v>
      </c>
      <c r="C4290" s="1" t="s">
        <v>12192</v>
      </c>
      <c r="D4290" s="1" t="s">
        <v>103</v>
      </c>
      <c r="E4290" s="1" t="s">
        <v>29</v>
      </c>
      <c r="F4290" s="5">
        <v>120000.0</v>
      </c>
      <c r="G4290" s="1" t="s">
        <v>7016</v>
      </c>
      <c r="H4290" s="4">
        <v>44598.0</v>
      </c>
      <c r="I4290" s="1" t="s">
        <v>302</v>
      </c>
      <c r="K4290" s="1">
        <v>0.0</v>
      </c>
      <c r="L4290" s="1" t="s">
        <v>1098</v>
      </c>
      <c r="M4290" s="1" t="str">
        <f>VLOOKUP(L4290,'Copy of PMD Workday Constants -'!B4289:W4975,22,false)</f>
        <v>#N/A</v>
      </c>
      <c r="N4290" s="1" t="s">
        <v>32</v>
      </c>
      <c r="O4290" s="1" t="s">
        <v>33</v>
      </c>
      <c r="P4290" s="1" t="s">
        <v>173</v>
      </c>
      <c r="Q4290" s="1" t="s">
        <v>173</v>
      </c>
      <c r="R4290" s="1" t="s">
        <v>174</v>
      </c>
      <c r="T4290" s="1">
        <v>1.00609827E8</v>
      </c>
      <c r="W4290" s="1" t="s">
        <v>456</v>
      </c>
      <c r="X4290" s="1" t="s">
        <v>10600</v>
      </c>
    </row>
    <row r="4291">
      <c r="A4291" s="1" t="s">
        <v>12193</v>
      </c>
      <c r="B4291" s="1" t="s">
        <v>485</v>
      </c>
      <c r="C4291" s="1" t="s">
        <v>12194</v>
      </c>
      <c r="D4291" s="1" t="s">
        <v>51</v>
      </c>
      <c r="E4291" s="1" t="s">
        <v>29</v>
      </c>
      <c r="F4291" s="5">
        <v>120000.0</v>
      </c>
      <c r="G4291" s="1" t="s">
        <v>7016</v>
      </c>
      <c r="H4291" s="4">
        <v>44564.0</v>
      </c>
      <c r="I4291" s="4">
        <v>44626.0</v>
      </c>
      <c r="K4291" s="1">
        <v>0.0</v>
      </c>
      <c r="L4291" s="1" t="s">
        <v>9197</v>
      </c>
      <c r="M4291" s="1" t="str">
        <f>VLOOKUP(L4291,'Copy of PMD Workday Constants -'!B4290:W4976,22,false)</f>
        <v>#N/A</v>
      </c>
      <c r="N4291" s="1" t="s">
        <v>32</v>
      </c>
      <c r="O4291" s="1" t="s">
        <v>33</v>
      </c>
      <c r="P4291" s="1" t="s">
        <v>112</v>
      </c>
      <c r="Q4291" s="1" t="s">
        <v>112</v>
      </c>
      <c r="R4291" s="1" t="s">
        <v>113</v>
      </c>
      <c r="T4291" s="1">
        <v>1.00637451E8</v>
      </c>
      <c r="X4291" s="1" t="s">
        <v>9197</v>
      </c>
    </row>
    <row r="4292">
      <c r="A4292" s="1" t="s">
        <v>12195</v>
      </c>
      <c r="B4292" s="1" t="s">
        <v>993</v>
      </c>
      <c r="C4292" s="1" t="s">
        <v>12196</v>
      </c>
      <c r="D4292" s="1" t="s">
        <v>28</v>
      </c>
      <c r="E4292" s="1" t="s">
        <v>29</v>
      </c>
      <c r="F4292" s="5">
        <v>120000.0</v>
      </c>
      <c r="G4292" s="1" t="s">
        <v>7016</v>
      </c>
      <c r="H4292" s="4">
        <v>44626.0</v>
      </c>
      <c r="I4292" s="1" t="s">
        <v>80</v>
      </c>
      <c r="K4292" s="1">
        <v>0.0</v>
      </c>
      <c r="L4292" s="1" t="s">
        <v>4634</v>
      </c>
      <c r="M4292" s="1" t="str">
        <f>VLOOKUP(L4292,'Copy of PMD Workday Constants -'!B4291:W4977,22,false)</f>
        <v>#N/A</v>
      </c>
      <c r="N4292" s="1" t="s">
        <v>32</v>
      </c>
      <c r="O4292" s="1" t="s">
        <v>33</v>
      </c>
      <c r="P4292" s="1" t="s">
        <v>112</v>
      </c>
      <c r="Q4292" s="1" t="s">
        <v>112</v>
      </c>
      <c r="R4292" s="1" t="s">
        <v>113</v>
      </c>
      <c r="S4292" s="1" t="s">
        <v>134</v>
      </c>
      <c r="T4292" s="1">
        <v>1.00585718E8</v>
      </c>
      <c r="W4292" s="1" t="s">
        <v>74</v>
      </c>
      <c r="X4292" s="1" t="s">
        <v>4804</v>
      </c>
    </row>
    <row r="4293">
      <c r="A4293" s="1" t="s">
        <v>12197</v>
      </c>
      <c r="B4293" s="1" t="s">
        <v>12198</v>
      </c>
      <c r="C4293" s="1" t="s">
        <v>12199</v>
      </c>
      <c r="D4293" s="1" t="s">
        <v>79</v>
      </c>
      <c r="E4293" s="1" t="s">
        <v>29</v>
      </c>
      <c r="F4293" s="5">
        <v>120000.0</v>
      </c>
      <c r="G4293" s="1" t="s">
        <v>7016</v>
      </c>
      <c r="H4293" s="1" t="s">
        <v>1287</v>
      </c>
      <c r="I4293" s="1" t="s">
        <v>80</v>
      </c>
      <c r="K4293" s="1">
        <v>0.0</v>
      </c>
      <c r="L4293" s="1" t="s">
        <v>2013</v>
      </c>
      <c r="M4293" s="1" t="str">
        <f>VLOOKUP(L4293,'Copy of PMD Workday Constants -'!B4292:W4978,22,false)</f>
        <v>#N/A</v>
      </c>
      <c r="N4293" s="1" t="s">
        <v>32</v>
      </c>
      <c r="O4293" s="1" t="s">
        <v>33</v>
      </c>
      <c r="P4293" s="1" t="s">
        <v>222</v>
      </c>
      <c r="Q4293" s="1" t="s">
        <v>222</v>
      </c>
      <c r="R4293" s="1" t="s">
        <v>223</v>
      </c>
      <c r="S4293" s="1" t="s">
        <v>482</v>
      </c>
      <c r="T4293" s="1">
        <v>1.00596618E8</v>
      </c>
      <c r="W4293" s="1" t="s">
        <v>147</v>
      </c>
      <c r="X4293" s="1" t="s">
        <v>12200</v>
      </c>
    </row>
    <row r="4294">
      <c r="A4294" s="1" t="s">
        <v>12201</v>
      </c>
      <c r="B4294" s="1" t="s">
        <v>12202</v>
      </c>
      <c r="C4294" s="1" t="s">
        <v>12203</v>
      </c>
      <c r="D4294" s="1" t="s">
        <v>103</v>
      </c>
      <c r="E4294" s="1" t="s">
        <v>29</v>
      </c>
      <c r="F4294" s="5">
        <v>120000.0</v>
      </c>
      <c r="G4294" s="1" t="s">
        <v>7016</v>
      </c>
      <c r="H4294" s="1" t="s">
        <v>1708</v>
      </c>
      <c r="I4294" s="1" t="s">
        <v>816</v>
      </c>
      <c r="K4294" s="1">
        <v>0.0</v>
      </c>
      <c r="L4294" s="1" t="s">
        <v>4217</v>
      </c>
      <c r="M4294" s="1" t="str">
        <f>VLOOKUP(L4294,'Copy of PMD Workday Constants -'!B4293:W4979,22,false)</f>
        <v>#N/A</v>
      </c>
      <c r="N4294" s="1" t="s">
        <v>32</v>
      </c>
      <c r="O4294" s="1" t="s">
        <v>33</v>
      </c>
      <c r="P4294" s="1" t="s">
        <v>222</v>
      </c>
      <c r="Q4294" s="1" t="s">
        <v>222</v>
      </c>
      <c r="R4294" s="1" t="s">
        <v>223</v>
      </c>
      <c r="S4294" s="1" t="s">
        <v>482</v>
      </c>
      <c r="T4294" s="1">
        <v>1.0065605E8</v>
      </c>
      <c r="W4294" s="1" t="s">
        <v>115</v>
      </c>
      <c r="X4294" s="1" t="s">
        <v>4217</v>
      </c>
    </row>
    <row r="4295">
      <c r="A4295" s="1" t="s">
        <v>12204</v>
      </c>
      <c r="B4295" s="1" t="s">
        <v>11618</v>
      </c>
      <c r="C4295" s="1" t="s">
        <v>12205</v>
      </c>
      <c r="D4295" s="1" t="s">
        <v>103</v>
      </c>
      <c r="E4295" s="1" t="s">
        <v>29</v>
      </c>
      <c r="F4295" s="5">
        <v>120000.0</v>
      </c>
      <c r="G4295" s="1" t="s">
        <v>7016</v>
      </c>
      <c r="H4295" s="1" t="s">
        <v>12206</v>
      </c>
      <c r="I4295" s="1" t="s">
        <v>1349</v>
      </c>
      <c r="K4295" s="1">
        <v>0.0</v>
      </c>
      <c r="L4295" s="1" t="s">
        <v>5252</v>
      </c>
      <c r="M4295" s="1" t="str">
        <f>VLOOKUP(L4295,'Copy of PMD Workday Constants -'!B4294:W4980,22,false)</f>
        <v>#N/A</v>
      </c>
      <c r="N4295" s="1" t="s">
        <v>32</v>
      </c>
      <c r="O4295" s="1" t="s">
        <v>33</v>
      </c>
      <c r="P4295" s="1" t="s">
        <v>5253</v>
      </c>
      <c r="Q4295" s="1" t="s">
        <v>5253</v>
      </c>
      <c r="R4295" s="1" t="s">
        <v>65</v>
      </c>
      <c r="S4295" s="1" t="s">
        <v>66</v>
      </c>
      <c r="T4295" s="1">
        <v>1.00625588E8</v>
      </c>
      <c r="W4295" s="1" t="s">
        <v>147</v>
      </c>
      <c r="X4295" s="1" t="s">
        <v>5569</v>
      </c>
    </row>
    <row r="4296">
      <c r="A4296" s="1" t="s">
        <v>12207</v>
      </c>
      <c r="B4296" s="1" t="s">
        <v>2172</v>
      </c>
      <c r="C4296" s="1" t="s">
        <v>12208</v>
      </c>
      <c r="D4296" s="1" t="s">
        <v>103</v>
      </c>
      <c r="E4296" s="1" t="s">
        <v>29</v>
      </c>
      <c r="F4296" s="5">
        <v>120000.0</v>
      </c>
      <c r="G4296" s="1" t="s">
        <v>7016</v>
      </c>
      <c r="H4296" s="1" t="s">
        <v>52</v>
      </c>
      <c r="I4296" s="1" t="s">
        <v>132</v>
      </c>
      <c r="K4296" s="1">
        <v>0.0</v>
      </c>
      <c r="L4296" s="1" t="s">
        <v>2174</v>
      </c>
      <c r="M4296" s="1" t="str">
        <f>VLOOKUP(L4296,'Copy of PMD Workday Constants -'!B4295:W4981,22,false)</f>
        <v>#N/A</v>
      </c>
      <c r="N4296" s="1" t="s">
        <v>32</v>
      </c>
      <c r="O4296" s="1" t="s">
        <v>33</v>
      </c>
      <c r="P4296" s="1" t="s">
        <v>112</v>
      </c>
      <c r="Q4296" s="1" t="s">
        <v>112</v>
      </c>
      <c r="R4296" s="1" t="s">
        <v>113</v>
      </c>
      <c r="T4296" s="1">
        <v>1.00631322E8</v>
      </c>
      <c r="W4296" s="1" t="s">
        <v>74</v>
      </c>
      <c r="X4296" s="1" t="s">
        <v>12209</v>
      </c>
    </row>
    <row r="4297">
      <c r="A4297" s="1" t="s">
        <v>12210</v>
      </c>
      <c r="B4297" s="1" t="s">
        <v>12211</v>
      </c>
      <c r="C4297" s="1" t="s">
        <v>12212</v>
      </c>
      <c r="D4297" s="1" t="s">
        <v>103</v>
      </c>
      <c r="E4297" s="1" t="s">
        <v>29</v>
      </c>
      <c r="F4297" s="5">
        <v>120000.0</v>
      </c>
      <c r="G4297" s="1" t="s">
        <v>7016</v>
      </c>
      <c r="H4297" s="1" t="s">
        <v>1027</v>
      </c>
      <c r="I4297" s="1" t="s">
        <v>96</v>
      </c>
      <c r="K4297" s="1">
        <v>0.0</v>
      </c>
      <c r="L4297" s="1" t="s">
        <v>2417</v>
      </c>
      <c r="M4297" s="1" t="str">
        <f>VLOOKUP(L4297,'Copy of PMD Workday Constants -'!B4296:W4982,22,false)</f>
        <v>#N/A</v>
      </c>
      <c r="N4297" s="1" t="s">
        <v>32</v>
      </c>
      <c r="O4297" s="1" t="s">
        <v>33</v>
      </c>
      <c r="P4297" s="1" t="s">
        <v>34</v>
      </c>
      <c r="Q4297" s="1" t="s">
        <v>34</v>
      </c>
      <c r="R4297" s="1" t="s">
        <v>35</v>
      </c>
      <c r="S4297" s="1" t="s">
        <v>1336</v>
      </c>
      <c r="T4297" s="1">
        <v>1.00642238E8</v>
      </c>
      <c r="W4297" s="1" t="s">
        <v>115</v>
      </c>
      <c r="X4297" s="1" t="s">
        <v>4392</v>
      </c>
    </row>
    <row r="4298">
      <c r="A4298" s="1" t="s">
        <v>12213</v>
      </c>
      <c r="B4298" s="1" t="s">
        <v>12214</v>
      </c>
      <c r="C4298" s="1" t="s">
        <v>12215</v>
      </c>
      <c r="D4298" s="1" t="s">
        <v>103</v>
      </c>
      <c r="E4298" s="1" t="s">
        <v>29</v>
      </c>
      <c r="F4298" s="5">
        <v>120000.0</v>
      </c>
      <c r="G4298" s="1" t="s">
        <v>7016</v>
      </c>
      <c r="H4298" s="1" t="s">
        <v>1650</v>
      </c>
      <c r="I4298" s="1" t="s">
        <v>191</v>
      </c>
      <c r="K4298" s="1">
        <v>0.0</v>
      </c>
      <c r="L4298" s="1" t="s">
        <v>12216</v>
      </c>
      <c r="M4298" s="1" t="str">
        <f>VLOOKUP(L4298,'Copy of PMD Workday Constants -'!B4297:W4983,22,false)</f>
        <v>#N/A</v>
      </c>
      <c r="N4298" s="1" t="s">
        <v>32</v>
      </c>
      <c r="O4298" s="1" t="s">
        <v>33</v>
      </c>
      <c r="P4298" s="1" t="s">
        <v>173</v>
      </c>
      <c r="Q4298" s="1" t="s">
        <v>173</v>
      </c>
      <c r="R4298" s="1" t="s">
        <v>174</v>
      </c>
      <c r="S4298" s="1" t="s">
        <v>12217</v>
      </c>
      <c r="T4298" s="1">
        <v>1.00904278E8</v>
      </c>
      <c r="W4298" s="1" t="s">
        <v>250</v>
      </c>
      <c r="X4298" s="1" t="s">
        <v>12218</v>
      </c>
    </row>
    <row r="4299">
      <c r="A4299" s="1" t="s">
        <v>12219</v>
      </c>
      <c r="B4299" s="1" t="s">
        <v>324</v>
      </c>
      <c r="C4299" s="1" t="s">
        <v>12220</v>
      </c>
      <c r="D4299" s="1" t="s">
        <v>51</v>
      </c>
      <c r="E4299" s="1" t="s">
        <v>29</v>
      </c>
      <c r="F4299" s="5">
        <v>120000.0</v>
      </c>
      <c r="G4299" s="1" t="s">
        <v>7016</v>
      </c>
      <c r="H4299" s="1" t="s">
        <v>592</v>
      </c>
      <c r="I4299" s="1" t="s">
        <v>131</v>
      </c>
      <c r="K4299" s="1">
        <v>0.0</v>
      </c>
      <c r="L4299" s="1" t="s">
        <v>3994</v>
      </c>
      <c r="M4299" s="1" t="str">
        <f>VLOOKUP(L4299,'Copy of PMD Workday Constants -'!B4298:W4984,22,false)</f>
        <v>#N/A</v>
      </c>
      <c r="N4299" s="1" t="s">
        <v>32</v>
      </c>
      <c r="O4299" s="1" t="s">
        <v>33</v>
      </c>
      <c r="P4299" s="1" t="s">
        <v>210</v>
      </c>
      <c r="Q4299" s="1" t="s">
        <v>210</v>
      </c>
      <c r="R4299" s="1" t="s">
        <v>211</v>
      </c>
      <c r="S4299" s="1" t="s">
        <v>1313</v>
      </c>
      <c r="T4299" s="1">
        <v>1.00646809E8</v>
      </c>
      <c r="W4299" s="1" t="s">
        <v>56</v>
      </c>
      <c r="X4299" s="1" t="s">
        <v>4746</v>
      </c>
    </row>
    <row r="4300">
      <c r="A4300" s="1" t="s">
        <v>12221</v>
      </c>
      <c r="B4300" s="1" t="s">
        <v>12222</v>
      </c>
      <c r="C4300" s="1" t="s">
        <v>12223</v>
      </c>
      <c r="D4300" s="1" t="s">
        <v>51</v>
      </c>
      <c r="E4300" s="1" t="s">
        <v>29</v>
      </c>
      <c r="F4300" s="5">
        <v>120000.0</v>
      </c>
      <c r="G4300" s="1" t="s">
        <v>7016</v>
      </c>
      <c r="H4300" s="1" t="s">
        <v>785</v>
      </c>
      <c r="I4300" s="1" t="s">
        <v>132</v>
      </c>
      <c r="K4300" s="1">
        <v>0.0</v>
      </c>
      <c r="L4300" s="1" t="s">
        <v>2310</v>
      </c>
      <c r="M4300" s="1" t="str">
        <f>VLOOKUP(L4300,'Copy of PMD Workday Constants -'!B4299:W4985,22,false)</f>
        <v>#N/A</v>
      </c>
      <c r="N4300" s="1" t="s">
        <v>32</v>
      </c>
      <c r="O4300" s="1" t="s">
        <v>33</v>
      </c>
      <c r="P4300" s="1" t="s">
        <v>82</v>
      </c>
      <c r="Q4300" s="1" t="s">
        <v>82</v>
      </c>
      <c r="R4300" s="1" t="s">
        <v>83</v>
      </c>
      <c r="S4300" s="1" t="s">
        <v>180</v>
      </c>
      <c r="T4300" s="1">
        <v>1.01078216E8</v>
      </c>
      <c r="W4300" s="1" t="s">
        <v>85</v>
      </c>
      <c r="X4300" s="1" t="s">
        <v>2310</v>
      </c>
    </row>
    <row r="4301">
      <c r="A4301" s="1" t="s">
        <v>12224</v>
      </c>
      <c r="B4301" s="1" t="s">
        <v>12225</v>
      </c>
      <c r="C4301" s="1" t="s">
        <v>12226</v>
      </c>
      <c r="D4301" s="1" t="s">
        <v>51</v>
      </c>
      <c r="E4301" s="1" t="s">
        <v>29</v>
      </c>
      <c r="F4301" s="5">
        <v>120000.0</v>
      </c>
      <c r="G4301" s="1" t="s">
        <v>7016</v>
      </c>
      <c r="H4301" s="4">
        <v>44531.0</v>
      </c>
      <c r="I4301" s="1" t="s">
        <v>80</v>
      </c>
      <c r="K4301" s="1">
        <v>0.0</v>
      </c>
      <c r="L4301" s="1" t="s">
        <v>2507</v>
      </c>
      <c r="M4301" s="1" t="str">
        <f>VLOOKUP(L4301,'Copy of PMD Workday Constants -'!B4300:W4986,22,false)</f>
        <v>#N/A</v>
      </c>
      <c r="N4301" s="1" t="s">
        <v>32</v>
      </c>
      <c r="O4301" s="1" t="s">
        <v>33</v>
      </c>
      <c r="P4301" s="1" t="s">
        <v>222</v>
      </c>
      <c r="Q4301" s="1" t="s">
        <v>222</v>
      </c>
      <c r="R4301" s="1" t="s">
        <v>223</v>
      </c>
      <c r="S4301" s="1" t="s">
        <v>482</v>
      </c>
      <c r="T4301" s="1">
        <v>1.00659458E8</v>
      </c>
      <c r="W4301" s="1" t="s">
        <v>391</v>
      </c>
      <c r="X4301" s="1" t="s">
        <v>10875</v>
      </c>
    </row>
    <row r="4302">
      <c r="A4302" s="1" t="s">
        <v>12227</v>
      </c>
      <c r="B4302" s="1" t="s">
        <v>1149</v>
      </c>
      <c r="C4302" s="1" t="s">
        <v>12228</v>
      </c>
      <c r="D4302" s="1" t="s">
        <v>28</v>
      </c>
      <c r="E4302" s="1" t="s">
        <v>29</v>
      </c>
      <c r="F4302" s="5">
        <v>115000.0</v>
      </c>
      <c r="G4302" s="1" t="s">
        <v>7016</v>
      </c>
      <c r="H4302" s="1" t="s">
        <v>920</v>
      </c>
      <c r="I4302" s="1" t="s">
        <v>406</v>
      </c>
      <c r="K4302" s="1">
        <v>0.0</v>
      </c>
      <c r="L4302" s="1" t="s">
        <v>11159</v>
      </c>
      <c r="M4302" s="1" t="str">
        <f>VLOOKUP(L4302,'Copy of PMD Workday Constants -'!B4301:W4987,22,false)</f>
        <v>#N/A</v>
      </c>
      <c r="N4302" s="1" t="s">
        <v>32</v>
      </c>
      <c r="O4302" s="1" t="s">
        <v>33</v>
      </c>
      <c r="P4302" s="1" t="s">
        <v>222</v>
      </c>
      <c r="Q4302" s="1" t="s">
        <v>222</v>
      </c>
      <c r="R4302" s="1" t="s">
        <v>223</v>
      </c>
      <c r="S4302" s="1" t="s">
        <v>601</v>
      </c>
      <c r="T4302" s="1">
        <v>1.00602248E8</v>
      </c>
      <c r="W4302" s="1" t="s">
        <v>115</v>
      </c>
      <c r="X4302" s="1" t="s">
        <v>12229</v>
      </c>
    </row>
    <row r="4303">
      <c r="A4303" s="1" t="s">
        <v>12230</v>
      </c>
      <c r="B4303" s="1" t="s">
        <v>324</v>
      </c>
      <c r="C4303" s="1" t="s">
        <v>12231</v>
      </c>
      <c r="D4303" s="1" t="s">
        <v>103</v>
      </c>
      <c r="E4303" s="1" t="s">
        <v>29</v>
      </c>
      <c r="F4303" s="5">
        <v>115000.0</v>
      </c>
      <c r="G4303" s="1" t="s">
        <v>7016</v>
      </c>
      <c r="H4303" s="1" t="s">
        <v>110</v>
      </c>
      <c r="I4303" s="1" t="s">
        <v>3052</v>
      </c>
      <c r="K4303" s="1">
        <v>0.0</v>
      </c>
      <c r="L4303" s="1" t="s">
        <v>1674</v>
      </c>
      <c r="M4303" s="1" t="str">
        <f>VLOOKUP(L4303,'Copy of PMD Workday Constants -'!B4302:W4988,22,false)</f>
        <v>#N/A</v>
      </c>
      <c r="N4303" s="1" t="s">
        <v>32</v>
      </c>
      <c r="O4303" s="1" t="s">
        <v>33</v>
      </c>
      <c r="P4303" s="1" t="s">
        <v>210</v>
      </c>
      <c r="Q4303" s="1" t="s">
        <v>210</v>
      </c>
      <c r="R4303" s="1" t="s">
        <v>211</v>
      </c>
      <c r="S4303" s="1" t="s">
        <v>212</v>
      </c>
      <c r="T4303" s="1">
        <v>1.00648421E8</v>
      </c>
      <c r="W4303" s="1" t="s">
        <v>56</v>
      </c>
      <c r="X4303" s="1" t="s">
        <v>1674</v>
      </c>
    </row>
    <row r="4304">
      <c r="A4304" s="1" t="s">
        <v>12232</v>
      </c>
      <c r="B4304" s="1" t="s">
        <v>2060</v>
      </c>
      <c r="C4304" s="1" t="s">
        <v>12233</v>
      </c>
      <c r="D4304" s="1" t="s">
        <v>103</v>
      </c>
      <c r="E4304" s="1" t="s">
        <v>29</v>
      </c>
      <c r="F4304" s="5">
        <v>115000.0</v>
      </c>
      <c r="G4304" s="1" t="s">
        <v>7016</v>
      </c>
      <c r="H4304" s="1" t="s">
        <v>1245</v>
      </c>
      <c r="I4304" s="4">
        <v>44749.0</v>
      </c>
      <c r="K4304" s="1">
        <v>0.0</v>
      </c>
      <c r="L4304" s="1" t="s">
        <v>2991</v>
      </c>
      <c r="M4304" s="1" t="str">
        <f>VLOOKUP(L4304,'Copy of PMD Workday Constants -'!B4303:W4989,22,false)</f>
        <v>#N/A</v>
      </c>
      <c r="N4304" s="1" t="s">
        <v>32</v>
      </c>
      <c r="O4304" s="1" t="s">
        <v>33</v>
      </c>
      <c r="P4304" s="1" t="s">
        <v>210</v>
      </c>
      <c r="Q4304" s="1" t="s">
        <v>210</v>
      </c>
      <c r="R4304" s="1" t="s">
        <v>211</v>
      </c>
      <c r="T4304" s="1">
        <v>1.00647935E8</v>
      </c>
      <c r="W4304" s="1" t="s">
        <v>258</v>
      </c>
      <c r="X4304" s="1" t="s">
        <v>2991</v>
      </c>
    </row>
    <row r="4305">
      <c r="A4305" s="1" t="s">
        <v>12234</v>
      </c>
      <c r="B4305" s="1" t="s">
        <v>2263</v>
      </c>
      <c r="C4305" s="1" t="s">
        <v>12235</v>
      </c>
      <c r="D4305" s="1" t="s">
        <v>51</v>
      </c>
      <c r="E4305" s="1" t="s">
        <v>29</v>
      </c>
      <c r="F4305" s="5">
        <v>114095.0</v>
      </c>
      <c r="G4305" s="1" t="s">
        <v>7016</v>
      </c>
      <c r="H4305" s="1" t="s">
        <v>587</v>
      </c>
      <c r="I4305" s="4">
        <v>44571.0</v>
      </c>
      <c r="K4305" s="1">
        <v>0.0</v>
      </c>
      <c r="L4305" s="1" t="s">
        <v>5257</v>
      </c>
      <c r="M4305" s="1" t="str">
        <f>VLOOKUP(L4305,'Copy of PMD Workday Constants -'!B4304:W4990,22,false)</f>
        <v>#N/A</v>
      </c>
      <c r="N4305" s="1" t="s">
        <v>32</v>
      </c>
      <c r="O4305" s="1" t="s">
        <v>33</v>
      </c>
      <c r="P4305" s="1" t="s">
        <v>210</v>
      </c>
      <c r="Q4305" s="1" t="s">
        <v>210</v>
      </c>
      <c r="R4305" s="1" t="s">
        <v>211</v>
      </c>
      <c r="S4305" s="1" t="s">
        <v>1313</v>
      </c>
      <c r="T4305" s="1">
        <v>1.00657831E8</v>
      </c>
      <c r="W4305" s="1" t="s">
        <v>577</v>
      </c>
      <c r="X4305" s="1" t="s">
        <v>7115</v>
      </c>
    </row>
    <row r="4306">
      <c r="A4306" s="1" t="s">
        <v>12236</v>
      </c>
      <c r="B4306" s="1" t="s">
        <v>2263</v>
      </c>
      <c r="C4306" s="1" t="s">
        <v>12237</v>
      </c>
      <c r="D4306" s="1" t="s">
        <v>51</v>
      </c>
      <c r="E4306" s="1" t="s">
        <v>29</v>
      </c>
      <c r="F4306" s="5">
        <v>114095.0</v>
      </c>
      <c r="G4306" s="1" t="s">
        <v>7016</v>
      </c>
      <c r="H4306" s="1" t="s">
        <v>587</v>
      </c>
      <c r="I4306" s="4">
        <v>44568.0</v>
      </c>
      <c r="K4306" s="1">
        <v>0.0</v>
      </c>
      <c r="L4306" s="1" t="s">
        <v>5257</v>
      </c>
      <c r="M4306" s="1" t="str">
        <f>VLOOKUP(L4306,'Copy of PMD Workday Constants -'!B4305:W4991,22,false)</f>
        <v>#N/A</v>
      </c>
      <c r="N4306" s="1" t="s">
        <v>32</v>
      </c>
      <c r="O4306" s="1" t="s">
        <v>33</v>
      </c>
      <c r="P4306" s="1" t="s">
        <v>210</v>
      </c>
      <c r="Q4306" s="1" t="s">
        <v>210</v>
      </c>
      <c r="R4306" s="1" t="s">
        <v>211</v>
      </c>
      <c r="S4306" s="1" t="s">
        <v>1313</v>
      </c>
      <c r="T4306" s="1">
        <v>1.00657831E8</v>
      </c>
      <c r="W4306" s="1" t="s">
        <v>577</v>
      </c>
      <c r="X4306" s="1" t="s">
        <v>7115</v>
      </c>
    </row>
    <row r="4307">
      <c r="A4307" s="1" t="s">
        <v>12238</v>
      </c>
      <c r="B4307" s="1" t="s">
        <v>12239</v>
      </c>
      <c r="C4307" s="1" t="s">
        <v>12240</v>
      </c>
      <c r="D4307" s="1" t="s">
        <v>28</v>
      </c>
      <c r="E4307" s="1" t="s">
        <v>29</v>
      </c>
      <c r="F4307" s="5">
        <v>112861.16</v>
      </c>
      <c r="G4307" s="1" t="s">
        <v>7016</v>
      </c>
      <c r="H4307" s="1" t="s">
        <v>816</v>
      </c>
      <c r="I4307" s="4">
        <v>44780.0</v>
      </c>
      <c r="K4307" s="1">
        <v>0.0</v>
      </c>
      <c r="L4307" s="1" t="s">
        <v>10538</v>
      </c>
      <c r="M4307" s="1" t="str">
        <f>VLOOKUP(L4307,'Copy of PMD Workday Constants -'!B4306:W4992,22,false)</f>
        <v>#N/A</v>
      </c>
      <c r="N4307" s="1" t="s">
        <v>32</v>
      </c>
      <c r="O4307" s="1" t="s">
        <v>33</v>
      </c>
      <c r="P4307" s="1" t="s">
        <v>5253</v>
      </c>
      <c r="Q4307" s="1" t="s">
        <v>5253</v>
      </c>
      <c r="R4307" s="1" t="s">
        <v>211</v>
      </c>
      <c r="T4307" s="1">
        <v>1.00614269E8</v>
      </c>
      <c r="W4307" s="1" t="s">
        <v>140</v>
      </c>
      <c r="X4307" s="1" t="s">
        <v>12241</v>
      </c>
    </row>
    <row r="4308">
      <c r="A4308" s="1" t="s">
        <v>12242</v>
      </c>
      <c r="B4308" s="1" t="s">
        <v>403</v>
      </c>
      <c r="C4308" s="1" t="s">
        <v>12243</v>
      </c>
      <c r="D4308" s="1" t="s">
        <v>103</v>
      </c>
      <c r="E4308" s="1" t="s">
        <v>29</v>
      </c>
      <c r="F4308" s="5">
        <v>110000.0</v>
      </c>
      <c r="G4308" s="1" t="s">
        <v>7016</v>
      </c>
      <c r="H4308" s="4">
        <v>44716.0</v>
      </c>
      <c r="I4308" s="1" t="s">
        <v>80</v>
      </c>
      <c r="K4308" s="1">
        <v>0.0</v>
      </c>
      <c r="L4308" s="1" t="s">
        <v>407</v>
      </c>
      <c r="M4308" s="1" t="str">
        <f>VLOOKUP(L4308,'Copy of PMD Workday Constants -'!B4307:W4993,22,false)</f>
        <v>#N/A</v>
      </c>
      <c r="N4308" s="1" t="s">
        <v>32</v>
      </c>
      <c r="O4308" s="1" t="s">
        <v>33</v>
      </c>
      <c r="P4308" s="1" t="s">
        <v>34</v>
      </c>
      <c r="Q4308" s="1" t="s">
        <v>34</v>
      </c>
      <c r="R4308" s="1" t="s">
        <v>35</v>
      </c>
      <c r="S4308" s="1" t="s">
        <v>36</v>
      </c>
      <c r="T4308" s="1">
        <v>1.0064407E8</v>
      </c>
      <c r="W4308" s="1" t="s">
        <v>37</v>
      </c>
      <c r="X4308" s="1" t="s">
        <v>9740</v>
      </c>
    </row>
    <row r="4309">
      <c r="A4309" s="1" t="s">
        <v>12244</v>
      </c>
      <c r="B4309" s="1" t="s">
        <v>12245</v>
      </c>
      <c r="C4309" s="1" t="s">
        <v>12246</v>
      </c>
      <c r="D4309" s="1" t="s">
        <v>28</v>
      </c>
      <c r="E4309" s="1" t="s">
        <v>29</v>
      </c>
      <c r="F4309" s="5">
        <v>110000.0</v>
      </c>
      <c r="G4309" s="1" t="s">
        <v>7016</v>
      </c>
      <c r="H4309" s="4">
        <v>44869.0</v>
      </c>
      <c r="I4309" s="1" t="s">
        <v>810</v>
      </c>
      <c r="K4309" s="1">
        <v>0.0</v>
      </c>
      <c r="L4309" s="1" t="s">
        <v>8928</v>
      </c>
      <c r="M4309" s="1" t="str">
        <f>VLOOKUP(L4309,'Copy of PMD Workday Constants -'!B4308:W4994,22,false)</f>
        <v>#N/A</v>
      </c>
      <c r="N4309" s="1" t="s">
        <v>32</v>
      </c>
      <c r="O4309" s="1" t="s">
        <v>33</v>
      </c>
      <c r="P4309" s="1" t="s">
        <v>222</v>
      </c>
      <c r="Q4309" s="1" t="s">
        <v>222</v>
      </c>
      <c r="R4309" s="1" t="s">
        <v>223</v>
      </c>
      <c r="S4309" s="1" t="s">
        <v>482</v>
      </c>
      <c r="T4309" s="1">
        <v>1.01000708E8</v>
      </c>
      <c r="W4309" s="1" t="s">
        <v>1801</v>
      </c>
      <c r="X4309" s="1" t="s">
        <v>12247</v>
      </c>
    </row>
    <row r="4310">
      <c r="A4310" s="1" t="s">
        <v>12248</v>
      </c>
      <c r="B4310" s="1" t="s">
        <v>12249</v>
      </c>
      <c r="C4310" s="1" t="s">
        <v>12250</v>
      </c>
      <c r="D4310" s="1" t="s">
        <v>103</v>
      </c>
      <c r="E4310" s="1" t="s">
        <v>29</v>
      </c>
      <c r="F4310" s="5">
        <v>110000.0</v>
      </c>
      <c r="G4310" s="1" t="s">
        <v>7016</v>
      </c>
      <c r="H4310" s="4">
        <v>44871.0</v>
      </c>
      <c r="I4310" s="4">
        <v>44568.0</v>
      </c>
      <c r="K4310" s="1">
        <v>0.0</v>
      </c>
      <c r="L4310" s="1" t="s">
        <v>1916</v>
      </c>
      <c r="M4310" s="1" t="str">
        <f>VLOOKUP(L4310,'Copy of PMD Workday Constants -'!B4309:W4995,22,false)</f>
        <v>#N/A</v>
      </c>
      <c r="N4310" s="1" t="s">
        <v>32</v>
      </c>
      <c r="O4310" s="1" t="s">
        <v>33</v>
      </c>
      <c r="P4310" s="1" t="s">
        <v>222</v>
      </c>
      <c r="Q4310" s="1" t="s">
        <v>222</v>
      </c>
      <c r="R4310" s="1" t="s">
        <v>223</v>
      </c>
      <c r="S4310" s="1" t="s">
        <v>601</v>
      </c>
      <c r="T4310" s="1">
        <v>1.00955805E8</v>
      </c>
      <c r="W4310" s="1" t="s">
        <v>436</v>
      </c>
      <c r="X4310" s="1" t="s">
        <v>9768</v>
      </c>
    </row>
    <row r="4311">
      <c r="A4311" s="1" t="s">
        <v>12251</v>
      </c>
      <c r="B4311" s="1" t="s">
        <v>776</v>
      </c>
      <c r="C4311" s="1" t="s">
        <v>12252</v>
      </c>
      <c r="D4311" s="1" t="s">
        <v>103</v>
      </c>
      <c r="E4311" s="1" t="s">
        <v>29</v>
      </c>
      <c r="F4311" s="5">
        <v>110000.0</v>
      </c>
      <c r="G4311" s="1" t="s">
        <v>7016</v>
      </c>
      <c r="H4311" s="1" t="s">
        <v>1708</v>
      </c>
      <c r="I4311" s="1" t="s">
        <v>80</v>
      </c>
      <c r="K4311" s="1">
        <v>0.0</v>
      </c>
      <c r="L4311" s="1" t="s">
        <v>779</v>
      </c>
      <c r="M4311" s="1" t="str">
        <f>VLOOKUP(L4311,'Copy of PMD Workday Constants -'!B4310:W4996,22,false)</f>
        <v>#N/A</v>
      </c>
      <c r="N4311" s="1" t="s">
        <v>32</v>
      </c>
      <c r="O4311" s="1" t="s">
        <v>33</v>
      </c>
      <c r="P4311" s="1" t="s">
        <v>222</v>
      </c>
      <c r="Q4311" s="1" t="s">
        <v>222</v>
      </c>
      <c r="R4311" s="1" t="s">
        <v>223</v>
      </c>
      <c r="S4311" s="1" t="s">
        <v>701</v>
      </c>
      <c r="T4311" s="1">
        <v>1.0061139E8</v>
      </c>
      <c r="W4311" s="1" t="s">
        <v>74</v>
      </c>
      <c r="X4311" s="1" t="s">
        <v>12253</v>
      </c>
    </row>
    <row r="4312">
      <c r="A4312" s="1" t="s">
        <v>12254</v>
      </c>
      <c r="B4312" s="1" t="s">
        <v>776</v>
      </c>
      <c r="C4312" s="1" t="s">
        <v>12255</v>
      </c>
      <c r="D4312" s="1" t="s">
        <v>51</v>
      </c>
      <c r="E4312" s="1" t="s">
        <v>29</v>
      </c>
      <c r="F4312" s="5">
        <v>108000.0</v>
      </c>
      <c r="G4312" s="1" t="s">
        <v>7016</v>
      </c>
      <c r="H4312" s="1" t="s">
        <v>1553</v>
      </c>
      <c r="I4312" s="1" t="s">
        <v>80</v>
      </c>
      <c r="K4312" s="1">
        <v>0.0</v>
      </c>
      <c r="L4312" s="1" t="s">
        <v>779</v>
      </c>
      <c r="M4312" s="1" t="str">
        <f>VLOOKUP(L4312,'Copy of PMD Workday Constants -'!B4311:W4997,22,false)</f>
        <v>#N/A</v>
      </c>
      <c r="N4312" s="1" t="s">
        <v>32</v>
      </c>
      <c r="O4312" s="1" t="s">
        <v>33</v>
      </c>
      <c r="P4312" s="1" t="s">
        <v>222</v>
      </c>
      <c r="Q4312" s="1" t="s">
        <v>222</v>
      </c>
      <c r="R4312" s="1" t="s">
        <v>223</v>
      </c>
      <c r="S4312" s="1" t="s">
        <v>601</v>
      </c>
      <c r="T4312" s="1">
        <v>1.0061139E8</v>
      </c>
      <c r="W4312" s="1" t="s">
        <v>74</v>
      </c>
      <c r="X4312" s="1" t="s">
        <v>4184</v>
      </c>
    </row>
    <row r="4313">
      <c r="A4313" s="1" t="s">
        <v>12256</v>
      </c>
      <c r="B4313" s="1" t="s">
        <v>12257</v>
      </c>
      <c r="C4313" s="1" t="s">
        <v>12258</v>
      </c>
      <c r="D4313" s="1" t="s">
        <v>51</v>
      </c>
      <c r="E4313" s="1" t="s">
        <v>29</v>
      </c>
      <c r="F4313" s="5">
        <v>107000.0</v>
      </c>
      <c r="G4313" s="1" t="s">
        <v>7016</v>
      </c>
      <c r="H4313" s="1" t="s">
        <v>11179</v>
      </c>
      <c r="I4313" s="1" t="s">
        <v>43</v>
      </c>
      <c r="K4313" s="1">
        <v>0.0</v>
      </c>
      <c r="L4313" s="1" t="s">
        <v>2602</v>
      </c>
      <c r="M4313" s="1" t="str">
        <f>VLOOKUP(L4313,'Copy of PMD Workday Constants -'!B4312:W4998,22,false)</f>
        <v>#N/A</v>
      </c>
      <c r="N4313" s="1" t="s">
        <v>32</v>
      </c>
      <c r="O4313" s="1" t="s">
        <v>33</v>
      </c>
      <c r="P4313" s="1" t="s">
        <v>173</v>
      </c>
      <c r="Q4313" s="1" t="s">
        <v>173</v>
      </c>
      <c r="R4313" s="1" t="s">
        <v>174</v>
      </c>
      <c r="S4313" s="1" t="s">
        <v>8242</v>
      </c>
      <c r="T4313" s="1">
        <v>1.00611351E8</v>
      </c>
      <c r="W4313" s="1" t="s">
        <v>1801</v>
      </c>
      <c r="X4313" s="1" t="s">
        <v>2914</v>
      </c>
    </row>
    <row r="4314">
      <c r="A4314" s="1" t="s">
        <v>12259</v>
      </c>
      <c r="B4314" s="1" t="s">
        <v>6529</v>
      </c>
      <c r="C4314" s="1" t="s">
        <v>12260</v>
      </c>
      <c r="D4314" s="1" t="s">
        <v>103</v>
      </c>
      <c r="E4314" s="1" t="s">
        <v>29</v>
      </c>
      <c r="F4314" s="5">
        <v>105000.0</v>
      </c>
      <c r="G4314" s="1" t="s">
        <v>7016</v>
      </c>
      <c r="H4314" s="4">
        <v>44807.0</v>
      </c>
      <c r="I4314" s="4">
        <v>44840.0</v>
      </c>
      <c r="K4314" s="1">
        <v>0.0</v>
      </c>
      <c r="L4314" s="1" t="s">
        <v>1587</v>
      </c>
      <c r="M4314" s="1" t="str">
        <f>VLOOKUP(L4314,'Copy of PMD Workday Constants -'!B4313:W4999,22,false)</f>
        <v>#N/A</v>
      </c>
      <c r="N4314" s="1" t="s">
        <v>32</v>
      </c>
      <c r="O4314" s="1" t="s">
        <v>33</v>
      </c>
      <c r="P4314" s="1" t="s">
        <v>64</v>
      </c>
      <c r="Q4314" s="1" t="s">
        <v>64</v>
      </c>
      <c r="R4314" s="1" t="s">
        <v>65</v>
      </c>
      <c r="S4314" s="1" t="s">
        <v>1336</v>
      </c>
      <c r="T4314" s="1">
        <v>1.01141441E8</v>
      </c>
      <c r="W4314" s="1" t="s">
        <v>91</v>
      </c>
      <c r="X4314" s="1" t="s">
        <v>1587</v>
      </c>
    </row>
    <row r="4315">
      <c r="A4315" s="1" t="s">
        <v>12261</v>
      </c>
      <c r="B4315" s="1" t="s">
        <v>776</v>
      </c>
      <c r="C4315" s="1" t="s">
        <v>12262</v>
      </c>
      <c r="D4315" s="1" t="s">
        <v>79</v>
      </c>
      <c r="E4315" s="1" t="s">
        <v>29</v>
      </c>
      <c r="F4315" s="5">
        <v>105000.0</v>
      </c>
      <c r="G4315" s="1" t="s">
        <v>7016</v>
      </c>
      <c r="H4315" s="1" t="s">
        <v>1708</v>
      </c>
      <c r="I4315" s="1" t="s">
        <v>526</v>
      </c>
      <c r="J4315" s="1" t="s">
        <v>12263</v>
      </c>
      <c r="K4315" s="1">
        <v>0.0</v>
      </c>
      <c r="L4315" s="1" t="s">
        <v>779</v>
      </c>
      <c r="M4315" s="1" t="str">
        <f>VLOOKUP(L4315,'Copy of PMD Workday Constants -'!B4314:W5000,22,false)</f>
        <v>#N/A</v>
      </c>
      <c r="N4315" s="1" t="s">
        <v>32</v>
      </c>
      <c r="O4315" s="1" t="s">
        <v>33</v>
      </c>
      <c r="P4315" s="1" t="s">
        <v>222</v>
      </c>
      <c r="Q4315" s="1" t="s">
        <v>222</v>
      </c>
      <c r="R4315" s="1" t="s">
        <v>223</v>
      </c>
      <c r="S4315" s="1" t="s">
        <v>601</v>
      </c>
      <c r="T4315" s="1">
        <v>1.0061139E8</v>
      </c>
      <c r="W4315" s="1" t="s">
        <v>74</v>
      </c>
      <c r="X4315" s="1" t="s">
        <v>12264</v>
      </c>
    </row>
    <row r="4316">
      <c r="A4316" s="1" t="s">
        <v>12265</v>
      </c>
      <c r="B4316" s="1" t="s">
        <v>143</v>
      </c>
      <c r="C4316" s="1" t="s">
        <v>12266</v>
      </c>
      <c r="D4316" s="1" t="s">
        <v>51</v>
      </c>
      <c r="E4316" s="1" t="s">
        <v>29</v>
      </c>
      <c r="F4316" s="5">
        <v>105000.0</v>
      </c>
      <c r="G4316" s="1" t="s">
        <v>7016</v>
      </c>
      <c r="H4316" s="1" t="s">
        <v>1785</v>
      </c>
      <c r="I4316" s="4">
        <v>44626.0</v>
      </c>
      <c r="K4316" s="1">
        <v>0.0</v>
      </c>
      <c r="L4316" s="1" t="s">
        <v>146</v>
      </c>
      <c r="M4316" s="1" t="str">
        <f>VLOOKUP(L4316,'Copy of PMD Workday Constants -'!B4315:W5001,22,false)</f>
        <v>#N/A</v>
      </c>
      <c r="N4316" s="1" t="s">
        <v>32</v>
      </c>
      <c r="O4316" s="1" t="s">
        <v>33</v>
      </c>
      <c r="P4316" s="1" t="s">
        <v>64</v>
      </c>
      <c r="Q4316" s="1" t="s">
        <v>64</v>
      </c>
      <c r="R4316" s="1" t="s">
        <v>65</v>
      </c>
      <c r="T4316" s="1">
        <v>1.00651441E8</v>
      </c>
      <c r="W4316" s="1" t="s">
        <v>147</v>
      </c>
      <c r="X4316" s="1" t="s">
        <v>12267</v>
      </c>
    </row>
    <row r="4317">
      <c r="A4317" s="1" t="s">
        <v>12268</v>
      </c>
      <c r="B4317" s="1" t="s">
        <v>772</v>
      </c>
      <c r="C4317" s="1" t="s">
        <v>12269</v>
      </c>
      <c r="D4317" s="1" t="s">
        <v>51</v>
      </c>
      <c r="E4317" s="1" t="s">
        <v>29</v>
      </c>
      <c r="F4317" s="5">
        <v>105000.0</v>
      </c>
      <c r="G4317" s="1" t="s">
        <v>7016</v>
      </c>
      <c r="H4317" s="1" t="s">
        <v>110</v>
      </c>
      <c r="I4317" s="1" t="s">
        <v>732</v>
      </c>
      <c r="K4317" s="1">
        <v>0.0</v>
      </c>
      <c r="L4317" s="1" t="s">
        <v>1324</v>
      </c>
      <c r="M4317" s="1" t="str">
        <f>VLOOKUP(L4317,'Copy of PMD Workday Constants -'!B4316:W5002,22,false)</f>
        <v>#N/A</v>
      </c>
      <c r="N4317" s="1" t="s">
        <v>32</v>
      </c>
      <c r="O4317" s="1" t="s">
        <v>33</v>
      </c>
      <c r="P4317" s="1" t="s">
        <v>34</v>
      </c>
      <c r="Q4317" s="1" t="s">
        <v>34</v>
      </c>
      <c r="R4317" s="1" t="s">
        <v>35</v>
      </c>
      <c r="S4317" s="1" t="s">
        <v>36</v>
      </c>
      <c r="T4317" s="1">
        <v>1.00613915E8</v>
      </c>
      <c r="W4317" s="1" t="s">
        <v>37</v>
      </c>
      <c r="X4317" s="1" t="s">
        <v>1324</v>
      </c>
    </row>
    <row r="4318">
      <c r="A4318" s="1" t="s">
        <v>12270</v>
      </c>
      <c r="B4318" s="1" t="s">
        <v>12271</v>
      </c>
      <c r="C4318" s="1" t="s">
        <v>12272</v>
      </c>
      <c r="D4318" s="1" t="s">
        <v>103</v>
      </c>
      <c r="E4318" s="1" t="s">
        <v>29</v>
      </c>
      <c r="F4318" s="5">
        <v>105000.0</v>
      </c>
      <c r="G4318" s="1" t="s">
        <v>7016</v>
      </c>
      <c r="H4318" s="1" t="s">
        <v>3513</v>
      </c>
      <c r="I4318" s="1" t="s">
        <v>96</v>
      </c>
      <c r="K4318" s="1">
        <v>0.0</v>
      </c>
      <c r="L4318" s="1" t="s">
        <v>10653</v>
      </c>
      <c r="M4318" s="1" t="str">
        <f>VLOOKUP(L4318,'Copy of PMD Workday Constants -'!B4317:W5003,22,false)</f>
        <v>#N/A</v>
      </c>
      <c r="N4318" s="1" t="s">
        <v>32</v>
      </c>
      <c r="O4318" s="1" t="s">
        <v>33</v>
      </c>
      <c r="P4318" s="1" t="s">
        <v>222</v>
      </c>
      <c r="Q4318" s="1" t="s">
        <v>222</v>
      </c>
      <c r="R4318" s="1" t="s">
        <v>223</v>
      </c>
      <c r="S4318" s="1" t="s">
        <v>482</v>
      </c>
      <c r="T4318" s="1">
        <v>1.01154609E8</v>
      </c>
      <c r="W4318" s="1" t="s">
        <v>436</v>
      </c>
      <c r="X4318" s="1" t="s">
        <v>10653</v>
      </c>
    </row>
    <row r="4319">
      <c r="A4319" s="1" t="s">
        <v>12273</v>
      </c>
      <c r="B4319" s="1" t="s">
        <v>1118</v>
      </c>
      <c r="C4319" s="1" t="s">
        <v>12274</v>
      </c>
      <c r="D4319" s="1" t="s">
        <v>103</v>
      </c>
      <c r="E4319" s="1" t="s">
        <v>29</v>
      </c>
      <c r="F4319" s="5">
        <v>105000.0</v>
      </c>
      <c r="G4319" s="1" t="s">
        <v>7016</v>
      </c>
      <c r="H4319" s="1" t="s">
        <v>12275</v>
      </c>
      <c r="I4319" s="1" t="s">
        <v>80</v>
      </c>
      <c r="K4319" s="1">
        <v>0.0</v>
      </c>
      <c r="L4319" s="1" t="s">
        <v>3137</v>
      </c>
      <c r="M4319" s="1" t="str">
        <f>VLOOKUP(L4319,'Copy of PMD Workday Constants -'!B4318:W5004,22,false)</f>
        <v>#N/A</v>
      </c>
      <c r="N4319" s="1" t="s">
        <v>32</v>
      </c>
      <c r="O4319" s="1" t="s">
        <v>33</v>
      </c>
      <c r="P4319" s="1" t="s">
        <v>82</v>
      </c>
      <c r="Q4319" s="1" t="s">
        <v>82</v>
      </c>
      <c r="R4319" s="1" t="s">
        <v>83</v>
      </c>
      <c r="S4319" s="1" t="s">
        <v>180</v>
      </c>
      <c r="T4319" s="1">
        <v>1.00586452E8</v>
      </c>
      <c r="W4319" s="1" t="s">
        <v>85</v>
      </c>
      <c r="X4319" s="1" t="s">
        <v>12276</v>
      </c>
    </row>
    <row r="4320">
      <c r="A4320" s="1" t="s">
        <v>12277</v>
      </c>
      <c r="B4320" s="1" t="s">
        <v>12278</v>
      </c>
      <c r="C4320" s="1" t="s">
        <v>12279</v>
      </c>
      <c r="D4320" s="1" t="s">
        <v>28</v>
      </c>
      <c r="E4320" s="1" t="s">
        <v>29</v>
      </c>
      <c r="F4320" s="5">
        <v>103000.0</v>
      </c>
      <c r="G4320" s="1" t="s">
        <v>7016</v>
      </c>
      <c r="H4320" s="1" t="s">
        <v>11179</v>
      </c>
      <c r="I4320" s="1" t="s">
        <v>104</v>
      </c>
      <c r="K4320" s="1">
        <v>0.0</v>
      </c>
      <c r="L4320" s="1" t="s">
        <v>2602</v>
      </c>
      <c r="M4320" s="1" t="str">
        <f>VLOOKUP(L4320,'Copy of PMD Workday Constants -'!B4319:W5005,22,false)</f>
        <v>#N/A</v>
      </c>
      <c r="N4320" s="1" t="s">
        <v>32</v>
      </c>
      <c r="O4320" s="1" t="s">
        <v>33</v>
      </c>
      <c r="P4320" s="1" t="s">
        <v>173</v>
      </c>
      <c r="Q4320" s="1" t="s">
        <v>173</v>
      </c>
      <c r="R4320" s="1" t="s">
        <v>174</v>
      </c>
      <c r="S4320" s="1" t="s">
        <v>4915</v>
      </c>
      <c r="T4320" s="1">
        <v>1.00611351E8</v>
      </c>
      <c r="W4320" s="1" t="s">
        <v>1303</v>
      </c>
      <c r="X4320" s="1" t="s">
        <v>2914</v>
      </c>
    </row>
    <row r="4321">
      <c r="A4321" s="1" t="s">
        <v>12280</v>
      </c>
      <c r="B4321" s="1" t="s">
        <v>12281</v>
      </c>
      <c r="C4321" s="1" t="s">
        <v>12282</v>
      </c>
      <c r="D4321" s="1" t="s">
        <v>51</v>
      </c>
      <c r="E4321" s="1" t="s">
        <v>29</v>
      </c>
      <c r="F4321" s="5">
        <v>102000.0</v>
      </c>
      <c r="G4321" s="1" t="s">
        <v>7016</v>
      </c>
      <c r="H4321" s="1" t="s">
        <v>5914</v>
      </c>
      <c r="I4321" s="1" t="s">
        <v>104</v>
      </c>
      <c r="K4321" s="1">
        <v>0.0</v>
      </c>
      <c r="L4321" s="1" t="s">
        <v>2602</v>
      </c>
      <c r="M4321" s="1" t="str">
        <f>VLOOKUP(L4321,'Copy of PMD Workday Constants -'!B4320:W5006,22,false)</f>
        <v>#N/A</v>
      </c>
      <c r="N4321" s="1" t="s">
        <v>32</v>
      </c>
      <c r="O4321" s="1" t="s">
        <v>33</v>
      </c>
      <c r="P4321" s="1" t="s">
        <v>173</v>
      </c>
      <c r="Q4321" s="1" t="s">
        <v>173</v>
      </c>
      <c r="R4321" s="1" t="s">
        <v>174</v>
      </c>
      <c r="S4321" s="1" t="s">
        <v>8242</v>
      </c>
      <c r="T4321" s="1">
        <v>1.00611351E8</v>
      </c>
      <c r="W4321" s="1" t="s">
        <v>436</v>
      </c>
      <c r="X4321" s="1" t="s">
        <v>2914</v>
      </c>
    </row>
    <row r="4322">
      <c r="A4322" s="1" t="s">
        <v>12283</v>
      </c>
      <c r="B4322" s="1" t="s">
        <v>12284</v>
      </c>
      <c r="C4322" s="1" t="s">
        <v>12285</v>
      </c>
      <c r="D4322" s="1" t="s">
        <v>103</v>
      </c>
      <c r="E4322" s="1" t="s">
        <v>29</v>
      </c>
      <c r="F4322" s="5">
        <v>102000.0</v>
      </c>
      <c r="G4322" s="1" t="s">
        <v>7016</v>
      </c>
      <c r="H4322" s="4">
        <v>44420.0</v>
      </c>
      <c r="I4322" s="1" t="s">
        <v>661</v>
      </c>
      <c r="K4322" s="1">
        <v>0.0</v>
      </c>
      <c r="L4322" s="1" t="s">
        <v>8174</v>
      </c>
      <c r="M4322" s="1" t="str">
        <f>VLOOKUP(L4322,'Copy of PMD Workday Constants -'!B4321:W5007,22,false)</f>
        <v>#N/A</v>
      </c>
      <c r="N4322" s="1" t="s">
        <v>32</v>
      </c>
      <c r="O4322" s="1" t="s">
        <v>33</v>
      </c>
      <c r="P4322" s="1" t="s">
        <v>82</v>
      </c>
      <c r="Q4322" s="1" t="s">
        <v>82</v>
      </c>
      <c r="R4322" s="1" t="s">
        <v>83</v>
      </c>
      <c r="S4322" s="1" t="s">
        <v>180</v>
      </c>
      <c r="T4322" s="1">
        <v>1.00609615E8</v>
      </c>
      <c r="W4322" s="1" t="s">
        <v>85</v>
      </c>
      <c r="X4322" s="1" t="s">
        <v>5126</v>
      </c>
    </row>
    <row r="4323">
      <c r="A4323" s="1" t="s">
        <v>12286</v>
      </c>
      <c r="B4323" s="1" t="s">
        <v>12287</v>
      </c>
      <c r="C4323" s="1" t="s">
        <v>12288</v>
      </c>
      <c r="D4323" s="1" t="s">
        <v>28</v>
      </c>
      <c r="E4323" s="1" t="s">
        <v>29</v>
      </c>
      <c r="F4323" s="5">
        <v>100321.03</v>
      </c>
      <c r="G4323" s="1" t="s">
        <v>7016</v>
      </c>
      <c r="H4323" s="4">
        <v>43962.0</v>
      </c>
      <c r="I4323" s="1" t="s">
        <v>191</v>
      </c>
      <c r="K4323" s="1">
        <v>0.0</v>
      </c>
      <c r="L4323" s="1" t="s">
        <v>7637</v>
      </c>
      <c r="M4323" s="1" t="str">
        <f>VLOOKUP(L4323,'Copy of PMD Workday Constants -'!B4322:W5008,22,false)</f>
        <v>#N/A</v>
      </c>
      <c r="N4323" s="1" t="s">
        <v>32</v>
      </c>
      <c r="O4323" s="1" t="s">
        <v>33</v>
      </c>
      <c r="P4323" s="1" t="s">
        <v>5253</v>
      </c>
      <c r="Q4323" s="1" t="s">
        <v>5253</v>
      </c>
      <c r="R4323" s="1" t="s">
        <v>35</v>
      </c>
      <c r="S4323" s="1" t="s">
        <v>114</v>
      </c>
      <c r="T4323" s="1">
        <v>1.00613849E8</v>
      </c>
      <c r="W4323" s="1" t="s">
        <v>147</v>
      </c>
      <c r="X4323" s="1" t="s">
        <v>7637</v>
      </c>
    </row>
    <row r="4324">
      <c r="A4324" s="1" t="s">
        <v>12289</v>
      </c>
      <c r="B4324" s="1" t="s">
        <v>913</v>
      </c>
      <c r="C4324" s="1" t="s">
        <v>12290</v>
      </c>
      <c r="D4324" s="1" t="s">
        <v>28</v>
      </c>
      <c r="E4324" s="1" t="s">
        <v>29</v>
      </c>
      <c r="F4324" s="5">
        <v>100000.0</v>
      </c>
      <c r="G4324" s="1" t="s">
        <v>7016</v>
      </c>
      <c r="H4324" s="4">
        <v>44808.0</v>
      </c>
      <c r="I4324" s="4">
        <v>44604.0</v>
      </c>
      <c r="K4324" s="1">
        <v>0.0</v>
      </c>
      <c r="L4324" s="1" t="s">
        <v>192</v>
      </c>
      <c r="M4324" s="1" t="str">
        <f>VLOOKUP(L4324,'Copy of PMD Workday Constants -'!B4323:W5009,22,false)</f>
        <v>#N/A</v>
      </c>
      <c r="N4324" s="1" t="s">
        <v>32</v>
      </c>
      <c r="O4324" s="1" t="s">
        <v>33</v>
      </c>
      <c r="P4324" s="1" t="s">
        <v>82</v>
      </c>
      <c r="Q4324" s="1" t="s">
        <v>82</v>
      </c>
      <c r="R4324" s="1" t="s">
        <v>83</v>
      </c>
      <c r="S4324" s="1" t="s">
        <v>84</v>
      </c>
      <c r="T4324" s="1">
        <v>1.00650575E8</v>
      </c>
      <c r="W4324" s="1" t="s">
        <v>85</v>
      </c>
      <c r="X4324" s="1" t="s">
        <v>916</v>
      </c>
    </row>
    <row r="4325">
      <c r="A4325" s="1" t="s">
        <v>12291</v>
      </c>
      <c r="B4325" s="1" t="s">
        <v>3646</v>
      </c>
      <c r="C4325" s="1" t="s">
        <v>12292</v>
      </c>
      <c r="D4325" s="1" t="s">
        <v>28</v>
      </c>
      <c r="E4325" s="1" t="s">
        <v>29</v>
      </c>
      <c r="F4325" s="5">
        <v>100000.0</v>
      </c>
      <c r="G4325" s="1" t="s">
        <v>7016</v>
      </c>
      <c r="H4325" s="1" t="s">
        <v>4650</v>
      </c>
      <c r="I4325" s="1" t="s">
        <v>132</v>
      </c>
      <c r="K4325" s="1">
        <v>0.0</v>
      </c>
      <c r="L4325" s="1" t="s">
        <v>1902</v>
      </c>
      <c r="M4325" s="1" t="str">
        <f>VLOOKUP(L4325,'Copy of PMD Workday Constants -'!B4324:W5010,22,false)</f>
        <v>#N/A</v>
      </c>
      <c r="N4325" s="1" t="s">
        <v>32</v>
      </c>
      <c r="O4325" s="1" t="s">
        <v>33</v>
      </c>
      <c r="P4325" s="1" t="s">
        <v>173</v>
      </c>
      <c r="Q4325" s="1" t="s">
        <v>173</v>
      </c>
      <c r="R4325" s="1" t="s">
        <v>174</v>
      </c>
      <c r="S4325" s="1" t="s">
        <v>1336</v>
      </c>
      <c r="T4325" s="1">
        <v>1.00956516E8</v>
      </c>
      <c r="W4325" s="1" t="s">
        <v>258</v>
      </c>
      <c r="X4325" s="1" t="s">
        <v>2847</v>
      </c>
    </row>
    <row r="4326">
      <c r="A4326" s="1" t="s">
        <v>12293</v>
      </c>
      <c r="B4326" s="1" t="s">
        <v>1882</v>
      </c>
      <c r="C4326" s="1" t="s">
        <v>12294</v>
      </c>
      <c r="D4326" s="1" t="s">
        <v>28</v>
      </c>
      <c r="E4326" s="1" t="s">
        <v>29</v>
      </c>
      <c r="F4326" s="5">
        <v>100000.0</v>
      </c>
      <c r="G4326" s="1" t="s">
        <v>7016</v>
      </c>
      <c r="H4326" s="4">
        <v>44327.0</v>
      </c>
      <c r="I4326" s="1" t="s">
        <v>80</v>
      </c>
      <c r="K4326" s="1">
        <v>0.0</v>
      </c>
      <c r="L4326" s="1" t="s">
        <v>825</v>
      </c>
      <c r="M4326" s="1" t="str">
        <f>VLOOKUP(L4326,'Copy of PMD Workday Constants -'!B4325:W5011,22,false)</f>
        <v>#N/A</v>
      </c>
      <c r="N4326" s="1" t="s">
        <v>32</v>
      </c>
      <c r="O4326" s="1" t="s">
        <v>33</v>
      </c>
      <c r="P4326" s="1" t="s">
        <v>112</v>
      </c>
      <c r="Q4326" s="1" t="s">
        <v>112</v>
      </c>
      <c r="R4326" s="1" t="s">
        <v>113</v>
      </c>
      <c r="S4326" s="1" t="s">
        <v>307</v>
      </c>
      <c r="T4326" s="1">
        <v>1.00621664E8</v>
      </c>
      <c r="W4326" s="1" t="s">
        <v>47</v>
      </c>
      <c r="X4326" s="1" t="s">
        <v>6482</v>
      </c>
    </row>
    <row r="4327">
      <c r="A4327" s="1" t="s">
        <v>12295</v>
      </c>
      <c r="B4327" s="1" t="s">
        <v>4162</v>
      </c>
      <c r="C4327" s="1" t="s">
        <v>12296</v>
      </c>
      <c r="D4327" s="1" t="s">
        <v>103</v>
      </c>
      <c r="E4327" s="1" t="s">
        <v>29</v>
      </c>
      <c r="F4327" s="5">
        <v>100000.0</v>
      </c>
      <c r="G4327" s="1" t="s">
        <v>7016</v>
      </c>
      <c r="H4327" s="4">
        <v>44414.0</v>
      </c>
      <c r="I4327" s="4">
        <v>44567.0</v>
      </c>
      <c r="K4327" s="1">
        <v>0.0</v>
      </c>
      <c r="L4327" s="1" t="s">
        <v>6578</v>
      </c>
      <c r="M4327" s="1" t="str">
        <f>VLOOKUP(L4327,'Copy of PMD Workday Constants -'!B4326:W5012,22,false)</f>
        <v>#N/A</v>
      </c>
      <c r="N4327" s="1" t="s">
        <v>32</v>
      </c>
      <c r="O4327" s="1" t="s">
        <v>33</v>
      </c>
      <c r="P4327" s="1" t="s">
        <v>222</v>
      </c>
      <c r="Q4327" s="1" t="s">
        <v>222</v>
      </c>
      <c r="R4327" s="1" t="s">
        <v>223</v>
      </c>
      <c r="S4327" s="1" t="s">
        <v>482</v>
      </c>
      <c r="T4327" s="1">
        <v>1.00597339E8</v>
      </c>
      <c r="W4327" s="1" t="s">
        <v>308</v>
      </c>
      <c r="X4327" s="1" t="s">
        <v>6578</v>
      </c>
    </row>
    <row r="4328">
      <c r="A4328" s="1" t="s">
        <v>12297</v>
      </c>
      <c r="B4328" s="1" t="s">
        <v>12298</v>
      </c>
      <c r="C4328" s="1" t="s">
        <v>12299</v>
      </c>
      <c r="D4328" s="1" t="s">
        <v>103</v>
      </c>
      <c r="E4328" s="1" t="s">
        <v>29</v>
      </c>
      <c r="F4328" s="5">
        <v>100000.0</v>
      </c>
      <c r="G4328" s="1" t="s">
        <v>7016</v>
      </c>
      <c r="H4328" s="1" t="s">
        <v>278</v>
      </c>
      <c r="I4328" s="1" t="s">
        <v>80</v>
      </c>
      <c r="K4328" s="1">
        <v>0.0</v>
      </c>
      <c r="L4328" s="1" t="s">
        <v>4679</v>
      </c>
      <c r="M4328" s="1" t="str">
        <f>VLOOKUP(L4328,'Copy of PMD Workday Constants -'!B4327:W5013,22,false)</f>
        <v>#N/A</v>
      </c>
      <c r="N4328" s="1" t="s">
        <v>32</v>
      </c>
      <c r="O4328" s="1" t="s">
        <v>33</v>
      </c>
      <c r="P4328" s="1" t="s">
        <v>222</v>
      </c>
      <c r="Q4328" s="1" t="s">
        <v>222</v>
      </c>
      <c r="R4328" s="1" t="s">
        <v>223</v>
      </c>
      <c r="S4328" s="1" t="s">
        <v>482</v>
      </c>
      <c r="T4328" s="1">
        <v>1.00620023E8</v>
      </c>
      <c r="W4328" s="1" t="s">
        <v>115</v>
      </c>
      <c r="X4328" s="1" t="s">
        <v>12300</v>
      </c>
    </row>
    <row r="4329">
      <c r="A4329" s="1" t="s">
        <v>12301</v>
      </c>
      <c r="B4329" s="1" t="s">
        <v>12302</v>
      </c>
      <c r="C4329" s="1" t="s">
        <v>12303</v>
      </c>
      <c r="D4329" s="1" t="s">
        <v>28</v>
      </c>
      <c r="E4329" s="1" t="s">
        <v>29</v>
      </c>
      <c r="F4329" s="5">
        <v>100000.0</v>
      </c>
      <c r="G4329" s="1" t="s">
        <v>7016</v>
      </c>
      <c r="H4329" s="1" t="s">
        <v>10179</v>
      </c>
      <c r="I4329" s="1" t="s">
        <v>43</v>
      </c>
      <c r="K4329" s="1">
        <v>0.0</v>
      </c>
      <c r="L4329" s="1" t="s">
        <v>1282</v>
      </c>
      <c r="M4329" s="1" t="str">
        <f>VLOOKUP(L4329,'Copy of PMD Workday Constants -'!B4328:W5014,22,false)</f>
        <v>#N/A</v>
      </c>
      <c r="N4329" s="1" t="s">
        <v>32</v>
      </c>
      <c r="O4329" s="1" t="s">
        <v>33</v>
      </c>
      <c r="P4329" s="1" t="s">
        <v>34</v>
      </c>
      <c r="Q4329" s="1" t="s">
        <v>34</v>
      </c>
      <c r="R4329" s="1" t="s">
        <v>35</v>
      </c>
      <c r="S4329" s="1" t="s">
        <v>1166</v>
      </c>
      <c r="T4329" s="1">
        <v>1.006096E8</v>
      </c>
      <c r="W4329" s="1" t="s">
        <v>456</v>
      </c>
      <c r="X4329" s="1" t="s">
        <v>7966</v>
      </c>
    </row>
    <row r="4330">
      <c r="A4330" s="1" t="s">
        <v>12304</v>
      </c>
      <c r="B4330" s="1" t="s">
        <v>2091</v>
      </c>
      <c r="C4330" s="1" t="s">
        <v>3759</v>
      </c>
      <c r="D4330" s="1" t="s">
        <v>28</v>
      </c>
      <c r="E4330" s="1" t="s">
        <v>29</v>
      </c>
      <c r="F4330" s="5">
        <v>100000.0</v>
      </c>
      <c r="G4330" s="1" t="s">
        <v>7016</v>
      </c>
      <c r="H4330" s="1" t="s">
        <v>4736</v>
      </c>
      <c r="I4330" s="1" t="s">
        <v>12305</v>
      </c>
      <c r="K4330" s="1">
        <v>0.0</v>
      </c>
      <c r="L4330" s="1" t="s">
        <v>3762</v>
      </c>
      <c r="M4330" s="1" t="str">
        <f>VLOOKUP(L4330,'Copy of PMD Workday Constants -'!B4329:W5015,22,false)</f>
        <v>#N/A</v>
      </c>
      <c r="N4330" s="1" t="s">
        <v>32</v>
      </c>
      <c r="O4330" s="1" t="s">
        <v>33</v>
      </c>
      <c r="P4330" s="1" t="s">
        <v>112</v>
      </c>
      <c r="Q4330" s="1" t="s">
        <v>112</v>
      </c>
      <c r="R4330" s="1" t="s">
        <v>113</v>
      </c>
      <c r="S4330" s="1" t="s">
        <v>3763</v>
      </c>
      <c r="T4330" s="1">
        <v>1.00953783E8</v>
      </c>
      <c r="W4330" s="1" t="s">
        <v>308</v>
      </c>
      <c r="X4330" s="1" t="s">
        <v>2596</v>
      </c>
    </row>
    <row r="4331">
      <c r="A4331" s="1" t="s">
        <v>12306</v>
      </c>
      <c r="B4331" s="1" t="s">
        <v>12307</v>
      </c>
      <c r="C4331" s="1" t="s">
        <v>12308</v>
      </c>
      <c r="D4331" s="1" t="s">
        <v>28</v>
      </c>
      <c r="E4331" s="1" t="s">
        <v>29</v>
      </c>
      <c r="F4331" s="5">
        <v>100000.0</v>
      </c>
      <c r="G4331" s="1" t="s">
        <v>7016</v>
      </c>
      <c r="H4331" s="1" t="s">
        <v>10179</v>
      </c>
      <c r="I4331" s="1" t="s">
        <v>43</v>
      </c>
      <c r="K4331" s="1">
        <v>0.0</v>
      </c>
      <c r="L4331" s="1" t="s">
        <v>1282</v>
      </c>
      <c r="M4331" s="1" t="str">
        <f>VLOOKUP(L4331,'Copy of PMD Workday Constants -'!B4330:W5016,22,false)</f>
        <v>#N/A</v>
      </c>
      <c r="N4331" s="1" t="s">
        <v>32</v>
      </c>
      <c r="O4331" s="1" t="s">
        <v>33</v>
      </c>
      <c r="P4331" s="1" t="s">
        <v>34</v>
      </c>
      <c r="Q4331" s="1" t="s">
        <v>34</v>
      </c>
      <c r="R4331" s="1" t="s">
        <v>35</v>
      </c>
      <c r="S4331" s="1" t="s">
        <v>1166</v>
      </c>
      <c r="T4331" s="1">
        <v>1.006096E8</v>
      </c>
      <c r="W4331" s="1" t="s">
        <v>577</v>
      </c>
      <c r="X4331" s="1" t="s">
        <v>7966</v>
      </c>
    </row>
    <row r="4332">
      <c r="A4332" s="1" t="s">
        <v>12309</v>
      </c>
      <c r="B4332" s="1" t="s">
        <v>12310</v>
      </c>
      <c r="C4332" s="1" t="s">
        <v>12311</v>
      </c>
      <c r="D4332" s="1" t="s">
        <v>103</v>
      </c>
      <c r="E4332" s="1" t="s">
        <v>29</v>
      </c>
      <c r="F4332" s="5">
        <v>100000.0</v>
      </c>
      <c r="G4332" s="1" t="s">
        <v>7016</v>
      </c>
      <c r="H4332" s="4">
        <v>44870.0</v>
      </c>
      <c r="I4332" s="1" t="s">
        <v>80</v>
      </c>
      <c r="K4332" s="1">
        <v>0.0</v>
      </c>
      <c r="L4332" s="1" t="s">
        <v>11577</v>
      </c>
      <c r="M4332" s="1" t="str">
        <f>VLOOKUP(L4332,'Copy of PMD Workday Constants -'!B4331:W5017,22,false)</f>
        <v>#N/A</v>
      </c>
      <c r="N4332" s="1" t="s">
        <v>32</v>
      </c>
      <c r="O4332" s="1" t="s">
        <v>33</v>
      </c>
      <c r="P4332" s="1" t="s">
        <v>222</v>
      </c>
      <c r="Q4332" s="1" t="s">
        <v>222</v>
      </c>
      <c r="R4332" s="1" t="s">
        <v>223</v>
      </c>
      <c r="S4332" s="1" t="s">
        <v>482</v>
      </c>
      <c r="T4332" s="1">
        <v>1.00626837E8</v>
      </c>
      <c r="W4332" s="1" t="s">
        <v>436</v>
      </c>
      <c r="X4332" s="1" t="s">
        <v>11577</v>
      </c>
    </row>
    <row r="4333">
      <c r="A4333" s="1" t="s">
        <v>12312</v>
      </c>
      <c r="B4333" s="1" t="s">
        <v>9655</v>
      </c>
      <c r="C4333" s="1" t="s">
        <v>12313</v>
      </c>
      <c r="D4333" s="1" t="s">
        <v>28</v>
      </c>
      <c r="E4333" s="1" t="s">
        <v>29</v>
      </c>
      <c r="F4333" s="5">
        <v>100000.0</v>
      </c>
      <c r="G4333" s="1" t="s">
        <v>7016</v>
      </c>
      <c r="H4333" s="1" t="s">
        <v>110</v>
      </c>
      <c r="I4333" s="1" t="s">
        <v>538</v>
      </c>
      <c r="K4333" s="1">
        <v>0.0</v>
      </c>
      <c r="L4333" s="1" t="s">
        <v>2325</v>
      </c>
      <c r="M4333" s="1" t="str">
        <f>VLOOKUP(L4333,'Copy of PMD Workday Constants -'!B4332:W5018,22,false)</f>
        <v>#N/A</v>
      </c>
      <c r="N4333" s="1" t="s">
        <v>32</v>
      </c>
      <c r="O4333" s="1" t="s">
        <v>33</v>
      </c>
      <c r="P4333" s="1" t="s">
        <v>82</v>
      </c>
      <c r="Q4333" s="1" t="s">
        <v>82</v>
      </c>
      <c r="R4333" s="1" t="s">
        <v>83</v>
      </c>
      <c r="S4333" s="1" t="s">
        <v>180</v>
      </c>
      <c r="T4333" s="1">
        <v>1.00628181E8</v>
      </c>
      <c r="W4333" s="1" t="s">
        <v>85</v>
      </c>
      <c r="X4333" s="1" t="s">
        <v>2325</v>
      </c>
    </row>
    <row r="4334">
      <c r="A4334" s="1" t="s">
        <v>12314</v>
      </c>
      <c r="B4334" s="1" t="s">
        <v>3549</v>
      </c>
      <c r="C4334" s="1" t="s">
        <v>3759</v>
      </c>
      <c r="D4334" s="1" t="s">
        <v>28</v>
      </c>
      <c r="E4334" s="1" t="s">
        <v>29</v>
      </c>
      <c r="F4334" s="5">
        <v>100000.0</v>
      </c>
      <c r="G4334" s="1" t="s">
        <v>7016</v>
      </c>
      <c r="H4334" s="1" t="s">
        <v>3760</v>
      </c>
      <c r="I4334" s="1" t="s">
        <v>12305</v>
      </c>
      <c r="K4334" s="1">
        <v>0.0</v>
      </c>
      <c r="L4334" s="1" t="s">
        <v>3762</v>
      </c>
      <c r="M4334" s="1" t="str">
        <f>VLOOKUP(L4334,'Copy of PMD Workday Constants -'!B4333:W5019,22,false)</f>
        <v>#N/A</v>
      </c>
      <c r="N4334" s="1" t="s">
        <v>32</v>
      </c>
      <c r="O4334" s="1" t="s">
        <v>33</v>
      </c>
      <c r="P4334" s="1" t="s">
        <v>112</v>
      </c>
      <c r="Q4334" s="1" t="s">
        <v>112</v>
      </c>
      <c r="R4334" s="1" t="s">
        <v>113</v>
      </c>
      <c r="S4334" s="1" t="s">
        <v>3763</v>
      </c>
      <c r="T4334" s="1">
        <v>1.00953783E8</v>
      </c>
      <c r="W4334" s="1" t="s">
        <v>308</v>
      </c>
      <c r="X4334" s="1" t="s">
        <v>2596</v>
      </c>
    </row>
    <row r="4335">
      <c r="A4335" s="1" t="s">
        <v>12315</v>
      </c>
      <c r="B4335" s="1" t="s">
        <v>6417</v>
      </c>
      <c r="C4335" s="1" t="s">
        <v>12316</v>
      </c>
      <c r="D4335" s="1" t="s">
        <v>28</v>
      </c>
      <c r="E4335" s="1" t="s">
        <v>29</v>
      </c>
      <c r="F4335" s="5">
        <v>100000.0</v>
      </c>
      <c r="G4335" s="1" t="s">
        <v>7016</v>
      </c>
      <c r="H4335" s="1" t="s">
        <v>110</v>
      </c>
      <c r="I4335" s="1" t="s">
        <v>152</v>
      </c>
      <c r="K4335" s="1">
        <v>0.0</v>
      </c>
      <c r="L4335" s="1" t="s">
        <v>2325</v>
      </c>
      <c r="M4335" s="1" t="str">
        <f>VLOOKUP(L4335,'Copy of PMD Workday Constants -'!B4334:W5020,22,false)</f>
        <v>#N/A</v>
      </c>
      <c r="N4335" s="1" t="s">
        <v>32</v>
      </c>
      <c r="O4335" s="1" t="s">
        <v>33</v>
      </c>
      <c r="P4335" s="1" t="s">
        <v>82</v>
      </c>
      <c r="Q4335" s="1" t="s">
        <v>82</v>
      </c>
      <c r="R4335" s="1" t="s">
        <v>83</v>
      </c>
      <c r="S4335" s="1" t="s">
        <v>180</v>
      </c>
      <c r="T4335" s="1">
        <v>1.00628181E8</v>
      </c>
      <c r="W4335" s="1" t="s">
        <v>85</v>
      </c>
      <c r="X4335" s="1" t="s">
        <v>2325</v>
      </c>
    </row>
    <row r="4336">
      <c r="A4336" s="1" t="s">
        <v>12317</v>
      </c>
      <c r="B4336" s="1" t="s">
        <v>12318</v>
      </c>
      <c r="C4336" s="1" t="s">
        <v>12319</v>
      </c>
      <c r="D4336" s="1" t="s">
        <v>28</v>
      </c>
      <c r="E4336" s="1" t="s">
        <v>29</v>
      </c>
      <c r="F4336" s="5">
        <v>100000.0</v>
      </c>
      <c r="G4336" s="1" t="s">
        <v>7016</v>
      </c>
      <c r="H4336" s="1" t="s">
        <v>10179</v>
      </c>
      <c r="I4336" s="1" t="s">
        <v>43</v>
      </c>
      <c r="K4336" s="1">
        <v>0.0</v>
      </c>
      <c r="L4336" s="1" t="s">
        <v>1282</v>
      </c>
      <c r="M4336" s="1" t="str">
        <f>VLOOKUP(L4336,'Copy of PMD Workday Constants -'!B4335:W5021,22,false)</f>
        <v>#N/A</v>
      </c>
      <c r="N4336" s="1" t="s">
        <v>32</v>
      </c>
      <c r="O4336" s="1" t="s">
        <v>33</v>
      </c>
      <c r="P4336" s="1" t="s">
        <v>34</v>
      </c>
      <c r="Q4336" s="1" t="s">
        <v>34</v>
      </c>
      <c r="R4336" s="1" t="s">
        <v>35</v>
      </c>
      <c r="S4336" s="1" t="s">
        <v>1166</v>
      </c>
      <c r="T4336" s="1">
        <v>1.006096E8</v>
      </c>
      <c r="W4336" s="1" t="s">
        <v>456</v>
      </c>
      <c r="X4336" s="1" t="s">
        <v>7966</v>
      </c>
    </row>
    <row r="4337">
      <c r="A4337" s="1" t="s">
        <v>12320</v>
      </c>
      <c r="B4337" s="1" t="s">
        <v>12318</v>
      </c>
      <c r="C4337" s="1" t="s">
        <v>12321</v>
      </c>
      <c r="D4337" s="1" t="s">
        <v>28</v>
      </c>
      <c r="E4337" s="1" t="s">
        <v>29</v>
      </c>
      <c r="F4337" s="5">
        <v>100000.0</v>
      </c>
      <c r="G4337" s="1" t="s">
        <v>7016</v>
      </c>
      <c r="H4337" s="1" t="s">
        <v>10179</v>
      </c>
      <c r="I4337" s="1" t="s">
        <v>43</v>
      </c>
      <c r="K4337" s="1">
        <v>0.0</v>
      </c>
      <c r="L4337" s="1" t="s">
        <v>1282</v>
      </c>
      <c r="M4337" s="1" t="str">
        <f>VLOOKUP(L4337,'Copy of PMD Workday Constants -'!B4336:W5022,22,false)</f>
        <v>#N/A</v>
      </c>
      <c r="N4337" s="1" t="s">
        <v>32</v>
      </c>
      <c r="O4337" s="1" t="s">
        <v>33</v>
      </c>
      <c r="P4337" s="1" t="s">
        <v>34</v>
      </c>
      <c r="Q4337" s="1" t="s">
        <v>34</v>
      </c>
      <c r="R4337" s="1" t="s">
        <v>35</v>
      </c>
      <c r="S4337" s="1" t="s">
        <v>1166</v>
      </c>
      <c r="T4337" s="1">
        <v>1.006096E8</v>
      </c>
      <c r="W4337" s="1" t="s">
        <v>456</v>
      </c>
      <c r="X4337" s="1" t="s">
        <v>7966</v>
      </c>
    </row>
    <row r="4338">
      <c r="A4338" s="1" t="s">
        <v>12322</v>
      </c>
      <c r="B4338" s="1" t="s">
        <v>1154</v>
      </c>
      <c r="C4338" s="1" t="s">
        <v>12323</v>
      </c>
      <c r="D4338" s="1" t="s">
        <v>28</v>
      </c>
      <c r="E4338" s="1" t="s">
        <v>29</v>
      </c>
      <c r="F4338" s="5">
        <v>100000.0</v>
      </c>
      <c r="G4338" s="1" t="s">
        <v>7016</v>
      </c>
      <c r="H4338" s="4">
        <v>44653.0</v>
      </c>
      <c r="I4338" s="4">
        <v>44569.0</v>
      </c>
      <c r="K4338" s="1">
        <v>0.0</v>
      </c>
      <c r="L4338" s="1" t="s">
        <v>2602</v>
      </c>
      <c r="M4338" s="1" t="str">
        <f>VLOOKUP(L4338,'Copy of PMD Workday Constants -'!B4337:W5023,22,false)</f>
        <v>#N/A</v>
      </c>
      <c r="N4338" s="1" t="s">
        <v>32</v>
      </c>
      <c r="O4338" s="1" t="s">
        <v>33</v>
      </c>
      <c r="P4338" s="1" t="s">
        <v>173</v>
      </c>
      <c r="Q4338" s="1" t="s">
        <v>173</v>
      </c>
      <c r="R4338" s="1" t="s">
        <v>174</v>
      </c>
      <c r="T4338" s="1">
        <v>1.00611351E8</v>
      </c>
      <c r="W4338" s="1" t="s">
        <v>947</v>
      </c>
      <c r="X4338" s="1" t="s">
        <v>2833</v>
      </c>
    </row>
    <row r="4339">
      <c r="A4339" s="1" t="s">
        <v>12324</v>
      </c>
      <c r="B4339" s="1" t="s">
        <v>12325</v>
      </c>
      <c r="C4339" s="1" t="s">
        <v>12326</v>
      </c>
      <c r="D4339" s="1" t="s">
        <v>79</v>
      </c>
      <c r="E4339" s="1" t="s">
        <v>29</v>
      </c>
      <c r="F4339" s="5">
        <v>100000.0</v>
      </c>
      <c r="G4339" s="1" t="s">
        <v>7016</v>
      </c>
      <c r="H4339" s="4">
        <v>44656.0</v>
      </c>
      <c r="I4339" s="1" t="s">
        <v>810</v>
      </c>
      <c r="K4339" s="1">
        <v>0.0</v>
      </c>
      <c r="L4339" s="1" t="s">
        <v>5558</v>
      </c>
      <c r="M4339" s="1" t="str">
        <f>VLOOKUP(L4339,'Copy of PMD Workday Constants -'!B4338:W5024,22,false)</f>
        <v>#N/A</v>
      </c>
      <c r="N4339" s="1" t="s">
        <v>32</v>
      </c>
      <c r="O4339" s="1" t="s">
        <v>33</v>
      </c>
      <c r="P4339" s="1" t="s">
        <v>222</v>
      </c>
      <c r="Q4339" s="1" t="s">
        <v>222</v>
      </c>
      <c r="R4339" s="1" t="s">
        <v>223</v>
      </c>
      <c r="S4339" s="1" t="s">
        <v>482</v>
      </c>
      <c r="T4339" s="1">
        <v>1.00652479E8</v>
      </c>
      <c r="W4339" s="1" t="s">
        <v>287</v>
      </c>
      <c r="X4339" s="1" t="s">
        <v>12327</v>
      </c>
    </row>
    <row r="4340">
      <c r="A4340" s="1" t="s">
        <v>12328</v>
      </c>
      <c r="B4340" s="1" t="s">
        <v>1586</v>
      </c>
      <c r="C4340" s="1" t="s">
        <v>12329</v>
      </c>
      <c r="D4340" s="1" t="s">
        <v>28</v>
      </c>
      <c r="E4340" s="1" t="s">
        <v>29</v>
      </c>
      <c r="F4340" s="5">
        <v>100000.0</v>
      </c>
      <c r="G4340" s="1" t="s">
        <v>7016</v>
      </c>
      <c r="H4340" s="1" t="s">
        <v>1349</v>
      </c>
      <c r="I4340" s="1" t="s">
        <v>43</v>
      </c>
      <c r="K4340" s="1">
        <v>0.0</v>
      </c>
      <c r="L4340" s="1" t="s">
        <v>203</v>
      </c>
      <c r="M4340" s="1" t="str">
        <f>VLOOKUP(L4340,'Copy of PMD Workday Constants -'!B4339:W5025,22,false)</f>
        <v>#N/A</v>
      </c>
      <c r="N4340" s="1" t="s">
        <v>32</v>
      </c>
      <c r="O4340" s="1" t="s">
        <v>33</v>
      </c>
      <c r="P4340" s="1" t="s">
        <v>112</v>
      </c>
      <c r="Q4340" s="1" t="s">
        <v>112</v>
      </c>
      <c r="R4340" s="1" t="s">
        <v>113</v>
      </c>
      <c r="S4340" s="1" t="s">
        <v>204</v>
      </c>
      <c r="T4340" s="1">
        <v>1.01200292E8</v>
      </c>
      <c r="W4340" s="1" t="s">
        <v>91</v>
      </c>
      <c r="X4340" s="1" t="s">
        <v>203</v>
      </c>
    </row>
    <row r="4341">
      <c r="A4341" s="1" t="s">
        <v>12330</v>
      </c>
      <c r="B4341" s="1" t="s">
        <v>304</v>
      </c>
      <c r="C4341" s="1" t="s">
        <v>12331</v>
      </c>
      <c r="D4341" s="1" t="s">
        <v>103</v>
      </c>
      <c r="E4341" s="1" t="s">
        <v>29</v>
      </c>
      <c r="F4341" s="5">
        <v>100000.0</v>
      </c>
      <c r="G4341" s="1" t="s">
        <v>7016</v>
      </c>
      <c r="H4341" s="1" t="s">
        <v>1433</v>
      </c>
      <c r="I4341" s="1" t="s">
        <v>152</v>
      </c>
      <c r="K4341" s="1">
        <v>0.0</v>
      </c>
      <c r="L4341" s="1" t="s">
        <v>4240</v>
      </c>
      <c r="M4341" s="1" t="str">
        <f>VLOOKUP(L4341,'Copy of PMD Workday Constants -'!B4340:W5026,22,false)</f>
        <v>#N/A</v>
      </c>
      <c r="N4341" s="1" t="s">
        <v>32</v>
      </c>
      <c r="O4341" s="1" t="s">
        <v>33</v>
      </c>
      <c r="P4341" s="1" t="s">
        <v>210</v>
      </c>
      <c r="Q4341" s="1" t="s">
        <v>210</v>
      </c>
      <c r="R4341" s="1" t="s">
        <v>211</v>
      </c>
      <c r="S4341" s="1" t="s">
        <v>416</v>
      </c>
      <c r="T4341" s="1">
        <v>1.00625459E8</v>
      </c>
      <c r="W4341" s="1" t="s">
        <v>56</v>
      </c>
      <c r="X4341" s="1" t="s">
        <v>7397</v>
      </c>
    </row>
    <row r="4342">
      <c r="A4342" s="1" t="s">
        <v>12332</v>
      </c>
      <c r="B4342" s="1" t="s">
        <v>12333</v>
      </c>
      <c r="C4342" s="1" t="s">
        <v>3759</v>
      </c>
      <c r="D4342" s="1" t="s">
        <v>28</v>
      </c>
      <c r="E4342" s="1" t="s">
        <v>29</v>
      </c>
      <c r="F4342" s="5">
        <v>100000.0</v>
      </c>
      <c r="G4342" s="1" t="s">
        <v>7016</v>
      </c>
      <c r="H4342" s="1" t="s">
        <v>4736</v>
      </c>
      <c r="I4342" s="1" t="s">
        <v>400</v>
      </c>
      <c r="K4342" s="1">
        <v>0.0</v>
      </c>
      <c r="L4342" s="1" t="s">
        <v>3762</v>
      </c>
      <c r="M4342" s="1" t="str">
        <f>VLOOKUP(L4342,'Copy of PMD Workday Constants -'!B4341:W5027,22,false)</f>
        <v>#N/A</v>
      </c>
      <c r="N4342" s="1" t="s">
        <v>32</v>
      </c>
      <c r="O4342" s="1" t="s">
        <v>33</v>
      </c>
      <c r="P4342" s="1" t="s">
        <v>112</v>
      </c>
      <c r="Q4342" s="1" t="s">
        <v>112</v>
      </c>
      <c r="R4342" s="1" t="s">
        <v>113</v>
      </c>
      <c r="S4342" s="1" t="s">
        <v>3763</v>
      </c>
      <c r="T4342" s="1">
        <v>1.00953783E8</v>
      </c>
      <c r="W4342" s="1" t="s">
        <v>147</v>
      </c>
      <c r="X4342" s="1" t="s">
        <v>2596</v>
      </c>
    </row>
    <row r="4343">
      <c r="A4343" s="1" t="s">
        <v>12334</v>
      </c>
      <c r="B4343" s="1" t="s">
        <v>12335</v>
      </c>
      <c r="C4343" s="1" t="s">
        <v>3759</v>
      </c>
      <c r="D4343" s="1" t="s">
        <v>28</v>
      </c>
      <c r="E4343" s="1" t="s">
        <v>29</v>
      </c>
      <c r="F4343" s="5">
        <v>100000.0</v>
      </c>
      <c r="G4343" s="1" t="s">
        <v>7016</v>
      </c>
      <c r="H4343" s="4">
        <v>44019.0</v>
      </c>
      <c r="I4343" s="1" t="s">
        <v>12305</v>
      </c>
      <c r="K4343" s="1">
        <v>0.0</v>
      </c>
      <c r="L4343" s="1" t="s">
        <v>3762</v>
      </c>
      <c r="M4343" s="1" t="str">
        <f>VLOOKUP(L4343,'Copy of PMD Workday Constants -'!B4342:W5028,22,false)</f>
        <v>#N/A</v>
      </c>
      <c r="N4343" s="1" t="s">
        <v>32</v>
      </c>
      <c r="O4343" s="1" t="s">
        <v>33</v>
      </c>
      <c r="P4343" s="1" t="s">
        <v>112</v>
      </c>
      <c r="Q4343" s="1" t="s">
        <v>112</v>
      </c>
      <c r="R4343" s="1" t="s">
        <v>113</v>
      </c>
      <c r="S4343" s="1" t="s">
        <v>3763</v>
      </c>
      <c r="T4343" s="1">
        <v>1.00953783E8</v>
      </c>
      <c r="W4343" s="1" t="s">
        <v>147</v>
      </c>
      <c r="X4343" s="1" t="s">
        <v>2596</v>
      </c>
    </row>
    <row r="4344">
      <c r="A4344" s="1" t="s">
        <v>12336</v>
      </c>
      <c r="B4344" s="1" t="s">
        <v>12337</v>
      </c>
      <c r="C4344" s="1" t="s">
        <v>12338</v>
      </c>
      <c r="D4344" s="1" t="s">
        <v>28</v>
      </c>
      <c r="E4344" s="1" t="s">
        <v>29</v>
      </c>
      <c r="F4344" s="5">
        <v>100000.0</v>
      </c>
      <c r="G4344" s="1" t="s">
        <v>7016</v>
      </c>
      <c r="H4344" s="4">
        <v>44019.0</v>
      </c>
      <c r="I4344" s="1" t="s">
        <v>12305</v>
      </c>
      <c r="K4344" s="1">
        <v>0.0</v>
      </c>
      <c r="L4344" s="1" t="s">
        <v>3762</v>
      </c>
      <c r="M4344" s="1" t="str">
        <f>VLOOKUP(L4344,'Copy of PMD Workday Constants -'!B4343:W5029,22,false)</f>
        <v>#N/A</v>
      </c>
      <c r="N4344" s="1" t="s">
        <v>32</v>
      </c>
      <c r="O4344" s="1" t="s">
        <v>33</v>
      </c>
      <c r="P4344" s="1" t="s">
        <v>112</v>
      </c>
      <c r="Q4344" s="1" t="s">
        <v>112</v>
      </c>
      <c r="R4344" s="1" t="s">
        <v>113</v>
      </c>
      <c r="S4344" s="1" t="s">
        <v>3763</v>
      </c>
      <c r="T4344" s="1">
        <v>1.00953783E8</v>
      </c>
      <c r="W4344" s="1" t="s">
        <v>47</v>
      </c>
      <c r="X4344" s="1" t="s">
        <v>2596</v>
      </c>
    </row>
    <row r="4345">
      <c r="A4345" s="1" t="s">
        <v>12339</v>
      </c>
      <c r="B4345" s="1" t="s">
        <v>5151</v>
      </c>
      <c r="C4345" s="1" t="s">
        <v>12340</v>
      </c>
      <c r="D4345" s="1" t="s">
        <v>28</v>
      </c>
      <c r="E4345" s="1" t="s">
        <v>29</v>
      </c>
      <c r="F4345" s="5">
        <v>100000.0</v>
      </c>
      <c r="G4345" s="1" t="s">
        <v>7016</v>
      </c>
      <c r="H4345" s="1" t="s">
        <v>4413</v>
      </c>
      <c r="I4345" s="1" t="s">
        <v>538</v>
      </c>
      <c r="K4345" s="1">
        <v>0.0</v>
      </c>
      <c r="L4345" s="1" t="s">
        <v>3848</v>
      </c>
      <c r="M4345" s="1" t="str">
        <f>VLOOKUP(L4345,'Copy of PMD Workday Constants -'!B4344:W5030,22,false)</f>
        <v>#N/A</v>
      </c>
      <c r="N4345" s="1" t="s">
        <v>32</v>
      </c>
      <c r="O4345" s="1" t="s">
        <v>33</v>
      </c>
      <c r="P4345" s="1" t="s">
        <v>173</v>
      </c>
      <c r="Q4345" s="1" t="s">
        <v>173</v>
      </c>
      <c r="R4345" s="1" t="s">
        <v>174</v>
      </c>
      <c r="S4345" s="1" t="s">
        <v>612</v>
      </c>
      <c r="T4345" s="1">
        <v>1.00654914E8</v>
      </c>
      <c r="W4345" s="1" t="s">
        <v>947</v>
      </c>
      <c r="X4345" s="1" t="s">
        <v>3066</v>
      </c>
    </row>
    <row r="4346">
      <c r="A4346" s="1" t="s">
        <v>12341</v>
      </c>
      <c r="B4346" s="1" t="s">
        <v>859</v>
      </c>
      <c r="C4346" s="1" t="s">
        <v>12342</v>
      </c>
      <c r="D4346" s="1" t="s">
        <v>28</v>
      </c>
      <c r="E4346" s="1" t="s">
        <v>29</v>
      </c>
      <c r="F4346" s="5">
        <v>100000.0</v>
      </c>
      <c r="G4346" s="1" t="s">
        <v>7016</v>
      </c>
      <c r="H4346" s="1" t="s">
        <v>1436</v>
      </c>
      <c r="I4346" s="1" t="s">
        <v>80</v>
      </c>
      <c r="K4346" s="1">
        <v>0.0</v>
      </c>
      <c r="L4346" s="1" t="s">
        <v>1525</v>
      </c>
      <c r="M4346" s="1" t="str">
        <f>VLOOKUP(L4346,'Copy of PMD Workday Constants -'!B4345:W5031,22,false)</f>
        <v>#N/A</v>
      </c>
      <c r="N4346" s="1" t="s">
        <v>32</v>
      </c>
      <c r="O4346" s="1" t="s">
        <v>33</v>
      </c>
      <c r="P4346" s="1" t="s">
        <v>34</v>
      </c>
      <c r="Q4346" s="1" t="s">
        <v>34</v>
      </c>
      <c r="R4346" s="1" t="s">
        <v>35</v>
      </c>
      <c r="S4346" s="1" t="s">
        <v>1166</v>
      </c>
      <c r="T4346" s="1">
        <v>1.00637597E8</v>
      </c>
      <c r="W4346" s="1" t="s">
        <v>147</v>
      </c>
      <c r="X4346" s="1" t="s">
        <v>12343</v>
      </c>
    </row>
    <row r="4347">
      <c r="A4347" s="1" t="s">
        <v>12344</v>
      </c>
      <c r="B4347" s="1" t="s">
        <v>3003</v>
      </c>
      <c r="C4347" s="1" t="s">
        <v>12345</v>
      </c>
      <c r="D4347" s="1" t="s">
        <v>103</v>
      </c>
      <c r="E4347" s="1" t="s">
        <v>29</v>
      </c>
      <c r="F4347" s="5">
        <v>100000.0</v>
      </c>
      <c r="G4347" s="1" t="s">
        <v>7016</v>
      </c>
      <c r="H4347" s="4">
        <v>44748.0</v>
      </c>
      <c r="I4347" s="4">
        <v>44780.0</v>
      </c>
      <c r="K4347" s="1">
        <v>0.0</v>
      </c>
      <c r="L4347" s="1" t="s">
        <v>967</v>
      </c>
      <c r="M4347" s="1" t="str">
        <f>VLOOKUP(L4347,'Copy of PMD Workday Constants -'!B4346:W5032,22,false)</f>
        <v>#N/A</v>
      </c>
      <c r="N4347" s="1" t="s">
        <v>32</v>
      </c>
      <c r="O4347" s="1" t="s">
        <v>33</v>
      </c>
      <c r="P4347" s="1" t="s">
        <v>210</v>
      </c>
      <c r="Q4347" s="1" t="s">
        <v>210</v>
      </c>
      <c r="R4347" s="1" t="s">
        <v>211</v>
      </c>
      <c r="S4347" s="1" t="s">
        <v>416</v>
      </c>
      <c r="T4347" s="1">
        <v>1.00608243E8</v>
      </c>
      <c r="W4347" s="1" t="s">
        <v>56</v>
      </c>
      <c r="X4347" s="1" t="s">
        <v>968</v>
      </c>
    </row>
    <row r="4348">
      <c r="A4348" s="1" t="s">
        <v>12346</v>
      </c>
      <c r="B4348" s="1" t="s">
        <v>225</v>
      </c>
      <c r="C4348" s="1" t="s">
        <v>12347</v>
      </c>
      <c r="D4348" s="1" t="s">
        <v>28</v>
      </c>
      <c r="E4348" s="1" t="s">
        <v>29</v>
      </c>
      <c r="F4348" s="5">
        <v>100000.0</v>
      </c>
      <c r="G4348" s="1" t="s">
        <v>7016</v>
      </c>
      <c r="H4348" s="1" t="s">
        <v>1078</v>
      </c>
      <c r="I4348" s="1" t="s">
        <v>302</v>
      </c>
      <c r="K4348" s="1">
        <v>0.0</v>
      </c>
      <c r="L4348" s="1" t="s">
        <v>2330</v>
      </c>
      <c r="M4348" s="1" t="str">
        <f>VLOOKUP(L4348,'Copy of PMD Workday Constants -'!B4347:W5033,22,false)</f>
        <v>#N/A</v>
      </c>
      <c r="N4348" s="1" t="s">
        <v>32</v>
      </c>
      <c r="O4348" s="1" t="s">
        <v>33</v>
      </c>
      <c r="P4348" s="1" t="s">
        <v>82</v>
      </c>
      <c r="Q4348" s="1" t="s">
        <v>82</v>
      </c>
      <c r="R4348" s="1" t="s">
        <v>83</v>
      </c>
      <c r="S4348" s="1" t="s">
        <v>84</v>
      </c>
      <c r="T4348" s="1">
        <v>1.00613761E8</v>
      </c>
      <c r="W4348" s="1" t="s">
        <v>85</v>
      </c>
      <c r="X4348" s="1" t="s">
        <v>6998</v>
      </c>
    </row>
    <row r="4349">
      <c r="A4349" s="1" t="s">
        <v>12348</v>
      </c>
      <c r="B4349" s="1" t="s">
        <v>12349</v>
      </c>
      <c r="C4349" s="1" t="s">
        <v>12350</v>
      </c>
      <c r="D4349" s="1" t="s">
        <v>51</v>
      </c>
      <c r="E4349" s="1" t="s">
        <v>29</v>
      </c>
      <c r="F4349" s="5">
        <v>100000.0</v>
      </c>
      <c r="G4349" s="1" t="s">
        <v>7016</v>
      </c>
      <c r="H4349" s="1" t="s">
        <v>2691</v>
      </c>
      <c r="I4349" s="4">
        <v>44569.0</v>
      </c>
      <c r="K4349" s="1">
        <v>0.0</v>
      </c>
      <c r="L4349" s="1" t="s">
        <v>11849</v>
      </c>
      <c r="M4349" s="1" t="str">
        <f>VLOOKUP(L4349,'Copy of PMD Workday Constants -'!B4348:W5034,22,false)</f>
        <v>#N/A</v>
      </c>
      <c r="N4349" s="1" t="s">
        <v>32</v>
      </c>
      <c r="O4349" s="1" t="s">
        <v>33</v>
      </c>
      <c r="P4349" s="1" t="s">
        <v>54</v>
      </c>
      <c r="Q4349" s="1" t="s">
        <v>54</v>
      </c>
      <c r="R4349" s="1" t="s">
        <v>55</v>
      </c>
      <c r="S4349" s="1" t="s">
        <v>180</v>
      </c>
      <c r="T4349" s="1">
        <v>1.00624248E8</v>
      </c>
      <c r="W4349" s="1" t="s">
        <v>85</v>
      </c>
      <c r="X4349" s="1" t="s">
        <v>12351</v>
      </c>
    </row>
    <row r="4350">
      <c r="A4350" s="1" t="s">
        <v>12352</v>
      </c>
      <c r="B4350" s="1" t="s">
        <v>3420</v>
      </c>
      <c r="C4350" s="1" t="s">
        <v>12353</v>
      </c>
      <c r="D4350" s="1" t="s">
        <v>28</v>
      </c>
      <c r="E4350" s="1" t="s">
        <v>29</v>
      </c>
      <c r="F4350" s="5">
        <v>100000.0</v>
      </c>
      <c r="G4350" s="1" t="s">
        <v>7016</v>
      </c>
      <c r="H4350" s="4">
        <v>44480.0</v>
      </c>
      <c r="I4350" s="1" t="s">
        <v>1528</v>
      </c>
      <c r="K4350" s="1">
        <v>0.0</v>
      </c>
      <c r="L4350" s="1" t="s">
        <v>3422</v>
      </c>
      <c r="M4350" s="1" t="str">
        <f>VLOOKUP(L4350,'Copy of PMD Workday Constants -'!B4349:W5035,22,false)</f>
        <v>#N/A</v>
      </c>
      <c r="N4350" s="1" t="s">
        <v>32</v>
      </c>
      <c r="O4350" s="1" t="s">
        <v>33</v>
      </c>
      <c r="P4350" s="1" t="s">
        <v>173</v>
      </c>
      <c r="Q4350" s="1" t="s">
        <v>173</v>
      </c>
      <c r="R4350" s="1" t="s">
        <v>174</v>
      </c>
      <c r="S4350" s="1" t="s">
        <v>612</v>
      </c>
      <c r="T4350" s="1">
        <v>1.01141463E8</v>
      </c>
      <c r="W4350" s="1" t="s">
        <v>140</v>
      </c>
      <c r="X4350" s="1" t="s">
        <v>4072</v>
      </c>
    </row>
    <row r="4351">
      <c r="A4351" s="1" t="s">
        <v>12354</v>
      </c>
      <c r="B4351" s="1" t="s">
        <v>3343</v>
      </c>
      <c r="C4351" s="1" t="s">
        <v>12355</v>
      </c>
      <c r="D4351" s="1" t="s">
        <v>51</v>
      </c>
      <c r="E4351" s="1" t="s">
        <v>29</v>
      </c>
      <c r="F4351" s="5">
        <v>100000.0</v>
      </c>
      <c r="G4351" s="1" t="s">
        <v>7016</v>
      </c>
      <c r="H4351" s="1" t="s">
        <v>778</v>
      </c>
      <c r="I4351" s="1" t="s">
        <v>302</v>
      </c>
      <c r="K4351" s="1">
        <v>0.0</v>
      </c>
      <c r="L4351" s="1" t="s">
        <v>2275</v>
      </c>
      <c r="M4351" s="1" t="str">
        <f>VLOOKUP(L4351,'Copy of PMD Workday Constants -'!B4350:W5036,22,false)</f>
        <v>#N/A</v>
      </c>
      <c r="N4351" s="1" t="s">
        <v>32</v>
      </c>
      <c r="O4351" s="1" t="s">
        <v>33</v>
      </c>
      <c r="P4351" s="1" t="s">
        <v>173</v>
      </c>
      <c r="Q4351" s="1" t="s">
        <v>173</v>
      </c>
      <c r="R4351" s="1" t="s">
        <v>174</v>
      </c>
      <c r="S4351" s="1" t="s">
        <v>791</v>
      </c>
      <c r="T4351" s="1">
        <v>1.00650783E8</v>
      </c>
      <c r="W4351" s="1" t="s">
        <v>140</v>
      </c>
      <c r="X4351" s="1" t="s">
        <v>2275</v>
      </c>
    </row>
    <row r="4352">
      <c r="A4352" s="1" t="s">
        <v>12356</v>
      </c>
      <c r="B4352" s="1" t="s">
        <v>1392</v>
      </c>
      <c r="C4352" s="1" t="s">
        <v>12357</v>
      </c>
      <c r="D4352" s="1" t="s">
        <v>28</v>
      </c>
      <c r="E4352" s="1" t="s">
        <v>29</v>
      </c>
      <c r="F4352" s="5">
        <v>100000.0</v>
      </c>
      <c r="G4352" s="1" t="s">
        <v>7016</v>
      </c>
      <c r="H4352" s="1" t="s">
        <v>460</v>
      </c>
      <c r="I4352" s="1" t="s">
        <v>1134</v>
      </c>
      <c r="K4352" s="1">
        <v>0.0</v>
      </c>
      <c r="L4352" s="1" t="s">
        <v>8312</v>
      </c>
      <c r="M4352" s="1" t="str">
        <f>VLOOKUP(L4352,'Copy of PMD Workday Constants -'!B4351:W5037,22,false)</f>
        <v>#N/A</v>
      </c>
      <c r="N4352" s="1" t="s">
        <v>32</v>
      </c>
      <c r="O4352" s="1" t="s">
        <v>33</v>
      </c>
      <c r="P4352" s="1" t="s">
        <v>222</v>
      </c>
      <c r="Q4352" s="1" t="s">
        <v>222</v>
      </c>
      <c r="R4352" s="1" t="s">
        <v>223</v>
      </c>
      <c r="T4352" s="1">
        <v>1.01078151E8</v>
      </c>
      <c r="W4352" s="1" t="s">
        <v>947</v>
      </c>
      <c r="X4352" s="1" t="s">
        <v>8312</v>
      </c>
    </row>
    <row r="4353">
      <c r="A4353" s="1" t="s">
        <v>12358</v>
      </c>
      <c r="B4353" s="1" t="s">
        <v>12359</v>
      </c>
      <c r="C4353" s="1" t="s">
        <v>12360</v>
      </c>
      <c r="D4353" s="1" t="s">
        <v>51</v>
      </c>
      <c r="E4353" s="1" t="s">
        <v>29</v>
      </c>
      <c r="F4353" s="5">
        <v>100000.0</v>
      </c>
      <c r="G4353" s="1" t="s">
        <v>7016</v>
      </c>
      <c r="H4353" s="4">
        <v>44595.0</v>
      </c>
      <c r="I4353" s="1" t="s">
        <v>1349</v>
      </c>
      <c r="K4353" s="1">
        <v>0.0</v>
      </c>
      <c r="L4353" s="1" t="s">
        <v>2946</v>
      </c>
      <c r="M4353" s="1" t="str">
        <f>VLOOKUP(L4353,'Copy of PMD Workday Constants -'!B4352:W5038,22,false)</f>
        <v>#N/A</v>
      </c>
      <c r="N4353" s="1" t="s">
        <v>32</v>
      </c>
      <c r="O4353" s="1" t="s">
        <v>33</v>
      </c>
      <c r="P4353" s="1" t="s">
        <v>64</v>
      </c>
      <c r="Q4353" s="1" t="s">
        <v>64</v>
      </c>
      <c r="R4353" s="1" t="s">
        <v>65</v>
      </c>
      <c r="S4353" s="1" t="s">
        <v>12361</v>
      </c>
      <c r="T4353" s="1">
        <v>1.01074419E8</v>
      </c>
      <c r="W4353" s="1" t="s">
        <v>250</v>
      </c>
      <c r="X4353" s="1" t="s">
        <v>2946</v>
      </c>
    </row>
    <row r="4354">
      <c r="A4354" s="1" t="s">
        <v>12362</v>
      </c>
      <c r="B4354" s="1" t="s">
        <v>458</v>
      </c>
      <c r="C4354" s="1" t="s">
        <v>12363</v>
      </c>
      <c r="D4354" s="1" t="s">
        <v>103</v>
      </c>
      <c r="E4354" s="1" t="s">
        <v>29</v>
      </c>
      <c r="F4354" s="5">
        <v>100000.0</v>
      </c>
      <c r="G4354" s="1" t="s">
        <v>7016</v>
      </c>
      <c r="H4354" s="1" t="s">
        <v>131</v>
      </c>
      <c r="I4354" s="1" t="s">
        <v>80</v>
      </c>
      <c r="K4354" s="1">
        <v>0.0</v>
      </c>
      <c r="L4354" s="1" t="s">
        <v>1151</v>
      </c>
      <c r="M4354" s="1" t="str">
        <f>VLOOKUP(L4354,'Copy of PMD Workday Constants -'!B4353:W5039,22,false)</f>
        <v>#N/A</v>
      </c>
      <c r="N4354" s="1" t="s">
        <v>32</v>
      </c>
      <c r="O4354" s="1" t="s">
        <v>33</v>
      </c>
      <c r="P4354" s="1" t="s">
        <v>173</v>
      </c>
      <c r="Q4354" s="1" t="s">
        <v>173</v>
      </c>
      <c r="R4354" s="1" t="s">
        <v>174</v>
      </c>
      <c r="S4354" s="1" t="s">
        <v>612</v>
      </c>
      <c r="T4354" s="1">
        <v>1.00654991E8</v>
      </c>
      <c r="W4354" s="1" t="s">
        <v>56</v>
      </c>
      <c r="X4354" s="1" t="s">
        <v>8935</v>
      </c>
    </row>
    <row r="4355">
      <c r="A4355" s="1" t="s">
        <v>12364</v>
      </c>
      <c r="B4355" s="1" t="s">
        <v>12365</v>
      </c>
      <c r="C4355" s="1" t="s">
        <v>12366</v>
      </c>
      <c r="D4355" s="1" t="s">
        <v>28</v>
      </c>
      <c r="E4355" s="1" t="s">
        <v>29</v>
      </c>
      <c r="F4355" s="5">
        <v>100000.0</v>
      </c>
      <c r="G4355" s="1" t="s">
        <v>7016</v>
      </c>
      <c r="H4355" s="1" t="s">
        <v>1765</v>
      </c>
      <c r="I4355" s="1" t="s">
        <v>80</v>
      </c>
      <c r="K4355" s="1">
        <v>0.0</v>
      </c>
      <c r="L4355" s="1" t="s">
        <v>491</v>
      </c>
      <c r="M4355" s="1" t="str">
        <f>VLOOKUP(L4355,'Copy of PMD Workday Constants -'!B4354:W5040,22,false)</f>
        <v>#N/A</v>
      </c>
      <c r="N4355" s="1" t="s">
        <v>32</v>
      </c>
      <c r="O4355" s="1" t="s">
        <v>33</v>
      </c>
      <c r="P4355" s="1" t="s">
        <v>112</v>
      </c>
      <c r="Q4355" s="1" t="s">
        <v>112</v>
      </c>
      <c r="R4355" s="1" t="s">
        <v>113</v>
      </c>
      <c r="S4355" s="1" t="s">
        <v>492</v>
      </c>
      <c r="T4355" s="1">
        <v>1.00623914E8</v>
      </c>
      <c r="W4355" s="1" t="s">
        <v>85</v>
      </c>
      <c r="X4355" s="1" t="s">
        <v>491</v>
      </c>
    </row>
    <row r="4356">
      <c r="A4356" s="1" t="s">
        <v>12367</v>
      </c>
      <c r="B4356" s="1" t="s">
        <v>1080</v>
      </c>
      <c r="C4356" s="1" t="s">
        <v>6883</v>
      </c>
      <c r="D4356" s="1" t="s">
        <v>51</v>
      </c>
      <c r="E4356" s="1" t="s">
        <v>29</v>
      </c>
      <c r="F4356" s="5">
        <v>100000.0</v>
      </c>
      <c r="G4356" s="1" t="s">
        <v>7016</v>
      </c>
      <c r="H4356" s="4">
        <v>44208.0</v>
      </c>
      <c r="I4356" s="4">
        <v>44872.0</v>
      </c>
      <c r="K4356" s="1">
        <v>0.0</v>
      </c>
      <c r="L4356" s="1" t="s">
        <v>1083</v>
      </c>
      <c r="M4356" s="1" t="str">
        <f>VLOOKUP(L4356,'Copy of PMD Workday Constants -'!B4355:W5041,22,false)</f>
        <v>#N/A</v>
      </c>
      <c r="N4356" s="1" t="s">
        <v>32</v>
      </c>
      <c r="O4356" s="1" t="s">
        <v>33</v>
      </c>
      <c r="P4356" s="1" t="s">
        <v>82</v>
      </c>
      <c r="Q4356" s="1" t="s">
        <v>82</v>
      </c>
      <c r="R4356" s="1" t="s">
        <v>83</v>
      </c>
      <c r="S4356" s="1" t="s">
        <v>180</v>
      </c>
      <c r="T4356" s="1">
        <v>1.01131115E8</v>
      </c>
      <c r="W4356" s="1" t="s">
        <v>85</v>
      </c>
      <c r="X4356" s="1" t="s">
        <v>1083</v>
      </c>
    </row>
    <row r="4357">
      <c r="A4357" s="1" t="s">
        <v>12368</v>
      </c>
      <c r="B4357" s="1" t="s">
        <v>9873</v>
      </c>
      <c r="C4357" s="1" t="s">
        <v>12369</v>
      </c>
      <c r="D4357" s="1" t="s">
        <v>51</v>
      </c>
      <c r="E4357" s="1" t="s">
        <v>29</v>
      </c>
      <c r="F4357" s="5">
        <v>100000.0</v>
      </c>
      <c r="G4357" s="1" t="s">
        <v>7016</v>
      </c>
      <c r="H4357" s="4">
        <v>44257.0</v>
      </c>
      <c r="I4357" s="4">
        <v>44749.0</v>
      </c>
      <c r="K4357" s="1">
        <v>0.0</v>
      </c>
      <c r="L4357" s="1" t="s">
        <v>5404</v>
      </c>
      <c r="M4357" s="1" t="str">
        <f>VLOOKUP(L4357,'Copy of PMD Workday Constants -'!B4356:W5042,22,false)</f>
        <v>#N/A</v>
      </c>
      <c r="N4357" s="1" t="s">
        <v>32</v>
      </c>
      <c r="O4357" s="1" t="s">
        <v>33</v>
      </c>
      <c r="P4357" s="1" t="s">
        <v>64</v>
      </c>
      <c r="Q4357" s="1" t="s">
        <v>64</v>
      </c>
      <c r="R4357" s="1" t="s">
        <v>65</v>
      </c>
      <c r="S4357" s="1" t="s">
        <v>12370</v>
      </c>
      <c r="T4357" s="1">
        <v>1.00650453E8</v>
      </c>
      <c r="W4357" s="1" t="s">
        <v>56</v>
      </c>
      <c r="X4357" s="1" t="s">
        <v>11046</v>
      </c>
    </row>
    <row r="4358">
      <c r="A4358" s="1" t="s">
        <v>12371</v>
      </c>
      <c r="B4358" s="1" t="s">
        <v>12372</v>
      </c>
      <c r="C4358" s="1" t="s">
        <v>12373</v>
      </c>
      <c r="D4358" s="1" t="s">
        <v>28</v>
      </c>
      <c r="E4358" s="1" t="s">
        <v>29</v>
      </c>
      <c r="F4358" s="5">
        <v>100000.0</v>
      </c>
      <c r="G4358" s="1" t="s">
        <v>7016</v>
      </c>
      <c r="H4358" s="4">
        <v>44900.0</v>
      </c>
      <c r="I4358" s="1" t="s">
        <v>7669</v>
      </c>
      <c r="K4358" s="1">
        <v>0.0</v>
      </c>
      <c r="L4358" s="1" t="s">
        <v>5790</v>
      </c>
      <c r="M4358" s="1" t="str">
        <f>VLOOKUP(L4358,'Copy of PMD Workday Constants -'!B4357:W5043,22,false)</f>
        <v>#N/A</v>
      </c>
      <c r="N4358" s="1" t="s">
        <v>32</v>
      </c>
      <c r="O4358" s="1" t="s">
        <v>33</v>
      </c>
      <c r="P4358" s="1" t="s">
        <v>82</v>
      </c>
      <c r="Q4358" s="1" t="s">
        <v>82</v>
      </c>
      <c r="R4358" s="1" t="s">
        <v>83</v>
      </c>
      <c r="S4358" s="1" t="s">
        <v>180</v>
      </c>
      <c r="T4358" s="1">
        <v>1.00634752E8</v>
      </c>
      <c r="W4358" s="1" t="s">
        <v>85</v>
      </c>
      <c r="X4358" s="1" t="s">
        <v>9112</v>
      </c>
    </row>
    <row r="4359">
      <c r="A4359" s="1" t="s">
        <v>12374</v>
      </c>
      <c r="B4359" s="1" t="s">
        <v>8043</v>
      </c>
      <c r="C4359" s="1" t="s">
        <v>12375</v>
      </c>
      <c r="D4359" s="1" t="s">
        <v>28</v>
      </c>
      <c r="E4359" s="1" t="s">
        <v>29</v>
      </c>
      <c r="F4359" s="5">
        <v>100000.0</v>
      </c>
      <c r="G4359" s="1" t="s">
        <v>7016</v>
      </c>
      <c r="H4359" s="1" t="s">
        <v>61</v>
      </c>
      <c r="I4359" s="1" t="s">
        <v>248</v>
      </c>
      <c r="K4359" s="1">
        <v>0.0</v>
      </c>
      <c r="L4359" s="1" t="s">
        <v>4634</v>
      </c>
      <c r="M4359" s="1" t="str">
        <f>VLOOKUP(L4359,'Copy of PMD Workday Constants -'!B4358:W5044,22,false)</f>
        <v>#N/A</v>
      </c>
      <c r="N4359" s="1" t="s">
        <v>32</v>
      </c>
      <c r="O4359" s="1" t="s">
        <v>33</v>
      </c>
      <c r="P4359" s="1" t="s">
        <v>112</v>
      </c>
      <c r="Q4359" s="1" t="s">
        <v>112</v>
      </c>
      <c r="R4359" s="1" t="s">
        <v>113</v>
      </c>
      <c r="S4359" s="1" t="s">
        <v>134</v>
      </c>
      <c r="T4359" s="1">
        <v>1.00585718E8</v>
      </c>
      <c r="W4359" s="1" t="s">
        <v>493</v>
      </c>
      <c r="X4359" s="1" t="s">
        <v>7448</v>
      </c>
    </row>
    <row r="4360">
      <c r="A4360" s="1" t="s">
        <v>12376</v>
      </c>
      <c r="B4360" s="1" t="s">
        <v>6616</v>
      </c>
      <c r="C4360" s="1" t="s">
        <v>12377</v>
      </c>
      <c r="D4360" s="1" t="s">
        <v>28</v>
      </c>
      <c r="E4360" s="1" t="s">
        <v>29</v>
      </c>
      <c r="F4360" s="5">
        <v>100000.0</v>
      </c>
      <c r="G4360" s="1" t="s">
        <v>7016</v>
      </c>
      <c r="H4360" s="4">
        <v>44625.0</v>
      </c>
      <c r="I4360" s="1" t="s">
        <v>80</v>
      </c>
      <c r="K4360" s="1">
        <v>0.0</v>
      </c>
      <c r="L4360" s="1" t="s">
        <v>4822</v>
      </c>
      <c r="M4360" s="1" t="str">
        <f>VLOOKUP(L4360,'Copy of PMD Workday Constants -'!B4359:W5045,22,false)</f>
        <v>#N/A</v>
      </c>
      <c r="N4360" s="1" t="s">
        <v>32</v>
      </c>
      <c r="O4360" s="1" t="s">
        <v>33</v>
      </c>
      <c r="P4360" s="1" t="s">
        <v>222</v>
      </c>
      <c r="Q4360" s="1" t="s">
        <v>222</v>
      </c>
      <c r="R4360" s="1" t="s">
        <v>223</v>
      </c>
      <c r="T4360" s="1">
        <v>1.00619685E8</v>
      </c>
      <c r="W4360" s="1" t="s">
        <v>250</v>
      </c>
      <c r="X4360" s="1" t="s">
        <v>4822</v>
      </c>
    </row>
    <row r="4361">
      <c r="A4361" s="1" t="s">
        <v>12378</v>
      </c>
      <c r="B4361" s="1" t="s">
        <v>573</v>
      </c>
      <c r="C4361" s="1" t="s">
        <v>12379</v>
      </c>
      <c r="D4361" s="1" t="s">
        <v>79</v>
      </c>
      <c r="E4361" s="1" t="s">
        <v>29</v>
      </c>
      <c r="F4361" s="5">
        <v>100000.0</v>
      </c>
      <c r="G4361" s="1" t="s">
        <v>7016</v>
      </c>
      <c r="H4361" s="4">
        <v>44839.0</v>
      </c>
      <c r="I4361" s="1" t="s">
        <v>80</v>
      </c>
      <c r="K4361" s="1">
        <v>0.0</v>
      </c>
      <c r="L4361" s="1" t="s">
        <v>4723</v>
      </c>
      <c r="M4361" s="1" t="str">
        <f>VLOOKUP(L4361,'Copy of PMD Workday Constants -'!B4360:W5046,22,false)</f>
        <v>#N/A</v>
      </c>
      <c r="N4361" s="1" t="s">
        <v>32</v>
      </c>
      <c r="O4361" s="1" t="s">
        <v>33</v>
      </c>
      <c r="P4361" s="1" t="s">
        <v>210</v>
      </c>
      <c r="Q4361" s="1" t="s">
        <v>210</v>
      </c>
      <c r="R4361" s="1" t="s">
        <v>211</v>
      </c>
      <c r="S4361" s="1" t="s">
        <v>1313</v>
      </c>
      <c r="T4361" s="1">
        <v>1.00585834E8</v>
      </c>
      <c r="W4361" s="1" t="s">
        <v>577</v>
      </c>
      <c r="X4361" s="1" t="s">
        <v>11077</v>
      </c>
    </row>
    <row r="4362">
      <c r="A4362" s="1" t="s">
        <v>12380</v>
      </c>
      <c r="B4362" s="1" t="s">
        <v>12381</v>
      </c>
      <c r="C4362" s="1" t="s">
        <v>12382</v>
      </c>
      <c r="D4362" s="1" t="s">
        <v>28</v>
      </c>
      <c r="E4362" s="1" t="s">
        <v>29</v>
      </c>
      <c r="F4362" s="5">
        <v>100000.0</v>
      </c>
      <c r="G4362" s="1" t="s">
        <v>7016</v>
      </c>
      <c r="H4362" s="4">
        <v>44294.0</v>
      </c>
      <c r="I4362" s="1" t="s">
        <v>80</v>
      </c>
      <c r="K4362" s="1">
        <v>0.0</v>
      </c>
      <c r="L4362" s="1" t="s">
        <v>2417</v>
      </c>
      <c r="M4362" s="1" t="str">
        <f>VLOOKUP(L4362,'Copy of PMD Workday Constants -'!B4361:W5047,22,false)</f>
        <v>#N/A</v>
      </c>
      <c r="N4362" s="1" t="s">
        <v>32</v>
      </c>
      <c r="O4362" s="1" t="s">
        <v>33</v>
      </c>
      <c r="P4362" s="1" t="s">
        <v>34</v>
      </c>
      <c r="Q4362" s="1" t="s">
        <v>34</v>
      </c>
      <c r="R4362" s="1" t="s">
        <v>35</v>
      </c>
      <c r="T4362" s="1">
        <v>1.00642238E8</v>
      </c>
      <c r="W4362" s="1" t="s">
        <v>115</v>
      </c>
      <c r="X4362" s="1" t="s">
        <v>3112</v>
      </c>
    </row>
    <row r="4363">
      <c r="A4363" s="1" t="s">
        <v>12383</v>
      </c>
      <c r="B4363" s="1" t="s">
        <v>489</v>
      </c>
      <c r="C4363" s="1" t="s">
        <v>12384</v>
      </c>
      <c r="D4363" s="1" t="s">
        <v>28</v>
      </c>
      <c r="E4363" s="1" t="s">
        <v>29</v>
      </c>
      <c r="F4363" s="5">
        <v>100000.0</v>
      </c>
      <c r="G4363" s="1" t="s">
        <v>7016</v>
      </c>
      <c r="H4363" s="1" t="s">
        <v>2054</v>
      </c>
      <c r="I4363" s="1" t="s">
        <v>400</v>
      </c>
      <c r="K4363" s="1">
        <v>0.0</v>
      </c>
      <c r="L4363" s="1" t="s">
        <v>1151</v>
      </c>
      <c r="M4363" s="1" t="str">
        <f>VLOOKUP(L4363,'Copy of PMD Workday Constants -'!B4362:W5048,22,false)</f>
        <v>#N/A</v>
      </c>
      <c r="N4363" s="1" t="s">
        <v>32</v>
      </c>
      <c r="O4363" s="1" t="s">
        <v>33</v>
      </c>
      <c r="P4363" s="1" t="s">
        <v>173</v>
      </c>
      <c r="Q4363" s="1" t="s">
        <v>173</v>
      </c>
      <c r="R4363" s="1" t="s">
        <v>174</v>
      </c>
      <c r="S4363" s="1" t="s">
        <v>612</v>
      </c>
      <c r="T4363" s="1">
        <v>1.00654991E8</v>
      </c>
      <c r="W4363" s="1" t="s">
        <v>493</v>
      </c>
      <c r="X4363" s="1" t="s">
        <v>4072</v>
      </c>
    </row>
    <row r="4364">
      <c r="A4364" s="1" t="s">
        <v>12385</v>
      </c>
      <c r="B4364" s="1" t="s">
        <v>1631</v>
      </c>
      <c r="C4364" s="1" t="s">
        <v>12386</v>
      </c>
      <c r="D4364" s="1" t="s">
        <v>51</v>
      </c>
      <c r="E4364" s="1" t="s">
        <v>29</v>
      </c>
      <c r="F4364" s="5">
        <v>100000.0</v>
      </c>
      <c r="G4364" s="1" t="s">
        <v>7016</v>
      </c>
      <c r="H4364" s="4">
        <v>44625.0</v>
      </c>
      <c r="I4364" s="1" t="s">
        <v>302</v>
      </c>
      <c r="K4364" s="1">
        <v>0.0</v>
      </c>
      <c r="L4364" s="1" t="s">
        <v>3345</v>
      </c>
      <c r="M4364" s="1" t="str">
        <f>VLOOKUP(L4364,'Copy of PMD Workday Constants -'!B4363:W5049,22,false)</f>
        <v>#N/A</v>
      </c>
      <c r="N4364" s="1" t="s">
        <v>32</v>
      </c>
      <c r="O4364" s="1" t="s">
        <v>33</v>
      </c>
      <c r="P4364" s="1" t="s">
        <v>64</v>
      </c>
      <c r="Q4364" s="1" t="s">
        <v>64</v>
      </c>
      <c r="R4364" s="1" t="s">
        <v>65</v>
      </c>
      <c r="S4364" s="1" t="s">
        <v>791</v>
      </c>
      <c r="T4364" s="1">
        <v>1.0105484E8</v>
      </c>
      <c r="W4364" s="1" t="s">
        <v>456</v>
      </c>
      <c r="X4364" s="1" t="s">
        <v>3345</v>
      </c>
    </row>
    <row r="4365">
      <c r="A4365" s="1" t="s">
        <v>12387</v>
      </c>
      <c r="B4365" s="1" t="s">
        <v>450</v>
      </c>
      <c r="C4365" s="1" t="s">
        <v>12388</v>
      </c>
      <c r="D4365" s="1" t="s">
        <v>28</v>
      </c>
      <c r="E4365" s="1" t="s">
        <v>29</v>
      </c>
      <c r="F4365" s="5">
        <v>100000.0</v>
      </c>
      <c r="G4365" s="1" t="s">
        <v>7016</v>
      </c>
      <c r="H4365" s="1" t="s">
        <v>569</v>
      </c>
      <c r="I4365" s="1" t="s">
        <v>104</v>
      </c>
      <c r="K4365" s="1">
        <v>0.0</v>
      </c>
      <c r="L4365" s="1" t="s">
        <v>454</v>
      </c>
      <c r="M4365" s="1" t="str">
        <f>VLOOKUP(L4365,'Copy of PMD Workday Constants -'!B4364:W5050,22,false)</f>
        <v>#N/A</v>
      </c>
      <c r="N4365" s="1" t="s">
        <v>32</v>
      </c>
      <c r="O4365" s="1" t="s">
        <v>33</v>
      </c>
      <c r="P4365" s="1" t="s">
        <v>112</v>
      </c>
      <c r="Q4365" s="1" t="s">
        <v>112</v>
      </c>
      <c r="R4365" s="1" t="s">
        <v>113</v>
      </c>
      <c r="S4365" s="1" t="s">
        <v>455</v>
      </c>
      <c r="T4365" s="1">
        <v>1.00611486E8</v>
      </c>
      <c r="W4365" s="1" t="s">
        <v>456</v>
      </c>
      <c r="X4365" s="1" t="s">
        <v>11915</v>
      </c>
    </row>
    <row r="4366">
      <c r="A4366" s="1" t="s">
        <v>12389</v>
      </c>
      <c r="B4366" s="1" t="s">
        <v>12390</v>
      </c>
      <c r="C4366" s="1" t="s">
        <v>12391</v>
      </c>
      <c r="D4366" s="1" t="s">
        <v>51</v>
      </c>
      <c r="E4366" s="1" t="s">
        <v>29</v>
      </c>
      <c r="F4366" s="5">
        <v>100000.0</v>
      </c>
      <c r="G4366" s="1" t="s">
        <v>7016</v>
      </c>
      <c r="H4366" s="4">
        <v>44625.0</v>
      </c>
      <c r="I4366" s="1" t="s">
        <v>152</v>
      </c>
      <c r="K4366" s="1">
        <v>0.0</v>
      </c>
      <c r="L4366" s="1" t="s">
        <v>491</v>
      </c>
      <c r="M4366" s="1" t="str">
        <f>VLOOKUP(L4366,'Copy of PMD Workday Constants -'!B4365:W5051,22,false)</f>
        <v>#N/A</v>
      </c>
      <c r="N4366" s="1" t="s">
        <v>32</v>
      </c>
      <c r="O4366" s="1" t="s">
        <v>33</v>
      </c>
      <c r="P4366" s="1" t="s">
        <v>112</v>
      </c>
      <c r="Q4366" s="1" t="s">
        <v>112</v>
      </c>
      <c r="R4366" s="1" t="s">
        <v>113</v>
      </c>
      <c r="S4366" s="1" t="s">
        <v>492</v>
      </c>
      <c r="T4366" s="1">
        <v>1.00623914E8</v>
      </c>
      <c r="X4366" s="1" t="s">
        <v>12392</v>
      </c>
    </row>
    <row r="4367">
      <c r="A4367" s="1" t="s">
        <v>12393</v>
      </c>
      <c r="B4367" s="1" t="s">
        <v>5989</v>
      </c>
      <c r="C4367" s="1" t="s">
        <v>12394</v>
      </c>
      <c r="D4367" s="1" t="s">
        <v>28</v>
      </c>
      <c r="E4367" s="1" t="s">
        <v>29</v>
      </c>
      <c r="F4367" s="5">
        <v>100000.0</v>
      </c>
      <c r="G4367" s="1" t="s">
        <v>7016</v>
      </c>
      <c r="H4367" s="4">
        <v>44511.0</v>
      </c>
      <c r="I4367" s="1" t="s">
        <v>43</v>
      </c>
      <c r="K4367" s="1">
        <v>0.0</v>
      </c>
      <c r="L4367" s="1" t="s">
        <v>2310</v>
      </c>
      <c r="M4367" s="1" t="str">
        <f>VLOOKUP(L4367,'Copy of PMD Workday Constants -'!B4366:W5052,22,false)</f>
        <v>#N/A</v>
      </c>
      <c r="N4367" s="1" t="s">
        <v>32</v>
      </c>
      <c r="O4367" s="1" t="s">
        <v>33</v>
      </c>
      <c r="P4367" s="1" t="s">
        <v>82</v>
      </c>
      <c r="Q4367" s="1" t="s">
        <v>82</v>
      </c>
      <c r="R4367" s="1" t="s">
        <v>83</v>
      </c>
      <c r="S4367" s="1" t="s">
        <v>180</v>
      </c>
      <c r="T4367" s="1">
        <v>1.01078216E8</v>
      </c>
      <c r="W4367" s="1" t="s">
        <v>85</v>
      </c>
      <c r="X4367" s="1" t="s">
        <v>2310</v>
      </c>
    </row>
    <row r="4368">
      <c r="A4368" s="1" t="s">
        <v>12395</v>
      </c>
      <c r="B4368" s="1" t="s">
        <v>12396</v>
      </c>
      <c r="C4368" s="1" t="s">
        <v>12397</v>
      </c>
      <c r="D4368" s="1" t="s">
        <v>28</v>
      </c>
      <c r="E4368" s="1" t="s">
        <v>29</v>
      </c>
      <c r="F4368" s="5">
        <v>100000.0</v>
      </c>
      <c r="G4368" s="1" t="s">
        <v>7016</v>
      </c>
      <c r="H4368" s="4">
        <v>44511.0</v>
      </c>
      <c r="I4368" s="1" t="s">
        <v>43</v>
      </c>
      <c r="K4368" s="1">
        <v>0.0</v>
      </c>
      <c r="L4368" s="1" t="s">
        <v>2310</v>
      </c>
      <c r="M4368" s="1" t="str">
        <f>VLOOKUP(L4368,'Copy of PMD Workday Constants -'!B4367:W5053,22,false)</f>
        <v>#N/A</v>
      </c>
      <c r="N4368" s="1" t="s">
        <v>32</v>
      </c>
      <c r="O4368" s="1" t="s">
        <v>33</v>
      </c>
      <c r="P4368" s="1" t="s">
        <v>82</v>
      </c>
      <c r="Q4368" s="1" t="s">
        <v>82</v>
      </c>
      <c r="R4368" s="1" t="s">
        <v>83</v>
      </c>
      <c r="S4368" s="1" t="s">
        <v>180</v>
      </c>
      <c r="T4368" s="1">
        <v>1.01078216E8</v>
      </c>
      <c r="W4368" s="1" t="s">
        <v>47</v>
      </c>
      <c r="X4368" s="1" t="s">
        <v>2310</v>
      </c>
    </row>
    <row r="4369">
      <c r="A4369" s="1" t="s">
        <v>12398</v>
      </c>
      <c r="B4369" s="1" t="s">
        <v>324</v>
      </c>
      <c r="C4369" s="1" t="s">
        <v>12399</v>
      </c>
      <c r="D4369" s="1" t="s">
        <v>51</v>
      </c>
      <c r="E4369" s="1" t="s">
        <v>29</v>
      </c>
      <c r="F4369" s="5">
        <v>100000.0</v>
      </c>
      <c r="G4369" s="1" t="s">
        <v>7016</v>
      </c>
      <c r="H4369" s="1" t="s">
        <v>526</v>
      </c>
      <c r="I4369" s="1" t="s">
        <v>3052</v>
      </c>
      <c r="K4369" s="1">
        <v>0.0</v>
      </c>
      <c r="L4369" s="1" t="s">
        <v>3333</v>
      </c>
      <c r="M4369" s="1" t="str">
        <f>VLOOKUP(L4369,'Copy of PMD Workday Constants -'!B4368:W5054,22,false)</f>
        <v>#N/A</v>
      </c>
      <c r="N4369" s="1" t="s">
        <v>32</v>
      </c>
      <c r="O4369" s="1" t="s">
        <v>33</v>
      </c>
      <c r="P4369" s="1" t="s">
        <v>210</v>
      </c>
      <c r="Q4369" s="1" t="s">
        <v>210</v>
      </c>
      <c r="R4369" s="1" t="s">
        <v>211</v>
      </c>
      <c r="S4369" s="1" t="s">
        <v>212</v>
      </c>
      <c r="T4369" s="1">
        <v>1.00636461E8</v>
      </c>
      <c r="W4369" s="1" t="s">
        <v>56</v>
      </c>
      <c r="X4369" s="1" t="s">
        <v>12400</v>
      </c>
    </row>
    <row r="4370">
      <c r="A4370" s="1" t="s">
        <v>12401</v>
      </c>
      <c r="B4370" s="1" t="s">
        <v>642</v>
      </c>
      <c r="C4370" s="1" t="s">
        <v>12402</v>
      </c>
      <c r="D4370" s="1" t="s">
        <v>28</v>
      </c>
      <c r="E4370" s="1" t="s">
        <v>29</v>
      </c>
      <c r="F4370" s="5">
        <v>100000.0</v>
      </c>
      <c r="G4370" s="1" t="s">
        <v>7016</v>
      </c>
      <c r="H4370" s="4">
        <v>44625.0</v>
      </c>
      <c r="I4370" s="1" t="s">
        <v>132</v>
      </c>
      <c r="K4370" s="1">
        <v>0.0</v>
      </c>
      <c r="L4370" s="1" t="s">
        <v>645</v>
      </c>
      <c r="M4370" s="1" t="str">
        <f>VLOOKUP(L4370,'Copy of PMD Workday Constants -'!B4369:W5055,22,false)</f>
        <v>#N/A</v>
      </c>
      <c r="N4370" s="1" t="s">
        <v>32</v>
      </c>
      <c r="O4370" s="1" t="s">
        <v>33</v>
      </c>
      <c r="P4370" s="1" t="s">
        <v>64</v>
      </c>
      <c r="Q4370" s="1" t="s">
        <v>64</v>
      </c>
      <c r="R4370" s="1" t="s">
        <v>65</v>
      </c>
      <c r="T4370" s="1">
        <v>1.00653597E8</v>
      </c>
      <c r="W4370" s="1" t="s">
        <v>56</v>
      </c>
      <c r="X4370" s="1" t="s">
        <v>1923</v>
      </c>
    </row>
    <row r="4371">
      <c r="A4371" s="1" t="s">
        <v>12403</v>
      </c>
      <c r="B4371" s="1" t="s">
        <v>12404</v>
      </c>
      <c r="C4371" s="1" t="s">
        <v>12405</v>
      </c>
      <c r="D4371" s="1" t="s">
        <v>28</v>
      </c>
      <c r="E4371" s="1" t="s">
        <v>29</v>
      </c>
      <c r="F4371" s="5">
        <v>100000.0</v>
      </c>
      <c r="G4371" s="1" t="s">
        <v>7016</v>
      </c>
      <c r="H4371" s="4">
        <v>44294.0</v>
      </c>
      <c r="I4371" s="1" t="s">
        <v>732</v>
      </c>
      <c r="K4371" s="1">
        <v>0.0</v>
      </c>
      <c r="L4371" s="1" t="s">
        <v>2417</v>
      </c>
      <c r="M4371" s="1" t="str">
        <f>VLOOKUP(L4371,'Copy of PMD Workday Constants -'!B4370:W5056,22,false)</f>
        <v>#N/A</v>
      </c>
      <c r="N4371" s="1" t="s">
        <v>32</v>
      </c>
      <c r="O4371" s="1" t="s">
        <v>33</v>
      </c>
      <c r="P4371" s="1" t="s">
        <v>34</v>
      </c>
      <c r="Q4371" s="1" t="s">
        <v>34</v>
      </c>
      <c r="R4371" s="1" t="s">
        <v>35</v>
      </c>
      <c r="T4371" s="1">
        <v>1.00642238E8</v>
      </c>
      <c r="W4371" s="1" t="s">
        <v>140</v>
      </c>
      <c r="X4371" s="1" t="s">
        <v>3112</v>
      </c>
    </row>
    <row r="4372">
      <c r="A4372" s="1" t="s">
        <v>12406</v>
      </c>
      <c r="B4372" s="1" t="s">
        <v>4986</v>
      </c>
      <c r="C4372" s="1" t="s">
        <v>12407</v>
      </c>
      <c r="D4372" s="1" t="s">
        <v>28</v>
      </c>
      <c r="E4372" s="1" t="s">
        <v>29</v>
      </c>
      <c r="F4372" s="5">
        <v>100000.0</v>
      </c>
      <c r="G4372" s="1" t="s">
        <v>7016</v>
      </c>
      <c r="H4372" s="1" t="s">
        <v>526</v>
      </c>
      <c r="I4372" s="1" t="s">
        <v>104</v>
      </c>
      <c r="K4372" s="1">
        <v>0.0</v>
      </c>
      <c r="L4372" s="1" t="s">
        <v>5161</v>
      </c>
      <c r="M4372" s="1" t="str">
        <f>VLOOKUP(L4372,'Copy of PMD Workday Constants -'!B4371:W5057,22,false)</f>
        <v>#N/A</v>
      </c>
      <c r="N4372" s="1" t="s">
        <v>32</v>
      </c>
      <c r="O4372" s="1" t="s">
        <v>33</v>
      </c>
      <c r="P4372" s="1" t="s">
        <v>112</v>
      </c>
      <c r="Q4372" s="1" t="s">
        <v>112</v>
      </c>
      <c r="R4372" s="1" t="s">
        <v>113</v>
      </c>
      <c r="S4372" s="1" t="s">
        <v>134</v>
      </c>
      <c r="T4372" s="1">
        <v>1.00591654E8</v>
      </c>
      <c r="W4372" s="1" t="s">
        <v>74</v>
      </c>
      <c r="X4372" s="1" t="s">
        <v>7216</v>
      </c>
    </row>
    <row r="4373">
      <c r="A4373" s="1" t="s">
        <v>12408</v>
      </c>
      <c r="B4373" s="1" t="s">
        <v>93</v>
      </c>
      <c r="C4373" s="1" t="s">
        <v>12409</v>
      </c>
      <c r="D4373" s="1" t="s">
        <v>28</v>
      </c>
      <c r="E4373" s="1" t="s">
        <v>29</v>
      </c>
      <c r="F4373" s="5">
        <v>100000.0</v>
      </c>
      <c r="G4373" s="1" t="s">
        <v>7016</v>
      </c>
      <c r="H4373" s="4">
        <v>44625.0</v>
      </c>
      <c r="I4373" s="4">
        <v>44876.0</v>
      </c>
      <c r="K4373" s="1">
        <v>0.0</v>
      </c>
      <c r="L4373" s="1" t="s">
        <v>1916</v>
      </c>
      <c r="M4373" s="1" t="str">
        <f>VLOOKUP(L4373,'Copy of PMD Workday Constants -'!B4372:W5058,22,false)</f>
        <v>#N/A</v>
      </c>
      <c r="N4373" s="1" t="s">
        <v>32</v>
      </c>
      <c r="O4373" s="1" t="s">
        <v>33</v>
      </c>
      <c r="P4373" s="1" t="s">
        <v>222</v>
      </c>
      <c r="Q4373" s="1" t="s">
        <v>222</v>
      </c>
      <c r="R4373" s="1" t="s">
        <v>223</v>
      </c>
      <c r="S4373" s="1" t="s">
        <v>601</v>
      </c>
      <c r="T4373" s="1">
        <v>1.00955805E8</v>
      </c>
      <c r="W4373" s="1" t="s">
        <v>56</v>
      </c>
      <c r="X4373" s="1" t="s">
        <v>12410</v>
      </c>
    </row>
    <row r="4374">
      <c r="A4374" s="1" t="s">
        <v>12411</v>
      </c>
      <c r="B4374" s="1" t="s">
        <v>1449</v>
      </c>
      <c r="C4374" s="1" t="s">
        <v>12412</v>
      </c>
      <c r="D4374" s="1" t="s">
        <v>28</v>
      </c>
      <c r="E4374" s="1" t="s">
        <v>29</v>
      </c>
      <c r="F4374" s="5">
        <v>100000.0</v>
      </c>
      <c r="G4374" s="1" t="s">
        <v>7016</v>
      </c>
      <c r="H4374" s="1" t="s">
        <v>1553</v>
      </c>
      <c r="I4374" s="1" t="s">
        <v>152</v>
      </c>
      <c r="K4374" s="1">
        <v>0.0</v>
      </c>
      <c r="L4374" s="1" t="s">
        <v>9567</v>
      </c>
      <c r="M4374" s="1" t="str">
        <f>VLOOKUP(L4374,'Copy of PMD Workday Constants -'!B4373:W5059,22,false)</f>
        <v>#N/A</v>
      </c>
      <c r="N4374" s="1" t="s">
        <v>32</v>
      </c>
      <c r="O4374" s="1" t="s">
        <v>33</v>
      </c>
      <c r="P4374" s="1" t="s">
        <v>173</v>
      </c>
      <c r="Q4374" s="1" t="s">
        <v>173</v>
      </c>
      <c r="R4374" s="1" t="s">
        <v>174</v>
      </c>
      <c r="T4374" s="1">
        <v>1.0060437E8</v>
      </c>
      <c r="W4374" s="1" t="s">
        <v>493</v>
      </c>
      <c r="X4374" s="1" t="s">
        <v>1451</v>
      </c>
    </row>
    <row r="4375">
      <c r="A4375" s="1" t="s">
        <v>12413</v>
      </c>
      <c r="B4375" s="1" t="s">
        <v>12414</v>
      </c>
      <c r="C4375" s="1" t="s">
        <v>12415</v>
      </c>
      <c r="D4375" s="1" t="s">
        <v>103</v>
      </c>
      <c r="E4375" s="1" t="s">
        <v>29</v>
      </c>
      <c r="F4375" s="5">
        <v>100000.0</v>
      </c>
      <c r="G4375" s="1" t="s">
        <v>7016</v>
      </c>
      <c r="H4375" s="1" t="s">
        <v>2077</v>
      </c>
      <c r="I4375" s="1" t="s">
        <v>6546</v>
      </c>
      <c r="K4375" s="1">
        <v>0.0</v>
      </c>
      <c r="L4375" s="1" t="s">
        <v>10653</v>
      </c>
      <c r="M4375" s="1" t="str">
        <f>VLOOKUP(L4375,'Copy of PMD Workday Constants -'!B4374:W5060,22,false)</f>
        <v>#N/A</v>
      </c>
      <c r="N4375" s="1" t="s">
        <v>32</v>
      </c>
      <c r="O4375" s="1" t="s">
        <v>33</v>
      </c>
      <c r="P4375" s="1" t="s">
        <v>222</v>
      </c>
      <c r="Q4375" s="1" t="s">
        <v>222</v>
      </c>
      <c r="R4375" s="1" t="s">
        <v>223</v>
      </c>
      <c r="S4375" s="1" t="s">
        <v>482</v>
      </c>
      <c r="T4375" s="1">
        <v>1.01154609E8</v>
      </c>
      <c r="W4375" s="1" t="s">
        <v>1801</v>
      </c>
      <c r="X4375" s="1" t="s">
        <v>12416</v>
      </c>
    </row>
    <row r="4376">
      <c r="A4376" s="1" t="s">
        <v>12417</v>
      </c>
      <c r="B4376" s="1" t="s">
        <v>1096</v>
      </c>
      <c r="C4376" s="1" t="s">
        <v>12418</v>
      </c>
      <c r="D4376" s="1" t="s">
        <v>51</v>
      </c>
      <c r="E4376" s="1" t="s">
        <v>29</v>
      </c>
      <c r="F4376" s="5">
        <v>100000.0</v>
      </c>
      <c r="G4376" s="1" t="s">
        <v>7016</v>
      </c>
      <c r="H4376" s="1" t="s">
        <v>442</v>
      </c>
      <c r="I4376" s="1" t="s">
        <v>1746</v>
      </c>
      <c r="K4376" s="1">
        <v>0.0</v>
      </c>
      <c r="L4376" s="1" t="s">
        <v>909</v>
      </c>
      <c r="M4376" s="1" t="str">
        <f>VLOOKUP(L4376,'Copy of PMD Workday Constants -'!B4375:W5061,22,false)</f>
        <v>#N/A</v>
      </c>
      <c r="N4376" s="1" t="s">
        <v>32</v>
      </c>
      <c r="O4376" s="1" t="s">
        <v>33</v>
      </c>
      <c r="P4376" s="1" t="s">
        <v>82</v>
      </c>
      <c r="Q4376" s="1" t="s">
        <v>82</v>
      </c>
      <c r="R4376" s="1" t="s">
        <v>83</v>
      </c>
      <c r="S4376" s="1" t="s">
        <v>84</v>
      </c>
      <c r="T4376" s="1">
        <v>1.00649698E8</v>
      </c>
      <c r="W4376" s="1" t="s">
        <v>456</v>
      </c>
      <c r="X4376" s="1" t="s">
        <v>12419</v>
      </c>
    </row>
    <row r="4377">
      <c r="A4377" s="1" t="s">
        <v>12420</v>
      </c>
      <c r="B4377" s="1" t="s">
        <v>3094</v>
      </c>
      <c r="C4377" s="1" t="s">
        <v>12421</v>
      </c>
      <c r="D4377" s="1" t="s">
        <v>28</v>
      </c>
      <c r="E4377" s="1" t="s">
        <v>29</v>
      </c>
      <c r="F4377" s="5">
        <v>100000.0</v>
      </c>
      <c r="G4377" s="1" t="s">
        <v>7016</v>
      </c>
      <c r="H4377" s="4">
        <v>43932.0</v>
      </c>
      <c r="I4377" s="1" t="s">
        <v>400</v>
      </c>
      <c r="K4377" s="1">
        <v>0.0</v>
      </c>
      <c r="L4377" s="1" t="s">
        <v>3596</v>
      </c>
      <c r="M4377" s="1" t="str">
        <f>VLOOKUP(L4377,'Copy of PMD Workday Constants -'!B4376:W5062,22,false)</f>
        <v>#N/A</v>
      </c>
      <c r="N4377" s="1" t="s">
        <v>32</v>
      </c>
      <c r="O4377" s="1" t="s">
        <v>33</v>
      </c>
      <c r="P4377" s="1" t="s">
        <v>210</v>
      </c>
      <c r="Q4377" s="1" t="s">
        <v>210</v>
      </c>
      <c r="R4377" s="1" t="s">
        <v>211</v>
      </c>
      <c r="S4377" s="1" t="s">
        <v>416</v>
      </c>
      <c r="T4377" s="1">
        <v>1.00659524E8</v>
      </c>
      <c r="W4377" s="1" t="s">
        <v>56</v>
      </c>
      <c r="X4377" s="1" t="s">
        <v>3162</v>
      </c>
    </row>
    <row r="4378">
      <c r="A4378" s="1" t="s">
        <v>12422</v>
      </c>
      <c r="B4378" s="1" t="s">
        <v>324</v>
      </c>
      <c r="C4378" s="1" t="s">
        <v>12423</v>
      </c>
      <c r="D4378" s="1" t="s">
        <v>51</v>
      </c>
      <c r="E4378" s="1" t="s">
        <v>29</v>
      </c>
      <c r="F4378" s="5">
        <v>100000.0</v>
      </c>
      <c r="G4378" s="1" t="s">
        <v>7016</v>
      </c>
      <c r="H4378" s="1" t="s">
        <v>131</v>
      </c>
      <c r="I4378" s="1" t="s">
        <v>104</v>
      </c>
      <c r="K4378" s="1">
        <v>0.0</v>
      </c>
      <c r="L4378" s="1" t="s">
        <v>12424</v>
      </c>
      <c r="M4378" s="1" t="str">
        <f>VLOOKUP(L4378,'Copy of PMD Workday Constants -'!B4377:W5063,22,false)</f>
        <v>#N/A</v>
      </c>
      <c r="N4378" s="1" t="s">
        <v>32</v>
      </c>
      <c r="O4378" s="1" t="s">
        <v>33</v>
      </c>
      <c r="P4378" s="1" t="s">
        <v>210</v>
      </c>
      <c r="Q4378" s="1" t="s">
        <v>210</v>
      </c>
      <c r="R4378" s="1" t="s">
        <v>211</v>
      </c>
      <c r="S4378" s="1" t="s">
        <v>212</v>
      </c>
      <c r="T4378" s="1">
        <v>1.00980598E8</v>
      </c>
      <c r="W4378" s="1" t="s">
        <v>56</v>
      </c>
      <c r="X4378" s="1" t="s">
        <v>12425</v>
      </c>
    </row>
    <row r="4379">
      <c r="A4379" s="1" t="s">
        <v>12426</v>
      </c>
      <c r="B4379" s="1" t="s">
        <v>1562</v>
      </c>
      <c r="C4379" s="1" t="s">
        <v>12427</v>
      </c>
      <c r="D4379" s="1" t="s">
        <v>28</v>
      </c>
      <c r="E4379" s="1" t="s">
        <v>29</v>
      </c>
      <c r="F4379" s="5">
        <v>100000.0</v>
      </c>
      <c r="G4379" s="1" t="s">
        <v>7016</v>
      </c>
      <c r="H4379" s="1" t="s">
        <v>778</v>
      </c>
      <c r="I4379" s="1" t="s">
        <v>80</v>
      </c>
      <c r="K4379" s="1">
        <v>0.0</v>
      </c>
      <c r="L4379" s="1" t="s">
        <v>10300</v>
      </c>
      <c r="M4379" s="1" t="str">
        <f>VLOOKUP(L4379,'Copy of PMD Workday Constants -'!B4378:W5064,22,false)</f>
        <v>#N/A</v>
      </c>
      <c r="N4379" s="1" t="s">
        <v>32</v>
      </c>
      <c r="O4379" s="1" t="s">
        <v>33</v>
      </c>
      <c r="P4379" s="1" t="s">
        <v>173</v>
      </c>
      <c r="Q4379" s="1" t="s">
        <v>173</v>
      </c>
      <c r="R4379" s="1" t="s">
        <v>174</v>
      </c>
      <c r="S4379" s="1" t="s">
        <v>612</v>
      </c>
      <c r="T4379" s="1">
        <v>1.00875147E8</v>
      </c>
      <c r="W4379" s="1" t="s">
        <v>140</v>
      </c>
      <c r="X4379" s="1" t="s">
        <v>836</v>
      </c>
    </row>
    <row r="4380">
      <c r="A4380" s="1" t="s">
        <v>12428</v>
      </c>
      <c r="B4380" s="1" t="s">
        <v>9873</v>
      </c>
      <c r="C4380" s="1" t="s">
        <v>12429</v>
      </c>
      <c r="D4380" s="1" t="s">
        <v>51</v>
      </c>
      <c r="E4380" s="1" t="s">
        <v>29</v>
      </c>
      <c r="F4380" s="5">
        <v>100000.0</v>
      </c>
      <c r="G4380" s="1" t="s">
        <v>7016</v>
      </c>
      <c r="H4380" s="1" t="s">
        <v>3414</v>
      </c>
      <c r="I4380" s="1" t="s">
        <v>132</v>
      </c>
      <c r="K4380" s="1">
        <v>0.0</v>
      </c>
      <c r="L4380" s="1" t="s">
        <v>1790</v>
      </c>
      <c r="M4380" s="1" t="str">
        <f>VLOOKUP(L4380,'Copy of PMD Workday Constants -'!B4379:W5065,22,false)</f>
        <v>#N/A</v>
      </c>
      <c r="N4380" s="1" t="s">
        <v>32</v>
      </c>
      <c r="O4380" s="1" t="s">
        <v>33</v>
      </c>
      <c r="P4380" s="1" t="s">
        <v>222</v>
      </c>
      <c r="Q4380" s="1" t="s">
        <v>222</v>
      </c>
      <c r="R4380" s="1" t="s">
        <v>223</v>
      </c>
      <c r="S4380" s="1" t="s">
        <v>601</v>
      </c>
      <c r="T4380" s="1">
        <v>1.00645232E8</v>
      </c>
      <c r="W4380" s="1" t="s">
        <v>56</v>
      </c>
      <c r="X4380" s="1" t="s">
        <v>11046</v>
      </c>
    </row>
    <row r="4381">
      <c r="A4381" s="1" t="s">
        <v>12430</v>
      </c>
      <c r="B4381" s="1" t="s">
        <v>6536</v>
      </c>
      <c r="C4381" s="1" t="s">
        <v>12431</v>
      </c>
      <c r="D4381" s="1" t="s">
        <v>28</v>
      </c>
      <c r="E4381" s="1" t="s">
        <v>29</v>
      </c>
      <c r="F4381" s="5">
        <v>100000.0</v>
      </c>
      <c r="G4381" s="1" t="s">
        <v>7016</v>
      </c>
      <c r="H4381" s="1" t="s">
        <v>1672</v>
      </c>
      <c r="I4381" s="1" t="s">
        <v>132</v>
      </c>
      <c r="K4381" s="1">
        <v>0.0</v>
      </c>
      <c r="L4381" s="1" t="s">
        <v>10349</v>
      </c>
      <c r="M4381" s="1" t="str">
        <f>VLOOKUP(L4381,'Copy of PMD Workday Constants -'!B4380:W5066,22,false)</f>
        <v>#N/A</v>
      </c>
      <c r="N4381" s="1" t="s">
        <v>32</v>
      </c>
      <c r="O4381" s="1" t="s">
        <v>33</v>
      </c>
      <c r="P4381" s="1" t="s">
        <v>64</v>
      </c>
      <c r="Q4381" s="1" t="s">
        <v>64</v>
      </c>
      <c r="R4381" s="1" t="s">
        <v>65</v>
      </c>
      <c r="S4381" s="1" t="s">
        <v>153</v>
      </c>
      <c r="T4381" s="1">
        <v>1.00649481E8</v>
      </c>
      <c r="W4381" s="1" t="s">
        <v>85</v>
      </c>
      <c r="X4381" s="1" t="s">
        <v>6478</v>
      </c>
    </row>
    <row r="4382">
      <c r="A4382" s="1" t="s">
        <v>12432</v>
      </c>
      <c r="B4382" s="1" t="s">
        <v>1928</v>
      </c>
      <c r="C4382" s="1" t="s">
        <v>12433</v>
      </c>
      <c r="D4382" s="1" t="s">
        <v>28</v>
      </c>
      <c r="E4382" s="1" t="s">
        <v>29</v>
      </c>
      <c r="F4382" s="5">
        <v>100000.0</v>
      </c>
      <c r="G4382" s="1" t="s">
        <v>7016</v>
      </c>
      <c r="H4382" s="4">
        <v>44623.0</v>
      </c>
      <c r="I4382" s="4">
        <v>44752.0</v>
      </c>
      <c r="K4382" s="1">
        <v>0.0</v>
      </c>
      <c r="L4382" s="1" t="s">
        <v>12434</v>
      </c>
      <c r="M4382" s="1" t="str">
        <f>VLOOKUP(L4382,'Copy of PMD Workday Constants -'!B4381:W5067,22,false)</f>
        <v>#N/A</v>
      </c>
      <c r="N4382" s="1" t="s">
        <v>32</v>
      </c>
      <c r="O4382" s="1" t="s">
        <v>33</v>
      </c>
      <c r="P4382" s="1" t="s">
        <v>64</v>
      </c>
      <c r="Q4382" s="1" t="s">
        <v>64</v>
      </c>
      <c r="R4382" s="1" t="s">
        <v>65</v>
      </c>
      <c r="T4382" s="1">
        <v>1.00650183E8</v>
      </c>
      <c r="W4382" s="1" t="s">
        <v>147</v>
      </c>
      <c r="X4382" s="1" t="s">
        <v>12435</v>
      </c>
    </row>
    <row r="4383">
      <c r="A4383" s="1" t="s">
        <v>12436</v>
      </c>
      <c r="B4383" s="1" t="s">
        <v>12437</v>
      </c>
      <c r="C4383" s="1" t="s">
        <v>12438</v>
      </c>
      <c r="D4383" s="1" t="s">
        <v>79</v>
      </c>
      <c r="E4383" s="1" t="s">
        <v>29</v>
      </c>
      <c r="F4383" s="5">
        <v>100000.0</v>
      </c>
      <c r="G4383" s="1" t="s">
        <v>7016</v>
      </c>
      <c r="H4383" s="4">
        <v>44475.0</v>
      </c>
      <c r="I4383" s="1" t="s">
        <v>302</v>
      </c>
      <c r="K4383" s="1">
        <v>0.0</v>
      </c>
      <c r="L4383" s="1" t="s">
        <v>5558</v>
      </c>
      <c r="M4383" s="1" t="str">
        <f>VLOOKUP(L4383,'Copy of PMD Workday Constants -'!B4382:W5068,22,false)</f>
        <v>#N/A</v>
      </c>
      <c r="N4383" s="1" t="s">
        <v>32</v>
      </c>
      <c r="O4383" s="1" t="s">
        <v>33</v>
      </c>
      <c r="P4383" s="1" t="s">
        <v>222</v>
      </c>
      <c r="Q4383" s="1" t="s">
        <v>222</v>
      </c>
      <c r="R4383" s="1" t="s">
        <v>223</v>
      </c>
      <c r="S4383" s="1" t="s">
        <v>482</v>
      </c>
      <c r="T4383" s="1">
        <v>1.00652479E8</v>
      </c>
      <c r="W4383" s="1" t="s">
        <v>577</v>
      </c>
      <c r="X4383" s="1" t="s">
        <v>12439</v>
      </c>
    </row>
    <row r="4384">
      <c r="A4384" s="1" t="s">
        <v>12440</v>
      </c>
      <c r="B4384" s="1" t="s">
        <v>1373</v>
      </c>
      <c r="C4384" s="1" t="s">
        <v>12441</v>
      </c>
      <c r="D4384" s="1" t="s">
        <v>51</v>
      </c>
      <c r="E4384" s="1" t="s">
        <v>29</v>
      </c>
      <c r="F4384" s="5">
        <v>100000.0</v>
      </c>
      <c r="G4384" s="1" t="s">
        <v>7016</v>
      </c>
      <c r="H4384" s="4">
        <v>44777.0</v>
      </c>
      <c r="I4384" s="1" t="s">
        <v>302</v>
      </c>
      <c r="K4384" s="1">
        <v>0.0</v>
      </c>
      <c r="L4384" s="1" t="s">
        <v>1375</v>
      </c>
      <c r="M4384" s="1" t="str">
        <f>VLOOKUP(L4384,'Copy of PMD Workday Constants -'!B4383:W5069,22,false)</f>
        <v>#N/A</v>
      </c>
      <c r="N4384" s="1" t="s">
        <v>32</v>
      </c>
      <c r="O4384" s="1" t="s">
        <v>33</v>
      </c>
      <c r="P4384" s="1" t="s">
        <v>64</v>
      </c>
      <c r="Q4384" s="1" t="s">
        <v>64</v>
      </c>
      <c r="R4384" s="1" t="s">
        <v>65</v>
      </c>
      <c r="S4384" s="1" t="s">
        <v>185</v>
      </c>
      <c r="T4384" s="1">
        <v>1.00584032E8</v>
      </c>
      <c r="U4384" s="1" t="s">
        <v>12442</v>
      </c>
      <c r="V4384" s="1" t="s">
        <v>781</v>
      </c>
      <c r="W4384" s="1" t="s">
        <v>74</v>
      </c>
      <c r="X4384" s="1" t="s">
        <v>1377</v>
      </c>
    </row>
    <row r="4385">
      <c r="A4385" s="1" t="s">
        <v>12443</v>
      </c>
      <c r="B4385" s="1" t="s">
        <v>12444</v>
      </c>
      <c r="C4385" s="1" t="s">
        <v>12445</v>
      </c>
      <c r="D4385" s="1" t="s">
        <v>79</v>
      </c>
      <c r="E4385" s="1" t="s">
        <v>29</v>
      </c>
      <c r="F4385" s="5">
        <v>100000.0</v>
      </c>
      <c r="G4385" s="1" t="s">
        <v>7016</v>
      </c>
      <c r="H4385" s="4">
        <v>44475.0</v>
      </c>
      <c r="I4385" s="1" t="s">
        <v>302</v>
      </c>
      <c r="K4385" s="1">
        <v>0.0</v>
      </c>
      <c r="L4385" s="1" t="s">
        <v>5558</v>
      </c>
      <c r="M4385" s="1" t="str">
        <f>VLOOKUP(L4385,'Copy of PMD Workday Constants -'!B4384:W5070,22,false)</f>
        <v>#N/A</v>
      </c>
      <c r="N4385" s="1" t="s">
        <v>32</v>
      </c>
      <c r="O4385" s="1" t="s">
        <v>33</v>
      </c>
      <c r="P4385" s="1" t="s">
        <v>222</v>
      </c>
      <c r="Q4385" s="1" t="s">
        <v>222</v>
      </c>
      <c r="R4385" s="1" t="s">
        <v>223</v>
      </c>
      <c r="S4385" s="1" t="s">
        <v>482</v>
      </c>
      <c r="T4385" s="1">
        <v>1.00652479E8</v>
      </c>
      <c r="W4385" s="1" t="s">
        <v>577</v>
      </c>
      <c r="X4385" s="1" t="s">
        <v>12439</v>
      </c>
    </row>
    <row r="4386">
      <c r="A4386" s="1" t="s">
        <v>12446</v>
      </c>
      <c r="B4386" s="1" t="s">
        <v>12444</v>
      </c>
      <c r="C4386" s="1" t="s">
        <v>12447</v>
      </c>
      <c r="D4386" s="1" t="s">
        <v>79</v>
      </c>
      <c r="E4386" s="1" t="s">
        <v>29</v>
      </c>
      <c r="F4386" s="5">
        <v>100000.0</v>
      </c>
      <c r="G4386" s="1" t="s">
        <v>7016</v>
      </c>
      <c r="H4386" s="4">
        <v>44475.0</v>
      </c>
      <c r="I4386" s="1" t="s">
        <v>302</v>
      </c>
      <c r="K4386" s="1">
        <v>0.0</v>
      </c>
      <c r="L4386" s="1" t="s">
        <v>5558</v>
      </c>
      <c r="M4386" s="1" t="str">
        <f>VLOOKUP(L4386,'Copy of PMD Workday Constants -'!B4385:W5071,22,false)</f>
        <v>#N/A</v>
      </c>
      <c r="N4386" s="1" t="s">
        <v>32</v>
      </c>
      <c r="O4386" s="1" t="s">
        <v>33</v>
      </c>
      <c r="P4386" s="1" t="s">
        <v>222</v>
      </c>
      <c r="Q4386" s="1" t="s">
        <v>222</v>
      </c>
      <c r="R4386" s="1" t="s">
        <v>223</v>
      </c>
      <c r="S4386" s="1" t="s">
        <v>482</v>
      </c>
      <c r="T4386" s="1">
        <v>1.00652479E8</v>
      </c>
      <c r="W4386" s="1" t="s">
        <v>577</v>
      </c>
      <c r="X4386" s="1" t="s">
        <v>12439</v>
      </c>
    </row>
    <row r="4387">
      <c r="A4387" s="1" t="s">
        <v>12448</v>
      </c>
      <c r="B4387" s="1" t="s">
        <v>12444</v>
      </c>
      <c r="C4387" s="1" t="s">
        <v>12449</v>
      </c>
      <c r="D4387" s="1" t="s">
        <v>79</v>
      </c>
      <c r="E4387" s="1" t="s">
        <v>29</v>
      </c>
      <c r="F4387" s="5">
        <v>100000.0</v>
      </c>
      <c r="G4387" s="1" t="s">
        <v>7016</v>
      </c>
      <c r="H4387" s="4">
        <v>44475.0</v>
      </c>
      <c r="I4387" s="1" t="s">
        <v>302</v>
      </c>
      <c r="K4387" s="1">
        <v>0.0</v>
      </c>
      <c r="L4387" s="1" t="s">
        <v>5558</v>
      </c>
      <c r="M4387" s="1" t="str">
        <f>VLOOKUP(L4387,'Copy of PMD Workday Constants -'!B4386:W5072,22,false)</f>
        <v>#N/A</v>
      </c>
      <c r="N4387" s="1" t="s">
        <v>32</v>
      </c>
      <c r="O4387" s="1" t="s">
        <v>33</v>
      </c>
      <c r="P4387" s="1" t="s">
        <v>222</v>
      </c>
      <c r="Q4387" s="1" t="s">
        <v>222</v>
      </c>
      <c r="R4387" s="1" t="s">
        <v>223</v>
      </c>
      <c r="S4387" s="1" t="s">
        <v>482</v>
      </c>
      <c r="T4387" s="1">
        <v>1.00652479E8</v>
      </c>
      <c r="W4387" s="1" t="s">
        <v>577</v>
      </c>
      <c r="X4387" s="1" t="s">
        <v>12439</v>
      </c>
    </row>
    <row r="4388">
      <c r="A4388" s="1" t="s">
        <v>12450</v>
      </c>
      <c r="B4388" s="1" t="s">
        <v>4606</v>
      </c>
      <c r="C4388" s="1" t="s">
        <v>12451</v>
      </c>
      <c r="D4388" s="1" t="s">
        <v>103</v>
      </c>
      <c r="E4388" s="1" t="s">
        <v>29</v>
      </c>
      <c r="F4388" s="5">
        <v>100000.0</v>
      </c>
      <c r="G4388" s="1" t="s">
        <v>7016</v>
      </c>
      <c r="H4388" s="4">
        <v>44171.0</v>
      </c>
      <c r="I4388" s="1" t="s">
        <v>80</v>
      </c>
      <c r="K4388" s="1">
        <v>0.0</v>
      </c>
      <c r="L4388" s="1" t="s">
        <v>4608</v>
      </c>
      <c r="M4388" s="1" t="str">
        <f>VLOOKUP(L4388,'Copy of PMD Workday Constants -'!B4387:W5073,22,false)</f>
        <v>#N/A</v>
      </c>
      <c r="N4388" s="1" t="s">
        <v>32</v>
      </c>
      <c r="O4388" s="1" t="s">
        <v>33</v>
      </c>
      <c r="P4388" s="1" t="s">
        <v>222</v>
      </c>
      <c r="Q4388" s="1" t="s">
        <v>222</v>
      </c>
      <c r="R4388" s="1" t="s">
        <v>223</v>
      </c>
      <c r="S4388" s="1" t="s">
        <v>482</v>
      </c>
      <c r="T4388" s="1">
        <v>1.00592715E8</v>
      </c>
      <c r="W4388" s="1" t="s">
        <v>115</v>
      </c>
      <c r="X4388" s="1" t="s">
        <v>12452</v>
      </c>
    </row>
    <row r="4389">
      <c r="A4389" s="1" t="s">
        <v>12453</v>
      </c>
      <c r="B4389" s="1" t="s">
        <v>3343</v>
      </c>
      <c r="C4389" s="1" t="s">
        <v>12454</v>
      </c>
      <c r="D4389" s="1" t="s">
        <v>103</v>
      </c>
      <c r="E4389" s="1" t="s">
        <v>29</v>
      </c>
      <c r="F4389" s="5">
        <v>100000.0</v>
      </c>
      <c r="G4389" s="1" t="s">
        <v>7016</v>
      </c>
      <c r="H4389" s="1" t="s">
        <v>170</v>
      </c>
      <c r="I4389" s="1" t="s">
        <v>104</v>
      </c>
      <c r="K4389" s="1">
        <v>0.0</v>
      </c>
      <c r="L4389" s="1" t="s">
        <v>3345</v>
      </c>
      <c r="M4389" s="1" t="str">
        <f>VLOOKUP(L4389,'Copy of PMD Workday Constants -'!B4388:W5074,22,false)</f>
        <v>#N/A</v>
      </c>
      <c r="N4389" s="1" t="s">
        <v>32</v>
      </c>
      <c r="O4389" s="1" t="s">
        <v>33</v>
      </c>
      <c r="P4389" s="1" t="s">
        <v>64</v>
      </c>
      <c r="Q4389" s="1" t="s">
        <v>64</v>
      </c>
      <c r="R4389" s="1" t="s">
        <v>65</v>
      </c>
      <c r="S4389" s="1" t="s">
        <v>791</v>
      </c>
      <c r="T4389" s="1">
        <v>1.0105484E8</v>
      </c>
      <c r="W4389" s="1" t="s">
        <v>140</v>
      </c>
      <c r="X4389" s="1" t="s">
        <v>547</v>
      </c>
    </row>
    <row r="4390">
      <c r="A4390" s="1" t="s">
        <v>12455</v>
      </c>
      <c r="B4390" s="1" t="s">
        <v>9144</v>
      </c>
      <c r="C4390" s="1" t="s">
        <v>12456</v>
      </c>
      <c r="D4390" s="1" t="s">
        <v>28</v>
      </c>
      <c r="E4390" s="1" t="s">
        <v>29</v>
      </c>
      <c r="F4390" s="5">
        <v>100000.0</v>
      </c>
      <c r="G4390" s="1" t="s">
        <v>7016</v>
      </c>
      <c r="H4390" s="1" t="s">
        <v>816</v>
      </c>
      <c r="I4390" s="1" t="s">
        <v>302</v>
      </c>
      <c r="K4390" s="1">
        <v>0.0</v>
      </c>
      <c r="L4390" s="1" t="s">
        <v>9146</v>
      </c>
      <c r="M4390" s="1" t="str">
        <f>VLOOKUP(L4390,'Copy of PMD Workday Constants -'!B4389:W5075,22,false)</f>
        <v>#N/A</v>
      </c>
      <c r="N4390" s="1" t="s">
        <v>32</v>
      </c>
      <c r="O4390" s="1" t="s">
        <v>33</v>
      </c>
      <c r="P4390" s="1" t="s">
        <v>173</v>
      </c>
      <c r="Q4390" s="1" t="s">
        <v>173</v>
      </c>
      <c r="R4390" s="1" t="s">
        <v>174</v>
      </c>
      <c r="T4390" s="1">
        <v>1.00653538E8</v>
      </c>
      <c r="W4390" s="1" t="s">
        <v>147</v>
      </c>
      <c r="X4390" s="1" t="s">
        <v>559</v>
      </c>
    </row>
    <row r="4391">
      <c r="A4391" s="1" t="s">
        <v>12457</v>
      </c>
      <c r="B4391" s="1" t="s">
        <v>1149</v>
      </c>
      <c r="C4391" s="1" t="s">
        <v>12458</v>
      </c>
      <c r="D4391" s="1" t="s">
        <v>51</v>
      </c>
      <c r="E4391" s="1" t="s">
        <v>29</v>
      </c>
      <c r="F4391" s="5">
        <v>100000.0</v>
      </c>
      <c r="G4391" s="1" t="s">
        <v>7016</v>
      </c>
      <c r="H4391" s="1" t="s">
        <v>3034</v>
      </c>
      <c r="I4391" s="1" t="s">
        <v>104</v>
      </c>
      <c r="K4391" s="1">
        <v>0.0</v>
      </c>
      <c r="L4391" s="1" t="s">
        <v>1151</v>
      </c>
      <c r="M4391" s="1" t="str">
        <f>VLOOKUP(L4391,'Copy of PMD Workday Constants -'!B4390:W5076,22,false)</f>
        <v>#N/A</v>
      </c>
      <c r="N4391" s="1" t="s">
        <v>32</v>
      </c>
      <c r="O4391" s="1" t="s">
        <v>33</v>
      </c>
      <c r="P4391" s="1" t="s">
        <v>173</v>
      </c>
      <c r="Q4391" s="1" t="s">
        <v>173</v>
      </c>
      <c r="R4391" s="1" t="s">
        <v>174</v>
      </c>
      <c r="S4391" s="1" t="s">
        <v>612</v>
      </c>
      <c r="T4391" s="1">
        <v>1.00654991E8</v>
      </c>
      <c r="W4391" s="1" t="s">
        <v>115</v>
      </c>
      <c r="X4391" s="1" t="s">
        <v>1151</v>
      </c>
    </row>
    <row r="4392">
      <c r="A4392" s="1" t="s">
        <v>12459</v>
      </c>
      <c r="B4392" s="1" t="s">
        <v>485</v>
      </c>
      <c r="C4392" s="1" t="s">
        <v>12460</v>
      </c>
      <c r="D4392" s="1" t="s">
        <v>28</v>
      </c>
      <c r="E4392" s="1" t="s">
        <v>29</v>
      </c>
      <c r="F4392" s="5">
        <v>100000.0</v>
      </c>
      <c r="G4392" s="1" t="s">
        <v>7016</v>
      </c>
      <c r="H4392" s="4">
        <v>44446.0</v>
      </c>
      <c r="I4392" s="1" t="s">
        <v>43</v>
      </c>
      <c r="K4392" s="1">
        <v>0.0</v>
      </c>
      <c r="L4392" s="1" t="s">
        <v>2310</v>
      </c>
      <c r="M4392" s="1" t="str">
        <f>VLOOKUP(L4392,'Copy of PMD Workday Constants -'!B4391:W5077,22,false)</f>
        <v>#N/A</v>
      </c>
      <c r="N4392" s="1" t="s">
        <v>32</v>
      </c>
      <c r="O4392" s="1" t="s">
        <v>33</v>
      </c>
      <c r="P4392" s="1" t="s">
        <v>82</v>
      </c>
      <c r="Q4392" s="1" t="s">
        <v>82</v>
      </c>
      <c r="R4392" s="1" t="s">
        <v>83</v>
      </c>
      <c r="S4392" s="1" t="s">
        <v>180</v>
      </c>
      <c r="T4392" s="1">
        <v>1.01078216E8</v>
      </c>
      <c r="W4392" s="1" t="s">
        <v>85</v>
      </c>
      <c r="X4392" s="1" t="s">
        <v>2310</v>
      </c>
    </row>
    <row r="4393">
      <c r="A4393" s="1" t="s">
        <v>12461</v>
      </c>
      <c r="B4393" s="1" t="s">
        <v>12462</v>
      </c>
      <c r="C4393" s="1" t="s">
        <v>12463</v>
      </c>
      <c r="D4393" s="1" t="s">
        <v>28</v>
      </c>
      <c r="E4393" s="1" t="s">
        <v>29</v>
      </c>
      <c r="F4393" s="5">
        <v>100000.0</v>
      </c>
      <c r="G4393" s="1" t="s">
        <v>7016</v>
      </c>
      <c r="H4393" s="4">
        <v>44682.0</v>
      </c>
      <c r="I4393" s="1" t="s">
        <v>80</v>
      </c>
      <c r="K4393" s="1">
        <v>0.0</v>
      </c>
      <c r="L4393" s="1" t="s">
        <v>10851</v>
      </c>
      <c r="M4393" s="1" t="str">
        <f>VLOOKUP(L4393,'Copy of PMD Workday Constants -'!B4392:W5078,22,false)</f>
        <v>#N/A</v>
      </c>
      <c r="N4393" s="1" t="s">
        <v>32</v>
      </c>
      <c r="O4393" s="1" t="s">
        <v>33</v>
      </c>
      <c r="P4393" s="1" t="s">
        <v>222</v>
      </c>
      <c r="Q4393" s="1" t="s">
        <v>222</v>
      </c>
      <c r="R4393" s="1" t="s">
        <v>223</v>
      </c>
      <c r="S4393" s="1" t="s">
        <v>482</v>
      </c>
      <c r="T4393" s="1">
        <v>1.00592873E8</v>
      </c>
      <c r="W4393" s="1" t="s">
        <v>115</v>
      </c>
      <c r="X4393" s="1" t="s">
        <v>10851</v>
      </c>
    </row>
    <row r="4394">
      <c r="A4394" s="1" t="s">
        <v>12464</v>
      </c>
      <c r="B4394" s="1" t="s">
        <v>3151</v>
      </c>
      <c r="C4394" s="1" t="s">
        <v>12465</v>
      </c>
      <c r="D4394" s="1" t="s">
        <v>28</v>
      </c>
      <c r="E4394" s="1" t="s">
        <v>29</v>
      </c>
      <c r="F4394" s="5">
        <v>100000.0</v>
      </c>
      <c r="G4394" s="1" t="s">
        <v>7016</v>
      </c>
      <c r="H4394" s="1" t="s">
        <v>12466</v>
      </c>
      <c r="I4394" s="1" t="s">
        <v>104</v>
      </c>
      <c r="K4394" s="1">
        <v>0.0</v>
      </c>
      <c r="L4394" s="1" t="s">
        <v>5790</v>
      </c>
      <c r="M4394" s="1" t="str">
        <f>VLOOKUP(L4394,'Copy of PMD Workday Constants -'!B4393:W5079,22,false)</f>
        <v>#N/A</v>
      </c>
      <c r="N4394" s="1" t="s">
        <v>32</v>
      </c>
      <c r="O4394" s="1" t="s">
        <v>33</v>
      </c>
      <c r="P4394" s="1" t="s">
        <v>82</v>
      </c>
      <c r="Q4394" s="1" t="s">
        <v>82</v>
      </c>
      <c r="R4394" s="1" t="s">
        <v>83</v>
      </c>
      <c r="S4394" s="1" t="s">
        <v>180</v>
      </c>
      <c r="T4394" s="1">
        <v>1.00634752E8</v>
      </c>
      <c r="W4394" s="1" t="s">
        <v>85</v>
      </c>
      <c r="X4394" s="1" t="s">
        <v>9112</v>
      </c>
    </row>
    <row r="4395">
      <c r="A4395" s="1" t="s">
        <v>12467</v>
      </c>
      <c r="B4395" s="1" t="s">
        <v>4200</v>
      </c>
      <c r="C4395" s="1" t="s">
        <v>12468</v>
      </c>
      <c r="D4395" s="1" t="s">
        <v>51</v>
      </c>
      <c r="E4395" s="1" t="s">
        <v>29</v>
      </c>
      <c r="F4395" s="5">
        <v>100000.0</v>
      </c>
      <c r="G4395" s="1" t="s">
        <v>7016</v>
      </c>
      <c r="H4395" s="4">
        <v>44840.0</v>
      </c>
      <c r="I4395" s="1" t="s">
        <v>104</v>
      </c>
      <c r="K4395" s="1">
        <v>0.0</v>
      </c>
      <c r="L4395" s="1" t="s">
        <v>2630</v>
      </c>
      <c r="M4395" s="1" t="str">
        <f>VLOOKUP(L4395,'Copy of PMD Workday Constants -'!B4394:W5080,22,false)</f>
        <v>#N/A</v>
      </c>
      <c r="N4395" s="1" t="s">
        <v>32</v>
      </c>
      <c r="O4395" s="1" t="s">
        <v>33</v>
      </c>
      <c r="P4395" s="1" t="s">
        <v>34</v>
      </c>
      <c r="Q4395" s="1" t="s">
        <v>34</v>
      </c>
      <c r="R4395" s="1" t="s">
        <v>35</v>
      </c>
      <c r="S4395" s="1" t="s">
        <v>1166</v>
      </c>
      <c r="T4395" s="1">
        <v>1.00606975E8</v>
      </c>
      <c r="W4395" s="1" t="s">
        <v>456</v>
      </c>
      <c r="X4395" s="1" t="s">
        <v>6593</v>
      </c>
    </row>
    <row r="4396">
      <c r="A4396" s="1" t="s">
        <v>12469</v>
      </c>
      <c r="B4396" s="1" t="s">
        <v>418</v>
      </c>
      <c r="C4396" s="1" t="s">
        <v>12470</v>
      </c>
      <c r="D4396" s="1" t="s">
        <v>28</v>
      </c>
      <c r="E4396" s="1" t="s">
        <v>29</v>
      </c>
      <c r="F4396" s="5">
        <v>100000.0</v>
      </c>
      <c r="G4396" s="1" t="s">
        <v>7016</v>
      </c>
      <c r="H4396" s="1" t="s">
        <v>10299</v>
      </c>
      <c r="I4396" s="1" t="s">
        <v>406</v>
      </c>
      <c r="K4396" s="1">
        <v>0.0</v>
      </c>
      <c r="L4396" s="1" t="s">
        <v>821</v>
      </c>
      <c r="M4396" s="1" t="str">
        <f>VLOOKUP(L4396,'Copy of PMD Workday Constants -'!B4395:W5081,22,false)</f>
        <v>#N/A</v>
      </c>
      <c r="N4396" s="1" t="s">
        <v>32</v>
      </c>
      <c r="O4396" s="1" t="s">
        <v>33</v>
      </c>
      <c r="P4396" s="1" t="s">
        <v>210</v>
      </c>
      <c r="Q4396" s="1" t="s">
        <v>210</v>
      </c>
      <c r="R4396" s="1" t="s">
        <v>211</v>
      </c>
      <c r="S4396" s="1" t="s">
        <v>297</v>
      </c>
      <c r="T4396" s="1">
        <v>1.00647674E8</v>
      </c>
      <c r="W4396" s="1" t="s">
        <v>258</v>
      </c>
      <c r="X4396" s="1" t="s">
        <v>12471</v>
      </c>
    </row>
    <row r="4397">
      <c r="A4397" s="1" t="s">
        <v>12472</v>
      </c>
      <c r="B4397" s="1" t="s">
        <v>2172</v>
      </c>
      <c r="C4397" s="1" t="s">
        <v>12473</v>
      </c>
      <c r="D4397" s="1" t="s">
        <v>103</v>
      </c>
      <c r="E4397" s="1" t="s">
        <v>29</v>
      </c>
      <c r="F4397" s="5">
        <v>100000.0</v>
      </c>
      <c r="G4397" s="1" t="s">
        <v>7016</v>
      </c>
      <c r="H4397" s="1" t="s">
        <v>1842</v>
      </c>
      <c r="I4397" s="4">
        <v>44568.0</v>
      </c>
      <c r="K4397" s="1">
        <v>0.0</v>
      </c>
      <c r="L4397" s="1" t="s">
        <v>2174</v>
      </c>
      <c r="M4397" s="1" t="str">
        <f>VLOOKUP(L4397,'Copy of PMD Workday Constants -'!B4396:W5082,22,false)</f>
        <v>#N/A</v>
      </c>
      <c r="N4397" s="1" t="s">
        <v>32</v>
      </c>
      <c r="O4397" s="1" t="s">
        <v>33</v>
      </c>
      <c r="P4397" s="1" t="s">
        <v>112</v>
      </c>
      <c r="Q4397" s="1" t="s">
        <v>112</v>
      </c>
      <c r="R4397" s="1" t="s">
        <v>113</v>
      </c>
      <c r="S4397" s="1" t="s">
        <v>134</v>
      </c>
      <c r="T4397" s="1">
        <v>1.00631322E8</v>
      </c>
      <c r="W4397" s="1" t="s">
        <v>74</v>
      </c>
      <c r="X4397" s="1" t="s">
        <v>2174</v>
      </c>
    </row>
    <row r="4398">
      <c r="A4398" s="1" t="s">
        <v>12474</v>
      </c>
      <c r="B4398" s="1" t="s">
        <v>1775</v>
      </c>
      <c r="C4398" s="1" t="s">
        <v>12475</v>
      </c>
      <c r="D4398" s="1" t="s">
        <v>51</v>
      </c>
      <c r="E4398" s="1" t="s">
        <v>29</v>
      </c>
      <c r="F4398" s="5">
        <v>100000.0</v>
      </c>
      <c r="G4398" s="1" t="s">
        <v>7016</v>
      </c>
      <c r="H4398" s="4">
        <v>44746.0</v>
      </c>
      <c r="I4398" s="1" t="s">
        <v>302</v>
      </c>
      <c r="K4398" s="1">
        <v>0.0</v>
      </c>
      <c r="L4398" s="1" t="s">
        <v>1622</v>
      </c>
      <c r="M4398" s="1" t="str">
        <f>VLOOKUP(L4398,'Copy of PMD Workday Constants -'!B4397:W5083,22,false)</f>
        <v>#N/A</v>
      </c>
      <c r="N4398" s="1" t="s">
        <v>32</v>
      </c>
      <c r="O4398" s="1" t="s">
        <v>33</v>
      </c>
      <c r="P4398" s="1" t="s">
        <v>173</v>
      </c>
      <c r="Q4398" s="1" t="s">
        <v>173</v>
      </c>
      <c r="R4398" s="1" t="s">
        <v>174</v>
      </c>
      <c r="T4398" s="1">
        <v>1.00643454E8</v>
      </c>
      <c r="W4398" s="1" t="s">
        <v>456</v>
      </c>
      <c r="X4398" s="1" t="s">
        <v>10600</v>
      </c>
    </row>
    <row r="4399">
      <c r="A4399" s="1" t="s">
        <v>12476</v>
      </c>
      <c r="B4399" s="1" t="s">
        <v>808</v>
      </c>
      <c r="C4399" s="1" t="s">
        <v>12477</v>
      </c>
      <c r="D4399" s="1" t="s">
        <v>28</v>
      </c>
      <c r="E4399" s="1" t="s">
        <v>29</v>
      </c>
      <c r="F4399" s="5">
        <v>100000.0</v>
      </c>
      <c r="G4399" s="1" t="s">
        <v>7016</v>
      </c>
      <c r="H4399" s="1" t="s">
        <v>2994</v>
      </c>
      <c r="I4399" s="1" t="s">
        <v>810</v>
      </c>
      <c r="K4399" s="1">
        <v>0.0</v>
      </c>
      <c r="L4399" s="1" t="s">
        <v>505</v>
      </c>
      <c r="M4399" s="1" t="str">
        <f>VLOOKUP(L4399,'Copy of PMD Workday Constants -'!B4398:W5084,22,false)</f>
        <v>#N/A</v>
      </c>
      <c r="N4399" s="1" t="s">
        <v>32</v>
      </c>
      <c r="O4399" s="1" t="s">
        <v>33</v>
      </c>
      <c r="P4399" s="1" t="s">
        <v>112</v>
      </c>
      <c r="Q4399" s="1" t="s">
        <v>112</v>
      </c>
      <c r="R4399" s="1" t="s">
        <v>113</v>
      </c>
      <c r="S4399" s="1" t="s">
        <v>126</v>
      </c>
      <c r="T4399" s="1">
        <v>1.0062347E8</v>
      </c>
      <c r="W4399" s="1" t="s">
        <v>308</v>
      </c>
      <c r="X4399" s="1" t="s">
        <v>3435</v>
      </c>
    </row>
    <row r="4400">
      <c r="A4400" s="1" t="s">
        <v>12478</v>
      </c>
      <c r="B4400" s="1" t="s">
        <v>1029</v>
      </c>
      <c r="C4400" s="1" t="s">
        <v>12479</v>
      </c>
      <c r="D4400" s="1" t="s">
        <v>28</v>
      </c>
      <c r="E4400" s="1" t="s">
        <v>29</v>
      </c>
      <c r="F4400" s="5">
        <v>100000.0</v>
      </c>
      <c r="G4400" s="1" t="s">
        <v>7016</v>
      </c>
      <c r="H4400" s="4">
        <v>44626.0</v>
      </c>
      <c r="I4400" s="1" t="s">
        <v>152</v>
      </c>
      <c r="K4400" s="1">
        <v>0.0</v>
      </c>
      <c r="L4400" s="1" t="s">
        <v>428</v>
      </c>
      <c r="M4400" s="1" t="str">
        <f>VLOOKUP(L4400,'Copy of PMD Workday Constants -'!B4399:W5085,22,false)</f>
        <v>#N/A</v>
      </c>
      <c r="N4400" s="1" t="s">
        <v>32</v>
      </c>
      <c r="O4400" s="1" t="s">
        <v>33</v>
      </c>
      <c r="P4400" s="1" t="s">
        <v>173</v>
      </c>
      <c r="Q4400" s="1" t="s">
        <v>173</v>
      </c>
      <c r="R4400" s="1" t="s">
        <v>174</v>
      </c>
      <c r="T4400" s="1">
        <v>1.00654085E8</v>
      </c>
      <c r="W4400" s="1" t="s">
        <v>85</v>
      </c>
      <c r="X4400" s="1" t="s">
        <v>428</v>
      </c>
    </row>
    <row r="4401">
      <c r="A4401" s="1" t="s">
        <v>12480</v>
      </c>
      <c r="B4401" s="1" t="s">
        <v>954</v>
      </c>
      <c r="C4401" s="1" t="s">
        <v>12481</v>
      </c>
      <c r="D4401" s="1" t="s">
        <v>28</v>
      </c>
      <c r="E4401" s="1" t="s">
        <v>29</v>
      </c>
      <c r="F4401" s="5">
        <v>100000.0</v>
      </c>
      <c r="G4401" s="1" t="s">
        <v>7016</v>
      </c>
      <c r="H4401" s="1" t="s">
        <v>4625</v>
      </c>
      <c r="I4401" s="1" t="s">
        <v>152</v>
      </c>
      <c r="K4401" s="1">
        <v>0.0</v>
      </c>
      <c r="L4401" s="1" t="s">
        <v>12482</v>
      </c>
      <c r="M4401" s="1" t="str">
        <f>VLOOKUP(L4401,'Copy of PMD Workday Constants -'!B4400:W5086,22,false)</f>
        <v>#N/A</v>
      </c>
      <c r="N4401" s="1" t="s">
        <v>32</v>
      </c>
      <c r="O4401" s="1" t="s">
        <v>33</v>
      </c>
      <c r="P4401" s="1" t="s">
        <v>173</v>
      </c>
      <c r="Q4401" s="1" t="s">
        <v>173</v>
      </c>
      <c r="R4401" s="1" t="s">
        <v>174</v>
      </c>
      <c r="T4401" s="1">
        <v>1.0115687E8</v>
      </c>
      <c r="W4401" s="1" t="s">
        <v>147</v>
      </c>
      <c r="X4401" s="1" t="s">
        <v>958</v>
      </c>
    </row>
    <row r="4402">
      <c r="A4402" s="1" t="s">
        <v>12483</v>
      </c>
      <c r="B4402" s="1" t="s">
        <v>1285</v>
      </c>
      <c r="C4402" s="1" t="s">
        <v>12484</v>
      </c>
      <c r="D4402" s="1" t="s">
        <v>28</v>
      </c>
      <c r="E4402" s="1" t="s">
        <v>29</v>
      </c>
      <c r="F4402" s="5">
        <v>100000.0</v>
      </c>
      <c r="G4402" s="1" t="s">
        <v>7016</v>
      </c>
      <c r="H4402" s="4">
        <v>44625.0</v>
      </c>
      <c r="I4402" s="1" t="s">
        <v>302</v>
      </c>
      <c r="K4402" s="1">
        <v>0.0</v>
      </c>
      <c r="L4402" s="1" t="s">
        <v>1288</v>
      </c>
      <c r="M4402" s="1" t="str">
        <f>VLOOKUP(L4402,'Copy of PMD Workday Constants -'!B4401:W5087,22,false)</f>
        <v>#N/A</v>
      </c>
      <c r="N4402" s="1" t="s">
        <v>32</v>
      </c>
      <c r="O4402" s="1" t="s">
        <v>33</v>
      </c>
      <c r="P4402" s="1" t="s">
        <v>173</v>
      </c>
      <c r="Q4402" s="1" t="s">
        <v>173</v>
      </c>
      <c r="R4402" s="1" t="s">
        <v>174</v>
      </c>
      <c r="S4402" s="1" t="s">
        <v>1336</v>
      </c>
      <c r="T4402" s="1">
        <v>1.00584043E8</v>
      </c>
      <c r="W4402" s="1" t="s">
        <v>74</v>
      </c>
      <c r="X4402" s="1" t="s">
        <v>1288</v>
      </c>
    </row>
    <row r="4403">
      <c r="A4403" s="1" t="s">
        <v>12485</v>
      </c>
      <c r="B4403" s="1" t="s">
        <v>12486</v>
      </c>
      <c r="C4403" s="1" t="s">
        <v>12487</v>
      </c>
      <c r="D4403" s="1" t="s">
        <v>28</v>
      </c>
      <c r="E4403" s="1" t="s">
        <v>29</v>
      </c>
      <c r="F4403" s="5">
        <v>100000.0</v>
      </c>
      <c r="G4403" s="1" t="s">
        <v>7016</v>
      </c>
      <c r="H4403" s="1" t="s">
        <v>1485</v>
      </c>
      <c r="I4403" s="1" t="s">
        <v>152</v>
      </c>
      <c r="K4403" s="1">
        <v>0.0</v>
      </c>
      <c r="L4403" s="1" t="s">
        <v>3917</v>
      </c>
      <c r="M4403" s="1" t="str">
        <f>VLOOKUP(L4403,'Copy of PMD Workday Constants -'!B4402:W5088,22,false)</f>
        <v>#N/A</v>
      </c>
      <c r="N4403" s="1" t="s">
        <v>32</v>
      </c>
      <c r="O4403" s="1" t="s">
        <v>33</v>
      </c>
      <c r="P4403" s="1" t="s">
        <v>82</v>
      </c>
      <c r="Q4403" s="1" t="s">
        <v>82</v>
      </c>
      <c r="R4403" s="1" t="s">
        <v>83</v>
      </c>
      <c r="S4403" s="1" t="s">
        <v>180</v>
      </c>
      <c r="T4403" s="1">
        <v>1.00611547E8</v>
      </c>
      <c r="W4403" s="1" t="s">
        <v>2098</v>
      </c>
      <c r="X4403" s="1" t="s">
        <v>3917</v>
      </c>
    </row>
    <row r="4404">
      <c r="A4404" s="1" t="s">
        <v>12488</v>
      </c>
      <c r="B4404" s="1" t="s">
        <v>5577</v>
      </c>
      <c r="C4404" s="1" t="s">
        <v>12489</v>
      </c>
      <c r="D4404" s="1" t="s">
        <v>28</v>
      </c>
      <c r="E4404" s="1" t="s">
        <v>29</v>
      </c>
      <c r="F4404" s="5">
        <v>100000.0</v>
      </c>
      <c r="G4404" s="1" t="s">
        <v>7016</v>
      </c>
      <c r="H4404" s="4">
        <v>44622.0</v>
      </c>
      <c r="I4404" s="1" t="s">
        <v>80</v>
      </c>
      <c r="K4404" s="1">
        <v>0.0</v>
      </c>
      <c r="L4404" s="1" t="s">
        <v>7193</v>
      </c>
      <c r="M4404" s="1" t="str">
        <f>VLOOKUP(L4404,'Copy of PMD Workday Constants -'!B4403:W5089,22,false)</f>
        <v>#N/A</v>
      </c>
      <c r="N4404" s="1" t="s">
        <v>32</v>
      </c>
      <c r="O4404" s="1" t="s">
        <v>33</v>
      </c>
      <c r="P4404" s="1" t="s">
        <v>82</v>
      </c>
      <c r="Q4404" s="1" t="s">
        <v>82</v>
      </c>
      <c r="R4404" s="1" t="s">
        <v>83</v>
      </c>
      <c r="S4404" s="1" t="s">
        <v>84</v>
      </c>
      <c r="T4404" s="1">
        <v>1.00635527E8</v>
      </c>
      <c r="W4404" s="1" t="s">
        <v>85</v>
      </c>
      <c r="X4404" s="1" t="s">
        <v>7193</v>
      </c>
    </row>
    <row r="4405">
      <c r="A4405" s="1" t="s">
        <v>12490</v>
      </c>
      <c r="B4405" s="1" t="s">
        <v>954</v>
      </c>
      <c r="C4405" s="1" t="s">
        <v>12491</v>
      </c>
      <c r="D4405" s="1" t="s">
        <v>28</v>
      </c>
      <c r="E4405" s="1" t="s">
        <v>29</v>
      </c>
      <c r="F4405" s="5">
        <v>100000.0</v>
      </c>
      <c r="G4405" s="1" t="s">
        <v>7016</v>
      </c>
      <c r="H4405" s="1" t="s">
        <v>5802</v>
      </c>
      <c r="I4405" s="1" t="s">
        <v>8093</v>
      </c>
      <c r="K4405" s="1">
        <v>0.0</v>
      </c>
      <c r="L4405" s="1" t="s">
        <v>956</v>
      </c>
      <c r="M4405" s="1" t="str">
        <f>VLOOKUP(L4405,'Copy of PMD Workday Constants -'!B4404:W5090,22,false)</f>
        <v>#N/A</v>
      </c>
      <c r="N4405" s="1" t="s">
        <v>32</v>
      </c>
      <c r="O4405" s="1" t="s">
        <v>33</v>
      </c>
      <c r="P4405" s="1" t="s">
        <v>173</v>
      </c>
      <c r="Q4405" s="1" t="s">
        <v>173</v>
      </c>
      <c r="R4405" s="1" t="s">
        <v>174</v>
      </c>
      <c r="S4405" s="1" t="s">
        <v>612</v>
      </c>
      <c r="T4405" s="1">
        <v>1.00623421E8</v>
      </c>
      <c r="W4405" s="1" t="s">
        <v>147</v>
      </c>
      <c r="X4405" s="1" t="s">
        <v>3809</v>
      </c>
    </row>
    <row r="4406">
      <c r="A4406" s="1" t="s">
        <v>12492</v>
      </c>
      <c r="B4406" s="1" t="s">
        <v>1373</v>
      </c>
      <c r="C4406" s="1" t="s">
        <v>12493</v>
      </c>
      <c r="D4406" s="1" t="s">
        <v>103</v>
      </c>
      <c r="E4406" s="1" t="s">
        <v>29</v>
      </c>
      <c r="F4406" s="5">
        <v>100000.0</v>
      </c>
      <c r="G4406" s="1" t="s">
        <v>7016</v>
      </c>
      <c r="H4406" s="1" t="s">
        <v>592</v>
      </c>
      <c r="I4406" s="1" t="s">
        <v>80</v>
      </c>
      <c r="K4406" s="1">
        <v>0.0</v>
      </c>
      <c r="L4406" s="1" t="s">
        <v>3848</v>
      </c>
      <c r="M4406" s="1" t="str">
        <f>VLOOKUP(L4406,'Copy of PMD Workday Constants -'!B4405:W5091,22,false)</f>
        <v>#N/A</v>
      </c>
      <c r="N4406" s="1" t="s">
        <v>32</v>
      </c>
      <c r="O4406" s="1" t="s">
        <v>33</v>
      </c>
      <c r="P4406" s="1" t="s">
        <v>173</v>
      </c>
      <c r="Q4406" s="1" t="s">
        <v>173</v>
      </c>
      <c r="R4406" s="1" t="s">
        <v>174</v>
      </c>
      <c r="S4406" s="1" t="s">
        <v>612</v>
      </c>
      <c r="T4406" s="1">
        <v>1.00654914E8</v>
      </c>
      <c r="W4406" s="1" t="s">
        <v>74</v>
      </c>
      <c r="X4406" s="1" t="s">
        <v>3849</v>
      </c>
    </row>
    <row r="4407">
      <c r="A4407" s="1" t="s">
        <v>12494</v>
      </c>
      <c r="B4407" s="1" t="s">
        <v>93</v>
      </c>
      <c r="C4407" s="1" t="s">
        <v>12495</v>
      </c>
      <c r="D4407" s="1" t="s">
        <v>51</v>
      </c>
      <c r="E4407" s="1" t="s">
        <v>29</v>
      </c>
      <c r="F4407" s="5">
        <v>100000.0</v>
      </c>
      <c r="G4407" s="1" t="s">
        <v>7016</v>
      </c>
      <c r="H4407" s="1" t="s">
        <v>1245</v>
      </c>
      <c r="I4407" s="1" t="s">
        <v>152</v>
      </c>
      <c r="K4407" s="1">
        <v>0.0</v>
      </c>
      <c r="L4407" s="1" t="s">
        <v>1916</v>
      </c>
      <c r="M4407" s="1" t="str">
        <f>VLOOKUP(L4407,'Copy of PMD Workday Constants -'!B4406:W5092,22,false)</f>
        <v>#N/A</v>
      </c>
      <c r="N4407" s="1" t="s">
        <v>32</v>
      </c>
      <c r="O4407" s="1" t="s">
        <v>33</v>
      </c>
      <c r="P4407" s="1" t="s">
        <v>222</v>
      </c>
      <c r="Q4407" s="1" t="s">
        <v>222</v>
      </c>
      <c r="R4407" s="1" t="s">
        <v>223</v>
      </c>
      <c r="S4407" s="1" t="s">
        <v>601</v>
      </c>
      <c r="T4407" s="1">
        <v>1.00955805E8</v>
      </c>
      <c r="W4407" s="1" t="s">
        <v>56</v>
      </c>
      <c r="X4407" s="1" t="s">
        <v>12410</v>
      </c>
    </row>
    <row r="4408">
      <c r="A4408" s="1" t="s">
        <v>12496</v>
      </c>
      <c r="B4408" s="1" t="s">
        <v>3962</v>
      </c>
      <c r="C4408" s="1" t="s">
        <v>12497</v>
      </c>
      <c r="D4408" s="1" t="s">
        <v>28</v>
      </c>
      <c r="E4408" s="1" t="s">
        <v>29</v>
      </c>
      <c r="F4408" s="5">
        <v>100000.0</v>
      </c>
      <c r="G4408" s="1" t="s">
        <v>7016</v>
      </c>
      <c r="H4408" s="1" t="s">
        <v>480</v>
      </c>
      <c r="I4408" s="1" t="s">
        <v>302</v>
      </c>
      <c r="K4408" s="1">
        <v>0.0</v>
      </c>
      <c r="L4408" s="1" t="s">
        <v>1525</v>
      </c>
      <c r="M4408" s="1" t="str">
        <f>VLOOKUP(L4408,'Copy of PMD Workday Constants -'!B4407:W5093,22,false)</f>
        <v>#N/A</v>
      </c>
      <c r="N4408" s="1" t="s">
        <v>32</v>
      </c>
      <c r="O4408" s="1" t="s">
        <v>33</v>
      </c>
      <c r="P4408" s="1" t="s">
        <v>34</v>
      </c>
      <c r="Q4408" s="1" t="s">
        <v>34</v>
      </c>
      <c r="R4408" s="1" t="s">
        <v>35</v>
      </c>
      <c r="S4408" s="1" t="s">
        <v>1166</v>
      </c>
      <c r="T4408" s="1">
        <v>1.00637597E8</v>
      </c>
      <c r="W4408" s="1" t="s">
        <v>456</v>
      </c>
      <c r="X4408" s="1" t="s">
        <v>1525</v>
      </c>
    </row>
    <row r="4409">
      <c r="A4409" s="1" t="s">
        <v>12498</v>
      </c>
      <c r="B4409" s="1" t="s">
        <v>129</v>
      </c>
      <c r="C4409" s="1" t="s">
        <v>12499</v>
      </c>
      <c r="D4409" s="1" t="s">
        <v>51</v>
      </c>
      <c r="E4409" s="1" t="s">
        <v>29</v>
      </c>
      <c r="F4409" s="5">
        <v>100000.0</v>
      </c>
      <c r="G4409" s="1" t="s">
        <v>7016</v>
      </c>
      <c r="H4409" s="1" t="s">
        <v>1245</v>
      </c>
      <c r="I4409" s="1" t="s">
        <v>217</v>
      </c>
      <c r="K4409" s="1">
        <v>0.0</v>
      </c>
      <c r="L4409" s="1" t="s">
        <v>1916</v>
      </c>
      <c r="M4409" s="1" t="str">
        <f>VLOOKUP(L4409,'Copy of PMD Workday Constants -'!B4408:W5094,22,false)</f>
        <v>#N/A</v>
      </c>
      <c r="N4409" s="1" t="s">
        <v>32</v>
      </c>
      <c r="O4409" s="1" t="s">
        <v>33</v>
      </c>
      <c r="P4409" s="1" t="s">
        <v>222</v>
      </c>
      <c r="Q4409" s="1" t="s">
        <v>222</v>
      </c>
      <c r="R4409" s="1" t="s">
        <v>223</v>
      </c>
      <c r="S4409" s="1" t="s">
        <v>601</v>
      </c>
      <c r="T4409" s="1">
        <v>1.00955805E8</v>
      </c>
      <c r="W4409" s="1" t="s">
        <v>308</v>
      </c>
      <c r="X4409" s="1" t="s">
        <v>12410</v>
      </c>
    </row>
    <row r="4410">
      <c r="A4410" s="1" t="s">
        <v>12500</v>
      </c>
      <c r="B4410" s="1" t="s">
        <v>93</v>
      </c>
      <c r="C4410" s="1" t="s">
        <v>12501</v>
      </c>
      <c r="D4410" s="1" t="s">
        <v>51</v>
      </c>
      <c r="E4410" s="1" t="s">
        <v>29</v>
      </c>
      <c r="F4410" s="5">
        <v>100000.0</v>
      </c>
      <c r="G4410" s="1" t="s">
        <v>7016</v>
      </c>
      <c r="H4410" s="1" t="s">
        <v>1245</v>
      </c>
      <c r="I4410" s="4">
        <v>44601.0</v>
      </c>
      <c r="K4410" s="1">
        <v>0.0</v>
      </c>
      <c r="L4410" s="1" t="s">
        <v>1916</v>
      </c>
      <c r="M4410" s="1" t="str">
        <f>VLOOKUP(L4410,'Copy of PMD Workday Constants -'!B4409:W5095,22,false)</f>
        <v>#N/A</v>
      </c>
      <c r="N4410" s="1" t="s">
        <v>32</v>
      </c>
      <c r="O4410" s="1" t="s">
        <v>33</v>
      </c>
      <c r="P4410" s="1" t="s">
        <v>222</v>
      </c>
      <c r="Q4410" s="1" t="s">
        <v>222</v>
      </c>
      <c r="R4410" s="1" t="s">
        <v>223</v>
      </c>
      <c r="S4410" s="1" t="s">
        <v>601</v>
      </c>
      <c r="T4410" s="1">
        <v>1.00955805E8</v>
      </c>
      <c r="W4410" s="1" t="s">
        <v>56</v>
      </c>
      <c r="X4410" s="1" t="s">
        <v>12410</v>
      </c>
    </row>
    <row r="4411">
      <c r="A4411" s="1" t="s">
        <v>12502</v>
      </c>
      <c r="B4411" s="1" t="s">
        <v>5402</v>
      </c>
      <c r="C4411" s="1" t="s">
        <v>12503</v>
      </c>
      <c r="D4411" s="1" t="s">
        <v>28</v>
      </c>
      <c r="E4411" s="1" t="s">
        <v>29</v>
      </c>
      <c r="F4411" s="5">
        <v>100000.0</v>
      </c>
      <c r="G4411" s="1" t="s">
        <v>7016</v>
      </c>
      <c r="H4411" s="4">
        <v>44746.0</v>
      </c>
      <c r="I4411" s="1" t="s">
        <v>80</v>
      </c>
      <c r="K4411" s="1">
        <v>0.0</v>
      </c>
      <c r="L4411" s="1" t="s">
        <v>5404</v>
      </c>
      <c r="M4411" s="1" t="str">
        <f>VLOOKUP(L4411,'Copy of PMD Workday Constants -'!B4410:W5096,22,false)</f>
        <v>#N/A</v>
      </c>
      <c r="N4411" s="1" t="s">
        <v>32</v>
      </c>
      <c r="O4411" s="1" t="s">
        <v>33</v>
      </c>
      <c r="P4411" s="1" t="s">
        <v>64</v>
      </c>
      <c r="Q4411" s="1" t="s">
        <v>64</v>
      </c>
      <c r="R4411" s="1" t="s">
        <v>65</v>
      </c>
      <c r="T4411" s="1">
        <v>1.00650453E8</v>
      </c>
      <c r="W4411" s="1" t="s">
        <v>436</v>
      </c>
      <c r="X4411" s="1" t="s">
        <v>5404</v>
      </c>
    </row>
    <row r="4412">
      <c r="A4412" s="1" t="s">
        <v>12504</v>
      </c>
      <c r="B4412" s="1" t="s">
        <v>5402</v>
      </c>
      <c r="C4412" s="1" t="s">
        <v>12505</v>
      </c>
      <c r="D4412" s="1" t="s">
        <v>28</v>
      </c>
      <c r="E4412" s="1" t="s">
        <v>29</v>
      </c>
      <c r="F4412" s="5">
        <v>100000.0</v>
      </c>
      <c r="G4412" s="1" t="s">
        <v>7016</v>
      </c>
      <c r="H4412" s="4">
        <v>44746.0</v>
      </c>
      <c r="I4412" s="1" t="s">
        <v>80</v>
      </c>
      <c r="K4412" s="1">
        <v>0.0</v>
      </c>
      <c r="L4412" s="1" t="s">
        <v>5404</v>
      </c>
      <c r="M4412" s="1" t="str">
        <f>VLOOKUP(L4412,'Copy of PMD Workday Constants -'!B4411:W5097,22,false)</f>
        <v>#N/A</v>
      </c>
      <c r="N4412" s="1" t="s">
        <v>32</v>
      </c>
      <c r="O4412" s="1" t="s">
        <v>33</v>
      </c>
      <c r="P4412" s="1" t="s">
        <v>64</v>
      </c>
      <c r="Q4412" s="1" t="s">
        <v>64</v>
      </c>
      <c r="R4412" s="1" t="s">
        <v>65</v>
      </c>
      <c r="T4412" s="1">
        <v>1.00650453E8</v>
      </c>
      <c r="W4412" s="1" t="s">
        <v>436</v>
      </c>
      <c r="X4412" s="1" t="s">
        <v>5404</v>
      </c>
    </row>
    <row r="4413">
      <c r="A4413" s="1" t="s">
        <v>12506</v>
      </c>
      <c r="B4413" s="1" t="s">
        <v>4734</v>
      </c>
      <c r="C4413" s="1" t="s">
        <v>12507</v>
      </c>
      <c r="D4413" s="1" t="s">
        <v>51</v>
      </c>
      <c r="E4413" s="1" t="s">
        <v>29</v>
      </c>
      <c r="F4413" s="5">
        <v>100000.0</v>
      </c>
      <c r="G4413" s="1" t="s">
        <v>7016</v>
      </c>
      <c r="H4413" s="1" t="s">
        <v>2463</v>
      </c>
      <c r="I4413" s="1" t="s">
        <v>80</v>
      </c>
      <c r="K4413" s="1">
        <v>0.0</v>
      </c>
      <c r="L4413" s="1" t="s">
        <v>7664</v>
      </c>
      <c r="M4413" s="1" t="str">
        <f>VLOOKUP(L4413,'Copy of PMD Workday Constants -'!B4412:W5098,22,false)</f>
        <v>#N/A</v>
      </c>
      <c r="N4413" s="1" t="s">
        <v>32</v>
      </c>
      <c r="O4413" s="1" t="s">
        <v>33</v>
      </c>
      <c r="P4413" s="1" t="s">
        <v>222</v>
      </c>
      <c r="Q4413" s="1" t="s">
        <v>222</v>
      </c>
      <c r="R4413" s="1" t="s">
        <v>223</v>
      </c>
      <c r="S4413" s="1" t="s">
        <v>601</v>
      </c>
      <c r="T4413" s="1">
        <v>1.00882877E8</v>
      </c>
      <c r="W4413" s="1" t="s">
        <v>308</v>
      </c>
      <c r="X4413" s="1" t="s">
        <v>7664</v>
      </c>
    </row>
    <row r="4414">
      <c r="A4414" s="1" t="s">
        <v>12508</v>
      </c>
      <c r="B4414" s="1" t="s">
        <v>12509</v>
      </c>
      <c r="C4414" s="1" t="s">
        <v>12510</v>
      </c>
      <c r="D4414" s="1" t="s">
        <v>51</v>
      </c>
      <c r="E4414" s="1" t="s">
        <v>29</v>
      </c>
      <c r="F4414" s="5">
        <v>100000.0</v>
      </c>
      <c r="G4414" s="1" t="s">
        <v>7016</v>
      </c>
      <c r="H4414" s="4">
        <v>44900.0</v>
      </c>
      <c r="I4414" s="1" t="s">
        <v>1349</v>
      </c>
      <c r="K4414" s="1">
        <v>0.0</v>
      </c>
      <c r="L4414" s="1" t="s">
        <v>871</v>
      </c>
      <c r="M4414" s="1" t="str">
        <f>VLOOKUP(L4414,'Copy of PMD Workday Constants -'!B4413:W5099,22,false)</f>
        <v>#N/A</v>
      </c>
      <c r="N4414" s="1" t="s">
        <v>32</v>
      </c>
      <c r="O4414" s="1" t="s">
        <v>33</v>
      </c>
      <c r="P4414" s="1" t="s">
        <v>64</v>
      </c>
      <c r="Q4414" s="1" t="s">
        <v>64</v>
      </c>
      <c r="R4414" s="1" t="s">
        <v>65</v>
      </c>
      <c r="T4414" s="1">
        <v>1.00653785E8</v>
      </c>
      <c r="W4414" s="1" t="s">
        <v>287</v>
      </c>
      <c r="X4414" s="1" t="s">
        <v>871</v>
      </c>
    </row>
    <row r="4415">
      <c r="A4415" s="1" t="s">
        <v>12511</v>
      </c>
      <c r="B4415" s="1" t="s">
        <v>12512</v>
      </c>
      <c r="C4415" s="1" t="s">
        <v>12513</v>
      </c>
      <c r="D4415" s="1" t="s">
        <v>51</v>
      </c>
      <c r="E4415" s="1" t="s">
        <v>29</v>
      </c>
      <c r="F4415" s="5">
        <v>100000.0</v>
      </c>
      <c r="G4415" s="1" t="s">
        <v>7016</v>
      </c>
      <c r="H4415" s="1" t="s">
        <v>3808</v>
      </c>
      <c r="I4415" s="1" t="s">
        <v>96</v>
      </c>
      <c r="K4415" s="1">
        <v>0.0</v>
      </c>
      <c r="L4415" s="1" t="s">
        <v>1282</v>
      </c>
      <c r="M4415" s="1" t="str">
        <f>VLOOKUP(L4415,'Copy of PMD Workday Constants -'!B4414:W5100,22,false)</f>
        <v>#N/A</v>
      </c>
      <c r="N4415" s="1" t="s">
        <v>32</v>
      </c>
      <c r="O4415" s="1" t="s">
        <v>33</v>
      </c>
      <c r="P4415" s="1" t="s">
        <v>34</v>
      </c>
      <c r="Q4415" s="1" t="s">
        <v>34</v>
      </c>
      <c r="R4415" s="1" t="s">
        <v>35</v>
      </c>
      <c r="S4415" s="1" t="s">
        <v>1166</v>
      </c>
      <c r="T4415" s="1">
        <v>1.006096E8</v>
      </c>
      <c r="W4415" s="1" t="s">
        <v>456</v>
      </c>
      <c r="X4415" s="1" t="s">
        <v>1165</v>
      </c>
    </row>
    <row r="4416">
      <c r="A4416" s="1" t="s">
        <v>12514</v>
      </c>
      <c r="B4416" s="1" t="s">
        <v>12515</v>
      </c>
      <c r="C4416" s="1" t="s">
        <v>7950</v>
      </c>
      <c r="D4416" s="1" t="s">
        <v>28</v>
      </c>
      <c r="E4416" s="1" t="s">
        <v>29</v>
      </c>
      <c r="F4416" s="5">
        <v>100000.0</v>
      </c>
      <c r="G4416" s="1" t="s">
        <v>7016</v>
      </c>
      <c r="H4416" s="1" t="s">
        <v>1433</v>
      </c>
      <c r="I4416" s="1" t="s">
        <v>264</v>
      </c>
      <c r="K4416" s="1">
        <v>0.0</v>
      </c>
      <c r="L4416" s="1" t="s">
        <v>894</v>
      </c>
      <c r="M4416" s="1" t="str">
        <f>VLOOKUP(L4416,'Copy of PMD Workday Constants -'!B4415:W5101,22,false)</f>
        <v>#N/A</v>
      </c>
      <c r="N4416" s="1" t="s">
        <v>32</v>
      </c>
      <c r="O4416" s="1" t="s">
        <v>33</v>
      </c>
      <c r="P4416" s="1" t="s">
        <v>82</v>
      </c>
      <c r="Q4416" s="1" t="s">
        <v>82</v>
      </c>
      <c r="R4416" s="1" t="s">
        <v>83</v>
      </c>
      <c r="S4416" s="1" t="s">
        <v>180</v>
      </c>
      <c r="T4416" s="1">
        <v>1.01033479E8</v>
      </c>
      <c r="W4416" s="1" t="s">
        <v>115</v>
      </c>
      <c r="X4416" s="1" t="s">
        <v>894</v>
      </c>
    </row>
    <row r="4417">
      <c r="A4417" s="1" t="s">
        <v>12516</v>
      </c>
      <c r="B4417" s="1" t="s">
        <v>1392</v>
      </c>
      <c r="C4417" s="1" t="s">
        <v>12517</v>
      </c>
      <c r="D4417" s="1" t="s">
        <v>28</v>
      </c>
      <c r="E4417" s="1" t="s">
        <v>29</v>
      </c>
      <c r="F4417" s="5">
        <v>100000.0</v>
      </c>
      <c r="G4417" s="1" t="s">
        <v>7016</v>
      </c>
      <c r="H4417" s="4">
        <v>44746.0</v>
      </c>
      <c r="I4417" s="1" t="s">
        <v>43</v>
      </c>
      <c r="K4417" s="1">
        <v>0.0</v>
      </c>
      <c r="L4417" s="1" t="s">
        <v>2819</v>
      </c>
      <c r="M4417" s="1" t="str">
        <f>VLOOKUP(L4417,'Copy of PMD Workday Constants -'!B4416:W5102,22,false)</f>
        <v>#N/A</v>
      </c>
      <c r="N4417" s="1" t="s">
        <v>32</v>
      </c>
      <c r="O4417" s="1" t="s">
        <v>33</v>
      </c>
      <c r="P4417" s="1" t="s">
        <v>34</v>
      </c>
      <c r="Q4417" s="1" t="s">
        <v>34</v>
      </c>
      <c r="R4417" s="1" t="s">
        <v>35</v>
      </c>
      <c r="T4417" s="1">
        <v>1.00602451E8</v>
      </c>
      <c r="W4417" s="1" t="s">
        <v>947</v>
      </c>
      <c r="X4417" s="1" t="s">
        <v>5738</v>
      </c>
    </row>
    <row r="4418">
      <c r="A4418" s="1" t="s">
        <v>12518</v>
      </c>
      <c r="B4418" s="1" t="s">
        <v>2415</v>
      </c>
      <c r="C4418" s="1" t="s">
        <v>12519</v>
      </c>
      <c r="D4418" s="1" t="s">
        <v>28</v>
      </c>
      <c r="E4418" s="1" t="s">
        <v>29</v>
      </c>
      <c r="F4418" s="5">
        <v>100000.0</v>
      </c>
      <c r="G4418" s="1" t="s">
        <v>7016</v>
      </c>
      <c r="H4418" s="1" t="s">
        <v>405</v>
      </c>
      <c r="I4418" s="1" t="s">
        <v>132</v>
      </c>
      <c r="K4418" s="1">
        <v>0.0</v>
      </c>
      <c r="L4418" s="1" t="s">
        <v>2201</v>
      </c>
      <c r="M4418" s="1" t="str">
        <f>VLOOKUP(L4418,'Copy of PMD Workday Constants -'!B4417:W5103,22,false)</f>
        <v>#N/A</v>
      </c>
      <c r="N4418" s="1" t="s">
        <v>32</v>
      </c>
      <c r="O4418" s="1" t="s">
        <v>33</v>
      </c>
      <c r="P4418" s="1" t="s">
        <v>64</v>
      </c>
      <c r="Q4418" s="1" t="s">
        <v>64</v>
      </c>
      <c r="R4418" s="1" t="s">
        <v>65</v>
      </c>
      <c r="S4418" s="1" t="s">
        <v>1336</v>
      </c>
      <c r="T4418" s="1">
        <v>1.00649936E8</v>
      </c>
      <c r="W4418" s="1" t="s">
        <v>258</v>
      </c>
      <c r="X4418" s="1" t="s">
        <v>1791</v>
      </c>
    </row>
    <row r="4419">
      <c r="A4419" s="1" t="s">
        <v>12520</v>
      </c>
      <c r="B4419" s="1" t="s">
        <v>4129</v>
      </c>
      <c r="C4419" s="1" t="s">
        <v>12521</v>
      </c>
      <c r="D4419" s="1" t="s">
        <v>51</v>
      </c>
      <c r="E4419" s="1" t="s">
        <v>29</v>
      </c>
      <c r="F4419" s="5">
        <v>100000.0</v>
      </c>
      <c r="G4419" s="1" t="s">
        <v>7016</v>
      </c>
      <c r="H4419" s="4">
        <v>44267.0</v>
      </c>
      <c r="I4419" s="1" t="s">
        <v>80</v>
      </c>
      <c r="K4419" s="1">
        <v>0.0</v>
      </c>
      <c r="L4419" s="1" t="s">
        <v>1312</v>
      </c>
      <c r="M4419" s="1" t="str">
        <f>VLOOKUP(L4419,'Copy of PMD Workday Constants -'!B4418:W5104,22,false)</f>
        <v>#N/A</v>
      </c>
      <c r="N4419" s="1" t="s">
        <v>32</v>
      </c>
      <c r="O4419" s="1" t="s">
        <v>33</v>
      </c>
      <c r="P4419" s="1" t="s">
        <v>210</v>
      </c>
      <c r="Q4419" s="1" t="s">
        <v>210</v>
      </c>
      <c r="R4419" s="1" t="s">
        <v>211</v>
      </c>
      <c r="S4419" s="1" t="s">
        <v>1313</v>
      </c>
      <c r="T4419" s="1">
        <v>1.00660608E8</v>
      </c>
      <c r="W4419" s="1" t="s">
        <v>258</v>
      </c>
      <c r="X4419" s="1" t="s">
        <v>4357</v>
      </c>
    </row>
    <row r="4420">
      <c r="A4420" s="1" t="s">
        <v>12522</v>
      </c>
      <c r="B4420" s="1" t="s">
        <v>1984</v>
      </c>
      <c r="C4420" s="1" t="s">
        <v>12523</v>
      </c>
      <c r="D4420" s="1" t="s">
        <v>28</v>
      </c>
      <c r="E4420" s="1" t="s">
        <v>29</v>
      </c>
      <c r="F4420" s="5">
        <v>100000.0</v>
      </c>
      <c r="G4420" s="1" t="s">
        <v>7016</v>
      </c>
      <c r="H4420" s="4">
        <v>44081.0</v>
      </c>
      <c r="I4420" s="4">
        <v>44568.0</v>
      </c>
      <c r="K4420" s="1">
        <v>0.0</v>
      </c>
      <c r="L4420" s="1" t="s">
        <v>350</v>
      </c>
      <c r="M4420" s="1" t="str">
        <f>VLOOKUP(L4420,'Copy of PMD Workday Constants -'!B4419:W5105,22,false)</f>
        <v>#N/A</v>
      </c>
      <c r="N4420" s="1" t="s">
        <v>32</v>
      </c>
      <c r="O4420" s="1" t="s">
        <v>33</v>
      </c>
      <c r="P4420" s="1" t="s">
        <v>82</v>
      </c>
      <c r="Q4420" s="1" t="s">
        <v>82</v>
      </c>
      <c r="R4420" s="1" t="s">
        <v>83</v>
      </c>
      <c r="S4420" s="1" t="s">
        <v>180</v>
      </c>
      <c r="T4420" s="1">
        <v>1.00582847E8</v>
      </c>
      <c r="W4420" s="1" t="s">
        <v>2098</v>
      </c>
      <c r="X4420" s="1" t="s">
        <v>350</v>
      </c>
    </row>
    <row r="4421">
      <c r="A4421" s="1" t="s">
        <v>12524</v>
      </c>
      <c r="B4421" s="1" t="s">
        <v>610</v>
      </c>
      <c r="C4421" s="1" t="s">
        <v>12525</v>
      </c>
      <c r="D4421" s="1" t="s">
        <v>28</v>
      </c>
      <c r="E4421" s="1" t="s">
        <v>29</v>
      </c>
      <c r="F4421" s="5">
        <v>100000.0</v>
      </c>
      <c r="G4421" s="1" t="s">
        <v>7016</v>
      </c>
      <c r="H4421" s="1" t="s">
        <v>1433</v>
      </c>
      <c r="I4421" s="1" t="s">
        <v>104</v>
      </c>
      <c r="K4421" s="1">
        <v>0.0</v>
      </c>
      <c r="L4421" s="1" t="s">
        <v>4937</v>
      </c>
      <c r="M4421" s="1" t="str">
        <f>VLOOKUP(L4421,'Copy of PMD Workday Constants -'!B4420:W5106,22,false)</f>
        <v>#N/A</v>
      </c>
      <c r="N4421" s="1" t="s">
        <v>32</v>
      </c>
      <c r="O4421" s="1" t="s">
        <v>33</v>
      </c>
      <c r="P4421" s="1" t="s">
        <v>34</v>
      </c>
      <c r="Q4421" s="1" t="s">
        <v>34</v>
      </c>
      <c r="R4421" s="1" t="s">
        <v>35</v>
      </c>
      <c r="T4421" s="1">
        <v>1.00644939E8</v>
      </c>
      <c r="W4421" s="1" t="s">
        <v>47</v>
      </c>
      <c r="X4421" s="1" t="s">
        <v>1068</v>
      </c>
    </row>
    <row r="4422">
      <c r="A4422" s="1" t="s">
        <v>12526</v>
      </c>
      <c r="B4422" s="1" t="s">
        <v>7446</v>
      </c>
      <c r="C4422" s="1" t="s">
        <v>12527</v>
      </c>
      <c r="D4422" s="1" t="s">
        <v>28</v>
      </c>
      <c r="E4422" s="1" t="s">
        <v>29</v>
      </c>
      <c r="F4422" s="5">
        <v>100000.0</v>
      </c>
      <c r="G4422" s="1" t="s">
        <v>7016</v>
      </c>
      <c r="H4422" s="4">
        <v>44840.0</v>
      </c>
      <c r="I4422" s="1" t="s">
        <v>302</v>
      </c>
      <c r="K4422" s="1">
        <v>0.0</v>
      </c>
      <c r="L4422" s="1" t="s">
        <v>1344</v>
      </c>
      <c r="M4422" s="1" t="str">
        <f>VLOOKUP(L4422,'Copy of PMD Workday Constants -'!B4421:W5107,22,false)</f>
        <v>#N/A</v>
      </c>
      <c r="N4422" s="1" t="s">
        <v>32</v>
      </c>
      <c r="O4422" s="1" t="s">
        <v>33</v>
      </c>
      <c r="P4422" s="1" t="s">
        <v>112</v>
      </c>
      <c r="Q4422" s="1" t="s">
        <v>112</v>
      </c>
      <c r="R4422" s="1" t="s">
        <v>113</v>
      </c>
      <c r="T4422" s="1">
        <v>1.0061941E8</v>
      </c>
      <c r="W4422" s="1" t="s">
        <v>74</v>
      </c>
      <c r="X4422" s="1" t="s">
        <v>11943</v>
      </c>
    </row>
    <row r="4423">
      <c r="A4423" s="1" t="s">
        <v>12528</v>
      </c>
      <c r="B4423" s="1" t="s">
        <v>12529</v>
      </c>
      <c r="C4423" s="1" t="s">
        <v>12530</v>
      </c>
      <c r="D4423" s="1" t="s">
        <v>51</v>
      </c>
      <c r="E4423" s="1" t="s">
        <v>29</v>
      </c>
      <c r="F4423" s="5">
        <v>100000.0</v>
      </c>
      <c r="G4423" s="1" t="s">
        <v>7016</v>
      </c>
      <c r="H4423" s="1" t="s">
        <v>9129</v>
      </c>
      <c r="I4423" s="1" t="s">
        <v>4541</v>
      </c>
      <c r="K4423" s="1">
        <v>0.0</v>
      </c>
      <c r="L4423" s="1" t="s">
        <v>12531</v>
      </c>
      <c r="M4423" s="1" t="str">
        <f>VLOOKUP(L4423,'Copy of PMD Workday Constants -'!B4422:W5108,22,false)</f>
        <v>#N/A</v>
      </c>
      <c r="N4423" s="1" t="s">
        <v>32</v>
      </c>
      <c r="O4423" s="1" t="s">
        <v>33</v>
      </c>
      <c r="P4423" s="1" t="s">
        <v>34</v>
      </c>
      <c r="Q4423" s="1" t="s">
        <v>34</v>
      </c>
      <c r="R4423" s="1" t="s">
        <v>35</v>
      </c>
      <c r="S4423" s="1" t="s">
        <v>126</v>
      </c>
      <c r="T4423" s="1">
        <v>1.00576376E8</v>
      </c>
      <c r="W4423" s="1" t="s">
        <v>74</v>
      </c>
      <c r="X4423" s="1" t="s">
        <v>12532</v>
      </c>
    </row>
    <row r="4424">
      <c r="A4424" s="1" t="s">
        <v>12533</v>
      </c>
      <c r="B4424" s="1" t="s">
        <v>637</v>
      </c>
      <c r="C4424" s="1" t="s">
        <v>12534</v>
      </c>
      <c r="D4424" s="1" t="s">
        <v>28</v>
      </c>
      <c r="E4424" s="1" t="s">
        <v>29</v>
      </c>
      <c r="F4424" s="5">
        <v>100000.0</v>
      </c>
      <c r="G4424" s="1" t="s">
        <v>7016</v>
      </c>
      <c r="H4424" s="1" t="s">
        <v>12535</v>
      </c>
      <c r="I4424" s="1" t="s">
        <v>80</v>
      </c>
      <c r="K4424" s="1">
        <v>0.0</v>
      </c>
      <c r="L4424" s="1" t="s">
        <v>3975</v>
      </c>
      <c r="M4424" s="1" t="str">
        <f>VLOOKUP(L4424,'Copy of PMD Workday Constants -'!B4423:W5109,22,false)</f>
        <v>#N/A</v>
      </c>
      <c r="N4424" s="1" t="s">
        <v>32</v>
      </c>
      <c r="O4424" s="1" t="s">
        <v>33</v>
      </c>
      <c r="P4424" s="1" t="s">
        <v>210</v>
      </c>
      <c r="Q4424" s="1" t="s">
        <v>210</v>
      </c>
      <c r="R4424" s="1" t="s">
        <v>211</v>
      </c>
      <c r="S4424" s="1" t="s">
        <v>212</v>
      </c>
      <c r="T4424" s="1">
        <v>1.00623535E8</v>
      </c>
      <c r="W4424" s="1" t="s">
        <v>56</v>
      </c>
      <c r="X4424" s="1" t="s">
        <v>12536</v>
      </c>
    </row>
    <row r="4425">
      <c r="A4425" s="1" t="s">
        <v>12537</v>
      </c>
      <c r="B4425" s="1" t="s">
        <v>12538</v>
      </c>
      <c r="C4425" s="1" t="s">
        <v>12539</v>
      </c>
      <c r="D4425" s="1" t="s">
        <v>28</v>
      </c>
      <c r="E4425" s="1" t="s">
        <v>29</v>
      </c>
      <c r="F4425" s="5">
        <v>100000.0</v>
      </c>
      <c r="G4425" s="1" t="s">
        <v>7016</v>
      </c>
      <c r="H4425" s="1" t="s">
        <v>5752</v>
      </c>
      <c r="I4425" s="1" t="s">
        <v>80</v>
      </c>
      <c r="K4425" s="1">
        <v>0.0</v>
      </c>
      <c r="L4425" s="1" t="s">
        <v>830</v>
      </c>
      <c r="M4425" s="1" t="str">
        <f>VLOOKUP(L4425,'Copy of PMD Workday Constants -'!B4424:W5110,22,false)</f>
        <v>#N/A</v>
      </c>
      <c r="N4425" s="1" t="s">
        <v>32</v>
      </c>
      <c r="O4425" s="1" t="s">
        <v>33</v>
      </c>
      <c r="P4425" s="1" t="s">
        <v>173</v>
      </c>
      <c r="Q4425" s="1" t="s">
        <v>173</v>
      </c>
      <c r="R4425" s="1" t="s">
        <v>174</v>
      </c>
      <c r="S4425" s="1" t="s">
        <v>612</v>
      </c>
      <c r="T4425" s="1">
        <v>1.00584422E8</v>
      </c>
      <c r="W4425" s="1" t="s">
        <v>147</v>
      </c>
      <c r="X4425" s="1" t="s">
        <v>3157</v>
      </c>
    </row>
    <row r="4426">
      <c r="A4426" s="1" t="s">
        <v>12540</v>
      </c>
      <c r="B4426" s="1" t="s">
        <v>12541</v>
      </c>
      <c r="C4426" s="1" t="s">
        <v>12542</v>
      </c>
      <c r="D4426" s="1" t="s">
        <v>51</v>
      </c>
      <c r="E4426" s="1" t="s">
        <v>29</v>
      </c>
      <c r="F4426" s="5">
        <v>100000.0</v>
      </c>
      <c r="G4426" s="1" t="s">
        <v>7016</v>
      </c>
      <c r="H4426" s="4">
        <v>44598.0</v>
      </c>
      <c r="I4426" s="1" t="s">
        <v>104</v>
      </c>
      <c r="K4426" s="1">
        <v>0.0</v>
      </c>
      <c r="L4426" s="1" t="s">
        <v>1870</v>
      </c>
      <c r="M4426" s="1" t="str">
        <f>VLOOKUP(L4426,'Copy of PMD Workday Constants -'!B4425:W5111,22,false)</f>
        <v>#N/A</v>
      </c>
      <c r="N4426" s="1" t="s">
        <v>32</v>
      </c>
      <c r="O4426" s="1" t="s">
        <v>33</v>
      </c>
      <c r="P4426" s="1" t="s">
        <v>112</v>
      </c>
      <c r="Q4426" s="1" t="s">
        <v>112</v>
      </c>
      <c r="R4426" s="1" t="s">
        <v>113</v>
      </c>
      <c r="S4426" s="1" t="s">
        <v>1336</v>
      </c>
      <c r="T4426" s="1">
        <v>1.00638639E8</v>
      </c>
      <c r="W4426" s="1" t="s">
        <v>436</v>
      </c>
      <c r="X4426" s="1" t="s">
        <v>11136</v>
      </c>
    </row>
    <row r="4427">
      <c r="A4427" s="1" t="s">
        <v>12543</v>
      </c>
      <c r="B4427" s="1" t="s">
        <v>11274</v>
      </c>
      <c r="C4427" s="1" t="s">
        <v>12544</v>
      </c>
      <c r="D4427" s="1" t="s">
        <v>28</v>
      </c>
      <c r="E4427" s="1" t="s">
        <v>29</v>
      </c>
      <c r="F4427" s="5">
        <v>100000.0</v>
      </c>
      <c r="G4427" s="1" t="s">
        <v>7016</v>
      </c>
      <c r="H4427" s="1" t="s">
        <v>5752</v>
      </c>
      <c r="I4427" s="1" t="s">
        <v>191</v>
      </c>
      <c r="K4427" s="1">
        <v>0.0</v>
      </c>
      <c r="L4427" s="1" t="s">
        <v>9146</v>
      </c>
      <c r="M4427" s="1" t="str">
        <f>VLOOKUP(L4427,'Copy of PMD Workday Constants -'!B4426:W5112,22,false)</f>
        <v>#N/A</v>
      </c>
      <c r="N4427" s="1" t="s">
        <v>32</v>
      </c>
      <c r="O4427" s="1" t="s">
        <v>33</v>
      </c>
      <c r="P4427" s="1" t="s">
        <v>173</v>
      </c>
      <c r="Q4427" s="1" t="s">
        <v>173</v>
      </c>
      <c r="R4427" s="1" t="s">
        <v>174</v>
      </c>
      <c r="S4427" s="1" t="s">
        <v>612</v>
      </c>
      <c r="T4427" s="1">
        <v>1.00653538E8</v>
      </c>
      <c r="W4427" s="1" t="s">
        <v>147</v>
      </c>
      <c r="X4427" s="1" t="s">
        <v>3157</v>
      </c>
    </row>
    <row r="4428">
      <c r="A4428" s="1" t="s">
        <v>12545</v>
      </c>
      <c r="B4428" s="1" t="s">
        <v>12546</v>
      </c>
      <c r="C4428" s="1" t="s">
        <v>12547</v>
      </c>
      <c r="D4428" s="1" t="s">
        <v>51</v>
      </c>
      <c r="E4428" s="1" t="s">
        <v>29</v>
      </c>
      <c r="F4428" s="5">
        <v>100000.0</v>
      </c>
      <c r="G4428" s="1" t="s">
        <v>7016</v>
      </c>
      <c r="H4428" s="1" t="s">
        <v>322</v>
      </c>
      <c r="I4428" s="1" t="s">
        <v>43</v>
      </c>
      <c r="K4428" s="1">
        <v>0.0</v>
      </c>
      <c r="L4428" s="1" t="s">
        <v>198</v>
      </c>
      <c r="M4428" s="1" t="str">
        <f>VLOOKUP(L4428,'Copy of PMD Workday Constants -'!B4427:W5113,22,false)</f>
        <v>#N/A</v>
      </c>
      <c r="N4428" s="1" t="s">
        <v>32</v>
      </c>
      <c r="O4428" s="1" t="s">
        <v>33</v>
      </c>
      <c r="P4428" s="1" t="s">
        <v>82</v>
      </c>
      <c r="Q4428" s="1" t="s">
        <v>82</v>
      </c>
      <c r="R4428" s="1" t="s">
        <v>83</v>
      </c>
      <c r="S4428" s="1" t="s">
        <v>180</v>
      </c>
      <c r="T4428" s="1">
        <v>1.00590896E8</v>
      </c>
      <c r="W4428" s="1" t="s">
        <v>85</v>
      </c>
      <c r="X4428" s="1" t="s">
        <v>198</v>
      </c>
    </row>
    <row r="4429">
      <c r="A4429" s="1" t="s">
        <v>12548</v>
      </c>
      <c r="B4429" s="1" t="s">
        <v>12549</v>
      </c>
      <c r="C4429" s="1" t="s">
        <v>12550</v>
      </c>
      <c r="D4429" s="1" t="s">
        <v>28</v>
      </c>
      <c r="E4429" s="1" t="s">
        <v>29</v>
      </c>
      <c r="F4429" s="5">
        <v>100000.0</v>
      </c>
      <c r="G4429" s="1" t="s">
        <v>7016</v>
      </c>
      <c r="H4429" s="1" t="s">
        <v>5752</v>
      </c>
      <c r="I4429" s="1" t="s">
        <v>80</v>
      </c>
      <c r="K4429" s="1">
        <v>0.0</v>
      </c>
      <c r="L4429" s="1" t="s">
        <v>3571</v>
      </c>
      <c r="M4429" s="1" t="str">
        <f>VLOOKUP(L4429,'Copy of PMD Workday Constants -'!B4428:W5114,22,false)</f>
        <v>#N/A</v>
      </c>
      <c r="N4429" s="1" t="s">
        <v>32</v>
      </c>
      <c r="O4429" s="1" t="s">
        <v>33</v>
      </c>
      <c r="P4429" s="1" t="s">
        <v>173</v>
      </c>
      <c r="Q4429" s="1" t="s">
        <v>173</v>
      </c>
      <c r="R4429" s="1" t="s">
        <v>174</v>
      </c>
      <c r="S4429" s="1" t="s">
        <v>612</v>
      </c>
      <c r="T4429" s="1">
        <v>1.00651086E8</v>
      </c>
      <c r="W4429" s="1" t="s">
        <v>147</v>
      </c>
      <c r="X4429" s="1" t="s">
        <v>3157</v>
      </c>
    </row>
    <row r="4430">
      <c r="A4430" s="1" t="s">
        <v>12551</v>
      </c>
      <c r="B4430" s="1" t="s">
        <v>7974</v>
      </c>
      <c r="C4430" s="1" t="s">
        <v>12552</v>
      </c>
      <c r="D4430" s="1" t="s">
        <v>28</v>
      </c>
      <c r="E4430" s="1" t="s">
        <v>29</v>
      </c>
      <c r="F4430" s="5">
        <v>100000.0</v>
      </c>
      <c r="G4430" s="1" t="s">
        <v>7016</v>
      </c>
      <c r="H4430" s="4">
        <v>44442.0</v>
      </c>
      <c r="I4430" s="4">
        <v>44688.0</v>
      </c>
      <c r="K4430" s="1">
        <v>0.0</v>
      </c>
      <c r="L4430" s="1" t="s">
        <v>407</v>
      </c>
      <c r="M4430" s="1" t="str">
        <f>VLOOKUP(L4430,'Copy of PMD Workday Constants -'!B4429:W5115,22,false)</f>
        <v>#N/A</v>
      </c>
      <c r="N4430" s="1" t="s">
        <v>32</v>
      </c>
      <c r="O4430" s="1" t="s">
        <v>33</v>
      </c>
      <c r="P4430" s="1" t="s">
        <v>34</v>
      </c>
      <c r="Q4430" s="1" t="s">
        <v>34</v>
      </c>
      <c r="R4430" s="1" t="s">
        <v>35</v>
      </c>
      <c r="S4430" s="1" t="s">
        <v>36</v>
      </c>
      <c r="T4430" s="1">
        <v>1.0064407E8</v>
      </c>
      <c r="W4430" s="1" t="s">
        <v>37</v>
      </c>
      <c r="X4430" s="1" t="s">
        <v>12553</v>
      </c>
    </row>
    <row r="4431">
      <c r="A4431" s="1" t="s">
        <v>12554</v>
      </c>
      <c r="B4431" s="1" t="s">
        <v>12555</v>
      </c>
      <c r="C4431" s="1" t="s">
        <v>12556</v>
      </c>
      <c r="D4431" s="1" t="s">
        <v>28</v>
      </c>
      <c r="E4431" s="1" t="s">
        <v>29</v>
      </c>
      <c r="F4431" s="5">
        <v>100000.0</v>
      </c>
      <c r="G4431" s="1" t="s">
        <v>7016</v>
      </c>
      <c r="H4431" s="1" t="s">
        <v>5752</v>
      </c>
      <c r="I4431" s="1" t="s">
        <v>80</v>
      </c>
      <c r="K4431" s="1">
        <v>0.0</v>
      </c>
      <c r="L4431" s="1" t="s">
        <v>3571</v>
      </c>
      <c r="M4431" s="1" t="str">
        <f>VLOOKUP(L4431,'Copy of PMD Workday Constants -'!B4430:W5116,22,false)</f>
        <v>#N/A</v>
      </c>
      <c r="N4431" s="1" t="s">
        <v>32</v>
      </c>
      <c r="O4431" s="1" t="s">
        <v>33</v>
      </c>
      <c r="P4431" s="1" t="s">
        <v>173</v>
      </c>
      <c r="Q4431" s="1" t="s">
        <v>173</v>
      </c>
      <c r="R4431" s="1" t="s">
        <v>174</v>
      </c>
      <c r="S4431" s="1" t="s">
        <v>612</v>
      </c>
      <c r="T4431" s="1">
        <v>1.00651086E8</v>
      </c>
      <c r="W4431" s="1" t="s">
        <v>147</v>
      </c>
      <c r="X4431" s="1" t="s">
        <v>3157</v>
      </c>
    </row>
    <row r="4432">
      <c r="A4432" s="1" t="s">
        <v>12557</v>
      </c>
      <c r="B4432" s="1" t="s">
        <v>1392</v>
      </c>
      <c r="C4432" s="1" t="s">
        <v>12558</v>
      </c>
      <c r="D4432" s="1" t="s">
        <v>103</v>
      </c>
      <c r="E4432" s="1" t="s">
        <v>29</v>
      </c>
      <c r="F4432" s="5">
        <v>100000.0</v>
      </c>
      <c r="G4432" s="1" t="s">
        <v>7016</v>
      </c>
      <c r="H4432" s="1" t="s">
        <v>870</v>
      </c>
      <c r="I4432" s="1" t="s">
        <v>1733</v>
      </c>
      <c r="K4432" s="1">
        <v>0.0</v>
      </c>
      <c r="L4432" s="1" t="s">
        <v>7276</v>
      </c>
      <c r="M4432" s="1" t="str">
        <f>VLOOKUP(L4432,'Copy of PMD Workday Constants -'!B4431:W5117,22,false)</f>
        <v>#N/A</v>
      </c>
      <c r="N4432" s="1" t="s">
        <v>32</v>
      </c>
      <c r="O4432" s="1" t="s">
        <v>33</v>
      </c>
      <c r="P4432" s="1" t="s">
        <v>64</v>
      </c>
      <c r="Q4432" s="1" t="s">
        <v>64</v>
      </c>
      <c r="R4432" s="1" t="s">
        <v>65</v>
      </c>
      <c r="S4432" s="1" t="s">
        <v>1336</v>
      </c>
      <c r="T4432" s="1">
        <v>1.00587219E8</v>
      </c>
      <c r="W4432" s="1" t="s">
        <v>947</v>
      </c>
      <c r="X4432" s="1" t="s">
        <v>11928</v>
      </c>
    </row>
    <row r="4433">
      <c r="A4433" s="1" t="s">
        <v>12559</v>
      </c>
      <c r="B4433" s="1" t="s">
        <v>12512</v>
      </c>
      <c r="C4433" s="1" t="s">
        <v>12560</v>
      </c>
      <c r="D4433" s="1" t="s">
        <v>51</v>
      </c>
      <c r="E4433" s="1" t="s">
        <v>29</v>
      </c>
      <c r="F4433" s="5">
        <v>100000.0</v>
      </c>
      <c r="G4433" s="1" t="s">
        <v>7016</v>
      </c>
      <c r="H4433" s="1" t="s">
        <v>5062</v>
      </c>
      <c r="I4433" s="1" t="s">
        <v>5944</v>
      </c>
      <c r="K4433" s="1">
        <v>0.0</v>
      </c>
      <c r="L4433" s="1" t="s">
        <v>1165</v>
      </c>
      <c r="M4433" s="1" t="str">
        <f>VLOOKUP(L4433,'Copy of PMD Workday Constants -'!B4432:W5118,22,false)</f>
        <v>#N/A</v>
      </c>
      <c r="N4433" s="1" t="s">
        <v>32</v>
      </c>
      <c r="O4433" s="1" t="s">
        <v>33</v>
      </c>
      <c r="P4433" s="1" t="s">
        <v>34</v>
      </c>
      <c r="Q4433" s="1" t="s">
        <v>34</v>
      </c>
      <c r="R4433" s="1" t="s">
        <v>35</v>
      </c>
      <c r="S4433" s="1" t="s">
        <v>1166</v>
      </c>
      <c r="T4433" s="1">
        <v>1.00586863E8</v>
      </c>
      <c r="W4433" s="1" t="s">
        <v>456</v>
      </c>
      <c r="X4433" s="1" t="s">
        <v>1165</v>
      </c>
    </row>
    <row r="4434">
      <c r="A4434" s="1" t="s">
        <v>12561</v>
      </c>
      <c r="B4434" s="1" t="s">
        <v>4606</v>
      </c>
      <c r="C4434" s="1" t="s">
        <v>12562</v>
      </c>
      <c r="D4434" s="1" t="s">
        <v>51</v>
      </c>
      <c r="E4434" s="1" t="s">
        <v>29</v>
      </c>
      <c r="F4434" s="5">
        <v>100000.0</v>
      </c>
      <c r="G4434" s="1" t="s">
        <v>7016</v>
      </c>
      <c r="H4434" s="1" t="s">
        <v>537</v>
      </c>
      <c r="I4434" s="1" t="s">
        <v>80</v>
      </c>
      <c r="K4434" s="1">
        <v>0.0</v>
      </c>
      <c r="L4434" s="1" t="s">
        <v>4608</v>
      </c>
      <c r="M4434" s="1" t="str">
        <f>VLOOKUP(L4434,'Copy of PMD Workday Constants -'!B4433:W5119,22,false)</f>
        <v>#N/A</v>
      </c>
      <c r="N4434" s="1" t="s">
        <v>32</v>
      </c>
      <c r="O4434" s="1" t="s">
        <v>33</v>
      </c>
      <c r="P4434" s="1" t="s">
        <v>222</v>
      </c>
      <c r="Q4434" s="1" t="s">
        <v>222</v>
      </c>
      <c r="R4434" s="1" t="s">
        <v>223</v>
      </c>
      <c r="S4434" s="1" t="s">
        <v>482</v>
      </c>
      <c r="T4434" s="1">
        <v>1.00592715E8</v>
      </c>
      <c r="W4434" s="1" t="s">
        <v>115</v>
      </c>
      <c r="X4434" s="1" t="s">
        <v>4608</v>
      </c>
    </row>
    <row r="4435">
      <c r="A4435" s="1" t="s">
        <v>12563</v>
      </c>
      <c r="B4435" s="1" t="s">
        <v>12564</v>
      </c>
      <c r="C4435" s="1" t="s">
        <v>12565</v>
      </c>
      <c r="D4435" s="1" t="s">
        <v>103</v>
      </c>
      <c r="E4435" s="1" t="s">
        <v>29</v>
      </c>
      <c r="F4435" s="5">
        <v>100000.0</v>
      </c>
      <c r="G4435" s="1" t="s">
        <v>7016</v>
      </c>
      <c r="H4435" s="1" t="s">
        <v>1245</v>
      </c>
      <c r="I4435" s="4">
        <v>44626.0</v>
      </c>
      <c r="K4435" s="1">
        <v>0.0</v>
      </c>
      <c r="L4435" s="1" t="s">
        <v>3132</v>
      </c>
      <c r="M4435" s="1" t="str">
        <f>VLOOKUP(L4435,'Copy of PMD Workday Constants -'!B4434:W5120,22,false)</f>
        <v>#N/A</v>
      </c>
      <c r="N4435" s="1" t="s">
        <v>32</v>
      </c>
      <c r="O4435" s="1" t="s">
        <v>33</v>
      </c>
      <c r="P4435" s="1" t="s">
        <v>54</v>
      </c>
      <c r="Q4435" s="1" t="s">
        <v>54</v>
      </c>
      <c r="R4435" s="1" t="s">
        <v>55</v>
      </c>
      <c r="T4435" s="1">
        <v>1.00584866E8</v>
      </c>
      <c r="W4435" s="1" t="s">
        <v>436</v>
      </c>
      <c r="X4435" s="1" t="s">
        <v>12566</v>
      </c>
    </row>
    <row r="4436">
      <c r="A4436" s="1" t="s">
        <v>12567</v>
      </c>
      <c r="B4436" s="1" t="s">
        <v>225</v>
      </c>
      <c r="C4436" s="1" t="s">
        <v>12568</v>
      </c>
      <c r="D4436" s="1" t="s">
        <v>28</v>
      </c>
      <c r="E4436" s="1" t="s">
        <v>29</v>
      </c>
      <c r="F4436" s="5">
        <v>100000.0</v>
      </c>
      <c r="G4436" s="1" t="s">
        <v>7016</v>
      </c>
      <c r="H4436" s="4">
        <v>44870.0</v>
      </c>
      <c r="I4436" s="1" t="s">
        <v>152</v>
      </c>
      <c r="K4436" s="1">
        <v>0.0</v>
      </c>
      <c r="L4436" s="1" t="s">
        <v>1534</v>
      </c>
      <c r="M4436" s="1" t="str">
        <f>VLOOKUP(L4436,'Copy of PMD Workday Constants -'!B4435:W5121,22,false)</f>
        <v>#N/A</v>
      </c>
      <c r="N4436" s="1" t="s">
        <v>32</v>
      </c>
      <c r="O4436" s="1" t="s">
        <v>33</v>
      </c>
      <c r="P4436" s="1" t="s">
        <v>82</v>
      </c>
      <c r="Q4436" s="1" t="s">
        <v>82</v>
      </c>
      <c r="R4436" s="1" t="s">
        <v>83</v>
      </c>
      <c r="S4436" s="1" t="s">
        <v>84</v>
      </c>
      <c r="T4436" s="1">
        <v>1.00618842E8</v>
      </c>
      <c r="W4436" s="1" t="s">
        <v>85</v>
      </c>
      <c r="X4436" s="1" t="s">
        <v>1534</v>
      </c>
    </row>
    <row r="4437">
      <c r="A4437" s="1" t="s">
        <v>12569</v>
      </c>
      <c r="B4437" s="1" t="s">
        <v>12570</v>
      </c>
      <c r="C4437" s="1" t="s">
        <v>12571</v>
      </c>
      <c r="D4437" s="1" t="s">
        <v>51</v>
      </c>
      <c r="E4437" s="1" t="s">
        <v>29</v>
      </c>
      <c r="F4437" s="5">
        <v>100000.0</v>
      </c>
      <c r="G4437" s="1" t="s">
        <v>7016</v>
      </c>
      <c r="H4437" s="1" t="s">
        <v>12572</v>
      </c>
      <c r="I4437" s="1" t="s">
        <v>43</v>
      </c>
      <c r="K4437" s="1">
        <v>0.0</v>
      </c>
      <c r="L4437" s="1" t="s">
        <v>10732</v>
      </c>
      <c r="M4437" s="1" t="str">
        <f>VLOOKUP(L4437,'Copy of PMD Workday Constants -'!B4436:W5122,22,false)</f>
        <v>#N/A</v>
      </c>
      <c r="N4437" s="1" t="s">
        <v>32</v>
      </c>
      <c r="O4437" s="1" t="s">
        <v>33</v>
      </c>
      <c r="P4437" s="1" t="s">
        <v>210</v>
      </c>
      <c r="Q4437" s="1" t="s">
        <v>210</v>
      </c>
      <c r="R4437" s="1" t="s">
        <v>211</v>
      </c>
      <c r="S4437" s="1" t="s">
        <v>12573</v>
      </c>
      <c r="T4437" s="1">
        <v>1.00608282E8</v>
      </c>
      <c r="W4437" s="1" t="s">
        <v>1801</v>
      </c>
      <c r="X4437" s="1" t="s">
        <v>12574</v>
      </c>
    </row>
    <row r="4438">
      <c r="A4438" s="1" t="s">
        <v>12575</v>
      </c>
      <c r="B4438" s="1" t="s">
        <v>12576</v>
      </c>
      <c r="C4438" s="1" t="s">
        <v>12577</v>
      </c>
      <c r="D4438" s="1" t="s">
        <v>51</v>
      </c>
      <c r="E4438" s="1" t="s">
        <v>29</v>
      </c>
      <c r="F4438" s="5">
        <v>100000.0</v>
      </c>
      <c r="G4438" s="1" t="s">
        <v>7016</v>
      </c>
      <c r="H4438" s="1" t="s">
        <v>12578</v>
      </c>
      <c r="I4438" s="1" t="s">
        <v>104</v>
      </c>
      <c r="K4438" s="1">
        <v>0.0</v>
      </c>
      <c r="L4438" s="1" t="s">
        <v>2602</v>
      </c>
      <c r="M4438" s="1" t="str">
        <f>VLOOKUP(L4438,'Copy of PMD Workday Constants -'!B4437:W5123,22,false)</f>
        <v>#N/A</v>
      </c>
      <c r="N4438" s="1" t="s">
        <v>32</v>
      </c>
      <c r="O4438" s="1" t="s">
        <v>33</v>
      </c>
      <c r="P4438" s="1" t="s">
        <v>173</v>
      </c>
      <c r="Q4438" s="1" t="s">
        <v>173</v>
      </c>
      <c r="R4438" s="1" t="s">
        <v>174</v>
      </c>
      <c r="S4438" s="1" t="s">
        <v>8242</v>
      </c>
      <c r="T4438" s="1">
        <v>1.00611351E8</v>
      </c>
      <c r="W4438" s="1" t="s">
        <v>56</v>
      </c>
      <c r="X4438" s="1" t="s">
        <v>2914</v>
      </c>
    </row>
    <row r="4439">
      <c r="A4439" s="1" t="s">
        <v>12579</v>
      </c>
      <c r="B4439" s="1" t="s">
        <v>12580</v>
      </c>
      <c r="C4439" s="1" t="s">
        <v>12581</v>
      </c>
      <c r="D4439" s="1" t="s">
        <v>28</v>
      </c>
      <c r="E4439" s="1" t="s">
        <v>29</v>
      </c>
      <c r="F4439" s="5">
        <v>100000.0</v>
      </c>
      <c r="G4439" s="1" t="s">
        <v>7016</v>
      </c>
      <c r="H4439" s="4">
        <v>44682.0</v>
      </c>
      <c r="I4439" s="1" t="s">
        <v>80</v>
      </c>
      <c r="K4439" s="1">
        <v>0.0</v>
      </c>
      <c r="L4439" s="1" t="s">
        <v>10851</v>
      </c>
      <c r="M4439" s="1" t="str">
        <f>VLOOKUP(L4439,'Copy of PMD Workday Constants -'!B4438:W5124,22,false)</f>
        <v>#N/A</v>
      </c>
      <c r="N4439" s="1" t="s">
        <v>32</v>
      </c>
      <c r="O4439" s="1" t="s">
        <v>33</v>
      </c>
      <c r="P4439" s="1" t="s">
        <v>222</v>
      </c>
      <c r="Q4439" s="1" t="s">
        <v>222</v>
      </c>
      <c r="R4439" s="1" t="s">
        <v>223</v>
      </c>
      <c r="S4439" s="1" t="s">
        <v>482</v>
      </c>
      <c r="T4439" s="1">
        <v>1.00592873E8</v>
      </c>
      <c r="W4439" s="1" t="s">
        <v>115</v>
      </c>
      <c r="X4439" s="1" t="s">
        <v>10851</v>
      </c>
    </row>
    <row r="4440">
      <c r="A4440" s="1" t="s">
        <v>12582</v>
      </c>
      <c r="B4440" s="1" t="s">
        <v>580</v>
      </c>
      <c r="C4440" s="1" t="s">
        <v>12583</v>
      </c>
      <c r="D4440" s="1" t="s">
        <v>28</v>
      </c>
      <c r="E4440" s="1" t="s">
        <v>29</v>
      </c>
      <c r="F4440" s="5">
        <v>100000.0</v>
      </c>
      <c r="G4440" s="1" t="s">
        <v>7016</v>
      </c>
      <c r="H4440" s="1" t="s">
        <v>1575</v>
      </c>
      <c r="I4440" s="1" t="s">
        <v>302</v>
      </c>
      <c r="K4440" s="1">
        <v>0.0</v>
      </c>
      <c r="L4440" s="1" t="s">
        <v>1622</v>
      </c>
      <c r="M4440" s="1" t="str">
        <f>VLOOKUP(L4440,'Copy of PMD Workday Constants -'!B4439:W5125,22,false)</f>
        <v>#N/A</v>
      </c>
      <c r="N4440" s="1" t="s">
        <v>32</v>
      </c>
      <c r="O4440" s="1" t="s">
        <v>33</v>
      </c>
      <c r="P4440" s="1" t="s">
        <v>173</v>
      </c>
      <c r="Q4440" s="1" t="s">
        <v>173</v>
      </c>
      <c r="R4440" s="1" t="s">
        <v>174</v>
      </c>
      <c r="S4440" s="1" t="s">
        <v>612</v>
      </c>
      <c r="T4440" s="1">
        <v>1.00643454E8</v>
      </c>
      <c r="W4440" s="1" t="s">
        <v>456</v>
      </c>
      <c r="X4440" s="1" t="s">
        <v>1622</v>
      </c>
    </row>
    <row r="4441">
      <c r="A4441" s="1" t="s">
        <v>12584</v>
      </c>
      <c r="B4441" s="1" t="s">
        <v>10713</v>
      </c>
      <c r="C4441" s="1" t="s">
        <v>12585</v>
      </c>
      <c r="D4441" s="1" t="s">
        <v>28</v>
      </c>
      <c r="E4441" s="1" t="s">
        <v>29</v>
      </c>
      <c r="F4441" s="5">
        <v>100000.0</v>
      </c>
      <c r="G4441" s="1" t="s">
        <v>7016</v>
      </c>
      <c r="H4441" s="1" t="s">
        <v>1436</v>
      </c>
      <c r="I4441" s="1" t="s">
        <v>43</v>
      </c>
      <c r="K4441" s="1">
        <v>0.0</v>
      </c>
      <c r="L4441" s="1" t="s">
        <v>9456</v>
      </c>
      <c r="M4441" s="1" t="str">
        <f>VLOOKUP(L4441,'Copy of PMD Workday Constants -'!B4440:W5126,22,false)</f>
        <v>#N/A</v>
      </c>
      <c r="N4441" s="1" t="s">
        <v>32</v>
      </c>
      <c r="O4441" s="1" t="s">
        <v>33</v>
      </c>
      <c r="P4441" s="1" t="s">
        <v>222</v>
      </c>
      <c r="Q4441" s="1" t="s">
        <v>222</v>
      </c>
      <c r="R4441" s="1" t="s">
        <v>223</v>
      </c>
      <c r="S4441" s="1" t="s">
        <v>482</v>
      </c>
      <c r="T4441" s="1">
        <v>1.00609628E8</v>
      </c>
      <c r="W4441" s="1" t="s">
        <v>74</v>
      </c>
      <c r="X4441" s="1" t="s">
        <v>12119</v>
      </c>
    </row>
    <row r="4442">
      <c r="A4442" s="1" t="s">
        <v>12586</v>
      </c>
      <c r="B4442" s="1" t="s">
        <v>973</v>
      </c>
      <c r="C4442" s="1" t="s">
        <v>12587</v>
      </c>
      <c r="D4442" s="1" t="s">
        <v>28</v>
      </c>
      <c r="E4442" s="1" t="s">
        <v>29</v>
      </c>
      <c r="F4442" s="5">
        <v>100000.0</v>
      </c>
      <c r="G4442" s="1" t="s">
        <v>7016</v>
      </c>
      <c r="H4442" s="4">
        <v>44626.0</v>
      </c>
      <c r="I4442" s="1" t="s">
        <v>166</v>
      </c>
      <c r="K4442" s="1">
        <v>0.0</v>
      </c>
      <c r="L4442" s="1" t="s">
        <v>511</v>
      </c>
      <c r="M4442" s="1" t="str">
        <f>VLOOKUP(L4442,'Copy of PMD Workday Constants -'!B4441:W5127,22,false)</f>
        <v>#N/A</v>
      </c>
      <c r="N4442" s="1" t="s">
        <v>32</v>
      </c>
      <c r="O4442" s="1" t="s">
        <v>33</v>
      </c>
      <c r="P4442" s="1" t="s">
        <v>54</v>
      </c>
      <c r="Q4442" s="1" t="s">
        <v>54</v>
      </c>
      <c r="R4442" s="1" t="s">
        <v>55</v>
      </c>
      <c r="S4442" s="1" t="s">
        <v>1336</v>
      </c>
      <c r="T4442" s="1">
        <v>1.00620711E8</v>
      </c>
      <c r="W4442" s="1" t="s">
        <v>456</v>
      </c>
      <c r="X4442" s="1" t="s">
        <v>977</v>
      </c>
    </row>
    <row r="4443">
      <c r="A4443" s="1" t="s">
        <v>12588</v>
      </c>
      <c r="B4443" s="1" t="s">
        <v>756</v>
      </c>
      <c r="C4443" s="1" t="s">
        <v>12589</v>
      </c>
      <c r="D4443" s="1" t="s">
        <v>51</v>
      </c>
      <c r="E4443" s="1" t="s">
        <v>29</v>
      </c>
      <c r="F4443" s="5">
        <v>100000.0</v>
      </c>
      <c r="G4443" s="1" t="s">
        <v>7016</v>
      </c>
      <c r="H4443" s="1" t="s">
        <v>592</v>
      </c>
      <c r="I4443" s="1" t="s">
        <v>152</v>
      </c>
      <c r="K4443" s="1">
        <v>0.0</v>
      </c>
      <c r="L4443" s="1" t="s">
        <v>2174</v>
      </c>
      <c r="M4443" s="1" t="str">
        <f>VLOOKUP(L4443,'Copy of PMD Workday Constants -'!B4442:W5128,22,false)</f>
        <v>#N/A</v>
      </c>
      <c r="N4443" s="1" t="s">
        <v>32</v>
      </c>
      <c r="O4443" s="1" t="s">
        <v>33</v>
      </c>
      <c r="P4443" s="1" t="s">
        <v>112</v>
      </c>
      <c r="Q4443" s="1" t="s">
        <v>112</v>
      </c>
      <c r="R4443" s="1" t="s">
        <v>113</v>
      </c>
      <c r="S4443" s="1" t="s">
        <v>134</v>
      </c>
      <c r="T4443" s="1">
        <v>1.00631322E8</v>
      </c>
      <c r="W4443" s="1" t="s">
        <v>74</v>
      </c>
      <c r="X4443" s="1" t="s">
        <v>6521</v>
      </c>
    </row>
    <row r="4444">
      <c r="A4444" s="1" t="s">
        <v>12590</v>
      </c>
      <c r="B4444" s="1" t="s">
        <v>2277</v>
      </c>
      <c r="C4444" s="1" t="s">
        <v>12591</v>
      </c>
      <c r="D4444" s="1" t="s">
        <v>28</v>
      </c>
      <c r="E4444" s="1" t="s">
        <v>29</v>
      </c>
      <c r="F4444" s="5">
        <v>100000.0</v>
      </c>
      <c r="G4444" s="1" t="s">
        <v>7016</v>
      </c>
      <c r="H4444" s="1" t="s">
        <v>4103</v>
      </c>
      <c r="I4444" s="1" t="s">
        <v>80</v>
      </c>
      <c r="K4444" s="1">
        <v>0.0</v>
      </c>
      <c r="L4444" s="1" t="s">
        <v>1902</v>
      </c>
      <c r="M4444" s="1" t="str">
        <f>VLOOKUP(L4444,'Copy of PMD Workday Constants -'!B4443:W5129,22,false)</f>
        <v>#N/A</v>
      </c>
      <c r="N4444" s="1" t="s">
        <v>32</v>
      </c>
      <c r="O4444" s="1" t="s">
        <v>33</v>
      </c>
      <c r="P4444" s="1" t="s">
        <v>173</v>
      </c>
      <c r="Q4444" s="1" t="s">
        <v>173</v>
      </c>
      <c r="R4444" s="1" t="s">
        <v>174</v>
      </c>
      <c r="S4444" s="1" t="s">
        <v>297</v>
      </c>
      <c r="T4444" s="1">
        <v>1.00956516E8</v>
      </c>
      <c r="W4444" s="1" t="s">
        <v>258</v>
      </c>
      <c r="X4444" s="1" t="s">
        <v>1903</v>
      </c>
    </row>
    <row r="4445">
      <c r="A4445" s="1" t="s">
        <v>12592</v>
      </c>
      <c r="B4445" s="1" t="s">
        <v>1163</v>
      </c>
      <c r="C4445" s="1" t="s">
        <v>12593</v>
      </c>
      <c r="D4445" s="1" t="s">
        <v>28</v>
      </c>
      <c r="E4445" s="1" t="s">
        <v>29</v>
      </c>
      <c r="F4445" s="5">
        <v>100000.0</v>
      </c>
      <c r="G4445" s="1" t="s">
        <v>7016</v>
      </c>
      <c r="H4445" s="1" t="s">
        <v>1575</v>
      </c>
      <c r="I4445" s="1" t="s">
        <v>692</v>
      </c>
      <c r="K4445" s="1">
        <v>0.0</v>
      </c>
      <c r="L4445" s="1" t="s">
        <v>1165</v>
      </c>
      <c r="M4445" s="1" t="str">
        <f>VLOOKUP(L4445,'Copy of PMD Workday Constants -'!B4444:W5130,22,false)</f>
        <v>#N/A</v>
      </c>
      <c r="N4445" s="1" t="s">
        <v>32</v>
      </c>
      <c r="O4445" s="1" t="s">
        <v>33</v>
      </c>
      <c r="P4445" s="1" t="s">
        <v>34</v>
      </c>
      <c r="Q4445" s="1" t="s">
        <v>34</v>
      </c>
      <c r="R4445" s="1" t="s">
        <v>35</v>
      </c>
      <c r="S4445" s="1" t="s">
        <v>1166</v>
      </c>
      <c r="T4445" s="1">
        <v>1.00586863E8</v>
      </c>
      <c r="W4445" s="1" t="s">
        <v>147</v>
      </c>
      <c r="X4445" s="1" t="s">
        <v>2519</v>
      </c>
    </row>
    <row r="4446">
      <c r="A4446" s="1" t="s">
        <v>12594</v>
      </c>
      <c r="B4446" s="1" t="s">
        <v>1573</v>
      </c>
      <c r="C4446" s="1" t="s">
        <v>12595</v>
      </c>
      <c r="D4446" s="1" t="s">
        <v>51</v>
      </c>
      <c r="E4446" s="1" t="s">
        <v>29</v>
      </c>
      <c r="F4446" s="5">
        <v>100000.0</v>
      </c>
      <c r="G4446" s="1" t="s">
        <v>7016</v>
      </c>
      <c r="H4446" s="1" t="s">
        <v>5674</v>
      </c>
      <c r="I4446" s="1" t="s">
        <v>96</v>
      </c>
      <c r="K4446" s="1">
        <v>0.0</v>
      </c>
      <c r="L4446" s="1" t="s">
        <v>10452</v>
      </c>
      <c r="M4446" s="1" t="str">
        <f>VLOOKUP(L4446,'Copy of PMD Workday Constants -'!B4445:W5131,22,false)</f>
        <v>#N/A</v>
      </c>
      <c r="N4446" s="1" t="s">
        <v>32</v>
      </c>
      <c r="O4446" s="1" t="s">
        <v>33</v>
      </c>
      <c r="P4446" s="1" t="s">
        <v>173</v>
      </c>
      <c r="Q4446" s="1" t="s">
        <v>173</v>
      </c>
      <c r="R4446" s="1" t="s">
        <v>174</v>
      </c>
      <c r="S4446" s="1" t="s">
        <v>153</v>
      </c>
      <c r="T4446" s="1">
        <v>1.00614201E8</v>
      </c>
      <c r="W4446" s="1" t="s">
        <v>456</v>
      </c>
      <c r="X4446" s="1" t="s">
        <v>12596</v>
      </c>
    </row>
    <row r="4447">
      <c r="A4447" s="1" t="s">
        <v>12597</v>
      </c>
      <c r="B4447" s="1" t="s">
        <v>903</v>
      </c>
      <c r="C4447" s="1" t="s">
        <v>12598</v>
      </c>
      <c r="D4447" s="1" t="s">
        <v>28</v>
      </c>
      <c r="E4447" s="1" t="s">
        <v>29</v>
      </c>
      <c r="F4447" s="5">
        <v>100000.0</v>
      </c>
      <c r="G4447" s="1" t="s">
        <v>7016</v>
      </c>
      <c r="H4447" s="4">
        <v>44208.0</v>
      </c>
      <c r="I4447" s="4">
        <v>44571.0</v>
      </c>
      <c r="K4447" s="1">
        <v>0.0</v>
      </c>
      <c r="L4447" s="1" t="s">
        <v>894</v>
      </c>
      <c r="M4447" s="1" t="str">
        <f>VLOOKUP(L4447,'Copy of PMD Workday Constants -'!B4446:W5132,22,false)</f>
        <v>#N/A</v>
      </c>
      <c r="N4447" s="1" t="s">
        <v>32</v>
      </c>
      <c r="O4447" s="1" t="s">
        <v>33</v>
      </c>
      <c r="P4447" s="1" t="s">
        <v>82</v>
      </c>
      <c r="Q4447" s="1" t="s">
        <v>82</v>
      </c>
      <c r="R4447" s="1" t="s">
        <v>83</v>
      </c>
      <c r="S4447" s="1" t="s">
        <v>180</v>
      </c>
      <c r="T4447" s="1">
        <v>1.01033479E8</v>
      </c>
      <c r="W4447" s="1" t="s">
        <v>85</v>
      </c>
      <c r="X4447" s="1" t="s">
        <v>893</v>
      </c>
    </row>
    <row r="4448">
      <c r="A4448" s="1" t="s">
        <v>12599</v>
      </c>
      <c r="B4448" s="1" t="s">
        <v>859</v>
      </c>
      <c r="C4448" s="1" t="s">
        <v>12600</v>
      </c>
      <c r="D4448" s="1" t="s">
        <v>28</v>
      </c>
      <c r="E4448" s="1" t="s">
        <v>29</v>
      </c>
      <c r="F4448" s="5">
        <v>100000.0</v>
      </c>
      <c r="G4448" s="1" t="s">
        <v>7016</v>
      </c>
      <c r="H4448" s="1" t="s">
        <v>4779</v>
      </c>
      <c r="I4448" s="1" t="s">
        <v>152</v>
      </c>
      <c r="K4448" s="1">
        <v>0.0</v>
      </c>
      <c r="L4448" s="1" t="s">
        <v>2435</v>
      </c>
      <c r="M4448" s="1" t="str">
        <f>VLOOKUP(L4448,'Copy of PMD Workday Constants -'!B4447:W5133,22,false)</f>
        <v>#N/A</v>
      </c>
      <c r="N4448" s="1" t="s">
        <v>32</v>
      </c>
      <c r="O4448" s="1" t="s">
        <v>33</v>
      </c>
      <c r="P4448" s="1" t="s">
        <v>173</v>
      </c>
      <c r="Q4448" s="1" t="s">
        <v>173</v>
      </c>
      <c r="R4448" s="1" t="s">
        <v>174</v>
      </c>
      <c r="S4448" s="1" t="s">
        <v>612</v>
      </c>
      <c r="T4448" s="1">
        <v>1.00634919E8</v>
      </c>
      <c r="W4448" s="1" t="s">
        <v>147</v>
      </c>
      <c r="X4448" s="1" t="s">
        <v>12601</v>
      </c>
    </row>
    <row r="4449">
      <c r="A4449" s="1" t="s">
        <v>12602</v>
      </c>
      <c r="B4449" s="1" t="s">
        <v>4473</v>
      </c>
      <c r="C4449" s="1" t="s">
        <v>12603</v>
      </c>
      <c r="D4449" s="1" t="s">
        <v>103</v>
      </c>
      <c r="E4449" s="1" t="s">
        <v>29</v>
      </c>
      <c r="F4449" s="5">
        <v>100000.0</v>
      </c>
      <c r="G4449" s="1" t="s">
        <v>7016</v>
      </c>
      <c r="H4449" s="4">
        <v>44625.0</v>
      </c>
      <c r="I4449" s="1" t="s">
        <v>810</v>
      </c>
      <c r="K4449" s="1">
        <v>0.0</v>
      </c>
      <c r="L4449" s="1" t="s">
        <v>1770</v>
      </c>
      <c r="M4449" s="1" t="str">
        <f>VLOOKUP(L4449,'Copy of PMD Workday Constants -'!B4448:W5134,22,false)</f>
        <v>#N/A</v>
      </c>
      <c r="N4449" s="1" t="s">
        <v>32</v>
      </c>
      <c r="O4449" s="1" t="s">
        <v>33</v>
      </c>
      <c r="P4449" s="1" t="s">
        <v>210</v>
      </c>
      <c r="Q4449" s="1" t="s">
        <v>210</v>
      </c>
      <c r="R4449" s="1" t="s">
        <v>211</v>
      </c>
      <c r="S4449" s="1" t="s">
        <v>1313</v>
      </c>
      <c r="T4449" s="1">
        <v>1.00593918E8</v>
      </c>
      <c r="W4449" s="1" t="s">
        <v>436</v>
      </c>
      <c r="X4449" s="1" t="s">
        <v>1314</v>
      </c>
    </row>
    <row r="4450">
      <c r="A4450" s="1" t="s">
        <v>12604</v>
      </c>
      <c r="B4450" s="1" t="s">
        <v>12605</v>
      </c>
      <c r="C4450" s="1" t="s">
        <v>12606</v>
      </c>
      <c r="D4450" s="1" t="s">
        <v>103</v>
      </c>
      <c r="E4450" s="1" t="s">
        <v>29</v>
      </c>
      <c r="F4450" s="5">
        <v>100000.0</v>
      </c>
      <c r="G4450" s="1" t="s">
        <v>7016</v>
      </c>
      <c r="H4450" s="4">
        <v>44810.0</v>
      </c>
      <c r="I4450" s="1" t="s">
        <v>80</v>
      </c>
      <c r="K4450" s="1">
        <v>0.0</v>
      </c>
      <c r="L4450" s="1" t="s">
        <v>2201</v>
      </c>
      <c r="M4450" s="1" t="str">
        <f>VLOOKUP(L4450,'Copy of PMD Workday Constants -'!B4449:W5135,22,false)</f>
        <v>#N/A</v>
      </c>
      <c r="N4450" s="1" t="s">
        <v>32</v>
      </c>
      <c r="O4450" s="1" t="s">
        <v>33</v>
      </c>
      <c r="P4450" s="1" t="s">
        <v>64</v>
      </c>
      <c r="Q4450" s="1" t="s">
        <v>64</v>
      </c>
      <c r="R4450" s="1" t="s">
        <v>65</v>
      </c>
      <c r="S4450" s="1" t="s">
        <v>1496</v>
      </c>
      <c r="T4450" s="1">
        <v>1.00649936E8</v>
      </c>
      <c r="W4450" s="1" t="s">
        <v>258</v>
      </c>
      <c r="X4450" s="1" t="s">
        <v>12607</v>
      </c>
    </row>
    <row r="4451">
      <c r="A4451" s="1" t="s">
        <v>12608</v>
      </c>
      <c r="B4451" s="1" t="s">
        <v>859</v>
      </c>
      <c r="C4451" s="1" t="s">
        <v>12609</v>
      </c>
      <c r="D4451" s="1" t="s">
        <v>28</v>
      </c>
      <c r="E4451" s="1" t="s">
        <v>29</v>
      </c>
      <c r="F4451" s="5">
        <v>100000.0</v>
      </c>
      <c r="G4451" s="1" t="s">
        <v>7016</v>
      </c>
      <c r="H4451" s="4">
        <v>44594.0</v>
      </c>
      <c r="I4451" s="1" t="s">
        <v>152</v>
      </c>
      <c r="K4451" s="1">
        <v>0.0</v>
      </c>
      <c r="L4451" s="1" t="s">
        <v>557</v>
      </c>
      <c r="M4451" s="1" t="str">
        <f>VLOOKUP(L4451,'Copy of PMD Workday Constants -'!B4450:W5136,22,false)</f>
        <v>#N/A</v>
      </c>
      <c r="N4451" s="1" t="s">
        <v>32</v>
      </c>
      <c r="O4451" s="1" t="s">
        <v>33</v>
      </c>
      <c r="P4451" s="1" t="s">
        <v>173</v>
      </c>
      <c r="Q4451" s="1" t="s">
        <v>173</v>
      </c>
      <c r="R4451" s="1" t="s">
        <v>174</v>
      </c>
      <c r="S4451" s="1" t="s">
        <v>612</v>
      </c>
      <c r="T4451" s="1">
        <v>1.00700761E8</v>
      </c>
      <c r="W4451" s="1" t="s">
        <v>147</v>
      </c>
      <c r="X4451" s="1" t="s">
        <v>831</v>
      </c>
    </row>
    <row r="4452">
      <c r="A4452" s="1" t="s">
        <v>12610</v>
      </c>
      <c r="B4452" s="1" t="s">
        <v>368</v>
      </c>
      <c r="C4452" s="1" t="s">
        <v>12611</v>
      </c>
      <c r="D4452" s="1" t="s">
        <v>51</v>
      </c>
      <c r="E4452" s="1" t="s">
        <v>29</v>
      </c>
      <c r="F4452" s="5">
        <v>100000.0</v>
      </c>
      <c r="G4452" s="1" t="s">
        <v>7016</v>
      </c>
      <c r="H4452" s="1" t="s">
        <v>778</v>
      </c>
      <c r="I4452" s="1" t="s">
        <v>104</v>
      </c>
      <c r="K4452" s="1">
        <v>0.0</v>
      </c>
      <c r="L4452" s="1" t="s">
        <v>2991</v>
      </c>
      <c r="M4452" s="1" t="str">
        <f>VLOOKUP(L4452,'Copy of PMD Workday Constants -'!B4451:W5137,22,false)</f>
        <v>#N/A</v>
      </c>
      <c r="N4452" s="1" t="s">
        <v>32</v>
      </c>
      <c r="O4452" s="1" t="s">
        <v>33</v>
      </c>
      <c r="P4452" s="1" t="s">
        <v>210</v>
      </c>
      <c r="Q4452" s="1" t="s">
        <v>210</v>
      </c>
      <c r="R4452" s="1" t="s">
        <v>211</v>
      </c>
      <c r="S4452" s="1" t="s">
        <v>297</v>
      </c>
      <c r="T4452" s="1">
        <v>1.00647935E8</v>
      </c>
      <c r="W4452" s="1" t="s">
        <v>258</v>
      </c>
      <c r="X4452" s="1" t="s">
        <v>2991</v>
      </c>
    </row>
    <row r="4453">
      <c r="A4453" s="1" t="s">
        <v>12612</v>
      </c>
      <c r="B4453" s="1" t="s">
        <v>324</v>
      </c>
      <c r="C4453" s="1" t="s">
        <v>12613</v>
      </c>
      <c r="D4453" s="1" t="s">
        <v>28</v>
      </c>
      <c r="E4453" s="1" t="s">
        <v>29</v>
      </c>
      <c r="F4453" s="5">
        <v>100000.0</v>
      </c>
      <c r="G4453" s="1" t="s">
        <v>7016</v>
      </c>
      <c r="H4453" s="4">
        <v>44775.0</v>
      </c>
      <c r="I4453" s="1" t="s">
        <v>3052</v>
      </c>
      <c r="K4453" s="1">
        <v>0.0</v>
      </c>
      <c r="L4453" s="1" t="s">
        <v>3975</v>
      </c>
      <c r="M4453" s="1" t="str">
        <f>VLOOKUP(L4453,'Copy of PMD Workday Constants -'!B4452:W5138,22,false)</f>
        <v>#N/A</v>
      </c>
      <c r="N4453" s="1" t="s">
        <v>32</v>
      </c>
      <c r="O4453" s="1" t="s">
        <v>33</v>
      </c>
      <c r="P4453" s="1" t="s">
        <v>210</v>
      </c>
      <c r="Q4453" s="1" t="s">
        <v>210</v>
      </c>
      <c r="R4453" s="1" t="s">
        <v>211</v>
      </c>
      <c r="S4453" s="1" t="s">
        <v>212</v>
      </c>
      <c r="T4453" s="1">
        <v>1.00623535E8</v>
      </c>
      <c r="W4453" s="1" t="s">
        <v>56</v>
      </c>
      <c r="X4453" s="1" t="s">
        <v>3975</v>
      </c>
    </row>
    <row r="4454">
      <c r="A4454" s="1" t="s">
        <v>12614</v>
      </c>
      <c r="B4454" s="1" t="s">
        <v>489</v>
      </c>
      <c r="C4454" s="1" t="s">
        <v>12615</v>
      </c>
      <c r="D4454" s="1" t="s">
        <v>51</v>
      </c>
      <c r="E4454" s="1" t="s">
        <v>29</v>
      </c>
      <c r="F4454" s="5">
        <v>100000.0</v>
      </c>
      <c r="G4454" s="1" t="s">
        <v>7016</v>
      </c>
      <c r="H4454" s="1" t="s">
        <v>413</v>
      </c>
      <c r="I4454" s="1" t="s">
        <v>80</v>
      </c>
      <c r="K4454" s="1">
        <v>0.0</v>
      </c>
      <c r="L4454" s="1" t="s">
        <v>4873</v>
      </c>
      <c r="M4454" s="1" t="str">
        <f>VLOOKUP(L4454,'Copy of PMD Workday Constants -'!B4453:W5139,22,false)</f>
        <v>#N/A</v>
      </c>
      <c r="N4454" s="1" t="s">
        <v>32</v>
      </c>
      <c r="O4454" s="1" t="s">
        <v>33</v>
      </c>
      <c r="P4454" s="1" t="s">
        <v>34</v>
      </c>
      <c r="Q4454" s="1" t="s">
        <v>34</v>
      </c>
      <c r="R4454" s="1" t="s">
        <v>35</v>
      </c>
      <c r="S4454" s="1" t="s">
        <v>36</v>
      </c>
      <c r="T4454" s="1">
        <v>1.00587881E8</v>
      </c>
      <c r="W4454" s="1" t="s">
        <v>493</v>
      </c>
      <c r="X4454" s="1" t="s">
        <v>9239</v>
      </c>
    </row>
    <row r="4455">
      <c r="A4455" s="1" t="s">
        <v>12616</v>
      </c>
      <c r="B4455" s="1" t="s">
        <v>12617</v>
      </c>
      <c r="C4455" s="1" t="s">
        <v>12618</v>
      </c>
      <c r="D4455" s="1" t="s">
        <v>28</v>
      </c>
      <c r="E4455" s="1" t="s">
        <v>29</v>
      </c>
      <c r="F4455" s="5">
        <v>100000.0</v>
      </c>
      <c r="G4455" s="1" t="s">
        <v>7016</v>
      </c>
      <c r="H4455" s="1" t="s">
        <v>5752</v>
      </c>
      <c r="I4455" s="1" t="s">
        <v>80</v>
      </c>
      <c r="K4455" s="1">
        <v>0.0</v>
      </c>
      <c r="L4455" s="1" t="s">
        <v>3571</v>
      </c>
      <c r="M4455" s="1" t="str">
        <f>VLOOKUP(L4455,'Copy of PMD Workday Constants -'!B4454:W5140,22,false)</f>
        <v>#N/A</v>
      </c>
      <c r="N4455" s="1" t="s">
        <v>32</v>
      </c>
      <c r="O4455" s="1" t="s">
        <v>33</v>
      </c>
      <c r="P4455" s="1" t="s">
        <v>173</v>
      </c>
      <c r="Q4455" s="1" t="s">
        <v>173</v>
      </c>
      <c r="R4455" s="1" t="s">
        <v>174</v>
      </c>
      <c r="S4455" s="1" t="s">
        <v>612</v>
      </c>
      <c r="T4455" s="1">
        <v>1.00651086E8</v>
      </c>
      <c r="W4455" s="1" t="s">
        <v>147</v>
      </c>
      <c r="X4455" s="1" t="s">
        <v>3157</v>
      </c>
    </row>
    <row r="4456">
      <c r="A4456" s="1" t="s">
        <v>12619</v>
      </c>
      <c r="B4456" s="1" t="s">
        <v>3203</v>
      </c>
      <c r="C4456" s="1" t="s">
        <v>12620</v>
      </c>
      <c r="D4456" s="1" t="s">
        <v>51</v>
      </c>
      <c r="E4456" s="1" t="s">
        <v>29</v>
      </c>
      <c r="F4456" s="5">
        <v>100000.0</v>
      </c>
      <c r="G4456" s="1" t="s">
        <v>7016</v>
      </c>
      <c r="H4456" s="4">
        <v>44687.0</v>
      </c>
      <c r="I4456" s="4">
        <v>44813.0</v>
      </c>
      <c r="K4456" s="1">
        <v>0.0</v>
      </c>
      <c r="L4456" s="1" t="s">
        <v>89</v>
      </c>
      <c r="M4456" s="1" t="str">
        <f>VLOOKUP(L4456,'Copy of PMD Workday Constants -'!B4455:W5141,22,false)</f>
        <v>#N/A</v>
      </c>
      <c r="N4456" s="1" t="s">
        <v>32</v>
      </c>
      <c r="O4456" s="1" t="s">
        <v>33</v>
      </c>
      <c r="P4456" s="1" t="s">
        <v>34</v>
      </c>
      <c r="Q4456" s="1" t="s">
        <v>34</v>
      </c>
      <c r="R4456" s="1" t="s">
        <v>35</v>
      </c>
      <c r="T4456" s="1">
        <v>1.00609569E8</v>
      </c>
      <c r="W4456" s="1" t="s">
        <v>37</v>
      </c>
      <c r="X4456" s="1" t="s">
        <v>89</v>
      </c>
    </row>
    <row r="4457">
      <c r="A4457" s="1" t="s">
        <v>12621</v>
      </c>
      <c r="B4457" s="1" t="s">
        <v>1928</v>
      </c>
      <c r="C4457" s="1" t="s">
        <v>12622</v>
      </c>
      <c r="D4457" s="1" t="s">
        <v>28</v>
      </c>
      <c r="E4457" s="1" t="s">
        <v>29</v>
      </c>
      <c r="F4457" s="5">
        <v>100000.0</v>
      </c>
      <c r="G4457" s="1" t="s">
        <v>7016</v>
      </c>
      <c r="H4457" s="4">
        <v>44564.0</v>
      </c>
      <c r="I4457" s="4">
        <v>44630.0</v>
      </c>
      <c r="K4457" s="1">
        <v>0.0</v>
      </c>
      <c r="L4457" s="1" t="s">
        <v>387</v>
      </c>
      <c r="M4457" s="1" t="str">
        <f>VLOOKUP(L4457,'Copy of PMD Workday Constants -'!B4456:W5142,22,false)</f>
        <v>#N/A</v>
      </c>
      <c r="N4457" s="1" t="s">
        <v>32</v>
      </c>
      <c r="O4457" s="1" t="s">
        <v>33</v>
      </c>
      <c r="P4457" s="1" t="s">
        <v>34</v>
      </c>
      <c r="Q4457" s="1" t="s">
        <v>34</v>
      </c>
      <c r="R4457" s="1" t="s">
        <v>35</v>
      </c>
      <c r="T4457" s="1">
        <v>1.00642129E8</v>
      </c>
      <c r="W4457" s="1" t="s">
        <v>147</v>
      </c>
      <c r="X4457" s="1" t="s">
        <v>12435</v>
      </c>
    </row>
    <row r="4458">
      <c r="A4458" s="1" t="s">
        <v>12623</v>
      </c>
      <c r="B4458" s="1" t="s">
        <v>348</v>
      </c>
      <c r="C4458" s="1" t="s">
        <v>12624</v>
      </c>
      <c r="D4458" s="1" t="s">
        <v>28</v>
      </c>
      <c r="E4458" s="1" t="s">
        <v>29</v>
      </c>
      <c r="F4458" s="5">
        <v>100000.0</v>
      </c>
      <c r="G4458" s="1" t="s">
        <v>7016</v>
      </c>
      <c r="H4458" s="4">
        <v>44266.0</v>
      </c>
      <c r="I4458" s="1" t="s">
        <v>152</v>
      </c>
      <c r="K4458" s="1">
        <v>0.0</v>
      </c>
      <c r="L4458" s="1" t="s">
        <v>10349</v>
      </c>
      <c r="M4458" s="1" t="str">
        <f>VLOOKUP(L4458,'Copy of PMD Workday Constants -'!B4457:W5143,22,false)</f>
        <v>#N/A</v>
      </c>
      <c r="N4458" s="1" t="s">
        <v>32</v>
      </c>
      <c r="O4458" s="1" t="s">
        <v>33</v>
      </c>
      <c r="P4458" s="1" t="s">
        <v>64</v>
      </c>
      <c r="Q4458" s="1" t="s">
        <v>64</v>
      </c>
      <c r="R4458" s="1" t="s">
        <v>65</v>
      </c>
      <c r="S4458" s="1" t="s">
        <v>180</v>
      </c>
      <c r="T4458" s="1">
        <v>1.00649481E8</v>
      </c>
      <c r="W4458" s="1" t="s">
        <v>85</v>
      </c>
      <c r="X4458" s="1" t="s">
        <v>1692</v>
      </c>
    </row>
    <row r="4459">
      <c r="A4459" s="1" t="s">
        <v>12625</v>
      </c>
      <c r="B4459" s="1" t="s">
        <v>12626</v>
      </c>
      <c r="C4459" s="1" t="s">
        <v>12627</v>
      </c>
      <c r="D4459" s="1" t="s">
        <v>103</v>
      </c>
      <c r="E4459" s="1" t="s">
        <v>29</v>
      </c>
      <c r="F4459" s="5">
        <v>100000.0</v>
      </c>
      <c r="G4459" s="1" t="s">
        <v>7016</v>
      </c>
      <c r="H4459" s="4">
        <v>44840.0</v>
      </c>
      <c r="I4459" s="1" t="s">
        <v>104</v>
      </c>
      <c r="K4459" s="1">
        <v>0.0</v>
      </c>
      <c r="L4459" s="1" t="s">
        <v>7276</v>
      </c>
      <c r="M4459" s="1" t="str">
        <f>VLOOKUP(L4459,'Copy of PMD Workday Constants -'!B4458:W5144,22,false)</f>
        <v>#N/A</v>
      </c>
      <c r="N4459" s="1" t="s">
        <v>32</v>
      </c>
      <c r="O4459" s="1" t="s">
        <v>33</v>
      </c>
      <c r="P4459" s="1" t="s">
        <v>64</v>
      </c>
      <c r="Q4459" s="1" t="s">
        <v>64</v>
      </c>
      <c r="R4459" s="1" t="s">
        <v>65</v>
      </c>
      <c r="S4459" s="1" t="s">
        <v>1336</v>
      </c>
      <c r="T4459" s="1">
        <v>1.00587219E8</v>
      </c>
      <c r="X4459" s="1" t="s">
        <v>9355</v>
      </c>
    </row>
    <row r="4460">
      <c r="A4460" s="1" t="s">
        <v>12628</v>
      </c>
      <c r="B4460" s="1" t="s">
        <v>4721</v>
      </c>
      <c r="C4460" s="1" t="s">
        <v>12629</v>
      </c>
      <c r="D4460" s="1" t="s">
        <v>28</v>
      </c>
      <c r="E4460" s="1" t="s">
        <v>29</v>
      </c>
      <c r="F4460" s="5">
        <v>100000.0</v>
      </c>
      <c r="G4460" s="1" t="s">
        <v>7016</v>
      </c>
      <c r="H4460" s="4">
        <v>44810.0</v>
      </c>
      <c r="I4460" s="1" t="s">
        <v>302</v>
      </c>
      <c r="K4460" s="1">
        <v>0.0</v>
      </c>
      <c r="L4460" s="1" t="s">
        <v>4723</v>
      </c>
      <c r="M4460" s="1" t="str">
        <f>VLOOKUP(L4460,'Copy of PMD Workday Constants -'!B4459:W5145,22,false)</f>
        <v>#N/A</v>
      </c>
      <c r="N4460" s="1" t="s">
        <v>32</v>
      </c>
      <c r="O4460" s="1" t="s">
        <v>33</v>
      </c>
      <c r="P4460" s="1" t="s">
        <v>210</v>
      </c>
      <c r="Q4460" s="1" t="s">
        <v>210</v>
      </c>
      <c r="R4460" s="1" t="s">
        <v>211</v>
      </c>
      <c r="T4460" s="1">
        <v>1.00585834E8</v>
      </c>
      <c r="W4460" s="1" t="s">
        <v>436</v>
      </c>
      <c r="X4460" s="1" t="s">
        <v>5931</v>
      </c>
    </row>
    <row r="4461">
      <c r="A4461" s="1" t="s">
        <v>12630</v>
      </c>
      <c r="B4461" s="1" t="s">
        <v>5634</v>
      </c>
      <c r="C4461" s="1" t="s">
        <v>12631</v>
      </c>
      <c r="D4461" s="1" t="s">
        <v>28</v>
      </c>
      <c r="E4461" s="1" t="s">
        <v>29</v>
      </c>
      <c r="F4461" s="5">
        <v>100000.0</v>
      </c>
      <c r="G4461" s="1" t="s">
        <v>7016</v>
      </c>
      <c r="H4461" s="1" t="s">
        <v>3028</v>
      </c>
      <c r="I4461" s="1" t="s">
        <v>264</v>
      </c>
      <c r="K4461" s="1">
        <v>0.0</v>
      </c>
      <c r="L4461" s="1" t="s">
        <v>2655</v>
      </c>
      <c r="M4461" s="1" t="str">
        <f>VLOOKUP(L4461,'Copy of PMD Workday Constants -'!B4460:W5146,22,false)</f>
        <v>#N/A</v>
      </c>
      <c r="N4461" s="1" t="s">
        <v>32</v>
      </c>
      <c r="O4461" s="1" t="s">
        <v>33</v>
      </c>
      <c r="P4461" s="1" t="s">
        <v>210</v>
      </c>
      <c r="Q4461" s="1" t="s">
        <v>210</v>
      </c>
      <c r="R4461" s="1" t="s">
        <v>211</v>
      </c>
      <c r="S4461" s="1" t="s">
        <v>1313</v>
      </c>
      <c r="T4461" s="1">
        <v>1.0062606E8</v>
      </c>
      <c r="W4461" s="1" t="s">
        <v>436</v>
      </c>
      <c r="X4461" s="1" t="s">
        <v>7332</v>
      </c>
    </row>
    <row r="4462">
      <c r="A4462" s="1" t="s">
        <v>12632</v>
      </c>
      <c r="B4462" s="1" t="s">
        <v>12633</v>
      </c>
      <c r="C4462" s="1" t="s">
        <v>11079</v>
      </c>
      <c r="D4462" s="1" t="s">
        <v>103</v>
      </c>
      <c r="E4462" s="1" t="s">
        <v>29</v>
      </c>
      <c r="F4462" s="5">
        <v>100000.0</v>
      </c>
      <c r="G4462" s="1" t="s">
        <v>7016</v>
      </c>
      <c r="H4462" s="1" t="s">
        <v>556</v>
      </c>
      <c r="I4462" s="1" t="s">
        <v>80</v>
      </c>
      <c r="K4462" s="1">
        <v>0.0</v>
      </c>
      <c r="L4462" s="1" t="s">
        <v>10780</v>
      </c>
      <c r="M4462" s="1" t="str">
        <f>VLOOKUP(L4462,'Copy of PMD Workday Constants -'!B4461:W5147,22,false)</f>
        <v>#N/A</v>
      </c>
      <c r="N4462" s="1" t="s">
        <v>32</v>
      </c>
      <c r="O4462" s="1" t="s">
        <v>33</v>
      </c>
      <c r="P4462" s="1" t="s">
        <v>222</v>
      </c>
      <c r="Q4462" s="1" t="s">
        <v>222</v>
      </c>
      <c r="R4462" s="1" t="s">
        <v>223</v>
      </c>
      <c r="S4462" s="1" t="s">
        <v>482</v>
      </c>
      <c r="T4462" s="1">
        <v>1.00608136E8</v>
      </c>
      <c r="W4462" s="1" t="s">
        <v>47</v>
      </c>
      <c r="X4462" s="1" t="s">
        <v>10781</v>
      </c>
    </row>
    <row r="4463">
      <c r="A4463" s="1" t="s">
        <v>12634</v>
      </c>
      <c r="B4463" s="1" t="s">
        <v>12635</v>
      </c>
      <c r="C4463" s="1" t="s">
        <v>12636</v>
      </c>
      <c r="D4463" s="1" t="s">
        <v>28</v>
      </c>
      <c r="E4463" s="1" t="s">
        <v>29</v>
      </c>
      <c r="F4463" s="5">
        <v>100000.0</v>
      </c>
      <c r="G4463" s="1" t="s">
        <v>7016</v>
      </c>
      <c r="H4463" s="4">
        <v>44532.0</v>
      </c>
      <c r="I4463" s="1" t="s">
        <v>302</v>
      </c>
      <c r="K4463" s="1">
        <v>0.0</v>
      </c>
      <c r="L4463" s="1" t="s">
        <v>557</v>
      </c>
      <c r="M4463" s="1" t="str">
        <f>VLOOKUP(L4463,'Copy of PMD Workday Constants -'!B4462:W5148,22,false)</f>
        <v>#N/A</v>
      </c>
      <c r="N4463" s="1" t="s">
        <v>32</v>
      </c>
      <c r="O4463" s="1" t="s">
        <v>33</v>
      </c>
      <c r="P4463" s="1" t="s">
        <v>173</v>
      </c>
      <c r="Q4463" s="1" t="s">
        <v>173</v>
      </c>
      <c r="R4463" s="1" t="s">
        <v>174</v>
      </c>
      <c r="S4463" s="1" t="s">
        <v>612</v>
      </c>
      <c r="T4463" s="1">
        <v>1.00700761E8</v>
      </c>
      <c r="W4463" s="1" t="s">
        <v>147</v>
      </c>
      <c r="X4463" s="1" t="s">
        <v>557</v>
      </c>
    </row>
    <row r="4464">
      <c r="A4464" s="1" t="s">
        <v>12637</v>
      </c>
      <c r="B4464" s="1" t="s">
        <v>1685</v>
      </c>
      <c r="C4464" s="1" t="s">
        <v>12638</v>
      </c>
      <c r="D4464" s="1" t="s">
        <v>28</v>
      </c>
      <c r="E4464" s="1" t="s">
        <v>29</v>
      </c>
      <c r="F4464" s="5">
        <v>100000.0</v>
      </c>
      <c r="G4464" s="1" t="s">
        <v>7016</v>
      </c>
      <c r="H4464" s="1" t="s">
        <v>727</v>
      </c>
      <c r="I4464" s="1" t="s">
        <v>1528</v>
      </c>
      <c r="K4464" s="1">
        <v>0.0</v>
      </c>
      <c r="L4464" s="1" t="s">
        <v>2983</v>
      </c>
      <c r="M4464" s="1" t="str">
        <f>VLOOKUP(L4464,'Copy of PMD Workday Constants -'!B4463:W5149,22,false)</f>
        <v>#N/A</v>
      </c>
      <c r="N4464" s="1" t="s">
        <v>32</v>
      </c>
      <c r="O4464" s="1" t="s">
        <v>33</v>
      </c>
      <c r="P4464" s="1" t="s">
        <v>34</v>
      </c>
      <c r="Q4464" s="1" t="s">
        <v>34</v>
      </c>
      <c r="R4464" s="1" t="s">
        <v>35</v>
      </c>
      <c r="S4464" s="1" t="s">
        <v>383</v>
      </c>
      <c r="T4464" s="1">
        <v>1.00650568E8</v>
      </c>
      <c r="W4464" s="1" t="s">
        <v>147</v>
      </c>
      <c r="X4464" s="1" t="s">
        <v>2519</v>
      </c>
    </row>
    <row r="4465">
      <c r="A4465" s="1" t="s">
        <v>12639</v>
      </c>
      <c r="B4465" s="1" t="s">
        <v>1685</v>
      </c>
      <c r="C4465" s="1" t="s">
        <v>12640</v>
      </c>
      <c r="D4465" s="1" t="s">
        <v>28</v>
      </c>
      <c r="E4465" s="1" t="s">
        <v>29</v>
      </c>
      <c r="F4465" s="5">
        <v>100000.0</v>
      </c>
      <c r="G4465" s="1" t="s">
        <v>7016</v>
      </c>
      <c r="H4465" s="1" t="s">
        <v>727</v>
      </c>
      <c r="I4465" s="1" t="s">
        <v>1528</v>
      </c>
      <c r="K4465" s="1">
        <v>0.0</v>
      </c>
      <c r="L4465" s="1" t="s">
        <v>2983</v>
      </c>
      <c r="M4465" s="1" t="str">
        <f>VLOOKUP(L4465,'Copy of PMD Workday Constants -'!B4464:W5150,22,false)</f>
        <v>#N/A</v>
      </c>
      <c r="N4465" s="1" t="s">
        <v>32</v>
      </c>
      <c r="O4465" s="1" t="s">
        <v>33</v>
      </c>
      <c r="P4465" s="1" t="s">
        <v>34</v>
      </c>
      <c r="Q4465" s="1" t="s">
        <v>34</v>
      </c>
      <c r="R4465" s="1" t="s">
        <v>35</v>
      </c>
      <c r="S4465" s="1" t="s">
        <v>383</v>
      </c>
      <c r="T4465" s="1">
        <v>1.00650568E8</v>
      </c>
      <c r="W4465" s="1" t="s">
        <v>147</v>
      </c>
      <c r="X4465" s="1" t="s">
        <v>2519</v>
      </c>
    </row>
    <row r="4466">
      <c r="A4466" s="1" t="s">
        <v>12641</v>
      </c>
      <c r="B4466" s="1" t="s">
        <v>1685</v>
      </c>
      <c r="C4466" s="1" t="s">
        <v>12642</v>
      </c>
      <c r="D4466" s="1" t="s">
        <v>28</v>
      </c>
      <c r="E4466" s="1" t="s">
        <v>29</v>
      </c>
      <c r="F4466" s="5">
        <v>100000.0</v>
      </c>
      <c r="G4466" s="1" t="s">
        <v>7016</v>
      </c>
      <c r="H4466" s="1" t="s">
        <v>727</v>
      </c>
      <c r="I4466" s="1" t="s">
        <v>1528</v>
      </c>
      <c r="K4466" s="1">
        <v>0.0</v>
      </c>
      <c r="L4466" s="1" t="s">
        <v>2983</v>
      </c>
      <c r="M4466" s="1" t="str">
        <f>VLOOKUP(L4466,'Copy of PMD Workday Constants -'!B4465:W5151,22,false)</f>
        <v>#N/A</v>
      </c>
      <c r="N4466" s="1" t="s">
        <v>32</v>
      </c>
      <c r="O4466" s="1" t="s">
        <v>33</v>
      </c>
      <c r="P4466" s="1" t="s">
        <v>34</v>
      </c>
      <c r="Q4466" s="1" t="s">
        <v>34</v>
      </c>
      <c r="R4466" s="1" t="s">
        <v>35</v>
      </c>
      <c r="S4466" s="1" t="s">
        <v>383</v>
      </c>
      <c r="T4466" s="1">
        <v>1.00650568E8</v>
      </c>
      <c r="W4466" s="1" t="s">
        <v>147</v>
      </c>
      <c r="X4466" s="1" t="s">
        <v>2519</v>
      </c>
    </row>
    <row r="4467">
      <c r="A4467" s="1" t="s">
        <v>12643</v>
      </c>
      <c r="B4467" s="1" t="s">
        <v>3962</v>
      </c>
      <c r="C4467" s="1" t="s">
        <v>12644</v>
      </c>
      <c r="D4467" s="1" t="s">
        <v>28</v>
      </c>
      <c r="E4467" s="1" t="s">
        <v>29</v>
      </c>
      <c r="F4467" s="5">
        <v>100000.0</v>
      </c>
      <c r="G4467" s="1" t="s">
        <v>7016</v>
      </c>
      <c r="H4467" s="1" t="s">
        <v>1433</v>
      </c>
      <c r="I4467" s="1" t="s">
        <v>302</v>
      </c>
      <c r="K4467" s="1">
        <v>0.0</v>
      </c>
      <c r="L4467" s="1" t="s">
        <v>454</v>
      </c>
      <c r="M4467" s="1" t="str">
        <f>VLOOKUP(L4467,'Copy of PMD Workday Constants -'!B4466:W5152,22,false)</f>
        <v>#N/A</v>
      </c>
      <c r="N4467" s="1" t="s">
        <v>32</v>
      </c>
      <c r="O4467" s="1" t="s">
        <v>33</v>
      </c>
      <c r="P4467" s="1" t="s">
        <v>112</v>
      </c>
      <c r="Q4467" s="1" t="s">
        <v>112</v>
      </c>
      <c r="R4467" s="1" t="s">
        <v>113</v>
      </c>
      <c r="S4467" s="1" t="s">
        <v>455</v>
      </c>
      <c r="T4467" s="1">
        <v>1.00611486E8</v>
      </c>
      <c r="W4467" s="1" t="s">
        <v>456</v>
      </c>
      <c r="X4467" s="1" t="s">
        <v>2155</v>
      </c>
    </row>
    <row r="4468">
      <c r="A4468" s="1" t="s">
        <v>12645</v>
      </c>
      <c r="B4468" s="1" t="s">
        <v>696</v>
      </c>
      <c r="C4468" s="1" t="s">
        <v>12646</v>
      </c>
      <c r="D4468" s="1" t="s">
        <v>103</v>
      </c>
      <c r="E4468" s="1" t="s">
        <v>29</v>
      </c>
      <c r="F4468" s="5">
        <v>100000.0</v>
      </c>
      <c r="G4468" s="1" t="s">
        <v>7016</v>
      </c>
      <c r="H4468" s="1" t="s">
        <v>870</v>
      </c>
      <c r="I4468" s="1" t="s">
        <v>810</v>
      </c>
      <c r="K4468" s="1">
        <v>0.0</v>
      </c>
      <c r="L4468" s="1" t="s">
        <v>700</v>
      </c>
      <c r="M4468" s="1" t="str">
        <f>VLOOKUP(L4468,'Copy of PMD Workday Constants -'!B4467:W5153,22,false)</f>
        <v>#N/A</v>
      </c>
      <c r="N4468" s="1" t="s">
        <v>32</v>
      </c>
      <c r="O4468" s="1" t="s">
        <v>33</v>
      </c>
      <c r="P4468" s="1" t="s">
        <v>54</v>
      </c>
      <c r="Q4468" s="1" t="s">
        <v>54</v>
      </c>
      <c r="R4468" s="1" t="s">
        <v>55</v>
      </c>
      <c r="S4468" s="1" t="s">
        <v>701</v>
      </c>
      <c r="T4468" s="1">
        <v>1.00622378E8</v>
      </c>
      <c r="W4468" s="1" t="s">
        <v>115</v>
      </c>
      <c r="X4468" s="1" t="s">
        <v>8652</v>
      </c>
    </row>
    <row r="4469">
      <c r="A4469" s="1" t="s">
        <v>12647</v>
      </c>
      <c r="B4469" s="1" t="s">
        <v>489</v>
      </c>
      <c r="C4469" s="1" t="s">
        <v>12648</v>
      </c>
      <c r="D4469" s="1" t="s">
        <v>28</v>
      </c>
      <c r="E4469" s="1" t="s">
        <v>29</v>
      </c>
      <c r="F4469" s="5">
        <v>100000.0</v>
      </c>
      <c r="G4469" s="1" t="s">
        <v>7016</v>
      </c>
      <c r="H4469" s="4">
        <v>44233.0</v>
      </c>
      <c r="I4469" s="4">
        <v>45177.0</v>
      </c>
      <c r="K4469" s="1">
        <v>0.0</v>
      </c>
      <c r="L4469" s="1" t="s">
        <v>847</v>
      </c>
      <c r="M4469" s="1" t="str">
        <f>VLOOKUP(L4469,'Copy of PMD Workday Constants -'!B4468:W5154,22,false)</f>
        <v>#N/A</v>
      </c>
      <c r="N4469" s="1" t="s">
        <v>32</v>
      </c>
      <c r="O4469" s="1" t="s">
        <v>33</v>
      </c>
      <c r="P4469" s="1" t="s">
        <v>173</v>
      </c>
      <c r="Q4469" s="1" t="s">
        <v>173</v>
      </c>
      <c r="R4469" s="1" t="s">
        <v>174</v>
      </c>
      <c r="T4469" s="1">
        <v>1.00586701E8</v>
      </c>
      <c r="W4469" s="1" t="s">
        <v>493</v>
      </c>
      <c r="X4469" s="1" t="s">
        <v>1529</v>
      </c>
    </row>
    <row r="4470">
      <c r="A4470" s="1" t="s">
        <v>12649</v>
      </c>
      <c r="B4470" s="1" t="s">
        <v>1928</v>
      </c>
      <c r="C4470" s="1" t="s">
        <v>12650</v>
      </c>
      <c r="D4470" s="1" t="s">
        <v>103</v>
      </c>
      <c r="E4470" s="1" t="s">
        <v>29</v>
      </c>
      <c r="F4470" s="5">
        <v>100000.0</v>
      </c>
      <c r="G4470" s="1" t="s">
        <v>7016</v>
      </c>
      <c r="H4470" s="4">
        <v>44350.0</v>
      </c>
      <c r="I4470" s="1" t="s">
        <v>104</v>
      </c>
      <c r="K4470" s="1">
        <v>0.0</v>
      </c>
      <c r="L4470" s="1" t="s">
        <v>3948</v>
      </c>
      <c r="M4470" s="1" t="str">
        <f>VLOOKUP(L4470,'Copy of PMD Workday Constants -'!B4469:W5155,22,false)</f>
        <v>#N/A</v>
      </c>
      <c r="N4470" s="1" t="s">
        <v>32</v>
      </c>
      <c r="O4470" s="1" t="s">
        <v>33</v>
      </c>
      <c r="P4470" s="1" t="s">
        <v>112</v>
      </c>
      <c r="Q4470" s="1" t="s">
        <v>112</v>
      </c>
      <c r="R4470" s="1" t="s">
        <v>113</v>
      </c>
      <c r="S4470" s="1" t="s">
        <v>114</v>
      </c>
      <c r="T4470" s="1">
        <v>1.00627224E8</v>
      </c>
      <c r="W4470" s="1" t="s">
        <v>147</v>
      </c>
      <c r="X4470" s="1" t="s">
        <v>2519</v>
      </c>
    </row>
    <row r="4471">
      <c r="A4471" s="1" t="s">
        <v>12651</v>
      </c>
      <c r="B4471" s="1" t="s">
        <v>77</v>
      </c>
      <c r="C4471" s="1" t="s">
        <v>12652</v>
      </c>
      <c r="D4471" s="1" t="s">
        <v>28</v>
      </c>
      <c r="E4471" s="1" t="s">
        <v>29</v>
      </c>
      <c r="F4471" s="5">
        <v>100000.0</v>
      </c>
      <c r="G4471" s="1" t="s">
        <v>7016</v>
      </c>
      <c r="H4471" s="1" t="s">
        <v>1254</v>
      </c>
      <c r="I4471" s="1" t="s">
        <v>810</v>
      </c>
      <c r="K4471" s="1">
        <v>0.0</v>
      </c>
      <c r="L4471" s="1" t="s">
        <v>81</v>
      </c>
      <c r="M4471" s="1" t="str">
        <f>VLOOKUP(L4471,'Copy of PMD Workday Constants -'!B4470:W5156,22,false)</f>
        <v>#N/A</v>
      </c>
      <c r="N4471" s="1" t="s">
        <v>32</v>
      </c>
      <c r="O4471" s="1" t="s">
        <v>33</v>
      </c>
      <c r="P4471" s="1" t="s">
        <v>82</v>
      </c>
      <c r="Q4471" s="1" t="s">
        <v>82</v>
      </c>
      <c r="R4471" s="1" t="s">
        <v>83</v>
      </c>
      <c r="S4471" s="1" t="s">
        <v>84</v>
      </c>
      <c r="T4471" s="1">
        <v>1.00640331E8</v>
      </c>
      <c r="W4471" s="1" t="s">
        <v>85</v>
      </c>
      <c r="X4471" s="1" t="s">
        <v>12653</v>
      </c>
    </row>
    <row r="4472">
      <c r="A4472" s="1" t="s">
        <v>12654</v>
      </c>
      <c r="B4472" s="1" t="s">
        <v>12655</v>
      </c>
      <c r="C4472" s="1" t="s">
        <v>12656</v>
      </c>
      <c r="D4472" s="1" t="s">
        <v>103</v>
      </c>
      <c r="E4472" s="1" t="s">
        <v>29</v>
      </c>
      <c r="F4472" s="5">
        <v>100000.0</v>
      </c>
      <c r="G4472" s="1" t="s">
        <v>7016</v>
      </c>
      <c r="H4472" s="4">
        <v>44598.0</v>
      </c>
      <c r="I4472" s="1" t="s">
        <v>96</v>
      </c>
      <c r="K4472" s="1">
        <v>0.0</v>
      </c>
      <c r="L4472" s="1" t="s">
        <v>12657</v>
      </c>
      <c r="M4472" s="1" t="str">
        <f>VLOOKUP(L4472,'Copy of PMD Workday Constants -'!B4471:W5157,22,false)</f>
        <v>#N/A</v>
      </c>
      <c r="N4472" s="1" t="s">
        <v>32</v>
      </c>
      <c r="O4472" s="1" t="s">
        <v>33</v>
      </c>
      <c r="P4472" s="1" t="s">
        <v>54</v>
      </c>
      <c r="Q4472" s="1" t="s">
        <v>54</v>
      </c>
      <c r="R4472" s="1" t="s">
        <v>55</v>
      </c>
      <c r="T4472" s="1">
        <v>1.00586521E8</v>
      </c>
      <c r="W4472" s="1" t="s">
        <v>147</v>
      </c>
      <c r="X4472" s="1" t="s">
        <v>12658</v>
      </c>
    </row>
    <row r="4473">
      <c r="A4473" s="1" t="s">
        <v>12659</v>
      </c>
      <c r="B4473" s="1" t="s">
        <v>12660</v>
      </c>
      <c r="C4473" s="1" t="s">
        <v>12661</v>
      </c>
      <c r="D4473" s="1" t="s">
        <v>28</v>
      </c>
      <c r="E4473" s="1" t="s">
        <v>29</v>
      </c>
      <c r="F4473" s="5">
        <v>100000.0</v>
      </c>
      <c r="G4473" s="1" t="s">
        <v>7016</v>
      </c>
      <c r="H4473" s="1" t="s">
        <v>5752</v>
      </c>
      <c r="I4473" s="4">
        <v>44604.0</v>
      </c>
      <c r="K4473" s="1">
        <v>0.0</v>
      </c>
      <c r="L4473" s="1" t="s">
        <v>3571</v>
      </c>
      <c r="M4473" s="1" t="str">
        <f>VLOOKUP(L4473,'Copy of PMD Workday Constants -'!B4472:W5158,22,false)</f>
        <v>#N/A</v>
      </c>
      <c r="N4473" s="1" t="s">
        <v>32</v>
      </c>
      <c r="O4473" s="1" t="s">
        <v>33</v>
      </c>
      <c r="P4473" s="1" t="s">
        <v>173</v>
      </c>
      <c r="Q4473" s="1" t="s">
        <v>173</v>
      </c>
      <c r="R4473" s="1" t="s">
        <v>174</v>
      </c>
      <c r="S4473" s="1" t="s">
        <v>612</v>
      </c>
      <c r="T4473" s="1">
        <v>1.00651086E8</v>
      </c>
      <c r="W4473" s="1" t="s">
        <v>115</v>
      </c>
      <c r="X4473" s="1" t="s">
        <v>3157</v>
      </c>
    </row>
    <row r="4474">
      <c r="A4474" s="1" t="s">
        <v>12662</v>
      </c>
      <c r="B4474" s="1" t="s">
        <v>1685</v>
      </c>
      <c r="C4474" s="1" t="s">
        <v>12663</v>
      </c>
      <c r="D4474" s="1" t="s">
        <v>28</v>
      </c>
      <c r="E4474" s="1" t="s">
        <v>29</v>
      </c>
      <c r="F4474" s="5">
        <v>100000.0</v>
      </c>
      <c r="G4474" s="1" t="s">
        <v>7016</v>
      </c>
      <c r="H4474" s="1" t="s">
        <v>727</v>
      </c>
      <c r="I4474" s="1" t="s">
        <v>1528</v>
      </c>
      <c r="K4474" s="1">
        <v>0.0</v>
      </c>
      <c r="L4474" s="1" t="s">
        <v>2983</v>
      </c>
      <c r="M4474" s="1" t="str">
        <f>VLOOKUP(L4474,'Copy of PMD Workday Constants -'!B4473:W5159,22,false)</f>
        <v>#N/A</v>
      </c>
      <c r="N4474" s="1" t="s">
        <v>32</v>
      </c>
      <c r="O4474" s="1" t="s">
        <v>33</v>
      </c>
      <c r="P4474" s="1" t="s">
        <v>34</v>
      </c>
      <c r="Q4474" s="1" t="s">
        <v>34</v>
      </c>
      <c r="R4474" s="1" t="s">
        <v>35</v>
      </c>
      <c r="S4474" s="1" t="s">
        <v>383</v>
      </c>
      <c r="T4474" s="1">
        <v>1.00650568E8</v>
      </c>
      <c r="W4474" s="1" t="s">
        <v>147</v>
      </c>
      <c r="X4474" s="1" t="s">
        <v>2519</v>
      </c>
    </row>
    <row r="4475">
      <c r="A4475" s="1" t="s">
        <v>12664</v>
      </c>
      <c r="B4475" s="1" t="s">
        <v>6712</v>
      </c>
      <c r="C4475" s="1" t="s">
        <v>12665</v>
      </c>
      <c r="D4475" s="1" t="s">
        <v>51</v>
      </c>
      <c r="E4475" s="1" t="s">
        <v>29</v>
      </c>
      <c r="F4475" s="5">
        <v>100000.0</v>
      </c>
      <c r="G4475" s="1" t="s">
        <v>7016</v>
      </c>
      <c r="H4475" s="1" t="s">
        <v>3324</v>
      </c>
      <c r="I4475" s="1" t="s">
        <v>80</v>
      </c>
      <c r="K4475" s="1">
        <v>0.0</v>
      </c>
      <c r="L4475" s="1" t="s">
        <v>570</v>
      </c>
      <c r="M4475" s="1" t="str">
        <f>VLOOKUP(L4475,'Copy of PMD Workday Constants -'!B4474:W5160,22,false)</f>
        <v>#N/A</v>
      </c>
      <c r="N4475" s="1" t="s">
        <v>32</v>
      </c>
      <c r="O4475" s="1" t="s">
        <v>33</v>
      </c>
      <c r="P4475" s="1" t="s">
        <v>112</v>
      </c>
      <c r="Q4475" s="1" t="s">
        <v>112</v>
      </c>
      <c r="R4475" s="1" t="s">
        <v>113</v>
      </c>
      <c r="S4475" s="1" t="s">
        <v>120</v>
      </c>
      <c r="T4475" s="1">
        <v>1.00625415E8</v>
      </c>
      <c r="W4475" s="1" t="s">
        <v>56</v>
      </c>
      <c r="X4475" s="1" t="s">
        <v>1884</v>
      </c>
    </row>
    <row r="4476">
      <c r="A4476" s="1" t="s">
        <v>12666</v>
      </c>
      <c r="B4476" s="1" t="s">
        <v>12667</v>
      </c>
      <c r="C4476" s="1" t="s">
        <v>12668</v>
      </c>
      <c r="D4476" s="1" t="s">
        <v>28</v>
      </c>
      <c r="E4476" s="1" t="s">
        <v>29</v>
      </c>
      <c r="F4476" s="5">
        <v>100000.0</v>
      </c>
      <c r="G4476" s="1" t="s">
        <v>7016</v>
      </c>
      <c r="H4476" s="4">
        <v>44503.0</v>
      </c>
      <c r="I4476" s="1" t="s">
        <v>12669</v>
      </c>
      <c r="K4476" s="1">
        <v>0.0</v>
      </c>
      <c r="L4476" s="1" t="s">
        <v>1659</v>
      </c>
      <c r="M4476" s="1" t="str">
        <f>VLOOKUP(L4476,'Copy of PMD Workday Constants -'!B4475:W5161,22,false)</f>
        <v>#N/A</v>
      </c>
      <c r="N4476" s="1" t="s">
        <v>32</v>
      </c>
      <c r="O4476" s="1" t="s">
        <v>33</v>
      </c>
      <c r="P4476" s="1" t="s">
        <v>173</v>
      </c>
      <c r="Q4476" s="1" t="s">
        <v>173</v>
      </c>
      <c r="R4476" s="1" t="s">
        <v>174</v>
      </c>
      <c r="S4476" s="1" t="s">
        <v>612</v>
      </c>
      <c r="T4476" s="1">
        <v>1.00650786E8</v>
      </c>
      <c r="W4476" s="1" t="s">
        <v>147</v>
      </c>
      <c r="X4476" s="1" t="s">
        <v>12670</v>
      </c>
    </row>
    <row r="4477">
      <c r="A4477" s="1" t="s">
        <v>12671</v>
      </c>
      <c r="B4477" s="1" t="s">
        <v>9492</v>
      </c>
      <c r="C4477" s="1" t="s">
        <v>12672</v>
      </c>
      <c r="D4477" s="1" t="s">
        <v>28</v>
      </c>
      <c r="E4477" s="1" t="s">
        <v>29</v>
      </c>
      <c r="F4477" s="5">
        <v>100000.0</v>
      </c>
      <c r="G4477" s="1" t="s">
        <v>7016</v>
      </c>
      <c r="H4477" s="1" t="s">
        <v>2241</v>
      </c>
      <c r="I4477" s="1" t="s">
        <v>104</v>
      </c>
      <c r="K4477" s="1">
        <v>0.0</v>
      </c>
      <c r="L4477" s="1" t="s">
        <v>2516</v>
      </c>
      <c r="M4477" s="1" t="str">
        <f>VLOOKUP(L4477,'Copy of PMD Workday Constants -'!B4476:W5162,22,false)</f>
        <v>#N/A</v>
      </c>
      <c r="N4477" s="1" t="s">
        <v>32</v>
      </c>
      <c r="O4477" s="1" t="s">
        <v>33</v>
      </c>
      <c r="P4477" s="1" t="s">
        <v>173</v>
      </c>
      <c r="Q4477" s="1" t="s">
        <v>173</v>
      </c>
      <c r="R4477" s="1" t="s">
        <v>174</v>
      </c>
      <c r="S4477" s="1" t="s">
        <v>297</v>
      </c>
      <c r="T4477" s="1">
        <v>1.00690774E8</v>
      </c>
      <c r="W4477" s="1" t="s">
        <v>258</v>
      </c>
      <c r="X4477" s="1" t="s">
        <v>4458</v>
      </c>
    </row>
    <row r="4478">
      <c r="A4478" s="1" t="s">
        <v>12673</v>
      </c>
      <c r="B4478" s="1" t="s">
        <v>1319</v>
      </c>
      <c r="C4478" s="1" t="s">
        <v>12674</v>
      </c>
      <c r="D4478" s="1" t="s">
        <v>28</v>
      </c>
      <c r="E4478" s="1" t="s">
        <v>29</v>
      </c>
      <c r="F4478" s="5">
        <v>100000.0</v>
      </c>
      <c r="G4478" s="1" t="s">
        <v>7016</v>
      </c>
      <c r="H4478" s="1" t="s">
        <v>3386</v>
      </c>
      <c r="I4478" s="1" t="s">
        <v>80</v>
      </c>
      <c r="K4478" s="1">
        <v>0.0</v>
      </c>
      <c r="L4478" s="1" t="s">
        <v>645</v>
      </c>
      <c r="M4478" s="1" t="str">
        <f>VLOOKUP(L4478,'Copy of PMD Workday Constants -'!B4477:W5163,22,false)</f>
        <v>#N/A</v>
      </c>
      <c r="N4478" s="1" t="s">
        <v>32</v>
      </c>
      <c r="O4478" s="1" t="s">
        <v>33</v>
      </c>
      <c r="P4478" s="1" t="s">
        <v>64</v>
      </c>
      <c r="Q4478" s="1" t="s">
        <v>64</v>
      </c>
      <c r="R4478" s="1" t="s">
        <v>65</v>
      </c>
      <c r="S4478" s="1" t="s">
        <v>98</v>
      </c>
      <c r="T4478" s="1">
        <v>1.00653597E8</v>
      </c>
      <c r="W4478" s="1" t="s">
        <v>436</v>
      </c>
      <c r="X4478" s="1" t="s">
        <v>12675</v>
      </c>
    </row>
    <row r="4479">
      <c r="A4479" s="1" t="s">
        <v>12676</v>
      </c>
      <c r="B4479" s="1" t="s">
        <v>12677</v>
      </c>
      <c r="C4479" s="1" t="s">
        <v>12678</v>
      </c>
      <c r="D4479" s="1" t="s">
        <v>79</v>
      </c>
      <c r="E4479" s="1" t="s">
        <v>29</v>
      </c>
      <c r="F4479" s="5">
        <v>100000.0</v>
      </c>
      <c r="G4479" s="1" t="s">
        <v>7016</v>
      </c>
      <c r="H4479" s="1" t="s">
        <v>4739</v>
      </c>
      <c r="I4479" s="4">
        <v>44208.0</v>
      </c>
      <c r="J4479" s="1" t="s">
        <v>12679</v>
      </c>
      <c r="K4479" s="1">
        <v>0.0</v>
      </c>
      <c r="L4479" s="1" t="s">
        <v>10207</v>
      </c>
      <c r="M4479" s="1" t="str">
        <f>VLOOKUP(L4479,'Copy of PMD Workday Constants -'!B4478:W5164,22,false)</f>
        <v>#N/A</v>
      </c>
      <c r="N4479" s="1" t="s">
        <v>32</v>
      </c>
      <c r="O4479" s="1" t="s">
        <v>33</v>
      </c>
      <c r="P4479" s="1" t="s">
        <v>222</v>
      </c>
      <c r="Q4479" s="1" t="s">
        <v>222</v>
      </c>
      <c r="R4479" s="1" t="s">
        <v>223</v>
      </c>
      <c r="S4479" s="1" t="s">
        <v>482</v>
      </c>
      <c r="T4479" s="1">
        <v>1.00612201E8</v>
      </c>
      <c r="W4479" s="1" t="s">
        <v>287</v>
      </c>
      <c r="X4479" s="1" t="s">
        <v>10777</v>
      </c>
    </row>
    <row r="4480">
      <c r="A4480" s="1" t="s">
        <v>12680</v>
      </c>
      <c r="B4480" s="1" t="s">
        <v>3650</v>
      </c>
      <c r="C4480" s="1" t="s">
        <v>12681</v>
      </c>
      <c r="D4480" s="1" t="s">
        <v>28</v>
      </c>
      <c r="E4480" s="1" t="s">
        <v>29</v>
      </c>
      <c r="F4480" s="5">
        <v>100000.0</v>
      </c>
      <c r="G4480" s="1" t="s">
        <v>7016</v>
      </c>
      <c r="H4480" s="4">
        <v>44414.0</v>
      </c>
      <c r="I4480" s="1" t="s">
        <v>264</v>
      </c>
      <c r="K4480" s="1">
        <v>0.0</v>
      </c>
      <c r="L4480" s="1" t="s">
        <v>11329</v>
      </c>
      <c r="M4480" s="1" t="str">
        <f>VLOOKUP(L4480,'Copy of PMD Workday Constants -'!B4479:W5165,22,false)</f>
        <v>#N/A</v>
      </c>
      <c r="N4480" s="1" t="s">
        <v>32</v>
      </c>
      <c r="O4480" s="1" t="s">
        <v>33</v>
      </c>
      <c r="P4480" s="1" t="s">
        <v>173</v>
      </c>
      <c r="Q4480" s="1" t="s">
        <v>173</v>
      </c>
      <c r="R4480" s="1" t="s">
        <v>174</v>
      </c>
      <c r="T4480" s="1">
        <v>1.01056026E8</v>
      </c>
      <c r="W4480" s="1" t="s">
        <v>56</v>
      </c>
      <c r="X4480" s="1" t="s">
        <v>11329</v>
      </c>
    </row>
    <row r="4481">
      <c r="A4481" s="1" t="s">
        <v>12682</v>
      </c>
      <c r="B4481" s="1" t="s">
        <v>9492</v>
      </c>
      <c r="C4481" s="1" t="s">
        <v>12683</v>
      </c>
      <c r="D4481" s="1" t="s">
        <v>28</v>
      </c>
      <c r="E4481" s="1" t="s">
        <v>29</v>
      </c>
      <c r="F4481" s="5">
        <v>100000.0</v>
      </c>
      <c r="G4481" s="1" t="s">
        <v>7016</v>
      </c>
      <c r="H4481" s="1" t="s">
        <v>2241</v>
      </c>
      <c r="I4481" s="1" t="s">
        <v>80</v>
      </c>
      <c r="K4481" s="1">
        <v>0.0</v>
      </c>
      <c r="L4481" s="1" t="s">
        <v>6800</v>
      </c>
      <c r="M4481" s="1" t="str">
        <f>VLOOKUP(L4481,'Copy of PMD Workday Constants -'!B4480:W5166,22,false)</f>
        <v>#N/A</v>
      </c>
      <c r="N4481" s="1" t="s">
        <v>32</v>
      </c>
      <c r="O4481" s="1" t="s">
        <v>33</v>
      </c>
      <c r="P4481" s="1" t="s">
        <v>210</v>
      </c>
      <c r="Q4481" s="1" t="s">
        <v>210</v>
      </c>
      <c r="R4481" s="1" t="s">
        <v>211</v>
      </c>
      <c r="S4481" s="1" t="s">
        <v>297</v>
      </c>
      <c r="T4481" s="1">
        <v>1.00922604E8</v>
      </c>
      <c r="W4481" s="1" t="s">
        <v>258</v>
      </c>
      <c r="X4481" s="1" t="s">
        <v>4458</v>
      </c>
    </row>
    <row r="4482">
      <c r="A4482" s="1" t="s">
        <v>12684</v>
      </c>
      <c r="B4482" s="1" t="s">
        <v>9492</v>
      </c>
      <c r="C4482" s="1" t="s">
        <v>12685</v>
      </c>
      <c r="D4482" s="1" t="s">
        <v>28</v>
      </c>
      <c r="E4482" s="1" t="s">
        <v>29</v>
      </c>
      <c r="F4482" s="5">
        <v>100000.0</v>
      </c>
      <c r="G4482" s="1" t="s">
        <v>7016</v>
      </c>
      <c r="H4482" s="1" t="s">
        <v>2241</v>
      </c>
      <c r="I4482" s="1" t="s">
        <v>104</v>
      </c>
      <c r="K4482" s="1">
        <v>0.0</v>
      </c>
      <c r="L4482" s="1" t="s">
        <v>2516</v>
      </c>
      <c r="M4482" s="1" t="str">
        <f>VLOOKUP(L4482,'Copy of PMD Workday Constants -'!B4481:W5167,22,false)</f>
        <v>#N/A</v>
      </c>
      <c r="N4482" s="1" t="s">
        <v>32</v>
      </c>
      <c r="O4482" s="1" t="s">
        <v>33</v>
      </c>
      <c r="P4482" s="1" t="s">
        <v>173</v>
      </c>
      <c r="Q4482" s="1" t="s">
        <v>173</v>
      </c>
      <c r="R4482" s="1" t="s">
        <v>174</v>
      </c>
      <c r="S4482" s="1" t="s">
        <v>297</v>
      </c>
      <c r="T4482" s="1">
        <v>1.00690774E8</v>
      </c>
      <c r="W4482" s="1" t="s">
        <v>258</v>
      </c>
      <c r="X4482" s="1" t="s">
        <v>4458</v>
      </c>
    </row>
    <row r="4483">
      <c r="A4483" s="1" t="s">
        <v>12686</v>
      </c>
      <c r="B4483" s="1" t="s">
        <v>1096</v>
      </c>
      <c r="C4483" s="1" t="s">
        <v>12687</v>
      </c>
      <c r="D4483" s="1" t="s">
        <v>28</v>
      </c>
      <c r="E4483" s="1" t="s">
        <v>29</v>
      </c>
      <c r="F4483" s="5">
        <v>100000.0</v>
      </c>
      <c r="G4483" s="1" t="s">
        <v>7016</v>
      </c>
      <c r="H4483" s="4">
        <v>44775.0</v>
      </c>
      <c r="I4483" s="1" t="s">
        <v>941</v>
      </c>
      <c r="K4483" s="1">
        <v>0.0</v>
      </c>
      <c r="L4483" s="1" t="s">
        <v>762</v>
      </c>
      <c r="M4483" s="1" t="str">
        <f>VLOOKUP(L4483,'Copy of PMD Workday Constants -'!B4482:W5168,22,false)</f>
        <v>#N/A</v>
      </c>
      <c r="N4483" s="1" t="s">
        <v>32</v>
      </c>
      <c r="O4483" s="1" t="s">
        <v>33</v>
      </c>
      <c r="P4483" s="1" t="s">
        <v>222</v>
      </c>
      <c r="Q4483" s="1" t="s">
        <v>222</v>
      </c>
      <c r="R4483" s="1" t="s">
        <v>223</v>
      </c>
      <c r="S4483" s="1" t="s">
        <v>646</v>
      </c>
      <c r="T4483" s="1">
        <v>1.00619765E8</v>
      </c>
      <c r="W4483" s="1" t="s">
        <v>456</v>
      </c>
      <c r="X4483" s="1" t="s">
        <v>762</v>
      </c>
    </row>
    <row r="4484">
      <c r="A4484" s="1" t="s">
        <v>12688</v>
      </c>
      <c r="B4484" s="1" t="s">
        <v>4425</v>
      </c>
      <c r="C4484" s="1" t="s">
        <v>12689</v>
      </c>
      <c r="D4484" s="1" t="s">
        <v>28</v>
      </c>
      <c r="E4484" s="1" t="s">
        <v>29</v>
      </c>
      <c r="F4484" s="5">
        <v>100000.0</v>
      </c>
      <c r="G4484" s="1" t="s">
        <v>7016</v>
      </c>
      <c r="H4484" s="4">
        <v>44744.0</v>
      </c>
      <c r="I4484" s="1" t="s">
        <v>96</v>
      </c>
      <c r="K4484" s="1">
        <v>0.0</v>
      </c>
      <c r="L4484" s="1" t="s">
        <v>12690</v>
      </c>
      <c r="M4484" s="1" t="str">
        <f>VLOOKUP(L4484,'Copy of PMD Workday Constants -'!B4483:W5169,22,false)</f>
        <v>#N/A</v>
      </c>
      <c r="N4484" s="1" t="s">
        <v>32</v>
      </c>
      <c r="O4484" s="1" t="s">
        <v>33</v>
      </c>
      <c r="P4484" s="1" t="s">
        <v>54</v>
      </c>
      <c r="Q4484" s="1" t="s">
        <v>54</v>
      </c>
      <c r="R4484" s="1" t="s">
        <v>55</v>
      </c>
      <c r="T4484" s="1">
        <v>1.0060697E8</v>
      </c>
      <c r="W4484" s="1" t="s">
        <v>74</v>
      </c>
      <c r="X4484" s="1" t="s">
        <v>12691</v>
      </c>
    </row>
    <row r="4485">
      <c r="A4485" s="1" t="s">
        <v>12692</v>
      </c>
      <c r="B4485" s="1" t="s">
        <v>931</v>
      </c>
      <c r="C4485" s="1" t="s">
        <v>12693</v>
      </c>
      <c r="D4485" s="1" t="s">
        <v>28</v>
      </c>
      <c r="E4485" s="1" t="s">
        <v>29</v>
      </c>
      <c r="F4485" s="5">
        <v>100000.0</v>
      </c>
      <c r="G4485" s="1" t="s">
        <v>7016</v>
      </c>
      <c r="H4485" s="1" t="s">
        <v>975</v>
      </c>
      <c r="I4485" s="1" t="s">
        <v>406</v>
      </c>
      <c r="J4485" s="6">
        <v>44656.157638888886</v>
      </c>
      <c r="K4485" s="1">
        <v>0.0</v>
      </c>
      <c r="L4485" s="1" t="s">
        <v>3623</v>
      </c>
      <c r="M4485" s="1" t="str">
        <f>VLOOKUP(L4485,'Copy of PMD Workday Constants -'!B4484:W5170,22,false)</f>
        <v>#N/A</v>
      </c>
      <c r="N4485" s="1" t="s">
        <v>32</v>
      </c>
      <c r="O4485" s="1" t="s">
        <v>33</v>
      </c>
      <c r="P4485" s="1" t="s">
        <v>82</v>
      </c>
      <c r="Q4485" s="1" t="s">
        <v>82</v>
      </c>
      <c r="R4485" s="1" t="s">
        <v>83</v>
      </c>
      <c r="S4485" s="1" t="s">
        <v>84</v>
      </c>
      <c r="T4485" s="1">
        <v>1.00929557E8</v>
      </c>
      <c r="W4485" s="1" t="s">
        <v>85</v>
      </c>
      <c r="X4485" s="1" t="s">
        <v>10171</v>
      </c>
    </row>
    <row r="4486">
      <c r="A4486" s="1" t="s">
        <v>12694</v>
      </c>
      <c r="B4486" s="1" t="s">
        <v>6453</v>
      </c>
      <c r="C4486" s="1" t="s">
        <v>12695</v>
      </c>
      <c r="D4486" s="1" t="s">
        <v>51</v>
      </c>
      <c r="E4486" s="1" t="s">
        <v>29</v>
      </c>
      <c r="F4486" s="5">
        <v>100000.0</v>
      </c>
      <c r="G4486" s="1" t="s">
        <v>7016</v>
      </c>
      <c r="H4486" s="4">
        <v>44594.0</v>
      </c>
      <c r="I4486" s="1" t="s">
        <v>1528</v>
      </c>
      <c r="K4486" s="1">
        <v>0.0</v>
      </c>
      <c r="L4486" s="1" t="s">
        <v>1151</v>
      </c>
      <c r="M4486" s="1" t="str">
        <f>VLOOKUP(L4486,'Copy of PMD Workday Constants -'!B4485:W5171,22,false)</f>
        <v>#N/A</v>
      </c>
      <c r="N4486" s="1" t="s">
        <v>32</v>
      </c>
      <c r="O4486" s="1" t="s">
        <v>33</v>
      </c>
      <c r="P4486" s="1" t="s">
        <v>173</v>
      </c>
      <c r="Q4486" s="1" t="s">
        <v>173</v>
      </c>
      <c r="R4486" s="1" t="s">
        <v>174</v>
      </c>
      <c r="S4486" s="1" t="s">
        <v>612</v>
      </c>
      <c r="T4486" s="1">
        <v>1.00654991E8</v>
      </c>
      <c r="W4486" s="1" t="s">
        <v>250</v>
      </c>
      <c r="X4486" s="1" t="s">
        <v>1381</v>
      </c>
    </row>
    <row r="4487">
      <c r="A4487" s="1" t="s">
        <v>12696</v>
      </c>
      <c r="B4487" s="1" t="s">
        <v>7511</v>
      </c>
      <c r="C4487" s="1" t="s">
        <v>12697</v>
      </c>
      <c r="D4487" s="1" t="s">
        <v>28</v>
      </c>
      <c r="E4487" s="1" t="s">
        <v>29</v>
      </c>
      <c r="F4487" s="5">
        <v>100000.0</v>
      </c>
      <c r="G4487" s="1" t="s">
        <v>7016</v>
      </c>
      <c r="H4487" s="1" t="s">
        <v>587</v>
      </c>
      <c r="I4487" s="1" t="s">
        <v>302</v>
      </c>
      <c r="K4487" s="1">
        <v>0.0</v>
      </c>
      <c r="L4487" s="1" t="s">
        <v>893</v>
      </c>
      <c r="M4487" s="1" t="str">
        <f>VLOOKUP(L4487,'Copy of PMD Workday Constants -'!B4486:W5172,22,false)</f>
        <v>#N/A</v>
      </c>
      <c r="N4487" s="1" t="s">
        <v>32</v>
      </c>
      <c r="O4487" s="1" t="s">
        <v>33</v>
      </c>
      <c r="P4487" s="1" t="s">
        <v>82</v>
      </c>
      <c r="Q4487" s="1" t="s">
        <v>82</v>
      </c>
      <c r="R4487" s="1" t="s">
        <v>83</v>
      </c>
      <c r="S4487" s="1" t="s">
        <v>180</v>
      </c>
      <c r="T4487" s="1">
        <v>1.0112897E8</v>
      </c>
      <c r="W4487" s="1" t="s">
        <v>2098</v>
      </c>
      <c r="X4487" s="1" t="s">
        <v>4124</v>
      </c>
    </row>
    <row r="4488">
      <c r="A4488" s="1" t="s">
        <v>12698</v>
      </c>
      <c r="B4488" s="1" t="s">
        <v>3252</v>
      </c>
      <c r="C4488" s="1" t="s">
        <v>12699</v>
      </c>
      <c r="D4488" s="1" t="s">
        <v>28</v>
      </c>
      <c r="E4488" s="1" t="s">
        <v>29</v>
      </c>
      <c r="F4488" s="5">
        <v>100000.0</v>
      </c>
      <c r="G4488" s="1" t="s">
        <v>7016</v>
      </c>
      <c r="H4488" s="4">
        <v>44598.0</v>
      </c>
      <c r="I4488" s="1" t="s">
        <v>941</v>
      </c>
      <c r="K4488" s="1">
        <v>0.0</v>
      </c>
      <c r="L4488" s="1" t="s">
        <v>428</v>
      </c>
      <c r="M4488" s="1" t="str">
        <f>VLOOKUP(L4488,'Copy of PMD Workday Constants -'!B4487:W5173,22,false)</f>
        <v>#N/A</v>
      </c>
      <c r="N4488" s="1" t="s">
        <v>32</v>
      </c>
      <c r="O4488" s="1" t="s">
        <v>33</v>
      </c>
      <c r="P4488" s="1" t="s">
        <v>173</v>
      </c>
      <c r="Q4488" s="1" t="s">
        <v>173</v>
      </c>
      <c r="R4488" s="1" t="s">
        <v>174</v>
      </c>
      <c r="S4488" s="1" t="s">
        <v>153</v>
      </c>
      <c r="T4488" s="1">
        <v>1.00654085E8</v>
      </c>
      <c r="W4488" s="1" t="s">
        <v>85</v>
      </c>
      <c r="X4488" s="1" t="s">
        <v>428</v>
      </c>
    </row>
    <row r="4489">
      <c r="A4489" s="1" t="s">
        <v>12700</v>
      </c>
      <c r="B4489" s="1" t="s">
        <v>886</v>
      </c>
      <c r="C4489" s="1" t="s">
        <v>12701</v>
      </c>
      <c r="D4489" s="1" t="s">
        <v>28</v>
      </c>
      <c r="E4489" s="1" t="s">
        <v>29</v>
      </c>
      <c r="F4489" s="5">
        <v>100000.0</v>
      </c>
      <c r="G4489" s="1" t="s">
        <v>7016</v>
      </c>
      <c r="H4489" s="4">
        <v>44598.0</v>
      </c>
      <c r="I4489" s="1" t="s">
        <v>132</v>
      </c>
      <c r="K4489" s="1">
        <v>0.0</v>
      </c>
      <c r="L4489" s="1" t="s">
        <v>428</v>
      </c>
      <c r="M4489" s="1" t="str">
        <f>VLOOKUP(L4489,'Copy of PMD Workday Constants -'!B4488:W5174,22,false)</f>
        <v>#N/A</v>
      </c>
      <c r="N4489" s="1" t="s">
        <v>32</v>
      </c>
      <c r="O4489" s="1" t="s">
        <v>33</v>
      </c>
      <c r="P4489" s="1" t="s">
        <v>173</v>
      </c>
      <c r="Q4489" s="1" t="s">
        <v>173</v>
      </c>
      <c r="R4489" s="1" t="s">
        <v>174</v>
      </c>
      <c r="S4489" s="1" t="s">
        <v>153</v>
      </c>
      <c r="T4489" s="1">
        <v>1.00654085E8</v>
      </c>
      <c r="W4489" s="1" t="s">
        <v>85</v>
      </c>
      <c r="X4489" s="1" t="s">
        <v>428</v>
      </c>
    </row>
    <row r="4490">
      <c r="A4490" s="1" t="s">
        <v>12702</v>
      </c>
      <c r="B4490" s="1" t="s">
        <v>12703</v>
      </c>
      <c r="C4490" s="1" t="s">
        <v>12704</v>
      </c>
      <c r="D4490" s="1" t="s">
        <v>51</v>
      </c>
      <c r="E4490" s="1" t="s">
        <v>29</v>
      </c>
      <c r="F4490" s="5">
        <v>100000.0</v>
      </c>
      <c r="G4490" s="1" t="s">
        <v>7016</v>
      </c>
      <c r="H4490" s="4">
        <v>44687.0</v>
      </c>
      <c r="I4490" s="4">
        <v>44840.0</v>
      </c>
      <c r="K4490" s="1">
        <v>0.0</v>
      </c>
      <c r="L4490" s="1" t="s">
        <v>7184</v>
      </c>
      <c r="M4490" s="1" t="str">
        <f>VLOOKUP(L4490,'Copy of PMD Workday Constants -'!B4489:W5175,22,false)</f>
        <v>#N/A</v>
      </c>
      <c r="N4490" s="1" t="s">
        <v>32</v>
      </c>
      <c r="O4490" s="1" t="s">
        <v>33</v>
      </c>
      <c r="P4490" s="1" t="s">
        <v>54</v>
      </c>
      <c r="Q4490" s="1" t="s">
        <v>54</v>
      </c>
      <c r="R4490" s="1" t="s">
        <v>55</v>
      </c>
      <c r="T4490" s="1">
        <v>1.00642211E8</v>
      </c>
      <c r="W4490" s="1" t="s">
        <v>147</v>
      </c>
      <c r="X4490" s="1" t="s">
        <v>7184</v>
      </c>
    </row>
    <row r="4491">
      <c r="A4491" s="1" t="s">
        <v>12705</v>
      </c>
      <c r="B4491" s="1" t="s">
        <v>3489</v>
      </c>
      <c r="C4491" s="1" t="s">
        <v>12706</v>
      </c>
      <c r="D4491" s="1" t="s">
        <v>79</v>
      </c>
      <c r="E4491" s="1" t="s">
        <v>29</v>
      </c>
      <c r="F4491" s="5">
        <v>100000.0</v>
      </c>
      <c r="G4491" s="1" t="s">
        <v>7016</v>
      </c>
      <c r="H4491" s="4">
        <v>44567.0</v>
      </c>
      <c r="I4491" s="1" t="s">
        <v>132</v>
      </c>
      <c r="K4491" s="1">
        <v>0.0</v>
      </c>
      <c r="L4491" s="1" t="s">
        <v>2310</v>
      </c>
      <c r="M4491" s="1" t="str">
        <f>VLOOKUP(L4491,'Copy of PMD Workday Constants -'!B4490:W5176,22,false)</f>
        <v>#N/A</v>
      </c>
      <c r="N4491" s="1" t="s">
        <v>32</v>
      </c>
      <c r="O4491" s="1" t="s">
        <v>33</v>
      </c>
      <c r="P4491" s="1" t="s">
        <v>82</v>
      </c>
      <c r="Q4491" s="1" t="s">
        <v>82</v>
      </c>
      <c r="R4491" s="1" t="s">
        <v>83</v>
      </c>
      <c r="S4491" s="1" t="s">
        <v>180</v>
      </c>
      <c r="T4491" s="1">
        <v>1.01078216E8</v>
      </c>
      <c r="W4491" s="1" t="s">
        <v>85</v>
      </c>
      <c r="X4491" s="1" t="s">
        <v>5357</v>
      </c>
    </row>
    <row r="4492">
      <c r="A4492" s="1" t="s">
        <v>12707</v>
      </c>
      <c r="B4492" s="1" t="s">
        <v>70</v>
      </c>
      <c r="C4492" s="1" t="s">
        <v>12708</v>
      </c>
      <c r="D4492" s="1" t="s">
        <v>51</v>
      </c>
      <c r="E4492" s="1" t="s">
        <v>29</v>
      </c>
      <c r="F4492" s="5">
        <v>100000.0</v>
      </c>
      <c r="G4492" s="1" t="s">
        <v>7016</v>
      </c>
      <c r="H4492" s="4">
        <v>44567.0</v>
      </c>
      <c r="I4492" s="1" t="s">
        <v>80</v>
      </c>
      <c r="K4492" s="1">
        <v>0.0</v>
      </c>
      <c r="L4492" s="1" t="s">
        <v>2522</v>
      </c>
      <c r="M4492" s="1" t="str">
        <f>VLOOKUP(L4492,'Copy of PMD Workday Constants -'!B4491:W5177,22,false)</f>
        <v>#N/A</v>
      </c>
      <c r="N4492" s="1" t="s">
        <v>32</v>
      </c>
      <c r="O4492" s="1" t="s">
        <v>33</v>
      </c>
      <c r="P4492" s="1" t="s">
        <v>173</v>
      </c>
      <c r="Q4492" s="1" t="s">
        <v>173</v>
      </c>
      <c r="R4492" s="1" t="s">
        <v>174</v>
      </c>
      <c r="S4492" s="1" t="s">
        <v>612</v>
      </c>
      <c r="T4492" s="1">
        <v>1.00590772E8</v>
      </c>
      <c r="U4492" s="1" t="s">
        <v>12709</v>
      </c>
      <c r="V4492" s="1" t="s">
        <v>781</v>
      </c>
      <c r="W4492" s="1" t="s">
        <v>74</v>
      </c>
      <c r="X4492" s="1" t="s">
        <v>4315</v>
      </c>
    </row>
    <row r="4493">
      <c r="A4493" s="1" t="s">
        <v>12710</v>
      </c>
      <c r="B4493" s="1" t="s">
        <v>324</v>
      </c>
      <c r="C4493" s="1" t="s">
        <v>12711</v>
      </c>
      <c r="D4493" s="1" t="s">
        <v>28</v>
      </c>
      <c r="E4493" s="1" t="s">
        <v>29</v>
      </c>
      <c r="F4493" s="5">
        <v>100000.0</v>
      </c>
      <c r="G4493" s="1" t="s">
        <v>7016</v>
      </c>
      <c r="H4493" s="1" t="s">
        <v>12712</v>
      </c>
      <c r="I4493" s="1" t="s">
        <v>1369</v>
      </c>
      <c r="K4493" s="1">
        <v>0.0</v>
      </c>
      <c r="L4493" s="1" t="s">
        <v>3333</v>
      </c>
      <c r="M4493" s="1" t="str">
        <f>VLOOKUP(L4493,'Copy of PMD Workday Constants -'!B4492:W5178,22,false)</f>
        <v>#N/A</v>
      </c>
      <c r="N4493" s="1" t="s">
        <v>32</v>
      </c>
      <c r="O4493" s="1" t="s">
        <v>33</v>
      </c>
      <c r="P4493" s="1" t="s">
        <v>210</v>
      </c>
      <c r="Q4493" s="1" t="s">
        <v>210</v>
      </c>
      <c r="R4493" s="1" t="s">
        <v>211</v>
      </c>
      <c r="S4493" s="1" t="s">
        <v>212</v>
      </c>
      <c r="T4493" s="1">
        <v>1.00636461E8</v>
      </c>
      <c r="W4493" s="1" t="s">
        <v>56</v>
      </c>
      <c r="X4493" s="1" t="s">
        <v>3333</v>
      </c>
    </row>
    <row r="4494">
      <c r="A4494" s="1" t="s">
        <v>12713</v>
      </c>
      <c r="B4494" s="1" t="s">
        <v>3911</v>
      </c>
      <c r="C4494" s="1" t="s">
        <v>12714</v>
      </c>
      <c r="D4494" s="1" t="s">
        <v>28</v>
      </c>
      <c r="E4494" s="1" t="s">
        <v>29</v>
      </c>
      <c r="F4494" s="5">
        <v>100000.0</v>
      </c>
      <c r="G4494" s="1" t="s">
        <v>7016</v>
      </c>
      <c r="H4494" s="1" t="s">
        <v>975</v>
      </c>
      <c r="I4494" s="1" t="s">
        <v>414</v>
      </c>
      <c r="K4494" s="1">
        <v>0.0</v>
      </c>
      <c r="L4494" s="1" t="s">
        <v>3623</v>
      </c>
      <c r="M4494" s="1" t="str">
        <f>VLOOKUP(L4494,'Copy of PMD Workday Constants -'!B4493:W5179,22,false)</f>
        <v>#N/A</v>
      </c>
      <c r="N4494" s="1" t="s">
        <v>32</v>
      </c>
      <c r="O4494" s="1" t="s">
        <v>33</v>
      </c>
      <c r="P4494" s="1" t="s">
        <v>82</v>
      </c>
      <c r="Q4494" s="1" t="s">
        <v>82</v>
      </c>
      <c r="R4494" s="1" t="s">
        <v>83</v>
      </c>
      <c r="S4494" s="1" t="s">
        <v>84</v>
      </c>
      <c r="T4494" s="1">
        <v>1.00929557E8</v>
      </c>
      <c r="W4494" s="1" t="s">
        <v>258</v>
      </c>
      <c r="X4494" s="1" t="s">
        <v>10171</v>
      </c>
    </row>
    <row r="4495">
      <c r="A4495" s="1" t="s">
        <v>12715</v>
      </c>
      <c r="B4495" s="1" t="s">
        <v>2790</v>
      </c>
      <c r="C4495" s="1" t="s">
        <v>12716</v>
      </c>
      <c r="D4495" s="1" t="s">
        <v>28</v>
      </c>
      <c r="E4495" s="1" t="s">
        <v>29</v>
      </c>
      <c r="F4495" s="5">
        <v>100000.0</v>
      </c>
      <c r="G4495" s="1" t="s">
        <v>7016</v>
      </c>
      <c r="H4495" s="1" t="s">
        <v>975</v>
      </c>
      <c r="I4495" s="1" t="s">
        <v>152</v>
      </c>
      <c r="K4495" s="1">
        <v>0.0</v>
      </c>
      <c r="L4495" s="1" t="s">
        <v>3623</v>
      </c>
      <c r="M4495" s="1" t="str">
        <f>VLOOKUP(L4495,'Copy of PMD Workday Constants -'!B4494:W5180,22,false)</f>
        <v>#N/A</v>
      </c>
      <c r="N4495" s="1" t="s">
        <v>32</v>
      </c>
      <c r="O4495" s="1" t="s">
        <v>33</v>
      </c>
      <c r="P4495" s="1" t="s">
        <v>82</v>
      </c>
      <c r="Q4495" s="1" t="s">
        <v>82</v>
      </c>
      <c r="R4495" s="1" t="s">
        <v>83</v>
      </c>
      <c r="S4495" s="1" t="s">
        <v>84</v>
      </c>
      <c r="T4495" s="1">
        <v>1.00929557E8</v>
      </c>
      <c r="W4495" s="1" t="s">
        <v>85</v>
      </c>
      <c r="X4495" s="1" t="s">
        <v>10171</v>
      </c>
    </row>
    <row r="4496">
      <c r="A4496" s="1" t="s">
        <v>12717</v>
      </c>
      <c r="B4496" s="1" t="s">
        <v>1968</v>
      </c>
      <c r="C4496" s="1" t="s">
        <v>12718</v>
      </c>
      <c r="D4496" s="1" t="s">
        <v>28</v>
      </c>
      <c r="E4496" s="1" t="s">
        <v>29</v>
      </c>
      <c r="F4496" s="5">
        <v>100000.0</v>
      </c>
      <c r="G4496" s="1" t="s">
        <v>7016</v>
      </c>
      <c r="H4496" s="1" t="s">
        <v>975</v>
      </c>
      <c r="I4496" s="1" t="s">
        <v>1327</v>
      </c>
      <c r="K4496" s="1">
        <v>0.0</v>
      </c>
      <c r="L4496" s="1" t="s">
        <v>3623</v>
      </c>
      <c r="M4496" s="1" t="str">
        <f>VLOOKUP(L4496,'Copy of PMD Workday Constants -'!B4495:W5181,22,false)</f>
        <v>#N/A</v>
      </c>
      <c r="N4496" s="1" t="s">
        <v>32</v>
      </c>
      <c r="O4496" s="1" t="s">
        <v>33</v>
      </c>
      <c r="P4496" s="1" t="s">
        <v>82</v>
      </c>
      <c r="Q4496" s="1" t="s">
        <v>82</v>
      </c>
      <c r="R4496" s="1" t="s">
        <v>83</v>
      </c>
      <c r="S4496" s="1" t="s">
        <v>84</v>
      </c>
      <c r="T4496" s="1">
        <v>1.00929557E8</v>
      </c>
      <c r="W4496" s="1" t="s">
        <v>85</v>
      </c>
      <c r="X4496" s="1" t="s">
        <v>10171</v>
      </c>
    </row>
    <row r="4497">
      <c r="A4497" s="1" t="s">
        <v>12719</v>
      </c>
      <c r="B4497" s="1" t="s">
        <v>12720</v>
      </c>
      <c r="C4497" s="1" t="s">
        <v>5534</v>
      </c>
      <c r="D4497" s="1" t="s">
        <v>51</v>
      </c>
      <c r="E4497" s="1" t="s">
        <v>29</v>
      </c>
      <c r="F4497" s="5">
        <v>100000.0</v>
      </c>
      <c r="G4497" s="1" t="s">
        <v>7016</v>
      </c>
      <c r="H4497" s="1" t="s">
        <v>870</v>
      </c>
      <c r="I4497" s="1" t="s">
        <v>661</v>
      </c>
      <c r="K4497" s="1">
        <v>0.0</v>
      </c>
      <c r="L4497" s="1" t="s">
        <v>11053</v>
      </c>
      <c r="M4497" s="1" t="str">
        <f>VLOOKUP(L4497,'Copy of PMD Workday Constants -'!B4496:W5182,22,false)</f>
        <v>#N/A</v>
      </c>
      <c r="N4497" s="1" t="s">
        <v>32</v>
      </c>
      <c r="O4497" s="1" t="s">
        <v>33</v>
      </c>
      <c r="P4497" s="1" t="s">
        <v>64</v>
      </c>
      <c r="Q4497" s="1" t="s">
        <v>64</v>
      </c>
      <c r="R4497" s="1" t="s">
        <v>65</v>
      </c>
      <c r="T4497" s="1">
        <v>1.01156917E8</v>
      </c>
      <c r="W4497" s="1" t="s">
        <v>1303</v>
      </c>
      <c r="X4497" s="1" t="s">
        <v>11054</v>
      </c>
    </row>
    <row r="4498">
      <c r="A4498" s="1" t="s">
        <v>12721</v>
      </c>
      <c r="B4498" s="1" t="s">
        <v>8554</v>
      </c>
      <c r="C4498" s="1" t="s">
        <v>12722</v>
      </c>
      <c r="D4498" s="1" t="s">
        <v>28</v>
      </c>
      <c r="E4498" s="1" t="s">
        <v>29</v>
      </c>
      <c r="F4498" s="5">
        <v>100000.0</v>
      </c>
      <c r="G4498" s="1" t="s">
        <v>7016</v>
      </c>
      <c r="H4498" s="4">
        <v>44203.0</v>
      </c>
      <c r="I4498" s="4">
        <v>44927.0</v>
      </c>
      <c r="J4498" s="1" t="s">
        <v>12723</v>
      </c>
      <c r="K4498" s="1">
        <v>0.0</v>
      </c>
      <c r="L4498" s="1" t="s">
        <v>753</v>
      </c>
      <c r="M4498" s="1" t="str">
        <f>VLOOKUP(L4498,'Copy of PMD Workday Constants -'!B4497:W5183,22,false)</f>
        <v>#N/A</v>
      </c>
      <c r="N4498" s="1" t="s">
        <v>32</v>
      </c>
      <c r="O4498" s="1" t="s">
        <v>33</v>
      </c>
      <c r="P4498" s="1" t="s">
        <v>82</v>
      </c>
      <c r="Q4498" s="1" t="s">
        <v>82</v>
      </c>
      <c r="R4498" s="1" t="s">
        <v>83</v>
      </c>
      <c r="S4498" s="1" t="s">
        <v>180</v>
      </c>
      <c r="T4498" s="1">
        <v>1.0061032E8</v>
      </c>
      <c r="W4498" s="1" t="s">
        <v>85</v>
      </c>
      <c r="X4498" s="1" t="s">
        <v>753</v>
      </c>
    </row>
    <row r="4499">
      <c r="A4499" s="1" t="s">
        <v>12724</v>
      </c>
      <c r="B4499" s="1" t="s">
        <v>12725</v>
      </c>
      <c r="C4499" s="1" t="s">
        <v>12726</v>
      </c>
      <c r="D4499" s="1" t="s">
        <v>28</v>
      </c>
      <c r="E4499" s="1" t="s">
        <v>29</v>
      </c>
      <c r="F4499" s="5">
        <v>100000.0</v>
      </c>
      <c r="G4499" s="1" t="s">
        <v>7016</v>
      </c>
      <c r="H4499" s="4">
        <v>44503.0</v>
      </c>
      <c r="I4499" s="1" t="s">
        <v>12727</v>
      </c>
      <c r="K4499" s="1">
        <v>0.0</v>
      </c>
      <c r="L4499" s="1" t="s">
        <v>1659</v>
      </c>
      <c r="M4499" s="1" t="str">
        <f>VLOOKUP(L4499,'Copy of PMD Workday Constants -'!B4498:W5184,22,false)</f>
        <v>#N/A</v>
      </c>
      <c r="N4499" s="1" t="s">
        <v>32</v>
      </c>
      <c r="O4499" s="1" t="s">
        <v>33</v>
      </c>
      <c r="P4499" s="1" t="s">
        <v>173</v>
      </c>
      <c r="Q4499" s="1" t="s">
        <v>173</v>
      </c>
      <c r="R4499" s="1" t="s">
        <v>174</v>
      </c>
      <c r="S4499" s="1" t="s">
        <v>612</v>
      </c>
      <c r="T4499" s="1">
        <v>1.00650786E8</v>
      </c>
      <c r="W4499" s="1" t="s">
        <v>140</v>
      </c>
      <c r="X4499" s="1" t="s">
        <v>3157</v>
      </c>
    </row>
    <row r="4500">
      <c r="A4500" s="1" t="s">
        <v>12728</v>
      </c>
      <c r="B4500" s="1" t="s">
        <v>2712</v>
      </c>
      <c r="C4500" s="1" t="s">
        <v>12729</v>
      </c>
      <c r="D4500" s="1" t="s">
        <v>51</v>
      </c>
      <c r="E4500" s="1" t="s">
        <v>29</v>
      </c>
      <c r="F4500" s="5">
        <v>100000.0</v>
      </c>
      <c r="G4500" s="1" t="s">
        <v>7016</v>
      </c>
      <c r="H4500" s="1" t="s">
        <v>1810</v>
      </c>
      <c r="I4500" s="1" t="s">
        <v>43</v>
      </c>
      <c r="K4500" s="1">
        <v>0.0</v>
      </c>
      <c r="L4500" s="1" t="s">
        <v>3727</v>
      </c>
      <c r="M4500" s="1" t="str">
        <f>VLOOKUP(L4500,'Copy of PMD Workday Constants -'!B4499:W5185,22,false)</f>
        <v>#N/A</v>
      </c>
      <c r="N4500" s="1" t="s">
        <v>32</v>
      </c>
      <c r="O4500" s="1" t="s">
        <v>33</v>
      </c>
      <c r="P4500" s="1" t="s">
        <v>222</v>
      </c>
      <c r="Q4500" s="1" t="s">
        <v>222</v>
      </c>
      <c r="R4500" s="1" t="s">
        <v>223</v>
      </c>
      <c r="S4500" s="1" t="s">
        <v>482</v>
      </c>
      <c r="T4500" s="1">
        <v>1.00611158E8</v>
      </c>
      <c r="W4500" s="1" t="s">
        <v>91</v>
      </c>
      <c r="X4500" s="1" t="s">
        <v>12730</v>
      </c>
    </row>
    <row r="4501">
      <c r="A4501" s="1" t="s">
        <v>12731</v>
      </c>
      <c r="B4501" s="1" t="s">
        <v>765</v>
      </c>
      <c r="C4501" s="1" t="s">
        <v>12732</v>
      </c>
      <c r="D4501" s="1" t="s">
        <v>51</v>
      </c>
      <c r="E4501" s="1" t="s">
        <v>29</v>
      </c>
      <c r="F4501" s="5">
        <v>100000.0</v>
      </c>
      <c r="G4501" s="1" t="s">
        <v>7016</v>
      </c>
      <c r="H4501" s="1" t="s">
        <v>52</v>
      </c>
      <c r="I4501" s="1" t="s">
        <v>248</v>
      </c>
      <c r="K4501" s="1">
        <v>0.0</v>
      </c>
      <c r="L4501" s="1" t="s">
        <v>2612</v>
      </c>
      <c r="M4501" s="1" t="str">
        <f>VLOOKUP(L4501,'Copy of PMD Workday Constants -'!B4500:W5186,22,false)</f>
        <v>#N/A</v>
      </c>
      <c r="N4501" s="1" t="s">
        <v>32</v>
      </c>
      <c r="O4501" s="1" t="s">
        <v>33</v>
      </c>
      <c r="P4501" s="1" t="s">
        <v>173</v>
      </c>
      <c r="Q4501" s="1" t="s">
        <v>173</v>
      </c>
      <c r="R4501" s="1" t="s">
        <v>174</v>
      </c>
      <c r="S4501" s="1" t="s">
        <v>153</v>
      </c>
      <c r="T4501" s="1">
        <v>1.00609544E8</v>
      </c>
      <c r="W4501" s="1" t="s">
        <v>456</v>
      </c>
      <c r="X4501" s="1" t="s">
        <v>5035</v>
      </c>
    </row>
    <row r="4502">
      <c r="A4502" s="1" t="s">
        <v>12733</v>
      </c>
      <c r="B4502" s="1" t="s">
        <v>11575</v>
      </c>
      <c r="C4502" s="1" t="s">
        <v>12734</v>
      </c>
      <c r="D4502" s="1" t="s">
        <v>103</v>
      </c>
      <c r="E4502" s="1" t="s">
        <v>29</v>
      </c>
      <c r="F4502" s="5">
        <v>100000.0</v>
      </c>
      <c r="G4502" s="1" t="s">
        <v>7016</v>
      </c>
      <c r="H4502" s="4">
        <v>44598.0</v>
      </c>
      <c r="I4502" s="1" t="s">
        <v>80</v>
      </c>
      <c r="K4502" s="1">
        <v>0.0</v>
      </c>
      <c r="L4502" s="1" t="s">
        <v>11577</v>
      </c>
      <c r="M4502" s="1" t="str">
        <f>VLOOKUP(L4502,'Copy of PMD Workday Constants -'!B4501:W5187,22,false)</f>
        <v>#N/A</v>
      </c>
      <c r="N4502" s="1" t="s">
        <v>32</v>
      </c>
      <c r="O4502" s="1" t="s">
        <v>33</v>
      </c>
      <c r="P4502" s="1" t="s">
        <v>222</v>
      </c>
      <c r="Q4502" s="1" t="s">
        <v>222</v>
      </c>
      <c r="R4502" s="1" t="s">
        <v>223</v>
      </c>
      <c r="S4502" s="1" t="s">
        <v>482</v>
      </c>
      <c r="T4502" s="1">
        <v>1.00626837E8</v>
      </c>
      <c r="W4502" s="1" t="s">
        <v>456</v>
      </c>
      <c r="X4502" s="1" t="s">
        <v>11577</v>
      </c>
    </row>
    <row r="4503">
      <c r="A4503" s="1" t="s">
        <v>12735</v>
      </c>
      <c r="B4503" s="1" t="s">
        <v>6888</v>
      </c>
      <c r="C4503" s="1" t="s">
        <v>12736</v>
      </c>
      <c r="D4503" s="1" t="s">
        <v>28</v>
      </c>
      <c r="E4503" s="1" t="s">
        <v>29</v>
      </c>
      <c r="F4503" s="5">
        <v>100000.0</v>
      </c>
      <c r="G4503" s="1" t="s">
        <v>7016</v>
      </c>
      <c r="H4503" s="4">
        <v>44535.0</v>
      </c>
      <c r="I4503" s="4">
        <v>44872.0</v>
      </c>
      <c r="K4503" s="1">
        <v>0.0</v>
      </c>
      <c r="L4503" s="1" t="s">
        <v>1534</v>
      </c>
      <c r="M4503" s="1" t="str">
        <f>VLOOKUP(L4503,'Copy of PMD Workday Constants -'!B4502:W5188,22,false)</f>
        <v>#N/A</v>
      </c>
      <c r="N4503" s="1" t="s">
        <v>32</v>
      </c>
      <c r="O4503" s="1" t="s">
        <v>33</v>
      </c>
      <c r="P4503" s="1" t="s">
        <v>82</v>
      </c>
      <c r="Q4503" s="1" t="s">
        <v>82</v>
      </c>
      <c r="R4503" s="1" t="s">
        <v>83</v>
      </c>
      <c r="S4503" s="1" t="s">
        <v>84</v>
      </c>
      <c r="T4503" s="1">
        <v>1.00618842E8</v>
      </c>
      <c r="W4503" s="1" t="s">
        <v>85</v>
      </c>
      <c r="X4503" s="1" t="s">
        <v>4207</v>
      </c>
    </row>
    <row r="4504">
      <c r="A4504" s="1" t="s">
        <v>12737</v>
      </c>
      <c r="B4504" s="1" t="s">
        <v>4968</v>
      </c>
      <c r="C4504" s="1" t="s">
        <v>12738</v>
      </c>
      <c r="D4504" s="1" t="s">
        <v>51</v>
      </c>
      <c r="E4504" s="1" t="s">
        <v>29</v>
      </c>
      <c r="F4504" s="5">
        <v>100000.0</v>
      </c>
      <c r="G4504" s="1" t="s">
        <v>7016</v>
      </c>
      <c r="H4504" s="1" t="s">
        <v>870</v>
      </c>
      <c r="I4504" s="1" t="s">
        <v>80</v>
      </c>
      <c r="K4504" s="1">
        <v>0.0</v>
      </c>
      <c r="L4504" s="1" t="s">
        <v>2630</v>
      </c>
      <c r="M4504" s="1" t="str">
        <f>VLOOKUP(L4504,'Copy of PMD Workday Constants -'!B4503:W5189,22,false)</f>
        <v>#N/A</v>
      </c>
      <c r="N4504" s="1" t="s">
        <v>32</v>
      </c>
      <c r="O4504" s="1" t="s">
        <v>33</v>
      </c>
      <c r="P4504" s="1" t="s">
        <v>34</v>
      </c>
      <c r="Q4504" s="1" t="s">
        <v>34</v>
      </c>
      <c r="R4504" s="1" t="s">
        <v>35</v>
      </c>
      <c r="S4504" s="1" t="s">
        <v>1166</v>
      </c>
      <c r="T4504" s="1">
        <v>1.00606975E8</v>
      </c>
      <c r="W4504" s="1" t="s">
        <v>456</v>
      </c>
      <c r="X4504" s="1" t="s">
        <v>2155</v>
      </c>
    </row>
    <row r="4505">
      <c r="A4505" s="1" t="s">
        <v>12739</v>
      </c>
      <c r="B4505" s="1" t="s">
        <v>4968</v>
      </c>
      <c r="C4505" s="1" t="s">
        <v>12740</v>
      </c>
      <c r="D4505" s="1" t="s">
        <v>103</v>
      </c>
      <c r="E4505" s="1" t="s">
        <v>29</v>
      </c>
      <c r="F4505" s="5">
        <v>100000.0</v>
      </c>
      <c r="G4505" s="1" t="s">
        <v>7016</v>
      </c>
      <c r="H4505" s="1" t="s">
        <v>870</v>
      </c>
      <c r="I4505" s="1" t="s">
        <v>80</v>
      </c>
      <c r="K4505" s="1">
        <v>0.0</v>
      </c>
      <c r="L4505" s="1" t="s">
        <v>2630</v>
      </c>
      <c r="M4505" s="1" t="str">
        <f>VLOOKUP(L4505,'Copy of PMD Workday Constants -'!B4504:W5190,22,false)</f>
        <v>#N/A</v>
      </c>
      <c r="N4505" s="1" t="s">
        <v>32</v>
      </c>
      <c r="O4505" s="1" t="s">
        <v>33</v>
      </c>
      <c r="P4505" s="1" t="s">
        <v>34</v>
      </c>
      <c r="Q4505" s="1" t="s">
        <v>34</v>
      </c>
      <c r="R4505" s="1" t="s">
        <v>35</v>
      </c>
      <c r="S4505" s="1" t="s">
        <v>1166</v>
      </c>
      <c r="T4505" s="1">
        <v>1.00606975E8</v>
      </c>
      <c r="W4505" s="1" t="s">
        <v>456</v>
      </c>
      <c r="X4505" s="1" t="s">
        <v>2155</v>
      </c>
    </row>
    <row r="4506">
      <c r="A4506" s="1" t="s">
        <v>12741</v>
      </c>
      <c r="B4506" s="1" t="s">
        <v>12742</v>
      </c>
      <c r="C4506" s="1" t="s">
        <v>12743</v>
      </c>
      <c r="D4506" s="1" t="s">
        <v>28</v>
      </c>
      <c r="E4506" s="1" t="s">
        <v>29</v>
      </c>
      <c r="F4506" s="5">
        <v>100000.0</v>
      </c>
      <c r="G4506" s="1" t="s">
        <v>7016</v>
      </c>
      <c r="H4506" s="1" t="s">
        <v>1469</v>
      </c>
      <c r="I4506" s="1" t="s">
        <v>302</v>
      </c>
      <c r="K4506" s="1">
        <v>0.0</v>
      </c>
      <c r="L4506" s="1" t="s">
        <v>1884</v>
      </c>
      <c r="M4506" s="1" t="str">
        <f>VLOOKUP(L4506,'Copy of PMD Workday Constants -'!B4505:W5191,22,false)</f>
        <v>#N/A</v>
      </c>
      <c r="N4506" s="1" t="s">
        <v>32</v>
      </c>
      <c r="O4506" s="1" t="s">
        <v>33</v>
      </c>
      <c r="P4506" s="1" t="s">
        <v>112</v>
      </c>
      <c r="Q4506" s="1" t="s">
        <v>112</v>
      </c>
      <c r="R4506" s="1" t="s">
        <v>113</v>
      </c>
      <c r="T4506" s="1">
        <v>1.00631642E8</v>
      </c>
      <c r="W4506" s="1" t="s">
        <v>56</v>
      </c>
      <c r="X4506" s="1" t="s">
        <v>359</v>
      </c>
    </row>
    <row r="4507">
      <c r="A4507" s="1" t="s">
        <v>12744</v>
      </c>
      <c r="B4507" s="1" t="s">
        <v>12745</v>
      </c>
      <c r="C4507" s="1" t="s">
        <v>12746</v>
      </c>
      <c r="D4507" s="1" t="s">
        <v>28</v>
      </c>
      <c r="E4507" s="1" t="s">
        <v>29</v>
      </c>
      <c r="F4507" s="5">
        <v>100000.0</v>
      </c>
      <c r="G4507" s="1" t="s">
        <v>7016</v>
      </c>
      <c r="H4507" s="1" t="s">
        <v>1469</v>
      </c>
      <c r="I4507" s="1" t="s">
        <v>302</v>
      </c>
      <c r="K4507" s="1">
        <v>0.0</v>
      </c>
      <c r="L4507" s="1" t="s">
        <v>1884</v>
      </c>
      <c r="M4507" s="1" t="str">
        <f>VLOOKUP(L4507,'Copy of PMD Workday Constants -'!B4506:W5192,22,false)</f>
        <v>#N/A</v>
      </c>
      <c r="N4507" s="1" t="s">
        <v>32</v>
      </c>
      <c r="O4507" s="1" t="s">
        <v>33</v>
      </c>
      <c r="P4507" s="1" t="s">
        <v>112</v>
      </c>
      <c r="Q4507" s="1" t="s">
        <v>112</v>
      </c>
      <c r="R4507" s="1" t="s">
        <v>113</v>
      </c>
      <c r="T4507" s="1">
        <v>1.00631642E8</v>
      </c>
      <c r="W4507" s="1" t="s">
        <v>56</v>
      </c>
      <c r="X4507" s="1" t="s">
        <v>359</v>
      </c>
    </row>
    <row r="4508">
      <c r="A4508" s="1" t="s">
        <v>12747</v>
      </c>
      <c r="B4508" s="1" t="s">
        <v>6712</v>
      </c>
      <c r="C4508" s="1" t="s">
        <v>12748</v>
      </c>
      <c r="D4508" s="1" t="s">
        <v>28</v>
      </c>
      <c r="E4508" s="1" t="s">
        <v>29</v>
      </c>
      <c r="F4508" s="5">
        <v>100000.0</v>
      </c>
      <c r="G4508" s="1" t="s">
        <v>7016</v>
      </c>
      <c r="H4508" s="1" t="s">
        <v>1469</v>
      </c>
      <c r="I4508" s="1" t="s">
        <v>80</v>
      </c>
      <c r="K4508" s="1">
        <v>0.0</v>
      </c>
      <c r="L4508" s="1" t="s">
        <v>1884</v>
      </c>
      <c r="M4508" s="1" t="str">
        <f>VLOOKUP(L4508,'Copy of PMD Workday Constants -'!B4507:W5193,22,false)</f>
        <v>#N/A</v>
      </c>
      <c r="N4508" s="1" t="s">
        <v>32</v>
      </c>
      <c r="O4508" s="1" t="s">
        <v>33</v>
      </c>
      <c r="P4508" s="1" t="s">
        <v>112</v>
      </c>
      <c r="Q4508" s="1" t="s">
        <v>112</v>
      </c>
      <c r="R4508" s="1" t="s">
        <v>113</v>
      </c>
      <c r="T4508" s="1">
        <v>1.00631642E8</v>
      </c>
      <c r="W4508" s="1" t="s">
        <v>56</v>
      </c>
      <c r="X4508" s="1" t="s">
        <v>359</v>
      </c>
    </row>
    <row r="4509">
      <c r="A4509" s="1" t="s">
        <v>12749</v>
      </c>
      <c r="B4509" s="1" t="s">
        <v>2867</v>
      </c>
      <c r="C4509" s="1" t="s">
        <v>12750</v>
      </c>
      <c r="D4509" s="1" t="s">
        <v>28</v>
      </c>
      <c r="E4509" s="1" t="s">
        <v>29</v>
      </c>
      <c r="F4509" s="5">
        <v>100000.0</v>
      </c>
      <c r="G4509" s="1" t="s">
        <v>7016</v>
      </c>
      <c r="H4509" s="1" t="s">
        <v>1134</v>
      </c>
      <c r="I4509" s="1" t="s">
        <v>104</v>
      </c>
      <c r="K4509" s="1">
        <v>0.0</v>
      </c>
      <c r="L4509" s="1" t="s">
        <v>198</v>
      </c>
      <c r="M4509" s="1" t="str">
        <f>VLOOKUP(L4509,'Copy of PMD Workday Constants -'!B4508:W5194,22,false)</f>
        <v>#N/A</v>
      </c>
      <c r="N4509" s="1" t="s">
        <v>32</v>
      </c>
      <c r="O4509" s="1" t="s">
        <v>33</v>
      </c>
      <c r="P4509" s="1" t="s">
        <v>82</v>
      </c>
      <c r="Q4509" s="1" t="s">
        <v>82</v>
      </c>
      <c r="R4509" s="1" t="s">
        <v>83</v>
      </c>
      <c r="S4509" s="1" t="s">
        <v>180</v>
      </c>
      <c r="T4509" s="1">
        <v>1.00590896E8</v>
      </c>
      <c r="W4509" s="1" t="s">
        <v>85</v>
      </c>
      <c r="X4509" s="1" t="s">
        <v>2325</v>
      </c>
    </row>
    <row r="4510">
      <c r="A4510" s="1" t="s">
        <v>12751</v>
      </c>
      <c r="B4510" s="1" t="s">
        <v>1721</v>
      </c>
      <c r="C4510" s="1" t="s">
        <v>12752</v>
      </c>
      <c r="D4510" s="1" t="s">
        <v>28</v>
      </c>
      <c r="E4510" s="1" t="s">
        <v>29</v>
      </c>
      <c r="F4510" s="5">
        <v>100000.0</v>
      </c>
      <c r="G4510" s="1" t="s">
        <v>7016</v>
      </c>
      <c r="H4510" s="4">
        <v>44052.0</v>
      </c>
      <c r="I4510" s="1" t="s">
        <v>80</v>
      </c>
      <c r="K4510" s="1">
        <v>0.0</v>
      </c>
      <c r="L4510" s="1" t="s">
        <v>3201</v>
      </c>
      <c r="M4510" s="1" t="str">
        <f>VLOOKUP(L4510,'Copy of PMD Workday Constants -'!B4509:W5195,22,false)</f>
        <v>#N/A</v>
      </c>
      <c r="N4510" s="1" t="s">
        <v>32</v>
      </c>
      <c r="O4510" s="1" t="s">
        <v>33</v>
      </c>
      <c r="P4510" s="1" t="s">
        <v>34</v>
      </c>
      <c r="Q4510" s="1" t="s">
        <v>34</v>
      </c>
      <c r="R4510" s="1" t="s">
        <v>35</v>
      </c>
      <c r="S4510" s="1" t="s">
        <v>66</v>
      </c>
      <c r="T4510" s="1">
        <v>1.00651946E8</v>
      </c>
      <c r="W4510" s="1" t="s">
        <v>391</v>
      </c>
      <c r="X4510" s="1" t="s">
        <v>6482</v>
      </c>
    </row>
    <row r="4511">
      <c r="A4511" s="1" t="s">
        <v>12753</v>
      </c>
      <c r="B4511" s="1" t="s">
        <v>585</v>
      </c>
      <c r="C4511" s="1" t="s">
        <v>12754</v>
      </c>
      <c r="D4511" s="1" t="s">
        <v>28</v>
      </c>
      <c r="E4511" s="1" t="s">
        <v>29</v>
      </c>
      <c r="F4511" s="5">
        <v>100000.0</v>
      </c>
      <c r="G4511" s="1" t="s">
        <v>7016</v>
      </c>
      <c r="H4511" s="1" t="s">
        <v>842</v>
      </c>
      <c r="I4511" s="1" t="s">
        <v>4193</v>
      </c>
      <c r="K4511" s="1">
        <v>0.0</v>
      </c>
      <c r="L4511" s="1" t="s">
        <v>1879</v>
      </c>
      <c r="M4511" s="1" t="str">
        <f>VLOOKUP(L4511,'Copy of PMD Workday Constants -'!B4510:W5196,22,false)</f>
        <v>#N/A</v>
      </c>
      <c r="N4511" s="1" t="s">
        <v>32</v>
      </c>
      <c r="O4511" s="1" t="s">
        <v>33</v>
      </c>
      <c r="P4511" s="1" t="s">
        <v>34</v>
      </c>
      <c r="Q4511" s="1" t="s">
        <v>34</v>
      </c>
      <c r="R4511" s="1" t="s">
        <v>35</v>
      </c>
      <c r="T4511" s="1">
        <v>1.00626539E8</v>
      </c>
      <c r="W4511" s="1" t="s">
        <v>91</v>
      </c>
      <c r="X4511" s="1" t="s">
        <v>1879</v>
      </c>
    </row>
    <row r="4512">
      <c r="A4512" s="1" t="s">
        <v>12755</v>
      </c>
      <c r="B4512" s="1" t="s">
        <v>1775</v>
      </c>
      <c r="C4512" s="1" t="s">
        <v>12756</v>
      </c>
      <c r="D4512" s="1" t="s">
        <v>103</v>
      </c>
      <c r="E4512" s="1" t="s">
        <v>29</v>
      </c>
      <c r="F4512" s="5">
        <v>100000.0</v>
      </c>
      <c r="G4512" s="1" t="s">
        <v>7016</v>
      </c>
      <c r="H4512" s="1" t="s">
        <v>3034</v>
      </c>
      <c r="I4512" s="1" t="s">
        <v>80</v>
      </c>
      <c r="K4512" s="1">
        <v>0.0</v>
      </c>
      <c r="L4512" s="1" t="s">
        <v>4534</v>
      </c>
      <c r="M4512" s="1" t="str">
        <f>VLOOKUP(L4512,'Copy of PMD Workday Constants -'!B4511:W5197,22,false)</f>
        <v>#N/A</v>
      </c>
      <c r="N4512" s="1" t="s">
        <v>32</v>
      </c>
      <c r="O4512" s="1" t="s">
        <v>33</v>
      </c>
      <c r="P4512" s="1" t="s">
        <v>173</v>
      </c>
      <c r="Q4512" s="1" t="s">
        <v>173</v>
      </c>
      <c r="R4512" s="1" t="s">
        <v>174</v>
      </c>
      <c r="T4512" s="1">
        <v>1.00620934E8</v>
      </c>
      <c r="W4512" s="1" t="s">
        <v>456</v>
      </c>
      <c r="X4512" s="1" t="s">
        <v>11491</v>
      </c>
    </row>
    <row r="4513">
      <c r="A4513" s="1" t="s">
        <v>12757</v>
      </c>
      <c r="B4513" s="1" t="s">
        <v>2018</v>
      </c>
      <c r="C4513" s="1" t="s">
        <v>12758</v>
      </c>
      <c r="D4513" s="1" t="s">
        <v>28</v>
      </c>
      <c r="E4513" s="1" t="s">
        <v>29</v>
      </c>
      <c r="F4513" s="5">
        <v>100000.0</v>
      </c>
      <c r="G4513" s="1" t="s">
        <v>7016</v>
      </c>
      <c r="H4513" s="4">
        <v>44263.0</v>
      </c>
      <c r="I4513" s="1" t="s">
        <v>732</v>
      </c>
      <c r="K4513" s="1">
        <v>0.0</v>
      </c>
      <c r="L4513" s="1" t="s">
        <v>2417</v>
      </c>
      <c r="M4513" s="1" t="str">
        <f>VLOOKUP(L4513,'Copy of PMD Workday Constants -'!B4512:W5198,22,false)</f>
        <v>#N/A</v>
      </c>
      <c r="N4513" s="1" t="s">
        <v>32</v>
      </c>
      <c r="O4513" s="1" t="s">
        <v>33</v>
      </c>
      <c r="P4513" s="1" t="s">
        <v>34</v>
      </c>
      <c r="Q4513" s="1" t="s">
        <v>34</v>
      </c>
      <c r="R4513" s="1" t="s">
        <v>35</v>
      </c>
      <c r="S4513" s="1" t="s">
        <v>383</v>
      </c>
      <c r="T4513" s="1">
        <v>1.00642238E8</v>
      </c>
      <c r="W4513" s="1" t="s">
        <v>140</v>
      </c>
      <c r="X4513" s="1" t="s">
        <v>3112</v>
      </c>
    </row>
    <row r="4514">
      <c r="A4514" s="1" t="s">
        <v>12759</v>
      </c>
      <c r="B4514" s="1" t="s">
        <v>12760</v>
      </c>
      <c r="C4514" s="1" t="s">
        <v>12761</v>
      </c>
      <c r="D4514" s="1" t="s">
        <v>51</v>
      </c>
      <c r="E4514" s="1" t="s">
        <v>29</v>
      </c>
      <c r="F4514" s="5">
        <v>100000.0</v>
      </c>
      <c r="G4514" s="1" t="s">
        <v>7016</v>
      </c>
      <c r="H4514" s="1" t="s">
        <v>12762</v>
      </c>
      <c r="I4514" s="1" t="s">
        <v>43</v>
      </c>
      <c r="K4514" s="1">
        <v>0.0</v>
      </c>
      <c r="L4514" s="1" t="s">
        <v>10732</v>
      </c>
      <c r="M4514" s="1" t="str">
        <f>VLOOKUP(L4514,'Copy of PMD Workday Constants -'!B4513:W5199,22,false)</f>
        <v>#N/A</v>
      </c>
      <c r="N4514" s="1" t="s">
        <v>32</v>
      </c>
      <c r="O4514" s="1" t="s">
        <v>33</v>
      </c>
      <c r="P4514" s="1" t="s">
        <v>210</v>
      </c>
      <c r="Q4514" s="1" t="s">
        <v>210</v>
      </c>
      <c r="R4514" s="1" t="s">
        <v>211</v>
      </c>
      <c r="S4514" s="1" t="s">
        <v>12573</v>
      </c>
      <c r="T4514" s="1">
        <v>1.00608282E8</v>
      </c>
      <c r="V4514" s="1" t="s">
        <v>781</v>
      </c>
      <c r="W4514" s="1" t="s">
        <v>258</v>
      </c>
      <c r="X4514" s="1" t="s">
        <v>12574</v>
      </c>
    </row>
    <row r="4515">
      <c r="A4515" s="1" t="s">
        <v>12763</v>
      </c>
      <c r="B4515" s="1" t="s">
        <v>756</v>
      </c>
      <c r="C4515" s="1" t="s">
        <v>12764</v>
      </c>
      <c r="D4515" s="1" t="s">
        <v>51</v>
      </c>
      <c r="E4515" s="1" t="s">
        <v>29</v>
      </c>
      <c r="F4515" s="5">
        <v>100000.0</v>
      </c>
      <c r="G4515" s="1" t="s">
        <v>7016</v>
      </c>
      <c r="H4515" s="4">
        <v>44564.0</v>
      </c>
      <c r="I4515" s="1" t="s">
        <v>661</v>
      </c>
      <c r="K4515" s="1">
        <v>0.0</v>
      </c>
      <c r="L4515" s="1" t="s">
        <v>2734</v>
      </c>
      <c r="M4515" s="1" t="str">
        <f>VLOOKUP(L4515,'Copy of PMD Workday Constants -'!B4514:W5200,22,false)</f>
        <v>#N/A</v>
      </c>
      <c r="N4515" s="1" t="s">
        <v>32</v>
      </c>
      <c r="O4515" s="1" t="s">
        <v>33</v>
      </c>
      <c r="P4515" s="1" t="s">
        <v>222</v>
      </c>
      <c r="Q4515" s="1" t="s">
        <v>222</v>
      </c>
      <c r="R4515" s="1" t="s">
        <v>223</v>
      </c>
      <c r="T4515" s="1">
        <v>1.00630147E8</v>
      </c>
      <c r="W4515" s="1" t="s">
        <v>74</v>
      </c>
      <c r="X4515" s="1" t="s">
        <v>2734</v>
      </c>
    </row>
    <row r="4516">
      <c r="A4516" s="1" t="s">
        <v>12765</v>
      </c>
      <c r="B4516" s="1" t="s">
        <v>373</v>
      </c>
      <c r="C4516" s="1" t="s">
        <v>12766</v>
      </c>
      <c r="D4516" s="1" t="s">
        <v>28</v>
      </c>
      <c r="E4516" s="1" t="s">
        <v>29</v>
      </c>
      <c r="F4516" s="5">
        <v>100000.0</v>
      </c>
      <c r="G4516" s="1" t="s">
        <v>7016</v>
      </c>
      <c r="H4516" s="1" t="s">
        <v>208</v>
      </c>
      <c r="I4516" s="1" t="s">
        <v>302</v>
      </c>
      <c r="K4516" s="1">
        <v>0.0</v>
      </c>
      <c r="L4516" s="1" t="s">
        <v>9033</v>
      </c>
      <c r="M4516" s="1" t="str">
        <f>VLOOKUP(L4516,'Copy of PMD Workday Constants -'!B4515:W5201,22,false)</f>
        <v>#N/A</v>
      </c>
      <c r="N4516" s="1" t="s">
        <v>32</v>
      </c>
      <c r="O4516" s="1" t="s">
        <v>33</v>
      </c>
      <c r="P4516" s="1" t="s">
        <v>5253</v>
      </c>
      <c r="Q4516" s="1" t="s">
        <v>5253</v>
      </c>
      <c r="R4516" s="1" t="s">
        <v>211</v>
      </c>
      <c r="T4516" s="1">
        <v>1.01146755E8</v>
      </c>
      <c r="W4516" s="1" t="s">
        <v>258</v>
      </c>
      <c r="X4516" s="1" t="s">
        <v>9033</v>
      </c>
    </row>
    <row r="4517">
      <c r="A4517" s="1" t="s">
        <v>12767</v>
      </c>
      <c r="B4517" s="1" t="s">
        <v>3539</v>
      </c>
      <c r="C4517" s="1" t="s">
        <v>12768</v>
      </c>
      <c r="D4517" s="1" t="s">
        <v>28</v>
      </c>
      <c r="E4517" s="1" t="s">
        <v>29</v>
      </c>
      <c r="F4517" s="5">
        <v>100000.0</v>
      </c>
      <c r="G4517" s="1" t="s">
        <v>7016</v>
      </c>
      <c r="H4517" s="4">
        <v>44594.0</v>
      </c>
      <c r="I4517" s="1" t="s">
        <v>575</v>
      </c>
      <c r="K4517" s="1">
        <v>0.0</v>
      </c>
      <c r="L4517" s="1" t="s">
        <v>1902</v>
      </c>
      <c r="M4517" s="1" t="str">
        <f>VLOOKUP(L4517,'Copy of PMD Workday Constants -'!B4516:W5202,22,false)</f>
        <v>#N/A</v>
      </c>
      <c r="N4517" s="1" t="s">
        <v>32</v>
      </c>
      <c r="O4517" s="1" t="s">
        <v>33</v>
      </c>
      <c r="P4517" s="1" t="s">
        <v>173</v>
      </c>
      <c r="Q4517" s="1" t="s">
        <v>173</v>
      </c>
      <c r="R4517" s="1" t="s">
        <v>174</v>
      </c>
      <c r="T4517" s="1">
        <v>1.00956516E8</v>
      </c>
      <c r="W4517" s="1" t="s">
        <v>258</v>
      </c>
      <c r="X4517" s="1" t="s">
        <v>2202</v>
      </c>
    </row>
    <row r="4518">
      <c r="A4518" s="1" t="s">
        <v>12769</v>
      </c>
      <c r="B4518" s="1" t="s">
        <v>3793</v>
      </c>
      <c r="C4518" s="1" t="s">
        <v>12770</v>
      </c>
      <c r="D4518" s="1" t="s">
        <v>28</v>
      </c>
      <c r="E4518" s="1" t="s">
        <v>29</v>
      </c>
      <c r="F4518" s="5">
        <v>100000.0</v>
      </c>
      <c r="G4518" s="1" t="s">
        <v>7016</v>
      </c>
      <c r="H4518" s="1" t="s">
        <v>110</v>
      </c>
      <c r="I4518" s="1" t="s">
        <v>526</v>
      </c>
      <c r="K4518" s="1">
        <v>0.0</v>
      </c>
      <c r="L4518" s="1" t="s">
        <v>717</v>
      </c>
      <c r="M4518" s="1" t="str">
        <f>VLOOKUP(L4518,'Copy of PMD Workday Constants -'!B4517:W5203,22,false)</f>
        <v>#N/A</v>
      </c>
      <c r="N4518" s="1" t="s">
        <v>32</v>
      </c>
      <c r="O4518" s="1" t="s">
        <v>33</v>
      </c>
      <c r="P4518" s="1" t="s">
        <v>34</v>
      </c>
      <c r="Q4518" s="1" t="s">
        <v>34</v>
      </c>
      <c r="R4518" s="1" t="s">
        <v>35</v>
      </c>
      <c r="T4518" s="1">
        <v>1.00642379E8</v>
      </c>
      <c r="W4518" s="1" t="s">
        <v>947</v>
      </c>
      <c r="X4518" s="1" t="s">
        <v>717</v>
      </c>
    </row>
    <row r="4519">
      <c r="A4519" s="1" t="s">
        <v>12771</v>
      </c>
      <c r="B4519" s="1" t="s">
        <v>2554</v>
      </c>
      <c r="C4519" s="1" t="s">
        <v>12772</v>
      </c>
      <c r="D4519" s="1" t="s">
        <v>28</v>
      </c>
      <c r="E4519" s="1" t="s">
        <v>29</v>
      </c>
      <c r="F4519" s="5">
        <v>100000.0</v>
      </c>
      <c r="G4519" s="1" t="s">
        <v>7016</v>
      </c>
      <c r="H4519" s="1" t="s">
        <v>785</v>
      </c>
      <c r="I4519" s="4">
        <v>44872.0</v>
      </c>
      <c r="K4519" s="1">
        <v>0.0</v>
      </c>
      <c r="L4519" s="1" t="s">
        <v>1697</v>
      </c>
      <c r="M4519" s="1" t="str">
        <f>VLOOKUP(L4519,'Copy of PMD Workday Constants -'!B4518:W5204,22,false)</f>
        <v>#N/A</v>
      </c>
      <c r="N4519" s="1" t="s">
        <v>32</v>
      </c>
      <c r="O4519" s="1" t="s">
        <v>33</v>
      </c>
      <c r="P4519" s="1" t="s">
        <v>82</v>
      </c>
      <c r="Q4519" s="1" t="s">
        <v>82</v>
      </c>
      <c r="R4519" s="1" t="s">
        <v>83</v>
      </c>
      <c r="S4519" s="1" t="s">
        <v>84</v>
      </c>
      <c r="T4519" s="1">
        <v>1.00589728E8</v>
      </c>
      <c r="W4519" s="1" t="s">
        <v>85</v>
      </c>
      <c r="X4519" s="1" t="s">
        <v>1534</v>
      </c>
    </row>
    <row r="4520">
      <c r="A4520" s="1" t="s">
        <v>12773</v>
      </c>
      <c r="B4520" s="1" t="s">
        <v>1685</v>
      </c>
      <c r="C4520" s="1" t="s">
        <v>12774</v>
      </c>
      <c r="D4520" s="1" t="s">
        <v>28</v>
      </c>
      <c r="E4520" s="1" t="s">
        <v>29</v>
      </c>
      <c r="F4520" s="5">
        <v>100000.0</v>
      </c>
      <c r="G4520" s="1" t="s">
        <v>7016</v>
      </c>
      <c r="H4520" s="1" t="s">
        <v>2484</v>
      </c>
      <c r="I4520" s="1" t="s">
        <v>1327</v>
      </c>
      <c r="K4520" s="1">
        <v>0.0</v>
      </c>
      <c r="L4520" s="1" t="s">
        <v>2343</v>
      </c>
      <c r="M4520" s="1" t="str">
        <f>VLOOKUP(L4520,'Copy of PMD Workday Constants -'!B4519:W5205,22,false)</f>
        <v>#N/A</v>
      </c>
      <c r="N4520" s="1" t="s">
        <v>32</v>
      </c>
      <c r="O4520" s="1" t="s">
        <v>33</v>
      </c>
      <c r="P4520" s="1" t="s">
        <v>222</v>
      </c>
      <c r="Q4520" s="1" t="s">
        <v>222</v>
      </c>
      <c r="R4520" s="1" t="s">
        <v>223</v>
      </c>
      <c r="S4520" s="1" t="s">
        <v>601</v>
      </c>
      <c r="T4520" s="1">
        <v>1.00619128E8</v>
      </c>
      <c r="W4520" s="1" t="s">
        <v>147</v>
      </c>
      <c r="X4520" s="1" t="s">
        <v>2519</v>
      </c>
    </row>
    <row r="4521">
      <c r="A4521" s="1" t="s">
        <v>12775</v>
      </c>
      <c r="B4521" s="1" t="s">
        <v>12776</v>
      </c>
      <c r="C4521" s="1" t="s">
        <v>12777</v>
      </c>
      <c r="D4521" s="1" t="s">
        <v>103</v>
      </c>
      <c r="E4521" s="1" t="s">
        <v>29</v>
      </c>
      <c r="F4521" s="5">
        <v>100000.0</v>
      </c>
      <c r="G4521" s="1" t="s">
        <v>7016</v>
      </c>
      <c r="H4521" s="1" t="s">
        <v>301</v>
      </c>
      <c r="I4521" s="1" t="s">
        <v>80</v>
      </c>
      <c r="K4521" s="1">
        <v>0.0</v>
      </c>
      <c r="L4521" s="1" t="s">
        <v>2013</v>
      </c>
      <c r="M4521" s="1" t="str">
        <f>VLOOKUP(L4521,'Copy of PMD Workday Constants -'!B4520:W5206,22,false)</f>
        <v>#N/A</v>
      </c>
      <c r="N4521" s="1" t="s">
        <v>32</v>
      </c>
      <c r="O4521" s="1" t="s">
        <v>33</v>
      </c>
      <c r="P4521" s="1" t="s">
        <v>222</v>
      </c>
      <c r="Q4521" s="1" t="s">
        <v>222</v>
      </c>
      <c r="R4521" s="1" t="s">
        <v>223</v>
      </c>
      <c r="S4521" s="1" t="s">
        <v>482</v>
      </c>
      <c r="T4521" s="1">
        <v>1.00596618E8</v>
      </c>
      <c r="W4521" s="1" t="s">
        <v>140</v>
      </c>
      <c r="X4521" s="1" t="s">
        <v>9226</v>
      </c>
    </row>
    <row r="4522">
      <c r="A4522" s="1" t="s">
        <v>12778</v>
      </c>
      <c r="B4522" s="1" t="s">
        <v>12779</v>
      </c>
      <c r="C4522" s="1" t="s">
        <v>12780</v>
      </c>
      <c r="D4522" s="1" t="s">
        <v>103</v>
      </c>
      <c r="E4522" s="1" t="s">
        <v>29</v>
      </c>
      <c r="F4522" s="5">
        <v>100000.0</v>
      </c>
      <c r="G4522" s="1" t="s">
        <v>7016</v>
      </c>
      <c r="H4522" s="1" t="s">
        <v>1915</v>
      </c>
      <c r="I4522" s="1" t="s">
        <v>104</v>
      </c>
      <c r="K4522" s="1">
        <v>0.0</v>
      </c>
      <c r="L4522" s="1" t="s">
        <v>5199</v>
      </c>
      <c r="M4522" s="1" t="str">
        <f>VLOOKUP(L4522,'Copy of PMD Workday Constants -'!B4521:W5207,22,false)</f>
        <v>#N/A</v>
      </c>
      <c r="N4522" s="1" t="s">
        <v>32</v>
      </c>
      <c r="O4522" s="1" t="s">
        <v>33</v>
      </c>
      <c r="P4522" s="1" t="s">
        <v>173</v>
      </c>
      <c r="Q4522" s="1" t="s">
        <v>173</v>
      </c>
      <c r="R4522" s="1" t="s">
        <v>174</v>
      </c>
      <c r="S4522" s="1" t="s">
        <v>492</v>
      </c>
      <c r="T4522" s="1">
        <v>1.00659846E8</v>
      </c>
      <c r="W4522" s="1" t="s">
        <v>250</v>
      </c>
      <c r="X4522" s="1" t="s">
        <v>5014</v>
      </c>
    </row>
    <row r="4523">
      <c r="A4523" s="1" t="s">
        <v>12781</v>
      </c>
      <c r="B4523" s="1" t="s">
        <v>289</v>
      </c>
      <c r="C4523" s="1" t="s">
        <v>12782</v>
      </c>
      <c r="D4523" s="1" t="s">
        <v>28</v>
      </c>
      <c r="E4523" s="1" t="s">
        <v>29</v>
      </c>
      <c r="F4523" s="5">
        <v>100000.0</v>
      </c>
      <c r="G4523" s="1" t="s">
        <v>7016</v>
      </c>
      <c r="H4523" s="4">
        <v>44839.0</v>
      </c>
      <c r="I4523" s="1" t="s">
        <v>80</v>
      </c>
      <c r="K4523" s="1">
        <v>0.0</v>
      </c>
      <c r="L4523" s="1" t="s">
        <v>3784</v>
      </c>
      <c r="M4523" s="1" t="str">
        <f>VLOOKUP(L4523,'Copy of PMD Workday Constants -'!B4522:W5208,22,false)</f>
        <v>#N/A</v>
      </c>
      <c r="N4523" s="1" t="s">
        <v>32</v>
      </c>
      <c r="O4523" s="1" t="s">
        <v>33</v>
      </c>
      <c r="P4523" s="1" t="s">
        <v>210</v>
      </c>
      <c r="Q4523" s="1" t="s">
        <v>210</v>
      </c>
      <c r="R4523" s="1" t="s">
        <v>211</v>
      </c>
      <c r="T4523" s="1">
        <v>1.00637651E8</v>
      </c>
      <c r="W4523" s="1" t="s">
        <v>74</v>
      </c>
      <c r="X4523" s="1" t="s">
        <v>852</v>
      </c>
    </row>
    <row r="4524">
      <c r="A4524" s="1" t="s">
        <v>12783</v>
      </c>
      <c r="B4524" s="1" t="s">
        <v>4606</v>
      </c>
      <c r="C4524" s="1" t="s">
        <v>12784</v>
      </c>
      <c r="D4524" s="1" t="s">
        <v>103</v>
      </c>
      <c r="E4524" s="1" t="s">
        <v>29</v>
      </c>
      <c r="F4524" s="5">
        <v>100000.0</v>
      </c>
      <c r="G4524" s="1" t="s">
        <v>7016</v>
      </c>
      <c r="H4524" s="1" t="s">
        <v>1287</v>
      </c>
      <c r="I4524" s="1" t="s">
        <v>43</v>
      </c>
      <c r="K4524" s="1">
        <v>0.0</v>
      </c>
      <c r="L4524" s="1" t="s">
        <v>4608</v>
      </c>
      <c r="M4524" s="1" t="str">
        <f>VLOOKUP(L4524,'Copy of PMD Workday Constants -'!B4523:W5209,22,false)</f>
        <v>#N/A</v>
      </c>
      <c r="N4524" s="1" t="s">
        <v>32</v>
      </c>
      <c r="O4524" s="1" t="s">
        <v>33</v>
      </c>
      <c r="P4524" s="1" t="s">
        <v>222</v>
      </c>
      <c r="Q4524" s="1" t="s">
        <v>222</v>
      </c>
      <c r="R4524" s="1" t="s">
        <v>223</v>
      </c>
      <c r="S4524" s="1" t="s">
        <v>482</v>
      </c>
      <c r="T4524" s="1">
        <v>1.00592715E8</v>
      </c>
      <c r="W4524" s="1" t="s">
        <v>115</v>
      </c>
      <c r="X4524" s="1" t="s">
        <v>12452</v>
      </c>
    </row>
    <row r="4525">
      <c r="A4525" s="1" t="s">
        <v>12785</v>
      </c>
      <c r="B4525" s="1" t="s">
        <v>10138</v>
      </c>
      <c r="C4525" s="1" t="s">
        <v>12786</v>
      </c>
      <c r="D4525" s="1" t="s">
        <v>51</v>
      </c>
      <c r="E4525" s="1" t="s">
        <v>29</v>
      </c>
      <c r="F4525" s="5">
        <v>100000.0</v>
      </c>
      <c r="G4525" s="1" t="s">
        <v>7016</v>
      </c>
      <c r="H4525" s="4">
        <v>44055.0</v>
      </c>
      <c r="I4525" s="1" t="s">
        <v>191</v>
      </c>
      <c r="K4525" s="1">
        <v>0.0</v>
      </c>
      <c r="L4525" s="1" t="s">
        <v>1282</v>
      </c>
      <c r="M4525" s="1" t="str">
        <f>VLOOKUP(L4525,'Copy of PMD Workday Constants -'!B4524:W5210,22,false)</f>
        <v>#N/A</v>
      </c>
      <c r="N4525" s="1" t="s">
        <v>32</v>
      </c>
      <c r="O4525" s="1" t="s">
        <v>33</v>
      </c>
      <c r="P4525" s="1" t="s">
        <v>34</v>
      </c>
      <c r="Q4525" s="1" t="s">
        <v>34</v>
      </c>
      <c r="R4525" s="1" t="s">
        <v>35</v>
      </c>
      <c r="S4525" s="1" t="s">
        <v>1166</v>
      </c>
      <c r="T4525" s="1">
        <v>1.006096E8</v>
      </c>
      <c r="W4525" s="1" t="s">
        <v>456</v>
      </c>
      <c r="X4525" s="1" t="s">
        <v>7966</v>
      </c>
    </row>
    <row r="4526">
      <c r="A4526" s="1" t="s">
        <v>12787</v>
      </c>
      <c r="B4526" s="1" t="s">
        <v>756</v>
      </c>
      <c r="C4526" s="1" t="s">
        <v>12788</v>
      </c>
      <c r="D4526" s="1" t="s">
        <v>79</v>
      </c>
      <c r="E4526" s="1" t="s">
        <v>29</v>
      </c>
      <c r="F4526" s="5">
        <v>100000.0</v>
      </c>
      <c r="G4526" s="1" t="s">
        <v>7016</v>
      </c>
      <c r="H4526" s="1" t="s">
        <v>2484</v>
      </c>
      <c r="I4526" s="4">
        <v>44840.0</v>
      </c>
      <c r="K4526" s="1">
        <v>0.0</v>
      </c>
      <c r="L4526" s="1" t="s">
        <v>1677</v>
      </c>
      <c r="M4526" s="1" t="str">
        <f>VLOOKUP(L4526,'Copy of PMD Workday Constants -'!B4525:W5211,22,false)</f>
        <v>#N/A</v>
      </c>
      <c r="N4526" s="1" t="s">
        <v>32</v>
      </c>
      <c r="O4526" s="1" t="s">
        <v>33</v>
      </c>
      <c r="P4526" s="1" t="s">
        <v>54</v>
      </c>
      <c r="Q4526" s="1" t="s">
        <v>54</v>
      </c>
      <c r="R4526" s="1" t="s">
        <v>55</v>
      </c>
      <c r="S4526" s="1" t="s">
        <v>701</v>
      </c>
      <c r="T4526" s="1">
        <v>1.00623248E8</v>
      </c>
      <c r="W4526" s="1" t="s">
        <v>74</v>
      </c>
      <c r="X4526" s="1" t="s">
        <v>12789</v>
      </c>
    </row>
    <row r="4527">
      <c r="A4527" s="1" t="s">
        <v>12790</v>
      </c>
      <c r="B4527" s="1" t="s">
        <v>12791</v>
      </c>
      <c r="C4527" s="1" t="s">
        <v>12792</v>
      </c>
      <c r="D4527" s="1" t="s">
        <v>103</v>
      </c>
      <c r="E4527" s="1" t="s">
        <v>29</v>
      </c>
      <c r="F4527" s="5">
        <v>100000.0</v>
      </c>
      <c r="G4527" s="1" t="s">
        <v>7016</v>
      </c>
      <c r="H4527" s="4">
        <v>43835.0</v>
      </c>
      <c r="I4527" s="1" t="s">
        <v>43</v>
      </c>
      <c r="K4527" s="1">
        <v>0.0</v>
      </c>
      <c r="L4527" s="1" t="s">
        <v>4608</v>
      </c>
      <c r="M4527" s="1" t="str">
        <f>VLOOKUP(L4527,'Copy of PMD Workday Constants -'!B4526:W5212,22,false)</f>
        <v>#N/A</v>
      </c>
      <c r="N4527" s="1" t="s">
        <v>32</v>
      </c>
      <c r="O4527" s="1" t="s">
        <v>33</v>
      </c>
      <c r="P4527" s="1" t="s">
        <v>222</v>
      </c>
      <c r="Q4527" s="1" t="s">
        <v>222</v>
      </c>
      <c r="R4527" s="1" t="s">
        <v>223</v>
      </c>
      <c r="S4527" s="1" t="s">
        <v>482</v>
      </c>
      <c r="T4527" s="1">
        <v>1.00592715E8</v>
      </c>
      <c r="W4527" s="1" t="s">
        <v>115</v>
      </c>
      <c r="X4527" s="1" t="s">
        <v>4608</v>
      </c>
    </row>
    <row r="4528">
      <c r="A4528" s="1" t="s">
        <v>12793</v>
      </c>
      <c r="B4528" s="1" t="s">
        <v>489</v>
      </c>
      <c r="C4528" s="1" t="s">
        <v>12794</v>
      </c>
      <c r="D4528" s="1" t="s">
        <v>28</v>
      </c>
      <c r="E4528" s="1" t="s">
        <v>29</v>
      </c>
      <c r="F4528" s="5">
        <v>100000.0</v>
      </c>
      <c r="G4528" s="1" t="s">
        <v>7016</v>
      </c>
      <c r="H4528" s="4">
        <v>44776.0</v>
      </c>
      <c r="I4528" s="1" t="s">
        <v>414</v>
      </c>
      <c r="K4528" s="1">
        <v>0.0</v>
      </c>
      <c r="L4528" s="1" t="s">
        <v>4873</v>
      </c>
      <c r="M4528" s="1" t="str">
        <f>VLOOKUP(L4528,'Copy of PMD Workday Constants -'!B4527:W5213,22,false)</f>
        <v>#N/A</v>
      </c>
      <c r="N4528" s="1" t="s">
        <v>32</v>
      </c>
      <c r="O4528" s="1" t="s">
        <v>33</v>
      </c>
      <c r="P4528" s="1" t="s">
        <v>34</v>
      </c>
      <c r="Q4528" s="1" t="s">
        <v>34</v>
      </c>
      <c r="R4528" s="1" t="s">
        <v>35</v>
      </c>
      <c r="T4528" s="1">
        <v>1.00587881E8</v>
      </c>
      <c r="W4528" s="1" t="s">
        <v>493</v>
      </c>
      <c r="X4528" s="1" t="s">
        <v>5719</v>
      </c>
    </row>
    <row r="4529">
      <c r="A4529" s="1" t="s">
        <v>12795</v>
      </c>
      <c r="B4529" s="1" t="s">
        <v>1778</v>
      </c>
      <c r="C4529" s="1" t="s">
        <v>12796</v>
      </c>
      <c r="D4529" s="1" t="s">
        <v>51</v>
      </c>
      <c r="E4529" s="1" t="s">
        <v>29</v>
      </c>
      <c r="F4529" s="5">
        <v>100000.0</v>
      </c>
      <c r="G4529" s="1" t="s">
        <v>7016</v>
      </c>
      <c r="H4529" s="1" t="s">
        <v>1005</v>
      </c>
      <c r="I4529" s="4">
        <v>44568.0</v>
      </c>
      <c r="K4529" s="1">
        <v>0.0</v>
      </c>
      <c r="L4529" s="1" t="s">
        <v>1780</v>
      </c>
      <c r="M4529" s="1" t="str">
        <f>VLOOKUP(L4529,'Copy of PMD Workday Constants -'!B4528:W5214,22,false)</f>
        <v>#N/A</v>
      </c>
      <c r="N4529" s="1" t="s">
        <v>32</v>
      </c>
      <c r="O4529" s="1" t="s">
        <v>33</v>
      </c>
      <c r="P4529" s="1" t="s">
        <v>82</v>
      </c>
      <c r="Q4529" s="1" t="s">
        <v>82</v>
      </c>
      <c r="R4529" s="1" t="s">
        <v>83</v>
      </c>
      <c r="S4529" s="1" t="s">
        <v>583</v>
      </c>
      <c r="T4529" s="1">
        <v>1.00617113E8</v>
      </c>
      <c r="U4529" s="1" t="s">
        <v>7413</v>
      </c>
      <c r="V4529" s="1" t="s">
        <v>187</v>
      </c>
      <c r="W4529" s="1" t="s">
        <v>456</v>
      </c>
      <c r="X4529" s="1" t="s">
        <v>12797</v>
      </c>
    </row>
    <row r="4530">
      <c r="A4530" s="1" t="s">
        <v>12798</v>
      </c>
      <c r="B4530" s="1" t="s">
        <v>1778</v>
      </c>
      <c r="C4530" s="1" t="s">
        <v>12799</v>
      </c>
      <c r="D4530" s="1" t="s">
        <v>28</v>
      </c>
      <c r="E4530" s="1" t="s">
        <v>29</v>
      </c>
      <c r="F4530" s="5">
        <v>100000.0</v>
      </c>
      <c r="G4530" s="1" t="s">
        <v>7016</v>
      </c>
      <c r="H4530" s="1" t="s">
        <v>1005</v>
      </c>
      <c r="I4530" s="1" t="s">
        <v>400</v>
      </c>
      <c r="K4530" s="1">
        <v>0.0</v>
      </c>
      <c r="L4530" s="1" t="s">
        <v>1780</v>
      </c>
      <c r="M4530" s="1" t="str">
        <f>VLOOKUP(L4530,'Copy of PMD Workday Constants -'!B4529:W5215,22,false)</f>
        <v>#N/A</v>
      </c>
      <c r="N4530" s="1" t="s">
        <v>32</v>
      </c>
      <c r="O4530" s="1" t="s">
        <v>33</v>
      </c>
      <c r="P4530" s="1" t="s">
        <v>82</v>
      </c>
      <c r="Q4530" s="1" t="s">
        <v>82</v>
      </c>
      <c r="R4530" s="1" t="s">
        <v>83</v>
      </c>
      <c r="S4530" s="1" t="s">
        <v>583</v>
      </c>
      <c r="T4530" s="1">
        <v>1.00617113E8</v>
      </c>
      <c r="U4530" s="1" t="s">
        <v>7413</v>
      </c>
      <c r="V4530" s="1" t="s">
        <v>187</v>
      </c>
      <c r="W4530" s="1" t="s">
        <v>456</v>
      </c>
      <c r="X4530" s="1" t="s">
        <v>12797</v>
      </c>
    </row>
    <row r="4531">
      <c r="A4531" s="1" t="s">
        <v>12800</v>
      </c>
      <c r="B4531" s="1" t="s">
        <v>1778</v>
      </c>
      <c r="C4531" s="1" t="s">
        <v>12801</v>
      </c>
      <c r="D4531" s="1" t="s">
        <v>28</v>
      </c>
      <c r="E4531" s="1" t="s">
        <v>29</v>
      </c>
      <c r="F4531" s="5">
        <v>100000.0</v>
      </c>
      <c r="G4531" s="1" t="s">
        <v>7016</v>
      </c>
      <c r="H4531" s="1" t="s">
        <v>1005</v>
      </c>
      <c r="I4531" s="4">
        <v>44568.0</v>
      </c>
      <c r="K4531" s="1">
        <v>0.0</v>
      </c>
      <c r="L4531" s="1" t="s">
        <v>1780</v>
      </c>
      <c r="M4531" s="1" t="str">
        <f>VLOOKUP(L4531,'Copy of PMD Workday Constants -'!B4530:W5216,22,false)</f>
        <v>#N/A</v>
      </c>
      <c r="N4531" s="1" t="s">
        <v>32</v>
      </c>
      <c r="O4531" s="1" t="s">
        <v>33</v>
      </c>
      <c r="P4531" s="1" t="s">
        <v>82</v>
      </c>
      <c r="Q4531" s="1" t="s">
        <v>82</v>
      </c>
      <c r="R4531" s="1" t="s">
        <v>83</v>
      </c>
      <c r="S4531" s="1" t="s">
        <v>583</v>
      </c>
      <c r="T4531" s="1">
        <v>1.00617113E8</v>
      </c>
      <c r="U4531" s="1" t="s">
        <v>7413</v>
      </c>
      <c r="V4531" s="1" t="s">
        <v>46</v>
      </c>
      <c r="W4531" s="1" t="s">
        <v>456</v>
      </c>
      <c r="X4531" s="1" t="s">
        <v>12797</v>
      </c>
    </row>
    <row r="4532">
      <c r="A4532" s="1" t="s">
        <v>12802</v>
      </c>
      <c r="B4532" s="1" t="s">
        <v>1573</v>
      </c>
      <c r="C4532" s="1" t="s">
        <v>12803</v>
      </c>
      <c r="D4532" s="1" t="s">
        <v>28</v>
      </c>
      <c r="E4532" s="1" t="s">
        <v>29</v>
      </c>
      <c r="F4532" s="5">
        <v>100000.0</v>
      </c>
      <c r="G4532" s="1" t="s">
        <v>7016</v>
      </c>
      <c r="H4532" s="4">
        <v>44779.0</v>
      </c>
      <c r="I4532" s="1" t="s">
        <v>96</v>
      </c>
      <c r="K4532" s="1">
        <v>0.0</v>
      </c>
      <c r="L4532" s="1" t="s">
        <v>10452</v>
      </c>
      <c r="M4532" s="1" t="str">
        <f>VLOOKUP(L4532,'Copy of PMD Workday Constants -'!B4531:W5217,22,false)</f>
        <v>#N/A</v>
      </c>
      <c r="N4532" s="1" t="s">
        <v>32</v>
      </c>
      <c r="O4532" s="1" t="s">
        <v>33</v>
      </c>
      <c r="P4532" s="1" t="s">
        <v>173</v>
      </c>
      <c r="Q4532" s="1" t="s">
        <v>173</v>
      </c>
      <c r="R4532" s="1" t="s">
        <v>174</v>
      </c>
      <c r="S4532" s="1" t="s">
        <v>153</v>
      </c>
      <c r="T4532" s="1">
        <v>1.00614201E8</v>
      </c>
      <c r="W4532" s="1" t="s">
        <v>456</v>
      </c>
      <c r="X4532" s="1" t="s">
        <v>11424</v>
      </c>
    </row>
    <row r="4533">
      <c r="A4533" s="1" t="s">
        <v>12804</v>
      </c>
      <c r="B4533" s="1" t="s">
        <v>507</v>
      </c>
      <c r="C4533" s="1" t="s">
        <v>12805</v>
      </c>
      <c r="D4533" s="1" t="s">
        <v>51</v>
      </c>
      <c r="E4533" s="1" t="s">
        <v>29</v>
      </c>
      <c r="F4533" s="5">
        <v>100000.0</v>
      </c>
      <c r="G4533" s="1" t="s">
        <v>7016</v>
      </c>
      <c r="H4533" s="1" t="s">
        <v>498</v>
      </c>
      <c r="I4533" s="1" t="s">
        <v>302</v>
      </c>
      <c r="K4533" s="1">
        <v>0.0</v>
      </c>
      <c r="L4533" s="1" t="s">
        <v>12806</v>
      </c>
      <c r="M4533" s="1" t="str">
        <f>VLOOKUP(L4533,'Copy of PMD Workday Constants -'!B4532:W5218,22,false)</f>
        <v>#N/A</v>
      </c>
      <c r="N4533" s="1" t="s">
        <v>32</v>
      </c>
      <c r="O4533" s="1" t="s">
        <v>33</v>
      </c>
      <c r="P4533" s="1" t="s">
        <v>34</v>
      </c>
      <c r="Q4533" s="1" t="s">
        <v>34</v>
      </c>
      <c r="R4533" s="1" t="s">
        <v>35</v>
      </c>
      <c r="S4533" s="1" t="s">
        <v>1166</v>
      </c>
      <c r="T4533" s="1">
        <v>1.00610875E8</v>
      </c>
      <c r="W4533" s="1" t="s">
        <v>456</v>
      </c>
      <c r="X4533" s="1" t="s">
        <v>12807</v>
      </c>
    </row>
    <row r="4534">
      <c r="A4534" s="1" t="s">
        <v>12808</v>
      </c>
      <c r="B4534" s="1" t="s">
        <v>9648</v>
      </c>
      <c r="C4534" s="1" t="s">
        <v>12809</v>
      </c>
      <c r="D4534" s="1" t="s">
        <v>28</v>
      </c>
      <c r="E4534" s="1" t="s">
        <v>29</v>
      </c>
      <c r="F4534" s="5">
        <v>100000.0</v>
      </c>
      <c r="G4534" s="1" t="s">
        <v>7016</v>
      </c>
      <c r="H4534" s="1" t="s">
        <v>870</v>
      </c>
      <c r="I4534" s="1" t="s">
        <v>152</v>
      </c>
      <c r="K4534" s="1">
        <v>0.0</v>
      </c>
      <c r="L4534" s="1" t="s">
        <v>6926</v>
      </c>
      <c r="M4534" s="1" t="str">
        <f>VLOOKUP(L4534,'Copy of PMD Workday Constants -'!B4533:W5219,22,false)</f>
        <v>#N/A</v>
      </c>
      <c r="N4534" s="1" t="s">
        <v>32</v>
      </c>
      <c r="O4534" s="1" t="s">
        <v>33</v>
      </c>
      <c r="P4534" s="1" t="s">
        <v>222</v>
      </c>
      <c r="Q4534" s="1" t="s">
        <v>222</v>
      </c>
      <c r="R4534" s="1" t="s">
        <v>223</v>
      </c>
      <c r="S4534" s="1" t="s">
        <v>601</v>
      </c>
      <c r="T4534" s="1">
        <v>1.01147686E8</v>
      </c>
      <c r="W4534" s="1" t="s">
        <v>56</v>
      </c>
      <c r="X4534" s="1" t="s">
        <v>12810</v>
      </c>
    </row>
    <row r="4535">
      <c r="A4535" s="1" t="s">
        <v>12811</v>
      </c>
      <c r="B4535" s="1" t="s">
        <v>7187</v>
      </c>
      <c r="C4535" s="1" t="s">
        <v>12812</v>
      </c>
      <c r="D4535" s="1" t="s">
        <v>28</v>
      </c>
      <c r="E4535" s="1" t="s">
        <v>29</v>
      </c>
      <c r="F4535" s="5">
        <v>100000.0</v>
      </c>
      <c r="G4535" s="1" t="s">
        <v>7016</v>
      </c>
      <c r="H4535" s="4">
        <v>44481.0</v>
      </c>
      <c r="I4535" s="1" t="s">
        <v>1859</v>
      </c>
      <c r="K4535" s="1">
        <v>0.0</v>
      </c>
      <c r="L4535" s="1" t="s">
        <v>319</v>
      </c>
      <c r="M4535" s="1" t="str">
        <f>VLOOKUP(L4535,'Copy of PMD Workday Constants -'!B4534:W5220,22,false)</f>
        <v>#N/A</v>
      </c>
      <c r="N4535" s="1" t="s">
        <v>32</v>
      </c>
      <c r="O4535" s="1" t="s">
        <v>33</v>
      </c>
      <c r="P4535" s="1" t="s">
        <v>82</v>
      </c>
      <c r="Q4535" s="1" t="s">
        <v>82</v>
      </c>
      <c r="R4535" s="1" t="s">
        <v>83</v>
      </c>
      <c r="S4535" s="1" t="s">
        <v>153</v>
      </c>
      <c r="T4535" s="1">
        <v>1.00654705E8</v>
      </c>
      <c r="W4535" s="1" t="s">
        <v>85</v>
      </c>
      <c r="X4535" s="1" t="s">
        <v>319</v>
      </c>
    </row>
    <row r="4536">
      <c r="A4536" s="1" t="s">
        <v>12813</v>
      </c>
      <c r="B4536" s="1" t="s">
        <v>5369</v>
      </c>
      <c r="C4536" s="1" t="s">
        <v>12814</v>
      </c>
      <c r="D4536" s="1" t="s">
        <v>28</v>
      </c>
      <c r="E4536" s="1" t="s">
        <v>29</v>
      </c>
      <c r="F4536" s="5">
        <v>100000.0</v>
      </c>
      <c r="G4536" s="1" t="s">
        <v>7016</v>
      </c>
      <c r="H4536" s="1" t="s">
        <v>1005</v>
      </c>
      <c r="I4536" s="1" t="s">
        <v>80</v>
      </c>
      <c r="K4536" s="1">
        <v>0.0</v>
      </c>
      <c r="L4536" s="1" t="s">
        <v>2174</v>
      </c>
      <c r="M4536" s="1" t="str">
        <f>VLOOKUP(L4536,'Copy of PMD Workday Constants -'!B4535:W5221,22,false)</f>
        <v>#N/A</v>
      </c>
      <c r="N4536" s="1" t="s">
        <v>32</v>
      </c>
      <c r="O4536" s="1" t="s">
        <v>33</v>
      </c>
      <c r="P4536" s="1" t="s">
        <v>112</v>
      </c>
      <c r="Q4536" s="1" t="s">
        <v>112</v>
      </c>
      <c r="R4536" s="1" t="s">
        <v>113</v>
      </c>
      <c r="S4536" s="1" t="s">
        <v>134</v>
      </c>
      <c r="T4536" s="1">
        <v>1.00631322E8</v>
      </c>
      <c r="W4536" s="1" t="s">
        <v>74</v>
      </c>
      <c r="X4536" s="1" t="s">
        <v>2478</v>
      </c>
    </row>
    <row r="4537">
      <c r="A4537" s="1" t="s">
        <v>12815</v>
      </c>
      <c r="B4537" s="1" t="s">
        <v>430</v>
      </c>
      <c r="C4537" s="1" t="s">
        <v>12816</v>
      </c>
      <c r="D4537" s="1" t="s">
        <v>28</v>
      </c>
      <c r="E4537" s="1" t="s">
        <v>29</v>
      </c>
      <c r="F4537" s="5">
        <v>100000.0</v>
      </c>
      <c r="G4537" s="1" t="s">
        <v>7016</v>
      </c>
      <c r="H4537" s="1" t="s">
        <v>3360</v>
      </c>
      <c r="I4537" s="1" t="s">
        <v>80</v>
      </c>
      <c r="K4537" s="1">
        <v>0.0</v>
      </c>
      <c r="L4537" s="1" t="s">
        <v>3137</v>
      </c>
      <c r="M4537" s="1" t="str">
        <f>VLOOKUP(L4537,'Copy of PMD Workday Constants -'!B4536:W5222,22,false)</f>
        <v>#N/A</v>
      </c>
      <c r="N4537" s="1" t="s">
        <v>32</v>
      </c>
      <c r="O4537" s="1" t="s">
        <v>33</v>
      </c>
      <c r="P4537" s="1" t="s">
        <v>82</v>
      </c>
      <c r="Q4537" s="1" t="s">
        <v>82</v>
      </c>
      <c r="R4537" s="1" t="s">
        <v>83</v>
      </c>
      <c r="S4537" s="1" t="s">
        <v>180</v>
      </c>
      <c r="T4537" s="1">
        <v>1.00586452E8</v>
      </c>
      <c r="W4537" s="1" t="s">
        <v>85</v>
      </c>
      <c r="X4537" s="1" t="s">
        <v>3137</v>
      </c>
    </row>
    <row r="4538">
      <c r="A4538" s="1" t="s">
        <v>12817</v>
      </c>
      <c r="B4538" s="1" t="s">
        <v>6529</v>
      </c>
      <c r="C4538" s="1" t="s">
        <v>12818</v>
      </c>
      <c r="D4538" s="1" t="s">
        <v>103</v>
      </c>
      <c r="E4538" s="1" t="s">
        <v>29</v>
      </c>
      <c r="F4538" s="5">
        <v>100000.0</v>
      </c>
      <c r="G4538" s="1" t="s">
        <v>7016</v>
      </c>
      <c r="H4538" s="1" t="s">
        <v>6291</v>
      </c>
      <c r="I4538" s="1" t="s">
        <v>732</v>
      </c>
      <c r="K4538" s="1">
        <v>0.0</v>
      </c>
      <c r="L4538" s="1" t="s">
        <v>3043</v>
      </c>
      <c r="M4538" s="1" t="str">
        <f>VLOOKUP(L4538,'Copy of PMD Workday Constants -'!B4537:W5223,22,false)</f>
        <v>#N/A</v>
      </c>
      <c r="N4538" s="1" t="s">
        <v>32</v>
      </c>
      <c r="O4538" s="1" t="s">
        <v>33</v>
      </c>
      <c r="P4538" s="1" t="s">
        <v>222</v>
      </c>
      <c r="Q4538" s="1" t="s">
        <v>222</v>
      </c>
      <c r="R4538" s="1" t="s">
        <v>223</v>
      </c>
      <c r="S4538" s="1" t="s">
        <v>601</v>
      </c>
      <c r="T4538" s="1">
        <v>1.00638978E8</v>
      </c>
      <c r="U4538" s="1" t="s">
        <v>12819</v>
      </c>
      <c r="V4538" s="1" t="s">
        <v>46</v>
      </c>
      <c r="W4538" s="1" t="s">
        <v>91</v>
      </c>
      <c r="X4538" s="1" t="s">
        <v>3043</v>
      </c>
    </row>
    <row r="4539">
      <c r="A4539" s="1" t="s">
        <v>12820</v>
      </c>
      <c r="B4539" s="1" t="s">
        <v>993</v>
      </c>
      <c r="C4539" s="1" t="s">
        <v>12821</v>
      </c>
      <c r="D4539" s="1" t="s">
        <v>79</v>
      </c>
      <c r="E4539" s="1" t="s">
        <v>29</v>
      </c>
      <c r="F4539" s="5">
        <v>100000.0</v>
      </c>
      <c r="G4539" s="1" t="s">
        <v>7016</v>
      </c>
      <c r="H4539" s="1" t="s">
        <v>644</v>
      </c>
      <c r="I4539" s="1" t="s">
        <v>80</v>
      </c>
      <c r="K4539" s="1">
        <v>0.0</v>
      </c>
      <c r="L4539" s="1" t="s">
        <v>4634</v>
      </c>
      <c r="M4539" s="1" t="str">
        <f>VLOOKUP(L4539,'Copy of PMD Workday Constants -'!B4538:W5224,22,false)</f>
        <v>#N/A</v>
      </c>
      <c r="N4539" s="1" t="s">
        <v>32</v>
      </c>
      <c r="O4539" s="1" t="s">
        <v>33</v>
      </c>
      <c r="P4539" s="1" t="s">
        <v>112</v>
      </c>
      <c r="Q4539" s="1" t="s">
        <v>112</v>
      </c>
      <c r="R4539" s="1" t="s">
        <v>113</v>
      </c>
      <c r="S4539" s="1" t="s">
        <v>134</v>
      </c>
      <c r="T4539" s="1">
        <v>1.00585718E8</v>
      </c>
      <c r="W4539" s="1" t="s">
        <v>74</v>
      </c>
      <c r="X4539" s="1" t="s">
        <v>10615</v>
      </c>
    </row>
    <row r="4540">
      <c r="A4540" s="1" t="s">
        <v>12822</v>
      </c>
      <c r="B4540" s="1" t="s">
        <v>3585</v>
      </c>
      <c r="C4540" s="1" t="s">
        <v>12823</v>
      </c>
      <c r="D4540" s="1" t="s">
        <v>51</v>
      </c>
      <c r="E4540" s="1" t="s">
        <v>29</v>
      </c>
      <c r="F4540" s="5">
        <v>100000.0</v>
      </c>
      <c r="G4540" s="1" t="s">
        <v>7016</v>
      </c>
      <c r="H4540" s="1" t="s">
        <v>920</v>
      </c>
      <c r="I4540" s="4">
        <v>44567.0</v>
      </c>
      <c r="K4540" s="1">
        <v>0.0</v>
      </c>
      <c r="L4540" s="1" t="s">
        <v>7272</v>
      </c>
      <c r="M4540" s="1" t="str">
        <f>VLOOKUP(L4540,'Copy of PMD Workday Constants -'!B4539:W5225,22,false)</f>
        <v>#N/A</v>
      </c>
      <c r="N4540" s="1" t="s">
        <v>32</v>
      </c>
      <c r="O4540" s="1" t="s">
        <v>33</v>
      </c>
      <c r="P4540" s="1" t="s">
        <v>173</v>
      </c>
      <c r="Q4540" s="1" t="s">
        <v>173</v>
      </c>
      <c r="R4540" s="1" t="s">
        <v>174</v>
      </c>
      <c r="T4540" s="1">
        <v>1.0065252E8</v>
      </c>
      <c r="X4540" s="1" t="s">
        <v>7272</v>
      </c>
    </row>
    <row r="4541">
      <c r="A4541" s="1" t="s">
        <v>12824</v>
      </c>
      <c r="B4541" s="1" t="s">
        <v>623</v>
      </c>
      <c r="C4541" s="1" t="s">
        <v>12825</v>
      </c>
      <c r="D4541" s="1" t="s">
        <v>51</v>
      </c>
      <c r="E4541" s="1" t="s">
        <v>29</v>
      </c>
      <c r="F4541" s="5">
        <v>100000.0</v>
      </c>
      <c r="G4541" s="1" t="s">
        <v>7016</v>
      </c>
      <c r="H4541" s="4">
        <v>44810.0</v>
      </c>
      <c r="I4541" s="1" t="s">
        <v>104</v>
      </c>
      <c r="K4541" s="1">
        <v>0.0</v>
      </c>
      <c r="L4541" s="1" t="s">
        <v>198</v>
      </c>
      <c r="M4541" s="1" t="str">
        <f>VLOOKUP(L4541,'Copy of PMD Workday Constants -'!B4540:W5226,22,false)</f>
        <v>#N/A</v>
      </c>
      <c r="N4541" s="1" t="s">
        <v>32</v>
      </c>
      <c r="O4541" s="1" t="s">
        <v>33</v>
      </c>
      <c r="P4541" s="1" t="s">
        <v>82</v>
      </c>
      <c r="Q4541" s="1" t="s">
        <v>82</v>
      </c>
      <c r="R4541" s="1" t="s">
        <v>83</v>
      </c>
      <c r="S4541" s="1" t="s">
        <v>180</v>
      </c>
      <c r="T4541" s="1">
        <v>1.00590896E8</v>
      </c>
      <c r="W4541" s="1" t="s">
        <v>85</v>
      </c>
      <c r="X4541" s="1" t="s">
        <v>2497</v>
      </c>
    </row>
    <row r="4542">
      <c r="A4542" s="1" t="s">
        <v>12826</v>
      </c>
      <c r="B4542" s="1" t="s">
        <v>12827</v>
      </c>
      <c r="C4542" s="1" t="s">
        <v>12828</v>
      </c>
      <c r="D4542" s="1" t="s">
        <v>51</v>
      </c>
      <c r="E4542" s="1" t="s">
        <v>29</v>
      </c>
      <c r="F4542" s="5">
        <v>100000.0</v>
      </c>
      <c r="G4542" s="1" t="s">
        <v>7016</v>
      </c>
      <c r="H4542" s="4">
        <v>44685.0</v>
      </c>
      <c r="I4542" s="1" t="s">
        <v>810</v>
      </c>
      <c r="K4542" s="1">
        <v>0.0</v>
      </c>
      <c r="L4542" s="1" t="s">
        <v>2013</v>
      </c>
      <c r="M4542" s="1" t="str">
        <f>VLOOKUP(L4542,'Copy of PMD Workday Constants -'!B4541:W5227,22,false)</f>
        <v>#N/A</v>
      </c>
      <c r="N4542" s="1" t="s">
        <v>32</v>
      </c>
      <c r="O4542" s="1" t="s">
        <v>33</v>
      </c>
      <c r="P4542" s="1" t="s">
        <v>222</v>
      </c>
      <c r="Q4542" s="1" t="s">
        <v>222</v>
      </c>
      <c r="R4542" s="1" t="s">
        <v>223</v>
      </c>
      <c r="S4542" s="1" t="s">
        <v>482</v>
      </c>
      <c r="T4542" s="1">
        <v>1.00596618E8</v>
      </c>
      <c r="W4542" s="1" t="s">
        <v>74</v>
      </c>
      <c r="X4542" s="1" t="s">
        <v>12829</v>
      </c>
    </row>
    <row r="4543">
      <c r="A4543" s="1" t="s">
        <v>12830</v>
      </c>
      <c r="B4543" s="1" t="s">
        <v>348</v>
      </c>
      <c r="C4543" s="1" t="s">
        <v>12831</v>
      </c>
      <c r="D4543" s="1" t="s">
        <v>28</v>
      </c>
      <c r="E4543" s="1" t="s">
        <v>29</v>
      </c>
      <c r="F4543" s="5">
        <v>100000.0</v>
      </c>
      <c r="G4543" s="1" t="s">
        <v>7016</v>
      </c>
      <c r="H4543" s="1" t="s">
        <v>1082</v>
      </c>
      <c r="I4543" s="1" t="s">
        <v>152</v>
      </c>
      <c r="K4543" s="1">
        <v>0.0</v>
      </c>
      <c r="L4543" s="1" t="s">
        <v>10349</v>
      </c>
      <c r="M4543" s="1" t="str">
        <f>VLOOKUP(L4543,'Copy of PMD Workday Constants -'!B4542:W5228,22,false)</f>
        <v>#N/A</v>
      </c>
      <c r="N4543" s="1" t="s">
        <v>32</v>
      </c>
      <c r="O4543" s="1" t="s">
        <v>33</v>
      </c>
      <c r="P4543" s="1" t="s">
        <v>64</v>
      </c>
      <c r="Q4543" s="1" t="s">
        <v>64</v>
      </c>
      <c r="R4543" s="1" t="s">
        <v>65</v>
      </c>
      <c r="S4543" s="1" t="s">
        <v>180</v>
      </c>
      <c r="T4543" s="1">
        <v>1.00649481E8</v>
      </c>
      <c r="W4543" s="1" t="s">
        <v>85</v>
      </c>
      <c r="X4543" s="1" t="s">
        <v>1692</v>
      </c>
    </row>
    <row r="4544">
      <c r="A4544" s="1" t="s">
        <v>12832</v>
      </c>
      <c r="B4544" s="1" t="s">
        <v>70</v>
      </c>
      <c r="C4544" s="1" t="s">
        <v>12833</v>
      </c>
      <c r="D4544" s="1" t="s">
        <v>51</v>
      </c>
      <c r="E4544" s="1" t="s">
        <v>29</v>
      </c>
      <c r="F4544" s="5">
        <v>100000.0</v>
      </c>
      <c r="G4544" s="1" t="s">
        <v>7016</v>
      </c>
      <c r="H4544" s="1" t="s">
        <v>1455</v>
      </c>
      <c r="I4544" s="1" t="s">
        <v>8349</v>
      </c>
      <c r="K4544" s="1">
        <v>0.0</v>
      </c>
      <c r="L4544" s="1" t="s">
        <v>72</v>
      </c>
      <c r="M4544" s="1" t="str">
        <f>VLOOKUP(L4544,'Copy of PMD Workday Constants -'!B4543:W5229,22,false)</f>
        <v>#N/A</v>
      </c>
      <c r="N4544" s="1" t="s">
        <v>32</v>
      </c>
      <c r="O4544" s="1" t="s">
        <v>33</v>
      </c>
      <c r="P4544" s="1" t="s">
        <v>34</v>
      </c>
      <c r="Q4544" s="1" t="s">
        <v>34</v>
      </c>
      <c r="R4544" s="1" t="s">
        <v>35</v>
      </c>
      <c r="S4544" s="1" t="s">
        <v>126</v>
      </c>
      <c r="T4544" s="1">
        <v>1.0060843E8</v>
      </c>
      <c r="W4544" s="1" t="s">
        <v>74</v>
      </c>
      <c r="X4544" s="1" t="s">
        <v>72</v>
      </c>
    </row>
    <row r="4545">
      <c r="A4545" s="1" t="s">
        <v>12834</v>
      </c>
      <c r="B4545" s="1" t="s">
        <v>450</v>
      </c>
      <c r="C4545" s="1" t="s">
        <v>12835</v>
      </c>
      <c r="D4545" s="1" t="s">
        <v>28</v>
      </c>
      <c r="E4545" s="1" t="s">
        <v>29</v>
      </c>
      <c r="F4545" s="5">
        <v>100000.0</v>
      </c>
      <c r="G4545" s="1" t="s">
        <v>7016</v>
      </c>
      <c r="H4545" s="4">
        <v>44810.0</v>
      </c>
      <c r="I4545" s="4">
        <v>44780.0</v>
      </c>
      <c r="K4545" s="1">
        <v>0.0</v>
      </c>
      <c r="L4545" s="1" t="s">
        <v>2024</v>
      </c>
      <c r="M4545" s="1" t="str">
        <f>VLOOKUP(L4545,'Copy of PMD Workday Constants -'!B4544:W5230,22,false)</f>
        <v>#N/A</v>
      </c>
      <c r="N4545" s="1" t="s">
        <v>32</v>
      </c>
      <c r="O4545" s="1" t="s">
        <v>33</v>
      </c>
      <c r="P4545" s="1" t="s">
        <v>112</v>
      </c>
      <c r="Q4545" s="1" t="s">
        <v>112</v>
      </c>
      <c r="R4545" s="1" t="s">
        <v>113</v>
      </c>
      <c r="S4545" s="1" t="s">
        <v>455</v>
      </c>
      <c r="T4545" s="1">
        <v>1.00580065E8</v>
      </c>
      <c r="W4545" s="1" t="s">
        <v>456</v>
      </c>
      <c r="X4545" s="1" t="s">
        <v>1016</v>
      </c>
    </row>
    <row r="4546">
      <c r="A4546" s="1" t="s">
        <v>12836</v>
      </c>
      <c r="B4546" s="1" t="s">
        <v>1664</v>
      </c>
      <c r="C4546" s="1" t="s">
        <v>12837</v>
      </c>
      <c r="D4546" s="1" t="s">
        <v>28</v>
      </c>
      <c r="E4546" s="1" t="s">
        <v>29</v>
      </c>
      <c r="F4546" s="5">
        <v>100000.0</v>
      </c>
      <c r="G4546" s="1" t="s">
        <v>7016</v>
      </c>
      <c r="H4546" s="1" t="s">
        <v>545</v>
      </c>
      <c r="I4546" s="1" t="s">
        <v>217</v>
      </c>
      <c r="K4546" s="1">
        <v>0.0</v>
      </c>
      <c r="L4546" s="1" t="s">
        <v>382</v>
      </c>
      <c r="M4546" s="1" t="str">
        <f>VLOOKUP(L4546,'Copy of PMD Workday Constants -'!B4545:W5231,22,false)</f>
        <v>#N/A</v>
      </c>
      <c r="N4546" s="1" t="s">
        <v>32</v>
      </c>
      <c r="O4546" s="1" t="s">
        <v>33</v>
      </c>
      <c r="P4546" s="1" t="s">
        <v>34</v>
      </c>
      <c r="Q4546" s="1" t="s">
        <v>34</v>
      </c>
      <c r="R4546" s="1" t="s">
        <v>35</v>
      </c>
      <c r="T4546" s="1">
        <v>1.0059112E8</v>
      </c>
      <c r="W4546" s="1" t="s">
        <v>147</v>
      </c>
      <c r="X4546" s="1" t="s">
        <v>5153</v>
      </c>
    </row>
    <row r="4547">
      <c r="A4547" s="1" t="s">
        <v>12838</v>
      </c>
      <c r="B4547" s="1" t="s">
        <v>776</v>
      </c>
      <c r="C4547" s="1" t="s">
        <v>12839</v>
      </c>
      <c r="D4547" s="1" t="s">
        <v>51</v>
      </c>
      <c r="E4547" s="1" t="s">
        <v>29</v>
      </c>
      <c r="F4547" s="5">
        <v>100000.0</v>
      </c>
      <c r="G4547" s="1" t="s">
        <v>7016</v>
      </c>
      <c r="H4547" s="1" t="s">
        <v>2318</v>
      </c>
      <c r="I4547" s="1" t="s">
        <v>526</v>
      </c>
      <c r="K4547" s="1">
        <v>0.0</v>
      </c>
      <c r="L4547" s="1" t="s">
        <v>11632</v>
      </c>
      <c r="M4547" s="1" t="str">
        <f>VLOOKUP(L4547,'Copy of PMD Workday Constants -'!B4546:W5232,22,false)</f>
        <v>#N/A</v>
      </c>
      <c r="N4547" s="1" t="s">
        <v>32</v>
      </c>
      <c r="O4547" s="1" t="s">
        <v>33</v>
      </c>
      <c r="P4547" s="1" t="s">
        <v>222</v>
      </c>
      <c r="Q4547" s="1" t="s">
        <v>222</v>
      </c>
      <c r="R4547" s="1" t="s">
        <v>223</v>
      </c>
      <c r="S4547" s="1" t="s">
        <v>601</v>
      </c>
      <c r="T4547" s="1">
        <v>1.00889596E8</v>
      </c>
      <c r="W4547" s="1" t="s">
        <v>74</v>
      </c>
      <c r="X4547" s="1" t="s">
        <v>11632</v>
      </c>
    </row>
    <row r="4548">
      <c r="A4548" s="1" t="s">
        <v>12840</v>
      </c>
      <c r="B4548" s="1" t="s">
        <v>12841</v>
      </c>
      <c r="C4548" s="1" t="s">
        <v>12842</v>
      </c>
      <c r="D4548" s="1" t="s">
        <v>28</v>
      </c>
      <c r="E4548" s="1" t="s">
        <v>29</v>
      </c>
      <c r="F4548" s="5">
        <v>100000.0</v>
      </c>
      <c r="G4548" s="1" t="s">
        <v>7016</v>
      </c>
      <c r="H4548" s="4">
        <v>44204.0</v>
      </c>
      <c r="I4548" s="1" t="s">
        <v>132</v>
      </c>
      <c r="K4548" s="1">
        <v>0.0</v>
      </c>
      <c r="L4548" s="1" t="s">
        <v>10780</v>
      </c>
      <c r="M4548" s="1" t="str">
        <f>VLOOKUP(L4548,'Copy of PMD Workday Constants -'!B4547:W5233,22,false)</f>
        <v>#N/A</v>
      </c>
      <c r="N4548" s="1" t="s">
        <v>32</v>
      </c>
      <c r="O4548" s="1" t="s">
        <v>33</v>
      </c>
      <c r="P4548" s="1" t="s">
        <v>222</v>
      </c>
      <c r="Q4548" s="1" t="s">
        <v>222</v>
      </c>
      <c r="R4548" s="1" t="s">
        <v>223</v>
      </c>
      <c r="S4548" s="1" t="s">
        <v>482</v>
      </c>
      <c r="T4548" s="1">
        <v>1.00608136E8</v>
      </c>
      <c r="W4548" s="1" t="s">
        <v>74</v>
      </c>
      <c r="X4548" s="1" t="s">
        <v>12843</v>
      </c>
    </row>
    <row r="4549">
      <c r="A4549" s="1" t="s">
        <v>12844</v>
      </c>
      <c r="B4549" s="1" t="s">
        <v>12845</v>
      </c>
      <c r="C4549" s="1" t="s">
        <v>12846</v>
      </c>
      <c r="D4549" s="1" t="s">
        <v>103</v>
      </c>
      <c r="E4549" s="1" t="s">
        <v>29</v>
      </c>
      <c r="F4549" s="5">
        <v>100000.0</v>
      </c>
      <c r="G4549" s="1" t="s">
        <v>7016</v>
      </c>
      <c r="H4549" s="1" t="s">
        <v>131</v>
      </c>
      <c r="I4549" s="1" t="s">
        <v>131</v>
      </c>
      <c r="K4549" s="1">
        <v>0.0</v>
      </c>
      <c r="L4549" s="1" t="s">
        <v>10653</v>
      </c>
      <c r="M4549" s="1" t="str">
        <f>VLOOKUP(L4549,'Copy of PMD Workday Constants -'!B4548:W5234,22,false)</f>
        <v>#N/A</v>
      </c>
      <c r="N4549" s="1" t="s">
        <v>32</v>
      </c>
      <c r="O4549" s="1" t="s">
        <v>33</v>
      </c>
      <c r="P4549" s="1" t="s">
        <v>222</v>
      </c>
      <c r="Q4549" s="1" t="s">
        <v>222</v>
      </c>
      <c r="R4549" s="1" t="s">
        <v>223</v>
      </c>
      <c r="S4549" s="1" t="s">
        <v>482</v>
      </c>
      <c r="T4549" s="1">
        <v>1.01154609E8</v>
      </c>
      <c r="W4549" s="1" t="s">
        <v>1801</v>
      </c>
      <c r="X4549" s="1" t="s">
        <v>12416</v>
      </c>
    </row>
    <row r="4550">
      <c r="A4550" s="1" t="s">
        <v>12847</v>
      </c>
      <c r="B4550" s="1" t="s">
        <v>12848</v>
      </c>
      <c r="C4550" s="1" t="s">
        <v>11079</v>
      </c>
      <c r="D4550" s="1" t="s">
        <v>51</v>
      </c>
      <c r="E4550" s="1" t="s">
        <v>29</v>
      </c>
      <c r="F4550" s="5">
        <v>100000.0</v>
      </c>
      <c r="G4550" s="1" t="s">
        <v>7016</v>
      </c>
      <c r="H4550" s="1" t="s">
        <v>466</v>
      </c>
      <c r="I4550" s="1" t="s">
        <v>152</v>
      </c>
      <c r="K4550" s="1">
        <v>0.0</v>
      </c>
      <c r="L4550" s="1" t="s">
        <v>10207</v>
      </c>
      <c r="M4550" s="1" t="str">
        <f>VLOOKUP(L4550,'Copy of PMD Workday Constants -'!B4549:W5235,22,false)</f>
        <v>#N/A</v>
      </c>
      <c r="N4550" s="1" t="s">
        <v>32</v>
      </c>
      <c r="O4550" s="1" t="s">
        <v>33</v>
      </c>
      <c r="P4550" s="1" t="s">
        <v>222</v>
      </c>
      <c r="Q4550" s="1" t="s">
        <v>222</v>
      </c>
      <c r="R4550" s="1" t="s">
        <v>223</v>
      </c>
      <c r="S4550" s="1" t="s">
        <v>482</v>
      </c>
      <c r="T4550" s="1">
        <v>1.00612201E8</v>
      </c>
      <c r="W4550" s="1" t="s">
        <v>258</v>
      </c>
      <c r="X4550" s="1" t="s">
        <v>12829</v>
      </c>
    </row>
    <row r="4551">
      <c r="A4551" s="1" t="s">
        <v>12849</v>
      </c>
      <c r="B4551" s="1" t="s">
        <v>12850</v>
      </c>
      <c r="C4551" s="1" t="s">
        <v>12851</v>
      </c>
      <c r="D4551" s="1" t="s">
        <v>28</v>
      </c>
      <c r="E4551" s="1" t="s">
        <v>29</v>
      </c>
      <c r="F4551" s="5">
        <v>100000.0</v>
      </c>
      <c r="G4551" s="1" t="s">
        <v>7016</v>
      </c>
      <c r="H4551" s="1" t="s">
        <v>1485</v>
      </c>
      <c r="I4551" s="1" t="s">
        <v>302</v>
      </c>
      <c r="K4551" s="1">
        <v>0.0</v>
      </c>
      <c r="L4551" s="1" t="s">
        <v>2086</v>
      </c>
      <c r="M4551" s="1" t="str">
        <f>VLOOKUP(L4551,'Copy of PMD Workday Constants -'!B4550:W5236,22,false)</f>
        <v>#N/A</v>
      </c>
      <c r="N4551" s="1" t="s">
        <v>32</v>
      </c>
      <c r="O4551" s="1" t="s">
        <v>33</v>
      </c>
      <c r="P4551" s="1" t="s">
        <v>82</v>
      </c>
      <c r="Q4551" s="1" t="s">
        <v>82</v>
      </c>
      <c r="R4551" s="1" t="s">
        <v>83</v>
      </c>
      <c r="S4551" s="1" t="s">
        <v>12852</v>
      </c>
      <c r="T4551" s="1">
        <v>1.0061233E8</v>
      </c>
      <c r="W4551" s="1" t="s">
        <v>85</v>
      </c>
      <c r="X4551" s="1" t="s">
        <v>2086</v>
      </c>
    </row>
    <row r="4552">
      <c r="A4552" s="1" t="s">
        <v>12853</v>
      </c>
      <c r="B4552" s="1" t="s">
        <v>1247</v>
      </c>
      <c r="C4552" s="1" t="s">
        <v>12854</v>
      </c>
      <c r="D4552" s="1" t="s">
        <v>28</v>
      </c>
      <c r="E4552" s="1" t="s">
        <v>29</v>
      </c>
      <c r="F4552" s="5">
        <v>100000.0</v>
      </c>
      <c r="G4552" s="1" t="s">
        <v>7016</v>
      </c>
      <c r="H4552" s="4">
        <v>44450.0</v>
      </c>
      <c r="I4552" s="1" t="s">
        <v>80</v>
      </c>
      <c r="K4552" s="1">
        <v>0.0</v>
      </c>
      <c r="L4552" s="1" t="s">
        <v>2417</v>
      </c>
      <c r="M4552" s="1" t="str">
        <f>VLOOKUP(L4552,'Copy of PMD Workday Constants -'!B4551:W5237,22,false)</f>
        <v>#N/A</v>
      </c>
      <c r="N4552" s="1" t="s">
        <v>32</v>
      </c>
      <c r="O4552" s="1" t="s">
        <v>33</v>
      </c>
      <c r="P4552" s="1" t="s">
        <v>34</v>
      </c>
      <c r="Q4552" s="1" t="s">
        <v>34</v>
      </c>
      <c r="R4552" s="1" t="s">
        <v>35</v>
      </c>
      <c r="S4552" s="1" t="s">
        <v>383</v>
      </c>
      <c r="T4552" s="1">
        <v>1.00642238E8</v>
      </c>
      <c r="W4552" s="1" t="s">
        <v>140</v>
      </c>
      <c r="X4552" s="1" t="s">
        <v>1999</v>
      </c>
    </row>
    <row r="4553">
      <c r="A4553" s="1" t="s">
        <v>12855</v>
      </c>
      <c r="B4553" s="1" t="s">
        <v>12856</v>
      </c>
      <c r="C4553" s="1" t="s">
        <v>12857</v>
      </c>
      <c r="D4553" s="1" t="s">
        <v>28</v>
      </c>
      <c r="E4553" s="1" t="s">
        <v>29</v>
      </c>
      <c r="F4553" s="5">
        <v>100000.0</v>
      </c>
      <c r="G4553" s="1" t="s">
        <v>7016</v>
      </c>
      <c r="H4553" s="1" t="s">
        <v>1469</v>
      </c>
      <c r="I4553" s="1" t="s">
        <v>152</v>
      </c>
      <c r="K4553" s="1">
        <v>0.0</v>
      </c>
      <c r="L4553" s="1" t="s">
        <v>1884</v>
      </c>
      <c r="M4553" s="1" t="str">
        <f>VLOOKUP(L4553,'Copy of PMD Workday Constants -'!B4552:W5238,22,false)</f>
        <v>#N/A</v>
      </c>
      <c r="N4553" s="1" t="s">
        <v>32</v>
      </c>
      <c r="O4553" s="1" t="s">
        <v>33</v>
      </c>
      <c r="P4553" s="1" t="s">
        <v>112</v>
      </c>
      <c r="Q4553" s="1" t="s">
        <v>112</v>
      </c>
      <c r="R4553" s="1" t="s">
        <v>113</v>
      </c>
      <c r="T4553" s="1">
        <v>1.00631642E8</v>
      </c>
      <c r="X4553" s="1" t="s">
        <v>359</v>
      </c>
    </row>
    <row r="4554">
      <c r="A4554" s="1" t="s">
        <v>12858</v>
      </c>
      <c r="B4554" s="1" t="s">
        <v>507</v>
      </c>
      <c r="C4554" s="1" t="s">
        <v>12859</v>
      </c>
      <c r="D4554" s="1" t="s">
        <v>28</v>
      </c>
      <c r="E4554" s="1" t="s">
        <v>29</v>
      </c>
      <c r="F4554" s="5">
        <v>100000.0</v>
      </c>
      <c r="G4554" s="1" t="s">
        <v>7016</v>
      </c>
      <c r="H4554" s="1" t="s">
        <v>12860</v>
      </c>
      <c r="I4554" s="1" t="s">
        <v>152</v>
      </c>
      <c r="K4554" s="1">
        <v>0.0</v>
      </c>
      <c r="L4554" s="1" t="s">
        <v>1282</v>
      </c>
      <c r="M4554" s="1" t="str">
        <f>VLOOKUP(L4554,'Copy of PMD Workday Constants -'!B4553:W5239,22,false)</f>
        <v>#N/A</v>
      </c>
      <c r="N4554" s="1" t="s">
        <v>32</v>
      </c>
      <c r="O4554" s="1" t="s">
        <v>33</v>
      </c>
      <c r="P4554" s="1" t="s">
        <v>34</v>
      </c>
      <c r="Q4554" s="1" t="s">
        <v>34</v>
      </c>
      <c r="R4554" s="1" t="s">
        <v>35</v>
      </c>
      <c r="S4554" s="1" t="s">
        <v>1166</v>
      </c>
      <c r="T4554" s="1">
        <v>1.006096E8</v>
      </c>
      <c r="W4554" s="1" t="s">
        <v>456</v>
      </c>
      <c r="X4554" s="1" t="s">
        <v>1282</v>
      </c>
    </row>
    <row r="4555">
      <c r="A4555" s="1" t="s">
        <v>12861</v>
      </c>
      <c r="B4555" s="1" t="s">
        <v>12862</v>
      </c>
      <c r="C4555" s="1" t="s">
        <v>12863</v>
      </c>
      <c r="D4555" s="1" t="s">
        <v>51</v>
      </c>
      <c r="E4555" s="1" t="s">
        <v>29</v>
      </c>
      <c r="F4555" s="5">
        <v>100000.0</v>
      </c>
      <c r="G4555" s="1" t="s">
        <v>7016</v>
      </c>
      <c r="H4555" s="1" t="s">
        <v>1708</v>
      </c>
      <c r="I4555" s="1" t="s">
        <v>810</v>
      </c>
      <c r="K4555" s="1">
        <v>0.0</v>
      </c>
      <c r="L4555" s="1" t="s">
        <v>3656</v>
      </c>
      <c r="M4555" s="1" t="str">
        <f>VLOOKUP(L4555,'Copy of PMD Workday Constants -'!B4554:W5240,22,false)</f>
        <v>#N/A</v>
      </c>
      <c r="N4555" s="1" t="s">
        <v>32</v>
      </c>
      <c r="O4555" s="1" t="s">
        <v>33</v>
      </c>
      <c r="P4555" s="1" t="s">
        <v>210</v>
      </c>
      <c r="Q4555" s="1" t="s">
        <v>210</v>
      </c>
      <c r="R4555" s="1" t="s">
        <v>211</v>
      </c>
      <c r="S4555" s="1" t="s">
        <v>416</v>
      </c>
      <c r="T4555" s="1">
        <v>1.00658814E8</v>
      </c>
      <c r="W4555" s="1" t="s">
        <v>56</v>
      </c>
      <c r="X4555" s="1" t="s">
        <v>3656</v>
      </c>
    </row>
    <row r="4556">
      <c r="A4556" s="1" t="s">
        <v>12864</v>
      </c>
      <c r="B4556" s="1" t="s">
        <v>7446</v>
      </c>
      <c r="C4556" s="1" t="s">
        <v>12865</v>
      </c>
      <c r="D4556" s="1" t="s">
        <v>28</v>
      </c>
      <c r="E4556" s="1" t="s">
        <v>29</v>
      </c>
      <c r="F4556" s="5">
        <v>100000.0</v>
      </c>
      <c r="G4556" s="1" t="s">
        <v>7016</v>
      </c>
      <c r="H4556" s="1" t="s">
        <v>5581</v>
      </c>
      <c r="I4556" s="1" t="s">
        <v>152</v>
      </c>
      <c r="K4556" s="1">
        <v>0.0</v>
      </c>
      <c r="L4556" s="1" t="s">
        <v>1344</v>
      </c>
      <c r="M4556" s="1" t="str">
        <f>VLOOKUP(L4556,'Copy of PMD Workday Constants -'!B4555:W5241,22,false)</f>
        <v>#N/A</v>
      </c>
      <c r="N4556" s="1" t="s">
        <v>32</v>
      </c>
      <c r="O4556" s="1" t="s">
        <v>33</v>
      </c>
      <c r="P4556" s="1" t="s">
        <v>112</v>
      </c>
      <c r="Q4556" s="1" t="s">
        <v>112</v>
      </c>
      <c r="R4556" s="1" t="s">
        <v>113</v>
      </c>
      <c r="S4556" s="1" t="s">
        <v>134</v>
      </c>
      <c r="T4556" s="1">
        <v>1.0061941E8</v>
      </c>
      <c r="W4556" s="1" t="s">
        <v>74</v>
      </c>
      <c r="X4556" s="1" t="s">
        <v>7448</v>
      </c>
    </row>
    <row r="4557">
      <c r="A4557" s="1" t="s">
        <v>12866</v>
      </c>
      <c r="B4557" s="1" t="s">
        <v>756</v>
      </c>
      <c r="C4557" s="1" t="s">
        <v>12867</v>
      </c>
      <c r="D4557" s="1" t="s">
        <v>28</v>
      </c>
      <c r="E4557" s="1" t="s">
        <v>29</v>
      </c>
      <c r="F4557" s="5">
        <v>100000.0</v>
      </c>
      <c r="G4557" s="1" t="s">
        <v>7016</v>
      </c>
      <c r="H4557" s="4">
        <v>44173.0</v>
      </c>
      <c r="I4557" s="1" t="s">
        <v>104</v>
      </c>
      <c r="K4557" s="1">
        <v>0.0</v>
      </c>
      <c r="L4557" s="1" t="s">
        <v>1380</v>
      </c>
      <c r="M4557" s="1" t="str">
        <f>VLOOKUP(L4557,'Copy of PMD Workday Constants -'!B4556:W5242,22,false)</f>
        <v>#N/A</v>
      </c>
      <c r="N4557" s="1" t="s">
        <v>32</v>
      </c>
      <c r="O4557" s="1" t="s">
        <v>33</v>
      </c>
      <c r="P4557" s="1" t="s">
        <v>34</v>
      </c>
      <c r="Q4557" s="1" t="s">
        <v>34</v>
      </c>
      <c r="R4557" s="1" t="s">
        <v>35</v>
      </c>
      <c r="S4557" s="1" t="s">
        <v>126</v>
      </c>
      <c r="T4557" s="1">
        <v>1.00587434E8</v>
      </c>
      <c r="W4557" s="1" t="s">
        <v>74</v>
      </c>
      <c r="X4557" s="1" t="s">
        <v>9185</v>
      </c>
    </row>
    <row r="4558">
      <c r="A4558" s="1" t="s">
        <v>12868</v>
      </c>
      <c r="B4558" s="1" t="s">
        <v>12869</v>
      </c>
      <c r="C4558" s="1" t="s">
        <v>12870</v>
      </c>
      <c r="D4558" s="1" t="s">
        <v>103</v>
      </c>
      <c r="E4558" s="1" t="s">
        <v>29</v>
      </c>
      <c r="F4558" s="5">
        <v>100000.0</v>
      </c>
      <c r="G4558" s="1" t="s">
        <v>7016</v>
      </c>
      <c r="H4558" s="1" t="s">
        <v>131</v>
      </c>
      <c r="I4558" s="1" t="s">
        <v>80</v>
      </c>
      <c r="K4558" s="1">
        <v>0.0</v>
      </c>
      <c r="L4558" s="1" t="s">
        <v>10780</v>
      </c>
      <c r="M4558" s="1" t="str">
        <f>VLOOKUP(L4558,'Copy of PMD Workday Constants -'!B4557:W5243,22,false)</f>
        <v>#N/A</v>
      </c>
      <c r="N4558" s="1" t="s">
        <v>32</v>
      </c>
      <c r="O4558" s="1" t="s">
        <v>33</v>
      </c>
      <c r="P4558" s="1" t="s">
        <v>222</v>
      </c>
      <c r="Q4558" s="1" t="s">
        <v>222</v>
      </c>
      <c r="R4558" s="1" t="s">
        <v>223</v>
      </c>
      <c r="S4558" s="1" t="s">
        <v>482</v>
      </c>
      <c r="T4558" s="1">
        <v>1.00608136E8</v>
      </c>
      <c r="W4558" s="1" t="s">
        <v>287</v>
      </c>
      <c r="X4558" s="1" t="s">
        <v>10781</v>
      </c>
    </row>
    <row r="4559">
      <c r="A4559" s="1" t="s">
        <v>12871</v>
      </c>
      <c r="B4559" s="1" t="s">
        <v>5374</v>
      </c>
      <c r="C4559" s="1" t="s">
        <v>7950</v>
      </c>
      <c r="D4559" s="1" t="s">
        <v>28</v>
      </c>
      <c r="E4559" s="1" t="s">
        <v>29</v>
      </c>
      <c r="F4559" s="5">
        <v>100000.0</v>
      </c>
      <c r="G4559" s="1" t="s">
        <v>7016</v>
      </c>
      <c r="H4559" s="4">
        <v>44538.0</v>
      </c>
      <c r="I4559" s="1" t="s">
        <v>302</v>
      </c>
      <c r="K4559" s="1">
        <v>0.0</v>
      </c>
      <c r="L4559" s="1" t="s">
        <v>893</v>
      </c>
      <c r="M4559" s="1" t="str">
        <f>VLOOKUP(L4559,'Copy of PMD Workday Constants -'!B4558:W5244,22,false)</f>
        <v>#N/A</v>
      </c>
      <c r="N4559" s="1" t="s">
        <v>32</v>
      </c>
      <c r="O4559" s="1" t="s">
        <v>33</v>
      </c>
      <c r="P4559" s="1" t="s">
        <v>82</v>
      </c>
      <c r="Q4559" s="1" t="s">
        <v>82</v>
      </c>
      <c r="R4559" s="1" t="s">
        <v>83</v>
      </c>
      <c r="S4559" s="1" t="s">
        <v>180</v>
      </c>
      <c r="T4559" s="1">
        <v>1.0112897E8</v>
      </c>
      <c r="W4559" s="1" t="s">
        <v>85</v>
      </c>
      <c r="X4559" s="1" t="s">
        <v>4124</v>
      </c>
    </row>
    <row r="4560">
      <c r="A4560" s="1" t="s">
        <v>12872</v>
      </c>
      <c r="B4560" s="1" t="s">
        <v>886</v>
      </c>
      <c r="C4560" s="1" t="s">
        <v>12873</v>
      </c>
      <c r="D4560" s="1" t="s">
        <v>51</v>
      </c>
      <c r="E4560" s="1" t="s">
        <v>29</v>
      </c>
      <c r="F4560" s="5">
        <v>100000.0</v>
      </c>
      <c r="G4560" s="1" t="s">
        <v>7016</v>
      </c>
      <c r="H4560" s="1" t="s">
        <v>110</v>
      </c>
      <c r="I4560" s="1" t="s">
        <v>302</v>
      </c>
      <c r="K4560" s="1">
        <v>0.0</v>
      </c>
      <c r="L4560" s="1" t="s">
        <v>2325</v>
      </c>
      <c r="M4560" s="1" t="str">
        <f>VLOOKUP(L4560,'Copy of PMD Workday Constants -'!B4559:W5245,22,false)</f>
        <v>#N/A</v>
      </c>
      <c r="N4560" s="1" t="s">
        <v>32</v>
      </c>
      <c r="O4560" s="1" t="s">
        <v>33</v>
      </c>
      <c r="P4560" s="1" t="s">
        <v>82</v>
      </c>
      <c r="Q4560" s="1" t="s">
        <v>82</v>
      </c>
      <c r="R4560" s="1" t="s">
        <v>83</v>
      </c>
      <c r="S4560" s="1" t="s">
        <v>180</v>
      </c>
      <c r="T4560" s="1">
        <v>1.00628181E8</v>
      </c>
      <c r="W4560" s="1" t="s">
        <v>85</v>
      </c>
      <c r="X4560" s="1" t="s">
        <v>2325</v>
      </c>
    </row>
    <row r="4561">
      <c r="A4561" s="1" t="s">
        <v>12874</v>
      </c>
      <c r="B4561" s="1" t="s">
        <v>7446</v>
      </c>
      <c r="C4561" s="1" t="s">
        <v>12875</v>
      </c>
      <c r="D4561" s="1" t="s">
        <v>28</v>
      </c>
      <c r="E4561" s="1" t="s">
        <v>29</v>
      </c>
      <c r="F4561" s="5">
        <v>100000.0</v>
      </c>
      <c r="G4561" s="1" t="s">
        <v>7016</v>
      </c>
      <c r="H4561" s="1" t="s">
        <v>5581</v>
      </c>
      <c r="I4561" s="1" t="s">
        <v>661</v>
      </c>
      <c r="K4561" s="1">
        <v>0.0</v>
      </c>
      <c r="L4561" s="1" t="s">
        <v>1344</v>
      </c>
      <c r="M4561" s="1" t="str">
        <f>VLOOKUP(L4561,'Copy of PMD Workday Constants -'!B4560:W5246,22,false)</f>
        <v>#N/A</v>
      </c>
      <c r="N4561" s="1" t="s">
        <v>32</v>
      </c>
      <c r="O4561" s="1" t="s">
        <v>33</v>
      </c>
      <c r="P4561" s="1" t="s">
        <v>112</v>
      </c>
      <c r="Q4561" s="1" t="s">
        <v>112</v>
      </c>
      <c r="R4561" s="1" t="s">
        <v>113</v>
      </c>
      <c r="S4561" s="1" t="s">
        <v>134</v>
      </c>
      <c r="T4561" s="1">
        <v>1.0061941E8</v>
      </c>
      <c r="W4561" s="1" t="s">
        <v>74</v>
      </c>
      <c r="X4561" s="1" t="s">
        <v>7448</v>
      </c>
    </row>
    <row r="4562">
      <c r="A4562" s="1" t="s">
        <v>12876</v>
      </c>
      <c r="B4562" s="1" t="s">
        <v>10504</v>
      </c>
      <c r="C4562" s="1" t="s">
        <v>12877</v>
      </c>
      <c r="D4562" s="1" t="s">
        <v>28</v>
      </c>
      <c r="E4562" s="1" t="s">
        <v>29</v>
      </c>
      <c r="F4562" s="5">
        <v>100000.0</v>
      </c>
      <c r="G4562" s="1" t="s">
        <v>7016</v>
      </c>
      <c r="H4562" s="1" t="s">
        <v>12878</v>
      </c>
      <c r="I4562" s="1" t="s">
        <v>593</v>
      </c>
      <c r="K4562" s="1">
        <v>0.0</v>
      </c>
      <c r="L4562" s="1" t="s">
        <v>2163</v>
      </c>
      <c r="M4562" s="1" t="str">
        <f>VLOOKUP(L4562,'Copy of PMD Workday Constants -'!B4561:W5247,22,false)</f>
        <v>#N/A</v>
      </c>
      <c r="N4562" s="1" t="s">
        <v>32</v>
      </c>
      <c r="O4562" s="1" t="s">
        <v>33</v>
      </c>
      <c r="P4562" s="1" t="s">
        <v>210</v>
      </c>
      <c r="Q4562" s="1" t="s">
        <v>210</v>
      </c>
      <c r="R4562" s="1" t="s">
        <v>211</v>
      </c>
      <c r="S4562" s="1" t="s">
        <v>12573</v>
      </c>
      <c r="T4562" s="1">
        <v>1.00608366E8</v>
      </c>
      <c r="W4562" s="1" t="s">
        <v>258</v>
      </c>
      <c r="X4562" s="1" t="s">
        <v>12879</v>
      </c>
    </row>
    <row r="4563">
      <c r="A4563" s="1" t="s">
        <v>12880</v>
      </c>
      <c r="B4563" s="1" t="s">
        <v>3203</v>
      </c>
      <c r="C4563" s="1" t="s">
        <v>12881</v>
      </c>
      <c r="D4563" s="1" t="s">
        <v>51</v>
      </c>
      <c r="E4563" s="1" t="s">
        <v>29</v>
      </c>
      <c r="F4563" s="5">
        <v>100000.0</v>
      </c>
      <c r="G4563" s="1" t="s">
        <v>7016</v>
      </c>
      <c r="H4563" s="1" t="s">
        <v>12882</v>
      </c>
      <c r="I4563" s="1" t="s">
        <v>152</v>
      </c>
      <c r="K4563" s="1">
        <v>0.0</v>
      </c>
      <c r="L4563" s="1" t="s">
        <v>12883</v>
      </c>
      <c r="M4563" s="1" t="str">
        <f>VLOOKUP(L4563,'Copy of PMD Workday Constants -'!B4562:W5248,22,false)</f>
        <v>#N/A</v>
      </c>
      <c r="N4563" s="1" t="s">
        <v>32</v>
      </c>
      <c r="O4563" s="1" t="s">
        <v>33</v>
      </c>
      <c r="P4563" s="1" t="s">
        <v>173</v>
      </c>
      <c r="Q4563" s="1" t="s">
        <v>173</v>
      </c>
      <c r="R4563" s="1" t="s">
        <v>174</v>
      </c>
      <c r="S4563" s="1" t="s">
        <v>12884</v>
      </c>
      <c r="T4563" s="1">
        <v>1.00640093E8</v>
      </c>
      <c r="W4563" s="1" t="s">
        <v>37</v>
      </c>
      <c r="X4563" s="1" t="s">
        <v>1791</v>
      </c>
    </row>
    <row r="4564">
      <c r="A4564" s="1" t="s">
        <v>12885</v>
      </c>
      <c r="B4564" s="1" t="s">
        <v>12886</v>
      </c>
      <c r="C4564" s="1" t="s">
        <v>12887</v>
      </c>
      <c r="D4564" s="1" t="s">
        <v>103</v>
      </c>
      <c r="E4564" s="1" t="s">
        <v>29</v>
      </c>
      <c r="F4564" s="5">
        <v>100000.0</v>
      </c>
      <c r="G4564" s="1" t="s">
        <v>7016</v>
      </c>
      <c r="H4564" s="1" t="s">
        <v>131</v>
      </c>
      <c r="I4564" s="1" t="s">
        <v>80</v>
      </c>
      <c r="K4564" s="1">
        <v>0.0</v>
      </c>
      <c r="L4564" s="1" t="s">
        <v>10780</v>
      </c>
      <c r="M4564" s="1" t="str">
        <f>VLOOKUP(L4564,'Copy of PMD Workday Constants -'!B4563:W5249,22,false)</f>
        <v>#N/A</v>
      </c>
      <c r="N4564" s="1" t="s">
        <v>32</v>
      </c>
      <c r="O4564" s="1" t="s">
        <v>33</v>
      </c>
      <c r="P4564" s="1" t="s">
        <v>222</v>
      </c>
      <c r="Q4564" s="1" t="s">
        <v>222</v>
      </c>
      <c r="R4564" s="1" t="s">
        <v>223</v>
      </c>
      <c r="S4564" s="1" t="s">
        <v>482</v>
      </c>
      <c r="T4564" s="1">
        <v>1.00608136E8</v>
      </c>
      <c r="W4564" s="1" t="s">
        <v>85</v>
      </c>
      <c r="X4564" s="1" t="s">
        <v>10781</v>
      </c>
    </row>
    <row r="4565">
      <c r="A4565" s="1" t="s">
        <v>12888</v>
      </c>
      <c r="B4565" s="1" t="s">
        <v>1339</v>
      </c>
      <c r="C4565" s="1" t="s">
        <v>12889</v>
      </c>
      <c r="D4565" s="1" t="s">
        <v>28</v>
      </c>
      <c r="E4565" s="1" t="s">
        <v>29</v>
      </c>
      <c r="F4565" s="5">
        <v>100000.0</v>
      </c>
      <c r="G4565" s="1" t="s">
        <v>7016</v>
      </c>
      <c r="H4565" s="4">
        <v>44897.0</v>
      </c>
      <c r="I4565" s="4">
        <v>44568.0</v>
      </c>
      <c r="K4565" s="1">
        <v>0.0</v>
      </c>
      <c r="L4565" s="1" t="s">
        <v>4794</v>
      </c>
      <c r="M4565" s="1" t="str">
        <f>VLOOKUP(L4565,'Copy of PMD Workday Constants -'!B4564:W5250,22,false)</f>
        <v>#N/A</v>
      </c>
      <c r="N4565" s="1" t="s">
        <v>32</v>
      </c>
      <c r="O4565" s="1" t="s">
        <v>33</v>
      </c>
      <c r="P4565" s="1" t="s">
        <v>173</v>
      </c>
      <c r="Q4565" s="1" t="s">
        <v>173</v>
      </c>
      <c r="R4565" s="1" t="s">
        <v>174</v>
      </c>
      <c r="S4565" s="1" t="s">
        <v>612</v>
      </c>
      <c r="T4565" s="1">
        <v>1.00875111E8</v>
      </c>
      <c r="W4565" s="1" t="s">
        <v>56</v>
      </c>
      <c r="X4565" s="1" t="s">
        <v>7818</v>
      </c>
    </row>
    <row r="4566">
      <c r="A4566" s="1" t="s">
        <v>12890</v>
      </c>
      <c r="B4566" s="1" t="s">
        <v>2372</v>
      </c>
      <c r="C4566" s="1" t="s">
        <v>12889</v>
      </c>
      <c r="D4566" s="1" t="s">
        <v>28</v>
      </c>
      <c r="E4566" s="1" t="s">
        <v>29</v>
      </c>
      <c r="F4566" s="5">
        <v>100000.0</v>
      </c>
      <c r="G4566" s="1" t="s">
        <v>7016</v>
      </c>
      <c r="H4566" s="4">
        <v>44897.0</v>
      </c>
      <c r="I4566" s="4">
        <v>44568.0</v>
      </c>
      <c r="K4566" s="1">
        <v>0.0</v>
      </c>
      <c r="L4566" s="1" t="s">
        <v>4794</v>
      </c>
      <c r="M4566" s="1" t="str">
        <f>VLOOKUP(L4566,'Copy of PMD Workday Constants -'!B4565:W5251,22,false)</f>
        <v>#N/A</v>
      </c>
      <c r="N4566" s="1" t="s">
        <v>32</v>
      </c>
      <c r="O4566" s="1" t="s">
        <v>33</v>
      </c>
      <c r="P4566" s="1" t="s">
        <v>173</v>
      </c>
      <c r="Q4566" s="1" t="s">
        <v>173</v>
      </c>
      <c r="R4566" s="1" t="s">
        <v>174</v>
      </c>
      <c r="S4566" s="1" t="s">
        <v>612</v>
      </c>
      <c r="T4566" s="1">
        <v>1.00875111E8</v>
      </c>
      <c r="W4566" s="1" t="s">
        <v>56</v>
      </c>
      <c r="X4566" s="1" t="s">
        <v>7818</v>
      </c>
    </row>
    <row r="4567">
      <c r="A4567" s="1" t="s">
        <v>12891</v>
      </c>
      <c r="B4567" s="1" t="s">
        <v>1737</v>
      </c>
      <c r="C4567" s="1" t="s">
        <v>12889</v>
      </c>
      <c r="D4567" s="1" t="s">
        <v>28</v>
      </c>
      <c r="E4567" s="1" t="s">
        <v>29</v>
      </c>
      <c r="F4567" s="5">
        <v>100000.0</v>
      </c>
      <c r="G4567" s="1" t="s">
        <v>7016</v>
      </c>
      <c r="H4567" s="4">
        <v>44897.0</v>
      </c>
      <c r="I4567" s="4">
        <v>44568.0</v>
      </c>
      <c r="K4567" s="1">
        <v>0.0</v>
      </c>
      <c r="L4567" s="1" t="s">
        <v>4794</v>
      </c>
      <c r="M4567" s="1" t="str">
        <f>VLOOKUP(L4567,'Copy of PMD Workday Constants -'!B4566:W5252,22,false)</f>
        <v>#N/A</v>
      </c>
      <c r="N4567" s="1" t="s">
        <v>32</v>
      </c>
      <c r="O4567" s="1" t="s">
        <v>33</v>
      </c>
      <c r="P4567" s="1" t="s">
        <v>173</v>
      </c>
      <c r="Q4567" s="1" t="s">
        <v>173</v>
      </c>
      <c r="R4567" s="1" t="s">
        <v>174</v>
      </c>
      <c r="S4567" s="1" t="s">
        <v>612</v>
      </c>
      <c r="T4567" s="1">
        <v>1.00875111E8</v>
      </c>
      <c r="W4567" s="1" t="s">
        <v>56</v>
      </c>
      <c r="X4567" s="1" t="s">
        <v>7818</v>
      </c>
    </row>
    <row r="4568">
      <c r="A4568" s="1" t="s">
        <v>12892</v>
      </c>
      <c r="B4568" s="1" t="s">
        <v>918</v>
      </c>
      <c r="C4568" s="1" t="s">
        <v>12889</v>
      </c>
      <c r="D4568" s="1" t="s">
        <v>28</v>
      </c>
      <c r="E4568" s="1" t="s">
        <v>29</v>
      </c>
      <c r="F4568" s="5">
        <v>100000.0</v>
      </c>
      <c r="G4568" s="1" t="s">
        <v>7016</v>
      </c>
      <c r="H4568" s="4">
        <v>44897.0</v>
      </c>
      <c r="I4568" s="4">
        <v>44568.0</v>
      </c>
      <c r="K4568" s="1">
        <v>0.0</v>
      </c>
      <c r="L4568" s="1" t="s">
        <v>4794</v>
      </c>
      <c r="M4568" s="1" t="str">
        <f>VLOOKUP(L4568,'Copy of PMD Workday Constants -'!B4567:W5253,22,false)</f>
        <v>#N/A</v>
      </c>
      <c r="N4568" s="1" t="s">
        <v>32</v>
      </c>
      <c r="O4568" s="1" t="s">
        <v>33</v>
      </c>
      <c r="P4568" s="1" t="s">
        <v>173</v>
      </c>
      <c r="Q4568" s="1" t="s">
        <v>173</v>
      </c>
      <c r="R4568" s="1" t="s">
        <v>174</v>
      </c>
      <c r="S4568" s="1" t="s">
        <v>612</v>
      </c>
      <c r="T4568" s="1">
        <v>1.00875111E8</v>
      </c>
      <c r="W4568" s="1" t="s">
        <v>56</v>
      </c>
      <c r="X4568" s="1" t="s">
        <v>7818</v>
      </c>
    </row>
    <row r="4569">
      <c r="A4569" s="1" t="s">
        <v>12893</v>
      </c>
      <c r="B4569" s="1" t="s">
        <v>5884</v>
      </c>
      <c r="C4569" s="1" t="s">
        <v>12889</v>
      </c>
      <c r="D4569" s="1" t="s">
        <v>28</v>
      </c>
      <c r="E4569" s="1" t="s">
        <v>29</v>
      </c>
      <c r="F4569" s="5">
        <v>100000.0</v>
      </c>
      <c r="G4569" s="1" t="s">
        <v>7016</v>
      </c>
      <c r="H4569" s="4">
        <v>44897.0</v>
      </c>
      <c r="I4569" s="4">
        <v>44568.0</v>
      </c>
      <c r="K4569" s="1">
        <v>0.0</v>
      </c>
      <c r="L4569" s="1" t="s">
        <v>4794</v>
      </c>
      <c r="M4569" s="1" t="str">
        <f>VLOOKUP(L4569,'Copy of PMD Workday Constants -'!B4568:W5254,22,false)</f>
        <v>#N/A</v>
      </c>
      <c r="N4569" s="1" t="s">
        <v>32</v>
      </c>
      <c r="O4569" s="1" t="s">
        <v>33</v>
      </c>
      <c r="P4569" s="1" t="s">
        <v>173</v>
      </c>
      <c r="Q4569" s="1" t="s">
        <v>173</v>
      </c>
      <c r="R4569" s="1" t="s">
        <v>174</v>
      </c>
      <c r="S4569" s="1" t="s">
        <v>612</v>
      </c>
      <c r="T4569" s="1">
        <v>1.00875111E8</v>
      </c>
      <c r="W4569" s="1" t="s">
        <v>258</v>
      </c>
      <c r="X4569" s="1" t="s">
        <v>7818</v>
      </c>
    </row>
    <row r="4570">
      <c r="A4570" s="1" t="s">
        <v>12894</v>
      </c>
      <c r="B4570" s="1" t="s">
        <v>4727</v>
      </c>
      <c r="C4570" s="1" t="s">
        <v>12889</v>
      </c>
      <c r="D4570" s="1" t="s">
        <v>28</v>
      </c>
      <c r="E4570" s="1" t="s">
        <v>29</v>
      </c>
      <c r="F4570" s="5">
        <v>100000.0</v>
      </c>
      <c r="G4570" s="1" t="s">
        <v>7016</v>
      </c>
      <c r="H4570" s="4">
        <v>44897.0</v>
      </c>
      <c r="I4570" s="4">
        <v>44568.0</v>
      </c>
      <c r="K4570" s="1">
        <v>0.0</v>
      </c>
      <c r="L4570" s="1" t="s">
        <v>4794</v>
      </c>
      <c r="M4570" s="1" t="str">
        <f>VLOOKUP(L4570,'Copy of PMD Workday Constants -'!B4569:W5255,22,false)</f>
        <v>#N/A</v>
      </c>
      <c r="N4570" s="1" t="s">
        <v>32</v>
      </c>
      <c r="O4570" s="1" t="s">
        <v>33</v>
      </c>
      <c r="P4570" s="1" t="s">
        <v>173</v>
      </c>
      <c r="Q4570" s="1" t="s">
        <v>173</v>
      </c>
      <c r="R4570" s="1" t="s">
        <v>174</v>
      </c>
      <c r="S4570" s="1" t="s">
        <v>612</v>
      </c>
      <c r="T4570" s="1">
        <v>1.00875111E8</v>
      </c>
      <c r="W4570" s="1" t="s">
        <v>56</v>
      </c>
      <c r="X4570" s="1" t="s">
        <v>7818</v>
      </c>
    </row>
    <row r="4571">
      <c r="A4571" s="1" t="s">
        <v>12895</v>
      </c>
      <c r="B4571" s="1" t="s">
        <v>4174</v>
      </c>
      <c r="C4571" s="1" t="s">
        <v>12889</v>
      </c>
      <c r="D4571" s="1" t="s">
        <v>28</v>
      </c>
      <c r="E4571" s="1" t="s">
        <v>29</v>
      </c>
      <c r="F4571" s="5">
        <v>100000.0</v>
      </c>
      <c r="G4571" s="1" t="s">
        <v>7016</v>
      </c>
      <c r="H4571" s="4">
        <v>44897.0</v>
      </c>
      <c r="I4571" s="4">
        <v>44568.0</v>
      </c>
      <c r="K4571" s="1">
        <v>0.0</v>
      </c>
      <c r="L4571" s="1" t="s">
        <v>4794</v>
      </c>
      <c r="M4571" s="1" t="str">
        <f>VLOOKUP(L4571,'Copy of PMD Workday Constants -'!B4570:W5256,22,false)</f>
        <v>#N/A</v>
      </c>
      <c r="N4571" s="1" t="s">
        <v>32</v>
      </c>
      <c r="O4571" s="1" t="s">
        <v>33</v>
      </c>
      <c r="P4571" s="1" t="s">
        <v>173</v>
      </c>
      <c r="Q4571" s="1" t="s">
        <v>173</v>
      </c>
      <c r="R4571" s="1" t="s">
        <v>174</v>
      </c>
      <c r="S4571" s="1" t="s">
        <v>612</v>
      </c>
      <c r="T4571" s="1">
        <v>1.00875111E8</v>
      </c>
      <c r="W4571" s="1" t="s">
        <v>56</v>
      </c>
      <c r="X4571" s="1" t="s">
        <v>7818</v>
      </c>
    </row>
    <row r="4572">
      <c r="A4572" s="1" t="s">
        <v>12896</v>
      </c>
      <c r="B4572" s="1" t="s">
        <v>12897</v>
      </c>
      <c r="C4572" s="1" t="s">
        <v>12889</v>
      </c>
      <c r="D4572" s="1" t="s">
        <v>28</v>
      </c>
      <c r="E4572" s="1" t="s">
        <v>29</v>
      </c>
      <c r="F4572" s="5">
        <v>100000.0</v>
      </c>
      <c r="G4572" s="1" t="s">
        <v>7016</v>
      </c>
      <c r="H4572" s="4">
        <v>44897.0</v>
      </c>
      <c r="I4572" s="4">
        <v>44568.0</v>
      </c>
      <c r="K4572" s="1">
        <v>0.0</v>
      </c>
      <c r="L4572" s="1" t="s">
        <v>4794</v>
      </c>
      <c r="M4572" s="1" t="str">
        <f>VLOOKUP(L4572,'Copy of PMD Workday Constants -'!B4571:W5257,22,false)</f>
        <v>#N/A</v>
      </c>
      <c r="N4572" s="1" t="s">
        <v>32</v>
      </c>
      <c r="O4572" s="1" t="s">
        <v>33</v>
      </c>
      <c r="P4572" s="1" t="s">
        <v>173</v>
      </c>
      <c r="Q4572" s="1" t="s">
        <v>173</v>
      </c>
      <c r="R4572" s="1" t="s">
        <v>174</v>
      </c>
      <c r="S4572" s="1" t="s">
        <v>612</v>
      </c>
      <c r="T4572" s="1">
        <v>1.00875111E8</v>
      </c>
      <c r="W4572" s="1" t="s">
        <v>56</v>
      </c>
      <c r="X4572" s="1" t="s">
        <v>7818</v>
      </c>
    </row>
    <row r="4573">
      <c r="A4573" s="1" t="s">
        <v>12898</v>
      </c>
      <c r="B4573" s="1" t="s">
        <v>12899</v>
      </c>
      <c r="C4573" s="1" t="s">
        <v>12889</v>
      </c>
      <c r="D4573" s="1" t="s">
        <v>28</v>
      </c>
      <c r="E4573" s="1" t="s">
        <v>29</v>
      </c>
      <c r="F4573" s="5">
        <v>100000.0</v>
      </c>
      <c r="G4573" s="1" t="s">
        <v>7016</v>
      </c>
      <c r="H4573" s="4">
        <v>44897.0</v>
      </c>
      <c r="I4573" s="4">
        <v>44568.0</v>
      </c>
      <c r="K4573" s="1">
        <v>0.0</v>
      </c>
      <c r="L4573" s="1" t="s">
        <v>4794</v>
      </c>
      <c r="M4573" s="1" t="str">
        <f>VLOOKUP(L4573,'Copy of PMD Workday Constants -'!B4572:W5258,22,false)</f>
        <v>#N/A</v>
      </c>
      <c r="N4573" s="1" t="s">
        <v>32</v>
      </c>
      <c r="O4573" s="1" t="s">
        <v>33</v>
      </c>
      <c r="P4573" s="1" t="s">
        <v>173</v>
      </c>
      <c r="Q4573" s="1" t="s">
        <v>173</v>
      </c>
      <c r="R4573" s="1" t="s">
        <v>174</v>
      </c>
      <c r="S4573" s="1" t="s">
        <v>612</v>
      </c>
      <c r="T4573" s="1">
        <v>1.00875111E8</v>
      </c>
      <c r="W4573" s="1" t="s">
        <v>56</v>
      </c>
      <c r="X4573" s="1" t="s">
        <v>7818</v>
      </c>
    </row>
    <row r="4574">
      <c r="A4574" s="1" t="s">
        <v>12900</v>
      </c>
      <c r="B4574" s="1" t="s">
        <v>9492</v>
      </c>
      <c r="C4574" s="1" t="s">
        <v>12889</v>
      </c>
      <c r="D4574" s="1" t="s">
        <v>28</v>
      </c>
      <c r="E4574" s="1" t="s">
        <v>29</v>
      </c>
      <c r="F4574" s="5">
        <v>100000.0</v>
      </c>
      <c r="G4574" s="1" t="s">
        <v>7016</v>
      </c>
      <c r="H4574" s="4">
        <v>44897.0</v>
      </c>
      <c r="I4574" s="4">
        <v>44568.0</v>
      </c>
      <c r="K4574" s="1">
        <v>0.0</v>
      </c>
      <c r="L4574" s="1" t="s">
        <v>4794</v>
      </c>
      <c r="M4574" s="1" t="str">
        <f>VLOOKUP(L4574,'Copy of PMD Workday Constants -'!B4573:W5259,22,false)</f>
        <v>#N/A</v>
      </c>
      <c r="N4574" s="1" t="s">
        <v>32</v>
      </c>
      <c r="O4574" s="1" t="s">
        <v>33</v>
      </c>
      <c r="P4574" s="1" t="s">
        <v>173</v>
      </c>
      <c r="Q4574" s="1" t="s">
        <v>173</v>
      </c>
      <c r="R4574" s="1" t="s">
        <v>174</v>
      </c>
      <c r="S4574" s="1" t="s">
        <v>612</v>
      </c>
      <c r="T4574" s="1">
        <v>1.00875111E8</v>
      </c>
      <c r="W4574" s="1" t="s">
        <v>258</v>
      </c>
      <c r="X4574" s="1" t="s">
        <v>7818</v>
      </c>
    </row>
    <row r="4575">
      <c r="A4575" s="1" t="s">
        <v>12901</v>
      </c>
      <c r="B4575" s="1" t="s">
        <v>7492</v>
      </c>
      <c r="C4575" s="1" t="s">
        <v>12889</v>
      </c>
      <c r="D4575" s="1" t="s">
        <v>28</v>
      </c>
      <c r="E4575" s="1" t="s">
        <v>29</v>
      </c>
      <c r="F4575" s="5">
        <v>100000.0</v>
      </c>
      <c r="G4575" s="1" t="s">
        <v>7016</v>
      </c>
      <c r="H4575" s="4">
        <v>44897.0</v>
      </c>
      <c r="I4575" s="4">
        <v>44568.0</v>
      </c>
      <c r="K4575" s="1">
        <v>0.0</v>
      </c>
      <c r="L4575" s="1" t="s">
        <v>4794</v>
      </c>
      <c r="M4575" s="1" t="str">
        <f>VLOOKUP(L4575,'Copy of PMD Workday Constants -'!B4574:W5260,22,false)</f>
        <v>#N/A</v>
      </c>
      <c r="N4575" s="1" t="s">
        <v>32</v>
      </c>
      <c r="O4575" s="1" t="s">
        <v>33</v>
      </c>
      <c r="P4575" s="1" t="s">
        <v>173</v>
      </c>
      <c r="Q4575" s="1" t="s">
        <v>173</v>
      </c>
      <c r="R4575" s="1" t="s">
        <v>174</v>
      </c>
      <c r="S4575" s="1" t="s">
        <v>612</v>
      </c>
      <c r="T4575" s="1">
        <v>1.00875111E8</v>
      </c>
      <c r="W4575" s="1" t="s">
        <v>56</v>
      </c>
      <c r="X4575" s="1" t="s">
        <v>7818</v>
      </c>
    </row>
    <row r="4576">
      <c r="A4576" s="1" t="s">
        <v>12902</v>
      </c>
      <c r="B4576" s="1" t="s">
        <v>4825</v>
      </c>
      <c r="C4576" s="1" t="s">
        <v>12889</v>
      </c>
      <c r="D4576" s="1" t="s">
        <v>28</v>
      </c>
      <c r="E4576" s="1" t="s">
        <v>29</v>
      </c>
      <c r="F4576" s="5">
        <v>100000.0</v>
      </c>
      <c r="G4576" s="1" t="s">
        <v>7016</v>
      </c>
      <c r="H4576" s="4">
        <v>44897.0</v>
      </c>
      <c r="I4576" s="4">
        <v>44568.0</v>
      </c>
      <c r="K4576" s="1">
        <v>0.0</v>
      </c>
      <c r="L4576" s="1" t="s">
        <v>4794</v>
      </c>
      <c r="M4576" s="1" t="str">
        <f>VLOOKUP(L4576,'Copy of PMD Workday Constants -'!B4575:W5261,22,false)</f>
        <v>#N/A</v>
      </c>
      <c r="N4576" s="1" t="s">
        <v>32</v>
      </c>
      <c r="O4576" s="1" t="s">
        <v>33</v>
      </c>
      <c r="P4576" s="1" t="s">
        <v>173</v>
      </c>
      <c r="Q4576" s="1" t="s">
        <v>173</v>
      </c>
      <c r="R4576" s="1" t="s">
        <v>174</v>
      </c>
      <c r="S4576" s="1" t="s">
        <v>612</v>
      </c>
      <c r="T4576" s="1">
        <v>1.00875111E8</v>
      </c>
      <c r="W4576" s="1" t="s">
        <v>56</v>
      </c>
      <c r="X4576" s="1" t="s">
        <v>7818</v>
      </c>
    </row>
    <row r="4577">
      <c r="A4577" s="1" t="s">
        <v>12903</v>
      </c>
      <c r="B4577" s="1" t="s">
        <v>411</v>
      </c>
      <c r="C4577" s="1" t="s">
        <v>12889</v>
      </c>
      <c r="D4577" s="1" t="s">
        <v>28</v>
      </c>
      <c r="E4577" s="1" t="s">
        <v>29</v>
      </c>
      <c r="F4577" s="5">
        <v>100000.0</v>
      </c>
      <c r="G4577" s="1" t="s">
        <v>7016</v>
      </c>
      <c r="H4577" s="4">
        <v>44897.0</v>
      </c>
      <c r="I4577" s="4">
        <v>44568.0</v>
      </c>
      <c r="K4577" s="1">
        <v>0.0</v>
      </c>
      <c r="L4577" s="1" t="s">
        <v>4794</v>
      </c>
      <c r="M4577" s="1" t="str">
        <f>VLOOKUP(L4577,'Copy of PMD Workday Constants -'!B4576:W5262,22,false)</f>
        <v>#N/A</v>
      </c>
      <c r="N4577" s="1" t="s">
        <v>32</v>
      </c>
      <c r="O4577" s="1" t="s">
        <v>33</v>
      </c>
      <c r="P4577" s="1" t="s">
        <v>173</v>
      </c>
      <c r="Q4577" s="1" t="s">
        <v>173</v>
      </c>
      <c r="R4577" s="1" t="s">
        <v>174</v>
      </c>
      <c r="S4577" s="1" t="s">
        <v>612</v>
      </c>
      <c r="T4577" s="1">
        <v>1.00875111E8</v>
      </c>
      <c r="W4577" s="1" t="s">
        <v>56</v>
      </c>
      <c r="X4577" s="1" t="s">
        <v>7818</v>
      </c>
    </row>
    <row r="4578">
      <c r="A4578" s="1" t="s">
        <v>12904</v>
      </c>
      <c r="B4578" s="1" t="s">
        <v>6446</v>
      </c>
      <c r="C4578" s="1" t="s">
        <v>12889</v>
      </c>
      <c r="D4578" s="1" t="s">
        <v>28</v>
      </c>
      <c r="E4578" s="1" t="s">
        <v>29</v>
      </c>
      <c r="F4578" s="5">
        <v>100000.0</v>
      </c>
      <c r="G4578" s="1" t="s">
        <v>7016</v>
      </c>
      <c r="H4578" s="4">
        <v>44897.0</v>
      </c>
      <c r="I4578" s="4">
        <v>44568.0</v>
      </c>
      <c r="K4578" s="1">
        <v>0.0</v>
      </c>
      <c r="L4578" s="1" t="s">
        <v>4794</v>
      </c>
      <c r="M4578" s="1" t="str">
        <f>VLOOKUP(L4578,'Copy of PMD Workday Constants -'!B4577:W5263,22,false)</f>
        <v>#N/A</v>
      </c>
      <c r="N4578" s="1" t="s">
        <v>32</v>
      </c>
      <c r="O4578" s="1" t="s">
        <v>33</v>
      </c>
      <c r="P4578" s="1" t="s">
        <v>173</v>
      </c>
      <c r="Q4578" s="1" t="s">
        <v>173</v>
      </c>
      <c r="R4578" s="1" t="s">
        <v>174</v>
      </c>
      <c r="S4578" s="1" t="s">
        <v>612</v>
      </c>
      <c r="T4578" s="1">
        <v>1.00875111E8</v>
      </c>
      <c r="W4578" s="1" t="s">
        <v>258</v>
      </c>
      <c r="X4578" s="1" t="s">
        <v>7818</v>
      </c>
    </row>
    <row r="4579">
      <c r="A4579" s="1" t="s">
        <v>12905</v>
      </c>
      <c r="B4579" s="1" t="s">
        <v>3650</v>
      </c>
      <c r="C4579" s="1" t="s">
        <v>12889</v>
      </c>
      <c r="D4579" s="1" t="s">
        <v>28</v>
      </c>
      <c r="E4579" s="1" t="s">
        <v>29</v>
      </c>
      <c r="F4579" s="5">
        <v>100000.0</v>
      </c>
      <c r="G4579" s="1" t="s">
        <v>7016</v>
      </c>
      <c r="H4579" s="4">
        <v>44897.0</v>
      </c>
      <c r="I4579" s="4">
        <v>44568.0</v>
      </c>
      <c r="K4579" s="1">
        <v>0.0</v>
      </c>
      <c r="L4579" s="1" t="s">
        <v>4794</v>
      </c>
      <c r="M4579" s="1" t="str">
        <f>VLOOKUP(L4579,'Copy of PMD Workday Constants -'!B4578:W5264,22,false)</f>
        <v>#N/A</v>
      </c>
      <c r="N4579" s="1" t="s">
        <v>32</v>
      </c>
      <c r="O4579" s="1" t="s">
        <v>33</v>
      </c>
      <c r="P4579" s="1" t="s">
        <v>173</v>
      </c>
      <c r="Q4579" s="1" t="s">
        <v>173</v>
      </c>
      <c r="R4579" s="1" t="s">
        <v>174</v>
      </c>
      <c r="S4579" s="1" t="s">
        <v>612</v>
      </c>
      <c r="T4579" s="1">
        <v>1.00875111E8</v>
      </c>
      <c r="W4579" s="1" t="s">
        <v>56</v>
      </c>
      <c r="X4579" s="1" t="s">
        <v>7818</v>
      </c>
    </row>
    <row r="4580">
      <c r="A4580" s="1" t="s">
        <v>12906</v>
      </c>
      <c r="B4580" s="1" t="s">
        <v>2882</v>
      </c>
      <c r="C4580" s="1" t="s">
        <v>12889</v>
      </c>
      <c r="D4580" s="1" t="s">
        <v>28</v>
      </c>
      <c r="E4580" s="1" t="s">
        <v>29</v>
      </c>
      <c r="F4580" s="5">
        <v>100000.0</v>
      </c>
      <c r="G4580" s="1" t="s">
        <v>7016</v>
      </c>
      <c r="H4580" s="4">
        <v>44897.0</v>
      </c>
      <c r="I4580" s="4">
        <v>44568.0</v>
      </c>
      <c r="K4580" s="1">
        <v>0.0</v>
      </c>
      <c r="L4580" s="1" t="s">
        <v>4794</v>
      </c>
      <c r="M4580" s="1" t="str">
        <f>VLOOKUP(L4580,'Copy of PMD Workday Constants -'!B4579:W5265,22,false)</f>
        <v>#N/A</v>
      </c>
      <c r="N4580" s="1" t="s">
        <v>32</v>
      </c>
      <c r="O4580" s="1" t="s">
        <v>33</v>
      </c>
      <c r="P4580" s="1" t="s">
        <v>173</v>
      </c>
      <c r="Q4580" s="1" t="s">
        <v>173</v>
      </c>
      <c r="R4580" s="1" t="s">
        <v>174</v>
      </c>
      <c r="S4580" s="1" t="s">
        <v>612</v>
      </c>
      <c r="T4580" s="1">
        <v>1.00875111E8</v>
      </c>
      <c r="W4580" s="1" t="s">
        <v>56</v>
      </c>
      <c r="X4580" s="1" t="s">
        <v>7818</v>
      </c>
    </row>
    <row r="4581">
      <c r="A4581" s="1" t="s">
        <v>12907</v>
      </c>
      <c r="B4581" s="1" t="s">
        <v>49</v>
      </c>
      <c r="C4581" s="1" t="s">
        <v>12889</v>
      </c>
      <c r="D4581" s="1" t="s">
        <v>28</v>
      </c>
      <c r="E4581" s="1" t="s">
        <v>29</v>
      </c>
      <c r="F4581" s="5">
        <v>100000.0</v>
      </c>
      <c r="G4581" s="1" t="s">
        <v>7016</v>
      </c>
      <c r="H4581" s="4">
        <v>44897.0</v>
      </c>
      <c r="I4581" s="4">
        <v>44568.0</v>
      </c>
      <c r="K4581" s="1">
        <v>0.0</v>
      </c>
      <c r="L4581" s="1" t="s">
        <v>4794</v>
      </c>
      <c r="M4581" s="1" t="str">
        <f>VLOOKUP(L4581,'Copy of PMD Workday Constants -'!B4580:W5266,22,false)</f>
        <v>#N/A</v>
      </c>
      <c r="N4581" s="1" t="s">
        <v>32</v>
      </c>
      <c r="O4581" s="1" t="s">
        <v>33</v>
      </c>
      <c r="P4581" s="1" t="s">
        <v>173</v>
      </c>
      <c r="Q4581" s="1" t="s">
        <v>173</v>
      </c>
      <c r="R4581" s="1" t="s">
        <v>174</v>
      </c>
      <c r="S4581" s="1" t="s">
        <v>612</v>
      </c>
      <c r="T4581" s="1">
        <v>1.00875111E8</v>
      </c>
      <c r="W4581" s="1" t="s">
        <v>56</v>
      </c>
      <c r="X4581" s="1" t="s">
        <v>7818</v>
      </c>
    </row>
    <row r="4582">
      <c r="A4582" s="1" t="s">
        <v>12908</v>
      </c>
      <c r="B4582" s="1" t="s">
        <v>3140</v>
      </c>
      <c r="C4582" s="1" t="s">
        <v>12889</v>
      </c>
      <c r="D4582" s="1" t="s">
        <v>28</v>
      </c>
      <c r="E4582" s="1" t="s">
        <v>29</v>
      </c>
      <c r="F4582" s="5">
        <v>100000.0</v>
      </c>
      <c r="G4582" s="1" t="s">
        <v>7016</v>
      </c>
      <c r="H4582" s="4">
        <v>44897.0</v>
      </c>
      <c r="I4582" s="4">
        <v>44568.0</v>
      </c>
      <c r="K4582" s="1">
        <v>0.0</v>
      </c>
      <c r="L4582" s="1" t="s">
        <v>4794</v>
      </c>
      <c r="M4582" s="1" t="str">
        <f>VLOOKUP(L4582,'Copy of PMD Workday Constants -'!B4581:W5267,22,false)</f>
        <v>#N/A</v>
      </c>
      <c r="N4582" s="1" t="s">
        <v>32</v>
      </c>
      <c r="O4582" s="1" t="s">
        <v>33</v>
      </c>
      <c r="P4582" s="1" t="s">
        <v>173</v>
      </c>
      <c r="Q4582" s="1" t="s">
        <v>173</v>
      </c>
      <c r="R4582" s="1" t="s">
        <v>174</v>
      </c>
      <c r="S4582" s="1" t="s">
        <v>612</v>
      </c>
      <c r="T4582" s="1">
        <v>1.00875111E8</v>
      </c>
      <c r="W4582" s="1" t="s">
        <v>56</v>
      </c>
      <c r="X4582" s="1" t="s">
        <v>7818</v>
      </c>
    </row>
    <row r="4583">
      <c r="A4583" s="1" t="s">
        <v>12909</v>
      </c>
      <c r="B4583" s="1" t="s">
        <v>913</v>
      </c>
      <c r="C4583" s="1" t="s">
        <v>12910</v>
      </c>
      <c r="D4583" s="1" t="s">
        <v>28</v>
      </c>
      <c r="E4583" s="1" t="s">
        <v>29</v>
      </c>
      <c r="F4583" s="5">
        <v>100000.0</v>
      </c>
      <c r="G4583" s="1" t="s">
        <v>7016</v>
      </c>
      <c r="H4583" s="1" t="s">
        <v>870</v>
      </c>
      <c r="I4583" s="1" t="s">
        <v>3052</v>
      </c>
      <c r="K4583" s="1">
        <v>0.0</v>
      </c>
      <c r="L4583" s="1" t="s">
        <v>5178</v>
      </c>
      <c r="M4583" s="1" t="str">
        <f>VLOOKUP(L4583,'Copy of PMD Workday Constants -'!B4582:W5268,22,false)</f>
        <v>#N/A</v>
      </c>
      <c r="N4583" s="1" t="s">
        <v>32</v>
      </c>
      <c r="O4583" s="1" t="s">
        <v>33</v>
      </c>
      <c r="P4583" s="1" t="s">
        <v>82</v>
      </c>
      <c r="Q4583" s="1" t="s">
        <v>82</v>
      </c>
      <c r="R4583" s="1" t="s">
        <v>83</v>
      </c>
      <c r="T4583" s="1">
        <v>1.006563E8</v>
      </c>
      <c r="W4583" s="1" t="s">
        <v>85</v>
      </c>
      <c r="X4583" s="1" t="s">
        <v>916</v>
      </c>
    </row>
    <row r="4584">
      <c r="A4584" s="1" t="s">
        <v>12911</v>
      </c>
      <c r="B4584" s="1" t="s">
        <v>12912</v>
      </c>
      <c r="C4584" s="1" t="s">
        <v>12889</v>
      </c>
      <c r="D4584" s="1" t="s">
        <v>28</v>
      </c>
      <c r="E4584" s="1" t="s">
        <v>29</v>
      </c>
      <c r="F4584" s="5">
        <v>100000.0</v>
      </c>
      <c r="G4584" s="1" t="s">
        <v>7016</v>
      </c>
      <c r="H4584" s="4">
        <v>44897.0</v>
      </c>
      <c r="I4584" s="4">
        <v>44568.0</v>
      </c>
      <c r="K4584" s="1">
        <v>0.0</v>
      </c>
      <c r="L4584" s="1" t="s">
        <v>4794</v>
      </c>
      <c r="M4584" s="1" t="str">
        <f>VLOOKUP(L4584,'Copy of PMD Workday Constants -'!B4583:W5269,22,false)</f>
        <v>#N/A</v>
      </c>
      <c r="N4584" s="1" t="s">
        <v>32</v>
      </c>
      <c r="O4584" s="1" t="s">
        <v>33</v>
      </c>
      <c r="P4584" s="1" t="s">
        <v>173</v>
      </c>
      <c r="Q4584" s="1" t="s">
        <v>173</v>
      </c>
      <c r="R4584" s="1" t="s">
        <v>174</v>
      </c>
      <c r="S4584" s="1" t="s">
        <v>612</v>
      </c>
      <c r="T4584" s="1">
        <v>1.00875111E8</v>
      </c>
      <c r="W4584" s="1" t="s">
        <v>258</v>
      </c>
      <c r="X4584" s="1" t="s">
        <v>7818</v>
      </c>
    </row>
    <row r="4585">
      <c r="A4585" s="1" t="s">
        <v>12913</v>
      </c>
      <c r="B4585" s="1" t="s">
        <v>10504</v>
      </c>
      <c r="C4585" s="1" t="s">
        <v>12889</v>
      </c>
      <c r="D4585" s="1" t="s">
        <v>28</v>
      </c>
      <c r="E4585" s="1" t="s">
        <v>29</v>
      </c>
      <c r="F4585" s="5">
        <v>100000.0</v>
      </c>
      <c r="G4585" s="1" t="s">
        <v>7016</v>
      </c>
      <c r="H4585" s="4">
        <v>44897.0</v>
      </c>
      <c r="I4585" s="4">
        <v>44568.0</v>
      </c>
      <c r="K4585" s="1">
        <v>0.0</v>
      </c>
      <c r="L4585" s="1" t="s">
        <v>4794</v>
      </c>
      <c r="M4585" s="1" t="str">
        <f>VLOOKUP(L4585,'Copy of PMD Workday Constants -'!B4584:W5270,22,false)</f>
        <v>#N/A</v>
      </c>
      <c r="N4585" s="1" t="s">
        <v>32</v>
      </c>
      <c r="O4585" s="1" t="s">
        <v>33</v>
      </c>
      <c r="P4585" s="1" t="s">
        <v>173</v>
      </c>
      <c r="Q4585" s="1" t="s">
        <v>173</v>
      </c>
      <c r="R4585" s="1" t="s">
        <v>174</v>
      </c>
      <c r="S4585" s="1" t="s">
        <v>612</v>
      </c>
      <c r="T4585" s="1">
        <v>1.00875111E8</v>
      </c>
      <c r="W4585" s="1" t="s">
        <v>258</v>
      </c>
      <c r="X4585" s="1" t="s">
        <v>7818</v>
      </c>
    </row>
    <row r="4586">
      <c r="A4586" s="1" t="s">
        <v>12914</v>
      </c>
      <c r="B4586" s="1" t="s">
        <v>368</v>
      </c>
      <c r="C4586" s="1" t="s">
        <v>12889</v>
      </c>
      <c r="D4586" s="1" t="s">
        <v>28</v>
      </c>
      <c r="E4586" s="1" t="s">
        <v>29</v>
      </c>
      <c r="F4586" s="5">
        <v>100000.0</v>
      </c>
      <c r="G4586" s="1" t="s">
        <v>7016</v>
      </c>
      <c r="H4586" s="4">
        <v>44897.0</v>
      </c>
      <c r="I4586" s="4">
        <v>44568.0</v>
      </c>
      <c r="K4586" s="1">
        <v>0.0</v>
      </c>
      <c r="L4586" s="1" t="s">
        <v>4794</v>
      </c>
      <c r="M4586" s="1" t="str">
        <f>VLOOKUP(L4586,'Copy of PMD Workday Constants -'!B4585:W5271,22,false)</f>
        <v>#N/A</v>
      </c>
      <c r="N4586" s="1" t="s">
        <v>32</v>
      </c>
      <c r="O4586" s="1" t="s">
        <v>33</v>
      </c>
      <c r="P4586" s="1" t="s">
        <v>173</v>
      </c>
      <c r="Q4586" s="1" t="s">
        <v>173</v>
      </c>
      <c r="R4586" s="1" t="s">
        <v>174</v>
      </c>
      <c r="S4586" s="1" t="s">
        <v>612</v>
      </c>
      <c r="T4586" s="1">
        <v>1.00875111E8</v>
      </c>
      <c r="W4586" s="1" t="s">
        <v>258</v>
      </c>
      <c r="X4586" s="1" t="s">
        <v>7818</v>
      </c>
    </row>
    <row r="4587">
      <c r="A4587" s="1" t="s">
        <v>12915</v>
      </c>
      <c r="B4587" s="1" t="s">
        <v>12916</v>
      </c>
      <c r="C4587" s="1" t="s">
        <v>12917</v>
      </c>
      <c r="D4587" s="1" t="s">
        <v>28</v>
      </c>
      <c r="E4587" s="1" t="s">
        <v>29</v>
      </c>
      <c r="F4587" s="5">
        <v>100000.0</v>
      </c>
      <c r="G4587" s="1" t="s">
        <v>7016</v>
      </c>
      <c r="H4587" s="1" t="s">
        <v>12918</v>
      </c>
      <c r="I4587" s="4">
        <v>44601.0</v>
      </c>
      <c r="K4587" s="1">
        <v>0.0</v>
      </c>
      <c r="L4587" s="1" t="s">
        <v>3559</v>
      </c>
      <c r="M4587" s="1" t="str">
        <f>VLOOKUP(L4587,'Copy of PMD Workday Constants -'!B4586:W5272,22,false)</f>
        <v>#N/A</v>
      </c>
      <c r="N4587" s="1" t="s">
        <v>32</v>
      </c>
      <c r="O4587" s="1" t="s">
        <v>33</v>
      </c>
      <c r="P4587" s="1" t="s">
        <v>34</v>
      </c>
      <c r="Q4587" s="1" t="s">
        <v>34</v>
      </c>
      <c r="R4587" s="1" t="s">
        <v>35</v>
      </c>
      <c r="S4587" s="1" t="s">
        <v>383</v>
      </c>
      <c r="T4587" s="1">
        <v>1.00586786E8</v>
      </c>
      <c r="W4587" s="1" t="s">
        <v>1303</v>
      </c>
      <c r="X4587" s="1" t="s">
        <v>382</v>
      </c>
    </row>
    <row r="4588">
      <c r="A4588" s="1" t="s">
        <v>12919</v>
      </c>
      <c r="B4588" s="1" t="s">
        <v>12920</v>
      </c>
      <c r="C4588" s="1" t="s">
        <v>12889</v>
      </c>
      <c r="D4588" s="1" t="s">
        <v>28</v>
      </c>
      <c r="E4588" s="1" t="s">
        <v>29</v>
      </c>
      <c r="F4588" s="5">
        <v>100000.0</v>
      </c>
      <c r="G4588" s="1" t="s">
        <v>7016</v>
      </c>
      <c r="H4588" s="4">
        <v>44897.0</v>
      </c>
      <c r="I4588" s="4">
        <v>44568.0</v>
      </c>
      <c r="K4588" s="1">
        <v>0.0</v>
      </c>
      <c r="L4588" s="1" t="s">
        <v>4794</v>
      </c>
      <c r="M4588" s="1" t="str">
        <f>VLOOKUP(L4588,'Copy of PMD Workday Constants -'!B4587:W5273,22,false)</f>
        <v>#N/A</v>
      </c>
      <c r="N4588" s="1" t="s">
        <v>32</v>
      </c>
      <c r="O4588" s="1" t="s">
        <v>33</v>
      </c>
      <c r="P4588" s="1" t="s">
        <v>173</v>
      </c>
      <c r="Q4588" s="1" t="s">
        <v>173</v>
      </c>
      <c r="R4588" s="1" t="s">
        <v>174</v>
      </c>
      <c r="S4588" s="1" t="s">
        <v>612</v>
      </c>
      <c r="T4588" s="1">
        <v>1.00875111E8</v>
      </c>
      <c r="W4588" s="1" t="s">
        <v>258</v>
      </c>
      <c r="X4588" s="1" t="s">
        <v>7818</v>
      </c>
    </row>
    <row r="4589">
      <c r="A4589" s="1" t="s">
        <v>12921</v>
      </c>
      <c r="B4589" s="1" t="s">
        <v>913</v>
      </c>
      <c r="C4589" s="1" t="s">
        <v>12922</v>
      </c>
      <c r="D4589" s="1" t="s">
        <v>28</v>
      </c>
      <c r="E4589" s="1" t="s">
        <v>29</v>
      </c>
      <c r="F4589" s="5">
        <v>100000.0</v>
      </c>
      <c r="G4589" s="1" t="s">
        <v>7016</v>
      </c>
      <c r="H4589" s="1" t="s">
        <v>870</v>
      </c>
      <c r="I4589" s="1" t="s">
        <v>3052</v>
      </c>
      <c r="K4589" s="1">
        <v>0.0</v>
      </c>
      <c r="L4589" s="1" t="s">
        <v>915</v>
      </c>
      <c r="M4589" s="1" t="str">
        <f>VLOOKUP(L4589,'Copy of PMD Workday Constants -'!B4588:W5274,22,false)</f>
        <v>#N/A</v>
      </c>
      <c r="N4589" s="1" t="s">
        <v>32</v>
      </c>
      <c r="O4589" s="1" t="s">
        <v>33</v>
      </c>
      <c r="P4589" s="1" t="s">
        <v>112</v>
      </c>
      <c r="Q4589" s="1" t="s">
        <v>112</v>
      </c>
      <c r="R4589" s="1" t="s">
        <v>113</v>
      </c>
      <c r="S4589" s="1" t="s">
        <v>84</v>
      </c>
      <c r="T4589" s="1">
        <v>1.00592304E8</v>
      </c>
      <c r="W4589" s="1" t="s">
        <v>85</v>
      </c>
      <c r="X4589" s="1" t="s">
        <v>916</v>
      </c>
    </row>
    <row r="4590">
      <c r="A4590" s="1" t="s">
        <v>12923</v>
      </c>
      <c r="B4590" s="1" t="s">
        <v>913</v>
      </c>
      <c r="C4590" s="1" t="s">
        <v>12924</v>
      </c>
      <c r="D4590" s="1" t="s">
        <v>28</v>
      </c>
      <c r="E4590" s="1" t="s">
        <v>29</v>
      </c>
      <c r="F4590" s="5">
        <v>100000.0</v>
      </c>
      <c r="G4590" s="1" t="s">
        <v>7016</v>
      </c>
      <c r="H4590" s="1" t="s">
        <v>870</v>
      </c>
      <c r="I4590" s="1" t="s">
        <v>3052</v>
      </c>
      <c r="K4590" s="1">
        <v>0.0</v>
      </c>
      <c r="L4590" s="1" t="s">
        <v>915</v>
      </c>
      <c r="M4590" s="1" t="str">
        <f>VLOOKUP(L4590,'Copy of PMD Workday Constants -'!B4589:W5275,22,false)</f>
        <v>#N/A</v>
      </c>
      <c r="N4590" s="1" t="s">
        <v>32</v>
      </c>
      <c r="O4590" s="1" t="s">
        <v>33</v>
      </c>
      <c r="P4590" s="1" t="s">
        <v>112</v>
      </c>
      <c r="Q4590" s="1" t="s">
        <v>112</v>
      </c>
      <c r="R4590" s="1" t="s">
        <v>113</v>
      </c>
      <c r="S4590" s="1" t="s">
        <v>455</v>
      </c>
      <c r="T4590" s="1">
        <v>1.00592304E8</v>
      </c>
      <c r="W4590" s="1" t="s">
        <v>85</v>
      </c>
      <c r="X4590" s="1" t="s">
        <v>916</v>
      </c>
    </row>
    <row r="4591">
      <c r="A4591" s="1" t="s">
        <v>12925</v>
      </c>
      <c r="B4591" s="1" t="s">
        <v>913</v>
      </c>
      <c r="C4591" s="1" t="s">
        <v>12926</v>
      </c>
      <c r="D4591" s="1" t="s">
        <v>28</v>
      </c>
      <c r="E4591" s="1" t="s">
        <v>29</v>
      </c>
      <c r="F4591" s="5">
        <v>100000.0</v>
      </c>
      <c r="G4591" s="1" t="s">
        <v>7016</v>
      </c>
      <c r="H4591" s="1" t="s">
        <v>870</v>
      </c>
      <c r="I4591" s="1" t="s">
        <v>3052</v>
      </c>
      <c r="K4591" s="1">
        <v>0.0</v>
      </c>
      <c r="L4591" s="1" t="s">
        <v>915</v>
      </c>
      <c r="M4591" s="1" t="str">
        <f>VLOOKUP(L4591,'Copy of PMD Workday Constants -'!B4590:W5276,22,false)</f>
        <v>#N/A</v>
      </c>
      <c r="N4591" s="1" t="s">
        <v>32</v>
      </c>
      <c r="O4591" s="1" t="s">
        <v>33</v>
      </c>
      <c r="P4591" s="1" t="s">
        <v>112</v>
      </c>
      <c r="Q4591" s="1" t="s">
        <v>112</v>
      </c>
      <c r="R4591" s="1" t="s">
        <v>113</v>
      </c>
      <c r="S4591" s="1" t="s">
        <v>455</v>
      </c>
      <c r="T4591" s="1">
        <v>1.00592304E8</v>
      </c>
      <c r="W4591" s="1" t="s">
        <v>85</v>
      </c>
      <c r="X4591" s="1" t="s">
        <v>916</v>
      </c>
    </row>
    <row r="4592">
      <c r="A4592" s="1" t="s">
        <v>12927</v>
      </c>
      <c r="B4592" s="1" t="s">
        <v>913</v>
      </c>
      <c r="C4592" s="1" t="s">
        <v>12928</v>
      </c>
      <c r="D4592" s="1" t="s">
        <v>28</v>
      </c>
      <c r="E4592" s="1" t="s">
        <v>29</v>
      </c>
      <c r="F4592" s="5">
        <v>100000.0</v>
      </c>
      <c r="G4592" s="1" t="s">
        <v>7016</v>
      </c>
      <c r="H4592" s="1" t="s">
        <v>870</v>
      </c>
      <c r="I4592" s="1" t="s">
        <v>3052</v>
      </c>
      <c r="K4592" s="1">
        <v>0.0</v>
      </c>
      <c r="L4592" s="1" t="s">
        <v>915</v>
      </c>
      <c r="M4592" s="1" t="str">
        <f>VLOOKUP(L4592,'Copy of PMD Workday Constants -'!B4591:W5277,22,false)</f>
        <v>#N/A</v>
      </c>
      <c r="N4592" s="1" t="s">
        <v>32</v>
      </c>
      <c r="O4592" s="1" t="s">
        <v>33</v>
      </c>
      <c r="P4592" s="1" t="s">
        <v>112</v>
      </c>
      <c r="Q4592" s="1" t="s">
        <v>112</v>
      </c>
      <c r="R4592" s="1" t="s">
        <v>113</v>
      </c>
      <c r="S4592" s="1" t="s">
        <v>84</v>
      </c>
      <c r="T4592" s="1">
        <v>1.00592304E8</v>
      </c>
      <c r="W4592" s="1" t="s">
        <v>85</v>
      </c>
      <c r="X4592" s="1" t="s">
        <v>916</v>
      </c>
    </row>
    <row r="4593">
      <c r="A4593" s="1" t="s">
        <v>12929</v>
      </c>
      <c r="B4593" s="1" t="s">
        <v>12930</v>
      </c>
      <c r="C4593" s="1" t="s">
        <v>12931</v>
      </c>
      <c r="D4593" s="1" t="s">
        <v>51</v>
      </c>
      <c r="E4593" s="1" t="s">
        <v>29</v>
      </c>
      <c r="F4593" s="5">
        <v>100000.0</v>
      </c>
      <c r="G4593" s="1" t="s">
        <v>7016</v>
      </c>
      <c r="H4593" s="1" t="s">
        <v>2691</v>
      </c>
      <c r="I4593" s="1" t="s">
        <v>80</v>
      </c>
      <c r="K4593" s="1">
        <v>0.0</v>
      </c>
      <c r="L4593" s="1" t="s">
        <v>7664</v>
      </c>
      <c r="M4593" s="1" t="str">
        <f>VLOOKUP(L4593,'Copy of PMD Workday Constants -'!B4592:W5278,22,false)</f>
        <v>#N/A</v>
      </c>
      <c r="N4593" s="1" t="s">
        <v>32</v>
      </c>
      <c r="O4593" s="1" t="s">
        <v>33</v>
      </c>
      <c r="P4593" s="1" t="s">
        <v>222</v>
      </c>
      <c r="Q4593" s="1" t="s">
        <v>222</v>
      </c>
      <c r="R4593" s="1" t="s">
        <v>223</v>
      </c>
      <c r="S4593" s="1" t="s">
        <v>601</v>
      </c>
      <c r="T4593" s="1">
        <v>1.00882877E8</v>
      </c>
      <c r="W4593" s="1" t="s">
        <v>115</v>
      </c>
      <c r="X4593" s="1" t="s">
        <v>7664</v>
      </c>
    </row>
    <row r="4594">
      <c r="A4594" s="1" t="s">
        <v>12932</v>
      </c>
      <c r="B4594" s="1" t="s">
        <v>12933</v>
      </c>
      <c r="C4594" s="1" t="s">
        <v>12934</v>
      </c>
      <c r="D4594" s="1" t="s">
        <v>28</v>
      </c>
      <c r="E4594" s="1" t="s">
        <v>29</v>
      </c>
      <c r="F4594" s="5">
        <v>100000.0</v>
      </c>
      <c r="G4594" s="1" t="s">
        <v>7016</v>
      </c>
      <c r="H4594" s="1" t="s">
        <v>2290</v>
      </c>
      <c r="I4594" s="1" t="s">
        <v>1746</v>
      </c>
      <c r="K4594" s="1">
        <v>0.0</v>
      </c>
      <c r="L4594" s="1" t="s">
        <v>4240</v>
      </c>
      <c r="M4594" s="1" t="str">
        <f>VLOOKUP(L4594,'Copy of PMD Workday Constants -'!B4593:W5279,22,false)</f>
        <v>#N/A</v>
      </c>
      <c r="N4594" s="1" t="s">
        <v>32</v>
      </c>
      <c r="O4594" s="1" t="s">
        <v>33</v>
      </c>
      <c r="P4594" s="1" t="s">
        <v>210</v>
      </c>
      <c r="Q4594" s="1" t="s">
        <v>210</v>
      </c>
      <c r="R4594" s="1" t="s">
        <v>211</v>
      </c>
      <c r="T4594" s="1">
        <v>1.00625459E8</v>
      </c>
      <c r="W4594" s="1" t="s">
        <v>56</v>
      </c>
      <c r="X4594" s="1" t="s">
        <v>12935</v>
      </c>
    </row>
    <row r="4595">
      <c r="A4595" s="1" t="s">
        <v>12936</v>
      </c>
      <c r="B4595" s="1" t="s">
        <v>1373</v>
      </c>
      <c r="C4595" s="1" t="s">
        <v>12937</v>
      </c>
      <c r="D4595" s="1" t="s">
        <v>51</v>
      </c>
      <c r="E4595" s="1" t="s">
        <v>29</v>
      </c>
      <c r="F4595" s="5">
        <v>100000.0</v>
      </c>
      <c r="G4595" s="1" t="s">
        <v>7016</v>
      </c>
      <c r="H4595" s="1" t="s">
        <v>1349</v>
      </c>
      <c r="I4595" s="1" t="s">
        <v>80</v>
      </c>
      <c r="K4595" s="1">
        <v>0.0</v>
      </c>
      <c r="L4595" s="1" t="s">
        <v>1375</v>
      </c>
      <c r="M4595" s="1" t="str">
        <f>VLOOKUP(L4595,'Copy of PMD Workday Constants -'!B4594:W5280,22,false)</f>
        <v>#N/A</v>
      </c>
      <c r="N4595" s="1" t="s">
        <v>32</v>
      </c>
      <c r="O4595" s="1" t="s">
        <v>33</v>
      </c>
      <c r="P4595" s="1" t="s">
        <v>64</v>
      </c>
      <c r="Q4595" s="1" t="s">
        <v>64</v>
      </c>
      <c r="R4595" s="1" t="s">
        <v>65</v>
      </c>
      <c r="T4595" s="1">
        <v>1.00584032E8</v>
      </c>
      <c r="W4595" s="1" t="s">
        <v>74</v>
      </c>
      <c r="X4595" s="1" t="s">
        <v>1377</v>
      </c>
    </row>
    <row r="4596">
      <c r="A4596" s="1" t="s">
        <v>12938</v>
      </c>
      <c r="B4596" s="1" t="s">
        <v>12939</v>
      </c>
      <c r="C4596" s="1" t="s">
        <v>12940</v>
      </c>
      <c r="D4596" s="1" t="s">
        <v>51</v>
      </c>
      <c r="E4596" s="1" t="s">
        <v>29</v>
      </c>
      <c r="F4596" s="5">
        <v>100000.0</v>
      </c>
      <c r="G4596" s="1" t="s">
        <v>7016</v>
      </c>
      <c r="H4596" s="1" t="s">
        <v>4612</v>
      </c>
      <c r="I4596" s="1" t="s">
        <v>132</v>
      </c>
      <c r="K4596" s="1">
        <v>0.0</v>
      </c>
      <c r="L4596" s="1" t="s">
        <v>10851</v>
      </c>
      <c r="M4596" s="1" t="str">
        <f>VLOOKUP(L4596,'Copy of PMD Workday Constants -'!B4595:W5281,22,false)</f>
        <v>#N/A</v>
      </c>
      <c r="N4596" s="1" t="s">
        <v>32</v>
      </c>
      <c r="O4596" s="1" t="s">
        <v>33</v>
      </c>
      <c r="P4596" s="1" t="s">
        <v>222</v>
      </c>
      <c r="Q4596" s="1" t="s">
        <v>222</v>
      </c>
      <c r="R4596" s="1" t="s">
        <v>223</v>
      </c>
      <c r="S4596" s="1" t="s">
        <v>482</v>
      </c>
      <c r="T4596" s="1">
        <v>1.00592873E8</v>
      </c>
      <c r="W4596" s="1" t="s">
        <v>287</v>
      </c>
      <c r="X4596" s="1" t="s">
        <v>10851</v>
      </c>
    </row>
    <row r="4597">
      <c r="A4597" s="1" t="s">
        <v>12941</v>
      </c>
      <c r="B4597" s="1" t="s">
        <v>1062</v>
      </c>
      <c r="C4597" s="1" t="s">
        <v>12942</v>
      </c>
      <c r="D4597" s="1" t="s">
        <v>28</v>
      </c>
      <c r="E4597" s="1" t="s">
        <v>29</v>
      </c>
      <c r="F4597" s="5">
        <v>100000.0</v>
      </c>
      <c r="G4597" s="1" t="s">
        <v>7016</v>
      </c>
      <c r="H4597" s="1" t="s">
        <v>9602</v>
      </c>
      <c r="I4597" s="4">
        <v>44569.0</v>
      </c>
      <c r="K4597" s="1">
        <v>0.0</v>
      </c>
      <c r="L4597" s="1" t="s">
        <v>4873</v>
      </c>
      <c r="M4597" s="1" t="str">
        <f>VLOOKUP(L4597,'Copy of PMD Workday Constants -'!B4596:W5282,22,false)</f>
        <v>#N/A</v>
      </c>
      <c r="N4597" s="1" t="s">
        <v>32</v>
      </c>
      <c r="O4597" s="1" t="s">
        <v>33</v>
      </c>
      <c r="P4597" s="1" t="s">
        <v>34</v>
      </c>
      <c r="Q4597" s="1" t="s">
        <v>34</v>
      </c>
      <c r="R4597" s="1" t="s">
        <v>35</v>
      </c>
      <c r="S4597" s="1" t="s">
        <v>185</v>
      </c>
      <c r="T4597" s="1">
        <v>1.00587881E8</v>
      </c>
      <c r="W4597" s="1" t="s">
        <v>493</v>
      </c>
      <c r="X4597" s="1" t="s">
        <v>4873</v>
      </c>
    </row>
    <row r="4598">
      <c r="A4598" s="1" t="s">
        <v>12943</v>
      </c>
      <c r="B4598" s="1" t="s">
        <v>776</v>
      </c>
      <c r="C4598" s="1" t="s">
        <v>12944</v>
      </c>
      <c r="D4598" s="1" t="s">
        <v>28</v>
      </c>
      <c r="E4598" s="1" t="s">
        <v>29</v>
      </c>
      <c r="F4598" s="5">
        <v>100000.0</v>
      </c>
      <c r="G4598" s="1" t="s">
        <v>7016</v>
      </c>
      <c r="H4598" s="1" t="s">
        <v>2069</v>
      </c>
      <c r="I4598" s="1" t="s">
        <v>152</v>
      </c>
      <c r="K4598" s="1">
        <v>0.0</v>
      </c>
      <c r="L4598" s="1" t="s">
        <v>779</v>
      </c>
      <c r="M4598" s="1" t="str">
        <f>VLOOKUP(L4598,'Copy of PMD Workday Constants -'!B4597:W5283,22,false)</f>
        <v>#N/A</v>
      </c>
      <c r="N4598" s="1" t="s">
        <v>32</v>
      </c>
      <c r="O4598" s="1" t="s">
        <v>33</v>
      </c>
      <c r="P4598" s="1" t="s">
        <v>222</v>
      </c>
      <c r="Q4598" s="1" t="s">
        <v>222</v>
      </c>
      <c r="R4598" s="1" t="s">
        <v>223</v>
      </c>
      <c r="S4598" s="1" t="s">
        <v>601</v>
      </c>
      <c r="T4598" s="1">
        <v>1.0061139E8</v>
      </c>
      <c r="W4598" s="1" t="s">
        <v>74</v>
      </c>
      <c r="X4598" s="1" t="s">
        <v>4184</v>
      </c>
    </row>
    <row r="4599">
      <c r="A4599" s="1" t="s">
        <v>12945</v>
      </c>
      <c r="B4599" s="1" t="s">
        <v>4279</v>
      </c>
      <c r="C4599" s="1" t="s">
        <v>12946</v>
      </c>
      <c r="D4599" s="1" t="s">
        <v>103</v>
      </c>
      <c r="E4599" s="1" t="s">
        <v>29</v>
      </c>
      <c r="F4599" s="5">
        <v>100000.0</v>
      </c>
      <c r="G4599" s="1" t="s">
        <v>7016</v>
      </c>
      <c r="H4599" s="1" t="s">
        <v>1765</v>
      </c>
      <c r="I4599" s="1" t="s">
        <v>80</v>
      </c>
      <c r="K4599" s="1">
        <v>0.0</v>
      </c>
      <c r="L4599" s="1" t="s">
        <v>2013</v>
      </c>
      <c r="M4599" s="1" t="str">
        <f>VLOOKUP(L4599,'Copy of PMD Workday Constants -'!B4598:W5284,22,false)</f>
        <v>#N/A</v>
      </c>
      <c r="N4599" s="1" t="s">
        <v>32</v>
      </c>
      <c r="O4599" s="1" t="s">
        <v>33</v>
      </c>
      <c r="P4599" s="1" t="s">
        <v>222</v>
      </c>
      <c r="Q4599" s="1" t="s">
        <v>222</v>
      </c>
      <c r="R4599" s="1" t="s">
        <v>223</v>
      </c>
      <c r="S4599" s="1" t="s">
        <v>482</v>
      </c>
      <c r="T4599" s="1">
        <v>1.00596618E8</v>
      </c>
      <c r="W4599" s="1" t="s">
        <v>74</v>
      </c>
      <c r="X4599" s="1" t="s">
        <v>11863</v>
      </c>
    </row>
    <row r="4600">
      <c r="A4600" s="1" t="s">
        <v>12947</v>
      </c>
      <c r="B4600" s="1" t="s">
        <v>2263</v>
      </c>
      <c r="C4600" s="1" t="s">
        <v>12948</v>
      </c>
      <c r="D4600" s="1" t="s">
        <v>51</v>
      </c>
      <c r="E4600" s="1" t="s">
        <v>29</v>
      </c>
      <c r="F4600" s="5">
        <v>100000.0</v>
      </c>
      <c r="G4600" s="1" t="s">
        <v>7016</v>
      </c>
      <c r="H4600" s="1" t="s">
        <v>3513</v>
      </c>
      <c r="I4600" s="1" t="s">
        <v>810</v>
      </c>
      <c r="K4600" s="1">
        <v>0.0</v>
      </c>
      <c r="L4600" s="1" t="s">
        <v>1790</v>
      </c>
      <c r="M4600" s="1" t="str">
        <f>VLOOKUP(L4600,'Copy of PMD Workday Constants -'!B4599:W5285,22,false)</f>
        <v>#N/A</v>
      </c>
      <c r="N4600" s="1" t="s">
        <v>32</v>
      </c>
      <c r="O4600" s="1" t="s">
        <v>33</v>
      </c>
      <c r="P4600" s="1" t="s">
        <v>222</v>
      </c>
      <c r="Q4600" s="1" t="s">
        <v>222</v>
      </c>
      <c r="R4600" s="1" t="s">
        <v>223</v>
      </c>
      <c r="S4600" s="1" t="s">
        <v>646</v>
      </c>
      <c r="T4600" s="1">
        <v>1.00645232E8</v>
      </c>
      <c r="W4600" s="1" t="s">
        <v>258</v>
      </c>
      <c r="X4600" s="1" t="s">
        <v>9946</v>
      </c>
    </row>
    <row r="4601">
      <c r="A4601" s="1" t="s">
        <v>12949</v>
      </c>
      <c r="B4601" s="1" t="s">
        <v>12791</v>
      </c>
      <c r="C4601" s="1" t="s">
        <v>12950</v>
      </c>
      <c r="D4601" s="1" t="s">
        <v>51</v>
      </c>
      <c r="E4601" s="1" t="s">
        <v>29</v>
      </c>
      <c r="F4601" s="5">
        <v>100000.0</v>
      </c>
      <c r="G4601" s="1" t="s">
        <v>7016</v>
      </c>
      <c r="H4601" s="1" t="s">
        <v>9765</v>
      </c>
      <c r="I4601" s="1" t="s">
        <v>302</v>
      </c>
      <c r="K4601" s="1">
        <v>0.0</v>
      </c>
      <c r="L4601" s="1" t="s">
        <v>4608</v>
      </c>
      <c r="M4601" s="1" t="str">
        <f>VLOOKUP(L4601,'Copy of PMD Workday Constants -'!B4600:W5286,22,false)</f>
        <v>#N/A</v>
      </c>
      <c r="N4601" s="1" t="s">
        <v>32</v>
      </c>
      <c r="O4601" s="1" t="s">
        <v>33</v>
      </c>
      <c r="P4601" s="1" t="s">
        <v>222</v>
      </c>
      <c r="Q4601" s="1" t="s">
        <v>222</v>
      </c>
      <c r="R4601" s="1" t="s">
        <v>223</v>
      </c>
      <c r="S4601" s="1" t="s">
        <v>482</v>
      </c>
      <c r="T4601" s="1">
        <v>1.00592715E8</v>
      </c>
      <c r="W4601" s="1" t="s">
        <v>115</v>
      </c>
      <c r="X4601" s="1" t="s">
        <v>12951</v>
      </c>
    </row>
    <row r="4602">
      <c r="A4602" s="1" t="s">
        <v>12952</v>
      </c>
      <c r="B4602" s="1" t="s">
        <v>886</v>
      </c>
      <c r="C4602" s="1" t="s">
        <v>12953</v>
      </c>
      <c r="D4602" s="1" t="s">
        <v>28</v>
      </c>
      <c r="E4602" s="1" t="s">
        <v>29</v>
      </c>
      <c r="F4602" s="5">
        <v>100000.0</v>
      </c>
      <c r="G4602" s="1" t="s">
        <v>7016</v>
      </c>
      <c r="H4602" s="1" t="s">
        <v>4625</v>
      </c>
      <c r="I4602" s="1" t="s">
        <v>104</v>
      </c>
      <c r="K4602" s="1">
        <v>0.0</v>
      </c>
      <c r="L4602" s="1" t="s">
        <v>428</v>
      </c>
      <c r="M4602" s="1" t="str">
        <f>VLOOKUP(L4602,'Copy of PMD Workday Constants -'!B4601:W5287,22,false)</f>
        <v>#N/A</v>
      </c>
      <c r="N4602" s="1" t="s">
        <v>32</v>
      </c>
      <c r="O4602" s="1" t="s">
        <v>33</v>
      </c>
      <c r="P4602" s="1" t="s">
        <v>173</v>
      </c>
      <c r="Q4602" s="1" t="s">
        <v>173</v>
      </c>
      <c r="R4602" s="1" t="s">
        <v>174</v>
      </c>
      <c r="T4602" s="1">
        <v>1.00654085E8</v>
      </c>
      <c r="W4602" s="1" t="s">
        <v>85</v>
      </c>
      <c r="X4602" s="1" t="s">
        <v>6478</v>
      </c>
    </row>
    <row r="4603">
      <c r="A4603" s="1" t="s">
        <v>12954</v>
      </c>
      <c r="B4603" s="1" t="s">
        <v>12955</v>
      </c>
      <c r="C4603" s="1" t="s">
        <v>12956</v>
      </c>
      <c r="D4603" s="1" t="s">
        <v>28</v>
      </c>
      <c r="E4603" s="1" t="s">
        <v>29</v>
      </c>
      <c r="F4603" s="5">
        <v>100000.0</v>
      </c>
      <c r="G4603" s="1" t="s">
        <v>7016</v>
      </c>
      <c r="H4603" s="1" t="s">
        <v>3443</v>
      </c>
      <c r="I4603" s="1" t="s">
        <v>302</v>
      </c>
      <c r="K4603" s="1">
        <v>0.0</v>
      </c>
      <c r="L4603" s="1" t="s">
        <v>2417</v>
      </c>
      <c r="M4603" s="1" t="str">
        <f>VLOOKUP(L4603,'Copy of PMD Workday Constants -'!B4602:W5288,22,false)</f>
        <v>#N/A</v>
      </c>
      <c r="N4603" s="1" t="s">
        <v>32</v>
      </c>
      <c r="O4603" s="1" t="s">
        <v>33</v>
      </c>
      <c r="P4603" s="1" t="s">
        <v>34</v>
      </c>
      <c r="Q4603" s="1" t="s">
        <v>34</v>
      </c>
      <c r="R4603" s="1" t="s">
        <v>35</v>
      </c>
      <c r="T4603" s="1">
        <v>1.00642238E8</v>
      </c>
      <c r="W4603" s="1" t="s">
        <v>74</v>
      </c>
      <c r="X4603" s="1" t="s">
        <v>3112</v>
      </c>
    </row>
    <row r="4604">
      <c r="A4604" s="1" t="s">
        <v>12957</v>
      </c>
      <c r="B4604" s="1" t="s">
        <v>4361</v>
      </c>
      <c r="C4604" s="1" t="s">
        <v>12958</v>
      </c>
      <c r="D4604" s="1" t="s">
        <v>103</v>
      </c>
      <c r="E4604" s="1" t="s">
        <v>29</v>
      </c>
      <c r="F4604" s="5">
        <v>100000.0</v>
      </c>
      <c r="G4604" s="1" t="s">
        <v>7016</v>
      </c>
      <c r="H4604" s="1" t="s">
        <v>3443</v>
      </c>
      <c r="I4604" s="1" t="s">
        <v>43</v>
      </c>
      <c r="K4604" s="1">
        <v>0.0</v>
      </c>
      <c r="L4604" s="1" t="s">
        <v>7062</v>
      </c>
      <c r="M4604" s="1" t="str">
        <f>VLOOKUP(L4604,'Copy of PMD Workday Constants -'!B4603:W5289,22,false)</f>
        <v>#N/A</v>
      </c>
      <c r="N4604" s="1" t="s">
        <v>32</v>
      </c>
      <c r="O4604" s="1" t="s">
        <v>33</v>
      </c>
      <c r="P4604" s="1" t="s">
        <v>222</v>
      </c>
      <c r="Q4604" s="1" t="s">
        <v>222</v>
      </c>
      <c r="R4604" s="1" t="s">
        <v>223</v>
      </c>
      <c r="S4604" s="1" t="s">
        <v>482</v>
      </c>
      <c r="T4604" s="1">
        <v>1.00614969E8</v>
      </c>
      <c r="W4604" s="1" t="s">
        <v>85</v>
      </c>
      <c r="X4604" s="1" t="s">
        <v>12111</v>
      </c>
    </row>
    <row r="4605">
      <c r="A4605" s="1" t="s">
        <v>12959</v>
      </c>
      <c r="B4605" s="1" t="s">
        <v>7805</v>
      </c>
      <c r="C4605" s="1" t="s">
        <v>12960</v>
      </c>
      <c r="D4605" s="1" t="s">
        <v>51</v>
      </c>
      <c r="E4605" s="1" t="s">
        <v>29</v>
      </c>
      <c r="F4605" s="5">
        <v>100000.0</v>
      </c>
      <c r="G4605" s="1" t="s">
        <v>7016</v>
      </c>
      <c r="H4605" s="1" t="s">
        <v>4625</v>
      </c>
      <c r="I4605" s="4">
        <v>44780.0</v>
      </c>
      <c r="K4605" s="1">
        <v>0.0</v>
      </c>
      <c r="L4605" s="1" t="s">
        <v>1087</v>
      </c>
      <c r="M4605" s="1" t="str">
        <f>VLOOKUP(L4605,'Copy of PMD Workday Constants -'!B4604:W5290,22,false)</f>
        <v>#N/A</v>
      </c>
      <c r="N4605" s="1" t="s">
        <v>32</v>
      </c>
      <c r="O4605" s="1" t="s">
        <v>33</v>
      </c>
      <c r="P4605" s="1" t="s">
        <v>112</v>
      </c>
      <c r="Q4605" s="1" t="s">
        <v>112</v>
      </c>
      <c r="R4605" s="1" t="s">
        <v>113</v>
      </c>
      <c r="S4605" s="1" t="s">
        <v>307</v>
      </c>
      <c r="T4605" s="1">
        <v>1.00634994E8</v>
      </c>
      <c r="W4605" s="1" t="s">
        <v>339</v>
      </c>
      <c r="X4605" s="1" t="s">
        <v>3945</v>
      </c>
    </row>
    <row r="4606">
      <c r="A4606" s="1" t="s">
        <v>12961</v>
      </c>
      <c r="B4606" s="1" t="s">
        <v>12962</v>
      </c>
      <c r="C4606" s="1" t="s">
        <v>12963</v>
      </c>
      <c r="D4606" s="1" t="s">
        <v>28</v>
      </c>
      <c r="E4606" s="1" t="s">
        <v>29</v>
      </c>
      <c r="F4606" s="5">
        <v>100000.0</v>
      </c>
      <c r="G4606" s="1" t="s">
        <v>7016</v>
      </c>
      <c r="H4606" s="1" t="s">
        <v>1134</v>
      </c>
      <c r="I4606" s="1" t="s">
        <v>810</v>
      </c>
      <c r="K4606" s="1">
        <v>0.0</v>
      </c>
      <c r="L4606" s="1" t="s">
        <v>10653</v>
      </c>
      <c r="M4606" s="1" t="str">
        <f>VLOOKUP(L4606,'Copy of PMD Workday Constants -'!B4605:W5291,22,false)</f>
        <v>#N/A</v>
      </c>
      <c r="N4606" s="1" t="s">
        <v>32</v>
      </c>
      <c r="O4606" s="1" t="s">
        <v>33</v>
      </c>
      <c r="P4606" s="1" t="s">
        <v>222</v>
      </c>
      <c r="Q4606" s="1" t="s">
        <v>222</v>
      </c>
      <c r="R4606" s="1" t="s">
        <v>223</v>
      </c>
      <c r="T4606" s="1">
        <v>1.01154609E8</v>
      </c>
      <c r="W4606" s="1" t="s">
        <v>258</v>
      </c>
      <c r="X4606" s="1" t="s">
        <v>10653</v>
      </c>
    </row>
    <row r="4607">
      <c r="A4607" s="1" t="s">
        <v>12964</v>
      </c>
      <c r="B4607" s="1" t="s">
        <v>3420</v>
      </c>
      <c r="C4607" s="1" t="s">
        <v>12965</v>
      </c>
      <c r="D4607" s="1" t="s">
        <v>28</v>
      </c>
      <c r="E4607" s="1" t="s">
        <v>29</v>
      </c>
      <c r="F4607" s="5">
        <v>100000.0</v>
      </c>
      <c r="G4607" s="1" t="s">
        <v>7016</v>
      </c>
      <c r="H4607" s="1" t="s">
        <v>110</v>
      </c>
      <c r="I4607" s="1" t="s">
        <v>132</v>
      </c>
      <c r="K4607" s="1">
        <v>0.0</v>
      </c>
      <c r="L4607" s="1" t="s">
        <v>5161</v>
      </c>
      <c r="M4607" s="1" t="str">
        <f>VLOOKUP(L4607,'Copy of PMD Workday Constants -'!B4606:W5292,22,false)</f>
        <v>#N/A</v>
      </c>
      <c r="N4607" s="1" t="s">
        <v>32</v>
      </c>
      <c r="O4607" s="1" t="s">
        <v>33</v>
      </c>
      <c r="P4607" s="1" t="s">
        <v>112</v>
      </c>
      <c r="Q4607" s="1" t="s">
        <v>112</v>
      </c>
      <c r="R4607" s="1" t="s">
        <v>113</v>
      </c>
      <c r="S4607" s="1" t="s">
        <v>114</v>
      </c>
      <c r="T4607" s="1">
        <v>1.00591654E8</v>
      </c>
      <c r="W4607" s="1" t="s">
        <v>140</v>
      </c>
      <c r="X4607" s="1" t="s">
        <v>3423</v>
      </c>
    </row>
    <row r="4608">
      <c r="A4608" s="1" t="s">
        <v>12966</v>
      </c>
      <c r="B4608" s="1" t="s">
        <v>3456</v>
      </c>
      <c r="C4608" s="1" t="s">
        <v>12967</v>
      </c>
      <c r="D4608" s="1" t="s">
        <v>28</v>
      </c>
      <c r="E4608" s="1" t="s">
        <v>29</v>
      </c>
      <c r="F4608" s="5">
        <v>100000.0</v>
      </c>
      <c r="G4608" s="1" t="s">
        <v>7016</v>
      </c>
      <c r="H4608" s="1" t="s">
        <v>1022</v>
      </c>
      <c r="I4608" s="1" t="s">
        <v>302</v>
      </c>
      <c r="K4608" s="1">
        <v>0.0</v>
      </c>
      <c r="L4608" s="1" t="s">
        <v>3458</v>
      </c>
      <c r="M4608" s="1" t="str">
        <f>VLOOKUP(L4608,'Copy of PMD Workday Constants -'!B4607:W5293,22,false)</f>
        <v>#N/A</v>
      </c>
      <c r="N4608" s="1" t="s">
        <v>32</v>
      </c>
      <c r="O4608" s="1" t="s">
        <v>33</v>
      </c>
      <c r="P4608" s="1" t="s">
        <v>112</v>
      </c>
      <c r="Q4608" s="1" t="s">
        <v>112</v>
      </c>
      <c r="R4608" s="1" t="s">
        <v>113</v>
      </c>
      <c r="T4608" s="1">
        <v>1.00618416E8</v>
      </c>
      <c r="W4608" s="1" t="s">
        <v>140</v>
      </c>
      <c r="X4608" s="1" t="s">
        <v>3458</v>
      </c>
    </row>
    <row r="4609">
      <c r="A4609" s="1" t="s">
        <v>12968</v>
      </c>
      <c r="B4609" s="1" t="s">
        <v>4602</v>
      </c>
      <c r="C4609" s="1" t="s">
        <v>12969</v>
      </c>
      <c r="D4609" s="1" t="s">
        <v>28</v>
      </c>
      <c r="E4609" s="1" t="s">
        <v>29</v>
      </c>
      <c r="F4609" s="5">
        <v>100000.0</v>
      </c>
      <c r="G4609" s="1" t="s">
        <v>7016</v>
      </c>
      <c r="H4609" s="1" t="s">
        <v>509</v>
      </c>
      <c r="I4609" s="1" t="s">
        <v>302</v>
      </c>
      <c r="K4609" s="1">
        <v>0.0</v>
      </c>
      <c r="L4609" s="1" t="s">
        <v>1525</v>
      </c>
      <c r="M4609" s="1" t="str">
        <f>VLOOKUP(L4609,'Copy of PMD Workday Constants -'!B4608:W5294,22,false)</f>
        <v>#N/A</v>
      </c>
      <c r="N4609" s="1" t="s">
        <v>32</v>
      </c>
      <c r="O4609" s="1" t="s">
        <v>33</v>
      </c>
      <c r="P4609" s="1" t="s">
        <v>34</v>
      </c>
      <c r="Q4609" s="1" t="s">
        <v>34</v>
      </c>
      <c r="R4609" s="1" t="s">
        <v>35</v>
      </c>
      <c r="S4609" s="1" t="s">
        <v>1166</v>
      </c>
      <c r="T4609" s="1">
        <v>1.00637597E8</v>
      </c>
      <c r="U4609" s="1" t="s">
        <v>4604</v>
      </c>
      <c r="V4609" s="1" t="s">
        <v>46</v>
      </c>
      <c r="W4609" s="1" t="s">
        <v>85</v>
      </c>
      <c r="X4609" s="1" t="s">
        <v>1525</v>
      </c>
    </row>
    <row r="4610">
      <c r="A4610" s="1" t="s">
        <v>12970</v>
      </c>
      <c r="B4610" s="1" t="s">
        <v>324</v>
      </c>
      <c r="C4610" s="1" t="s">
        <v>12971</v>
      </c>
      <c r="D4610" s="1" t="s">
        <v>28</v>
      </c>
      <c r="E4610" s="1" t="s">
        <v>29</v>
      </c>
      <c r="F4610" s="5">
        <v>100000.0</v>
      </c>
      <c r="G4610" s="1" t="s">
        <v>7016</v>
      </c>
      <c r="H4610" s="1" t="s">
        <v>2125</v>
      </c>
      <c r="I4610" s="1" t="s">
        <v>1369</v>
      </c>
      <c r="K4610" s="1">
        <v>0.0</v>
      </c>
      <c r="L4610" s="1" t="s">
        <v>3333</v>
      </c>
      <c r="M4610" s="1" t="str">
        <f>VLOOKUP(L4610,'Copy of PMD Workday Constants -'!B4609:W5295,22,false)</f>
        <v>#N/A</v>
      </c>
      <c r="N4610" s="1" t="s">
        <v>32</v>
      </c>
      <c r="O4610" s="1" t="s">
        <v>33</v>
      </c>
      <c r="P4610" s="1" t="s">
        <v>210</v>
      </c>
      <c r="Q4610" s="1" t="s">
        <v>210</v>
      </c>
      <c r="R4610" s="1" t="s">
        <v>211</v>
      </c>
      <c r="S4610" s="1" t="s">
        <v>212</v>
      </c>
      <c r="T4610" s="1">
        <v>1.00636461E8</v>
      </c>
      <c r="W4610" s="1" t="s">
        <v>56</v>
      </c>
      <c r="X4610" s="1" t="s">
        <v>3333</v>
      </c>
    </row>
    <row r="4611">
      <c r="A4611" s="1" t="s">
        <v>12972</v>
      </c>
      <c r="B4611" s="1" t="s">
        <v>800</v>
      </c>
      <c r="C4611" s="1" t="s">
        <v>12973</v>
      </c>
      <c r="D4611" s="1" t="s">
        <v>28</v>
      </c>
      <c r="E4611" s="1" t="s">
        <v>29</v>
      </c>
      <c r="F4611" s="5">
        <v>100000.0</v>
      </c>
      <c r="G4611" s="1" t="s">
        <v>7016</v>
      </c>
      <c r="H4611" s="1" t="s">
        <v>330</v>
      </c>
      <c r="I4611" s="1" t="s">
        <v>80</v>
      </c>
      <c r="K4611" s="1">
        <v>0.0</v>
      </c>
      <c r="L4611" s="1" t="s">
        <v>1770</v>
      </c>
      <c r="M4611" s="1" t="str">
        <f>VLOOKUP(L4611,'Copy of PMD Workday Constants -'!B4610:W5296,22,false)</f>
        <v>#N/A</v>
      </c>
      <c r="N4611" s="1" t="s">
        <v>32</v>
      </c>
      <c r="O4611" s="1" t="s">
        <v>33</v>
      </c>
      <c r="P4611" s="1" t="s">
        <v>210</v>
      </c>
      <c r="Q4611" s="1" t="s">
        <v>210</v>
      </c>
      <c r="R4611" s="1" t="s">
        <v>211</v>
      </c>
      <c r="S4611" s="1" t="s">
        <v>1313</v>
      </c>
      <c r="T4611" s="1">
        <v>1.00593918E8</v>
      </c>
      <c r="W4611" s="1" t="s">
        <v>577</v>
      </c>
      <c r="X4611" s="1" t="s">
        <v>1314</v>
      </c>
    </row>
    <row r="4612">
      <c r="A4612" s="1" t="s">
        <v>12974</v>
      </c>
      <c r="B4612" s="1" t="s">
        <v>6152</v>
      </c>
      <c r="C4612" s="1" t="s">
        <v>12975</v>
      </c>
      <c r="D4612" s="1" t="s">
        <v>51</v>
      </c>
      <c r="E4612" s="1" t="s">
        <v>29</v>
      </c>
      <c r="F4612" s="5">
        <v>100000.0</v>
      </c>
      <c r="G4612" s="1" t="s">
        <v>7016</v>
      </c>
      <c r="H4612" s="1" t="s">
        <v>1849</v>
      </c>
      <c r="I4612" s="1" t="s">
        <v>302</v>
      </c>
      <c r="K4612" s="1">
        <v>0.0</v>
      </c>
      <c r="L4612" s="1" t="s">
        <v>2086</v>
      </c>
      <c r="M4612" s="1" t="str">
        <f>VLOOKUP(L4612,'Copy of PMD Workday Constants -'!B4611:W5297,22,false)</f>
        <v>#N/A</v>
      </c>
      <c r="N4612" s="1" t="s">
        <v>32</v>
      </c>
      <c r="O4612" s="1" t="s">
        <v>33</v>
      </c>
      <c r="P4612" s="1" t="s">
        <v>82</v>
      </c>
      <c r="Q4612" s="1" t="s">
        <v>82</v>
      </c>
      <c r="R4612" s="1" t="s">
        <v>83</v>
      </c>
      <c r="S4612" s="1" t="s">
        <v>153</v>
      </c>
      <c r="T4612" s="1">
        <v>1.0061233E8</v>
      </c>
      <c r="W4612" s="1" t="s">
        <v>85</v>
      </c>
      <c r="X4612" s="1" t="s">
        <v>2086</v>
      </c>
    </row>
    <row r="4613">
      <c r="A4613" s="1" t="s">
        <v>12976</v>
      </c>
      <c r="B4613" s="1" t="s">
        <v>2172</v>
      </c>
      <c r="C4613" s="1" t="s">
        <v>12977</v>
      </c>
      <c r="D4613" s="1" t="s">
        <v>28</v>
      </c>
      <c r="E4613" s="1" t="s">
        <v>29</v>
      </c>
      <c r="F4613" s="5">
        <v>100000.0</v>
      </c>
      <c r="G4613" s="1" t="s">
        <v>7016</v>
      </c>
      <c r="H4613" s="4">
        <v>44596.0</v>
      </c>
      <c r="I4613" s="1" t="s">
        <v>80</v>
      </c>
      <c r="K4613" s="1">
        <v>0.0</v>
      </c>
      <c r="L4613" s="1" t="s">
        <v>2174</v>
      </c>
      <c r="M4613" s="1" t="str">
        <f>VLOOKUP(L4613,'Copy of PMD Workday Constants -'!B4612:W5298,22,false)</f>
        <v>#N/A</v>
      </c>
      <c r="N4613" s="1" t="s">
        <v>32</v>
      </c>
      <c r="O4613" s="1" t="s">
        <v>33</v>
      </c>
      <c r="P4613" s="1" t="s">
        <v>112</v>
      </c>
      <c r="Q4613" s="1" t="s">
        <v>112</v>
      </c>
      <c r="R4613" s="1" t="s">
        <v>113</v>
      </c>
      <c r="S4613" s="1" t="s">
        <v>134</v>
      </c>
      <c r="T4613" s="1">
        <v>1.00631322E8</v>
      </c>
      <c r="W4613" s="1" t="s">
        <v>74</v>
      </c>
      <c r="X4613" s="1" t="s">
        <v>12209</v>
      </c>
    </row>
    <row r="4614">
      <c r="A4614" s="1" t="s">
        <v>12978</v>
      </c>
      <c r="B4614" s="1" t="s">
        <v>5634</v>
      </c>
      <c r="C4614" s="1" t="s">
        <v>12979</v>
      </c>
      <c r="D4614" s="1" t="s">
        <v>28</v>
      </c>
      <c r="E4614" s="1" t="s">
        <v>29</v>
      </c>
      <c r="F4614" s="5">
        <v>100000.0</v>
      </c>
      <c r="G4614" s="1" t="s">
        <v>7016</v>
      </c>
      <c r="H4614" s="4">
        <v>44896.0</v>
      </c>
      <c r="I4614" s="1" t="s">
        <v>1349</v>
      </c>
      <c r="K4614" s="1">
        <v>0.0</v>
      </c>
      <c r="L4614" s="1" t="s">
        <v>1870</v>
      </c>
      <c r="M4614" s="1" t="str">
        <f>VLOOKUP(L4614,'Copy of PMD Workday Constants -'!B4613:W5299,22,false)</f>
        <v>#N/A</v>
      </c>
      <c r="N4614" s="1" t="s">
        <v>32</v>
      </c>
      <c r="O4614" s="1" t="s">
        <v>33</v>
      </c>
      <c r="P4614" s="1" t="s">
        <v>112</v>
      </c>
      <c r="Q4614" s="1" t="s">
        <v>112</v>
      </c>
      <c r="R4614" s="1" t="s">
        <v>113</v>
      </c>
      <c r="S4614" s="1" t="s">
        <v>1336</v>
      </c>
      <c r="T4614" s="1">
        <v>1.00638639E8</v>
      </c>
      <c r="W4614" s="1" t="s">
        <v>436</v>
      </c>
      <c r="X4614" s="1" t="s">
        <v>2655</v>
      </c>
    </row>
    <row r="4615">
      <c r="A4615" s="1" t="s">
        <v>12980</v>
      </c>
      <c r="B4615" s="1" t="s">
        <v>348</v>
      </c>
      <c r="C4615" s="1" t="s">
        <v>4123</v>
      </c>
      <c r="D4615" s="1" t="s">
        <v>28</v>
      </c>
      <c r="E4615" s="1" t="s">
        <v>29</v>
      </c>
      <c r="F4615" s="5">
        <v>100000.0</v>
      </c>
      <c r="G4615" s="1" t="s">
        <v>7016</v>
      </c>
      <c r="H4615" s="1" t="s">
        <v>3513</v>
      </c>
      <c r="I4615" s="1" t="s">
        <v>302</v>
      </c>
      <c r="K4615" s="1">
        <v>0.0</v>
      </c>
      <c r="L4615" s="1" t="s">
        <v>1036</v>
      </c>
      <c r="M4615" s="1" t="str">
        <f>VLOOKUP(L4615,'Copy of PMD Workday Constants -'!B4614:W5300,22,false)</f>
        <v>#N/A</v>
      </c>
      <c r="N4615" s="1" t="s">
        <v>32</v>
      </c>
      <c r="O4615" s="1" t="s">
        <v>33</v>
      </c>
      <c r="P4615" s="1" t="s">
        <v>82</v>
      </c>
      <c r="Q4615" s="1" t="s">
        <v>82</v>
      </c>
      <c r="R4615" s="1" t="s">
        <v>83</v>
      </c>
      <c r="S4615" s="1" t="s">
        <v>180</v>
      </c>
      <c r="T4615" s="1">
        <v>1.0090037E8</v>
      </c>
      <c r="W4615" s="1" t="s">
        <v>85</v>
      </c>
      <c r="X4615" s="1" t="s">
        <v>4124</v>
      </c>
    </row>
    <row r="4616">
      <c r="A4616" s="1" t="s">
        <v>12981</v>
      </c>
      <c r="B4616" s="1" t="s">
        <v>5942</v>
      </c>
      <c r="C4616" s="1" t="s">
        <v>12982</v>
      </c>
      <c r="D4616" s="1" t="s">
        <v>28</v>
      </c>
      <c r="E4616" s="1" t="s">
        <v>29</v>
      </c>
      <c r="F4616" s="5">
        <v>100000.0</v>
      </c>
      <c r="G4616" s="1" t="s">
        <v>7016</v>
      </c>
      <c r="H4616" s="1" t="s">
        <v>2142</v>
      </c>
      <c r="I4616" s="1" t="s">
        <v>80</v>
      </c>
      <c r="K4616" s="1">
        <v>0.0</v>
      </c>
      <c r="L4616" s="1" t="s">
        <v>491</v>
      </c>
      <c r="M4616" s="1" t="str">
        <f>VLOOKUP(L4616,'Copy of PMD Workday Constants -'!B4615:W5301,22,false)</f>
        <v>#N/A</v>
      </c>
      <c r="N4616" s="1" t="s">
        <v>32</v>
      </c>
      <c r="O4616" s="1" t="s">
        <v>33</v>
      </c>
      <c r="P4616" s="1" t="s">
        <v>112</v>
      </c>
      <c r="Q4616" s="1" t="s">
        <v>112</v>
      </c>
      <c r="R4616" s="1" t="s">
        <v>113</v>
      </c>
      <c r="S4616" s="1" t="s">
        <v>492</v>
      </c>
      <c r="T4616" s="1">
        <v>1.00623914E8</v>
      </c>
      <c r="W4616" s="1" t="s">
        <v>115</v>
      </c>
      <c r="X4616" s="1" t="s">
        <v>5411</v>
      </c>
    </row>
    <row r="4617">
      <c r="A4617" s="1" t="s">
        <v>12983</v>
      </c>
      <c r="B4617" s="1" t="s">
        <v>2346</v>
      </c>
      <c r="C4617" s="1" t="s">
        <v>12984</v>
      </c>
      <c r="D4617" s="1" t="s">
        <v>28</v>
      </c>
      <c r="E4617" s="1" t="s">
        <v>29</v>
      </c>
      <c r="F4617" s="5">
        <v>100000.0</v>
      </c>
      <c r="G4617" s="1" t="s">
        <v>7016</v>
      </c>
      <c r="H4617" s="1" t="s">
        <v>3496</v>
      </c>
      <c r="I4617" s="1" t="s">
        <v>301</v>
      </c>
      <c r="K4617" s="1">
        <v>0.0</v>
      </c>
      <c r="L4617" s="1" t="s">
        <v>2703</v>
      </c>
      <c r="M4617" s="1" t="str">
        <f>VLOOKUP(L4617,'Copy of PMD Workday Constants -'!B4616:W5302,22,false)</f>
        <v>#N/A</v>
      </c>
      <c r="N4617" s="1" t="s">
        <v>32</v>
      </c>
      <c r="O4617" s="1" t="s">
        <v>33</v>
      </c>
      <c r="P4617" s="1" t="s">
        <v>34</v>
      </c>
      <c r="Q4617" s="1" t="s">
        <v>34</v>
      </c>
      <c r="R4617" s="1" t="s">
        <v>35</v>
      </c>
      <c r="S4617" s="1" t="s">
        <v>383</v>
      </c>
      <c r="T4617" s="1">
        <v>1.00866856E8</v>
      </c>
      <c r="W4617" s="1" t="s">
        <v>147</v>
      </c>
      <c r="X4617" s="1" t="s">
        <v>2703</v>
      </c>
    </row>
    <row r="4618">
      <c r="A4618" s="1" t="s">
        <v>12985</v>
      </c>
      <c r="B4618" s="1" t="s">
        <v>5942</v>
      </c>
      <c r="C4618" s="1" t="s">
        <v>12986</v>
      </c>
      <c r="D4618" s="1" t="s">
        <v>51</v>
      </c>
      <c r="E4618" s="1" t="s">
        <v>29</v>
      </c>
      <c r="F4618" s="5">
        <v>100000.0</v>
      </c>
      <c r="G4618" s="1" t="s">
        <v>7016</v>
      </c>
      <c r="H4618" s="1" t="s">
        <v>2142</v>
      </c>
      <c r="I4618" s="1" t="s">
        <v>9578</v>
      </c>
      <c r="K4618" s="1">
        <v>0.0</v>
      </c>
      <c r="L4618" s="1" t="s">
        <v>491</v>
      </c>
      <c r="M4618" s="1" t="str">
        <f>VLOOKUP(L4618,'Copy of PMD Workday Constants -'!B4617:W5303,22,false)</f>
        <v>#N/A</v>
      </c>
      <c r="N4618" s="1" t="s">
        <v>32</v>
      </c>
      <c r="O4618" s="1" t="s">
        <v>33</v>
      </c>
      <c r="P4618" s="1" t="s">
        <v>112</v>
      </c>
      <c r="Q4618" s="1" t="s">
        <v>112</v>
      </c>
      <c r="R4618" s="1" t="s">
        <v>113</v>
      </c>
      <c r="S4618" s="1" t="s">
        <v>492</v>
      </c>
      <c r="T4618" s="1">
        <v>1.00623914E8</v>
      </c>
      <c r="W4618" s="1" t="s">
        <v>115</v>
      </c>
      <c r="X4618" s="1" t="s">
        <v>5411</v>
      </c>
    </row>
    <row r="4619">
      <c r="A4619" s="1" t="s">
        <v>12987</v>
      </c>
      <c r="B4619" s="1" t="s">
        <v>973</v>
      </c>
      <c r="C4619" s="1" t="s">
        <v>12988</v>
      </c>
      <c r="D4619" s="1" t="s">
        <v>28</v>
      </c>
      <c r="E4619" s="1" t="s">
        <v>29</v>
      </c>
      <c r="F4619" s="5">
        <v>100000.0</v>
      </c>
      <c r="G4619" s="1" t="s">
        <v>7016</v>
      </c>
      <c r="H4619" s="4">
        <v>44351.0</v>
      </c>
      <c r="I4619" s="1" t="s">
        <v>171</v>
      </c>
      <c r="K4619" s="1">
        <v>0.0</v>
      </c>
      <c r="L4619" s="1" t="s">
        <v>2093</v>
      </c>
      <c r="M4619" s="1" t="str">
        <f>VLOOKUP(L4619,'Copy of PMD Workday Constants -'!B4618:W5304,22,false)</f>
        <v>#N/A</v>
      </c>
      <c r="N4619" s="1" t="s">
        <v>32</v>
      </c>
      <c r="O4619" s="1" t="s">
        <v>33</v>
      </c>
      <c r="P4619" s="1" t="s">
        <v>222</v>
      </c>
      <c r="Q4619" s="1" t="s">
        <v>222</v>
      </c>
      <c r="R4619" s="1" t="s">
        <v>223</v>
      </c>
      <c r="S4619" s="1" t="s">
        <v>482</v>
      </c>
      <c r="T4619" s="1">
        <v>1.00612055E8</v>
      </c>
      <c r="W4619" s="1" t="s">
        <v>456</v>
      </c>
      <c r="X4619" s="1" t="s">
        <v>12989</v>
      </c>
    </row>
    <row r="4620">
      <c r="A4620" s="1" t="s">
        <v>12990</v>
      </c>
      <c r="B4620" s="1" t="s">
        <v>6446</v>
      </c>
      <c r="C4620" s="1" t="s">
        <v>12991</v>
      </c>
      <c r="D4620" s="1" t="s">
        <v>51</v>
      </c>
      <c r="E4620" s="1" t="s">
        <v>29</v>
      </c>
      <c r="F4620" s="5">
        <v>100000.0</v>
      </c>
      <c r="G4620" s="1" t="s">
        <v>7016</v>
      </c>
      <c r="H4620" s="4">
        <v>43748.0</v>
      </c>
      <c r="I4620" s="1" t="s">
        <v>104</v>
      </c>
      <c r="K4620" s="1">
        <v>0.0</v>
      </c>
      <c r="L4620" s="1" t="s">
        <v>3986</v>
      </c>
      <c r="M4620" s="1" t="str">
        <f>VLOOKUP(L4620,'Copy of PMD Workday Constants -'!B4619:W5305,22,false)</f>
        <v>#N/A</v>
      </c>
      <c r="N4620" s="1" t="s">
        <v>32</v>
      </c>
      <c r="O4620" s="1" t="s">
        <v>33</v>
      </c>
      <c r="P4620" s="1" t="s">
        <v>222</v>
      </c>
      <c r="Q4620" s="1" t="s">
        <v>222</v>
      </c>
      <c r="R4620" s="1" t="s">
        <v>223</v>
      </c>
      <c r="S4620" s="1" t="s">
        <v>601</v>
      </c>
      <c r="T4620" s="1">
        <v>1.00605616E8</v>
      </c>
      <c r="W4620" s="1" t="s">
        <v>258</v>
      </c>
      <c r="X4620" s="1" t="s">
        <v>3986</v>
      </c>
    </row>
    <row r="4621">
      <c r="A4621" s="1" t="s">
        <v>12992</v>
      </c>
      <c r="B4621" s="1" t="s">
        <v>903</v>
      </c>
      <c r="C4621" s="1" t="s">
        <v>12993</v>
      </c>
      <c r="D4621" s="1" t="s">
        <v>51</v>
      </c>
      <c r="E4621" s="1" t="s">
        <v>29</v>
      </c>
      <c r="F4621" s="5">
        <v>100000.0</v>
      </c>
      <c r="G4621" s="1" t="s">
        <v>7016</v>
      </c>
      <c r="H4621" s="4">
        <v>44420.0</v>
      </c>
      <c r="I4621" s="1" t="s">
        <v>12994</v>
      </c>
      <c r="K4621" s="1">
        <v>0.0</v>
      </c>
      <c r="L4621" s="1" t="s">
        <v>3727</v>
      </c>
      <c r="M4621" s="1" t="str">
        <f>VLOOKUP(L4621,'Copy of PMD Workday Constants -'!B4620:W5306,22,false)</f>
        <v>#N/A</v>
      </c>
      <c r="N4621" s="1" t="s">
        <v>32</v>
      </c>
      <c r="O4621" s="1" t="s">
        <v>33</v>
      </c>
      <c r="P4621" s="1" t="s">
        <v>222</v>
      </c>
      <c r="Q4621" s="1" t="s">
        <v>222</v>
      </c>
      <c r="R4621" s="1" t="s">
        <v>223</v>
      </c>
      <c r="S4621" s="1" t="s">
        <v>482</v>
      </c>
      <c r="T4621" s="1">
        <v>1.00611158E8</v>
      </c>
      <c r="W4621" s="1" t="s">
        <v>85</v>
      </c>
      <c r="X4621" s="1" t="s">
        <v>3727</v>
      </c>
    </row>
    <row r="4622">
      <c r="A4622" s="1" t="s">
        <v>12995</v>
      </c>
      <c r="B4622" s="1" t="s">
        <v>5413</v>
      </c>
      <c r="C4622" s="1" t="s">
        <v>12996</v>
      </c>
      <c r="D4622" s="1" t="s">
        <v>28</v>
      </c>
      <c r="E4622" s="1" t="s">
        <v>29</v>
      </c>
      <c r="F4622" s="5">
        <v>100000.0</v>
      </c>
      <c r="G4622" s="1" t="s">
        <v>7016</v>
      </c>
      <c r="H4622" s="4">
        <v>44420.0</v>
      </c>
      <c r="I4622" s="4">
        <v>44568.0</v>
      </c>
      <c r="K4622" s="1">
        <v>0.0</v>
      </c>
      <c r="L4622" s="1" t="s">
        <v>1525</v>
      </c>
      <c r="M4622" s="1" t="str">
        <f>VLOOKUP(L4622,'Copy of PMD Workday Constants -'!B4621:W5307,22,false)</f>
        <v>#N/A</v>
      </c>
      <c r="N4622" s="1" t="s">
        <v>32</v>
      </c>
      <c r="O4622" s="1" t="s">
        <v>33</v>
      </c>
      <c r="P4622" s="1" t="s">
        <v>34</v>
      </c>
      <c r="Q4622" s="1" t="s">
        <v>34</v>
      </c>
      <c r="R4622" s="1" t="s">
        <v>35</v>
      </c>
      <c r="S4622" s="1" t="s">
        <v>1166</v>
      </c>
      <c r="T4622" s="1">
        <v>1.00637597E8</v>
      </c>
      <c r="U4622" s="1" t="s">
        <v>12997</v>
      </c>
      <c r="V4622" s="1" t="s">
        <v>46</v>
      </c>
      <c r="W4622" s="1" t="s">
        <v>456</v>
      </c>
      <c r="X4622" s="1" t="s">
        <v>1525</v>
      </c>
    </row>
    <row r="4623">
      <c r="A4623" s="1" t="s">
        <v>12998</v>
      </c>
      <c r="B4623" s="1" t="s">
        <v>3478</v>
      </c>
      <c r="C4623" s="1" t="s">
        <v>12999</v>
      </c>
      <c r="D4623" s="1" t="s">
        <v>28</v>
      </c>
      <c r="E4623" s="1" t="s">
        <v>29</v>
      </c>
      <c r="F4623" s="5">
        <v>100000.0</v>
      </c>
      <c r="G4623" s="1" t="s">
        <v>7016</v>
      </c>
      <c r="H4623" s="4">
        <v>44626.0</v>
      </c>
      <c r="I4623" s="1" t="s">
        <v>1533</v>
      </c>
      <c r="K4623" s="1">
        <v>0.0</v>
      </c>
      <c r="L4623" s="1" t="s">
        <v>5078</v>
      </c>
      <c r="M4623" s="1" t="str">
        <f>VLOOKUP(L4623,'Copy of PMD Workday Constants -'!B4622:W5308,22,false)</f>
        <v>#N/A</v>
      </c>
      <c r="N4623" s="1" t="s">
        <v>32</v>
      </c>
      <c r="O4623" s="1" t="s">
        <v>33</v>
      </c>
      <c r="P4623" s="1" t="s">
        <v>34</v>
      </c>
      <c r="Q4623" s="1" t="s">
        <v>34</v>
      </c>
      <c r="R4623" s="1" t="s">
        <v>35</v>
      </c>
      <c r="T4623" s="1">
        <v>1.00658994E8</v>
      </c>
      <c r="W4623" s="1" t="s">
        <v>947</v>
      </c>
      <c r="X4623" s="1" t="s">
        <v>5078</v>
      </c>
    </row>
    <row r="4624">
      <c r="A4624" s="1" t="s">
        <v>13000</v>
      </c>
      <c r="B4624" s="1" t="s">
        <v>3478</v>
      </c>
      <c r="C4624" s="1" t="s">
        <v>13001</v>
      </c>
      <c r="D4624" s="1" t="s">
        <v>28</v>
      </c>
      <c r="E4624" s="1" t="s">
        <v>29</v>
      </c>
      <c r="F4624" s="5">
        <v>100000.0</v>
      </c>
      <c r="G4624" s="1" t="s">
        <v>7016</v>
      </c>
      <c r="H4624" s="4">
        <v>44626.0</v>
      </c>
      <c r="I4624" s="1" t="s">
        <v>1533</v>
      </c>
      <c r="K4624" s="1">
        <v>0.0</v>
      </c>
      <c r="L4624" s="1" t="s">
        <v>5078</v>
      </c>
      <c r="M4624" s="1" t="str">
        <f>VLOOKUP(L4624,'Copy of PMD Workday Constants -'!B4623:W5309,22,false)</f>
        <v>#N/A</v>
      </c>
      <c r="N4624" s="1" t="s">
        <v>32</v>
      </c>
      <c r="O4624" s="1" t="s">
        <v>33</v>
      </c>
      <c r="P4624" s="1" t="s">
        <v>34</v>
      </c>
      <c r="Q4624" s="1" t="s">
        <v>34</v>
      </c>
      <c r="R4624" s="1" t="s">
        <v>35</v>
      </c>
      <c r="T4624" s="1">
        <v>1.00658994E8</v>
      </c>
      <c r="W4624" s="1" t="s">
        <v>947</v>
      </c>
      <c r="X4624" s="1" t="s">
        <v>5078</v>
      </c>
    </row>
    <row r="4625">
      <c r="A4625" s="1" t="s">
        <v>13002</v>
      </c>
      <c r="B4625" s="1" t="s">
        <v>13003</v>
      </c>
      <c r="C4625" s="1" t="s">
        <v>4123</v>
      </c>
      <c r="D4625" s="1" t="s">
        <v>28</v>
      </c>
      <c r="E4625" s="1" t="s">
        <v>29</v>
      </c>
      <c r="F4625" s="5">
        <v>100000.0</v>
      </c>
      <c r="G4625" s="1" t="s">
        <v>7016</v>
      </c>
      <c r="H4625" s="1" t="s">
        <v>434</v>
      </c>
      <c r="I4625" s="1" t="s">
        <v>302</v>
      </c>
      <c r="K4625" s="1">
        <v>0.0</v>
      </c>
      <c r="L4625" s="1" t="s">
        <v>1036</v>
      </c>
      <c r="M4625" s="1" t="str">
        <f>VLOOKUP(L4625,'Copy of PMD Workday Constants -'!B4624:W5310,22,false)</f>
        <v>#N/A</v>
      </c>
      <c r="N4625" s="1" t="s">
        <v>32</v>
      </c>
      <c r="O4625" s="1" t="s">
        <v>33</v>
      </c>
      <c r="P4625" s="1" t="s">
        <v>82</v>
      </c>
      <c r="Q4625" s="1" t="s">
        <v>82</v>
      </c>
      <c r="R4625" s="1" t="s">
        <v>83</v>
      </c>
      <c r="S4625" s="1" t="s">
        <v>180</v>
      </c>
      <c r="T4625" s="1">
        <v>1.0090037E8</v>
      </c>
      <c r="W4625" s="1" t="s">
        <v>85</v>
      </c>
      <c r="X4625" s="1" t="s">
        <v>4124</v>
      </c>
    </row>
    <row r="4626">
      <c r="A4626" s="1" t="s">
        <v>13004</v>
      </c>
      <c r="B4626" s="1" t="s">
        <v>931</v>
      </c>
      <c r="C4626" s="1" t="s">
        <v>13005</v>
      </c>
      <c r="D4626" s="1" t="s">
        <v>51</v>
      </c>
      <c r="E4626" s="1" t="s">
        <v>29</v>
      </c>
      <c r="F4626" s="5">
        <v>100000.0</v>
      </c>
      <c r="G4626" s="1" t="s">
        <v>7016</v>
      </c>
      <c r="H4626" s="1" t="s">
        <v>9939</v>
      </c>
      <c r="I4626" s="1" t="s">
        <v>152</v>
      </c>
      <c r="K4626" s="1">
        <v>0.0</v>
      </c>
      <c r="L4626" s="1" t="s">
        <v>4682</v>
      </c>
      <c r="M4626" s="1" t="str">
        <f>VLOOKUP(L4626,'Copy of PMD Workday Constants -'!B4625:W5311,22,false)</f>
        <v>#N/A</v>
      </c>
      <c r="N4626" s="1" t="s">
        <v>32</v>
      </c>
      <c r="O4626" s="1" t="s">
        <v>33</v>
      </c>
      <c r="P4626" s="1" t="s">
        <v>173</v>
      </c>
      <c r="Q4626" s="1" t="s">
        <v>173</v>
      </c>
      <c r="R4626" s="1" t="s">
        <v>174</v>
      </c>
      <c r="S4626" s="1" t="s">
        <v>153</v>
      </c>
      <c r="T4626" s="1">
        <v>1.0064746E8</v>
      </c>
      <c r="W4626" s="1" t="s">
        <v>85</v>
      </c>
      <c r="X4626" s="1" t="s">
        <v>4682</v>
      </c>
    </row>
    <row r="4627">
      <c r="A4627" s="1" t="s">
        <v>13006</v>
      </c>
      <c r="B4627" s="1" t="s">
        <v>13007</v>
      </c>
      <c r="C4627" s="1" t="s">
        <v>13008</v>
      </c>
      <c r="D4627" s="1" t="s">
        <v>79</v>
      </c>
      <c r="E4627" s="1" t="s">
        <v>29</v>
      </c>
      <c r="F4627" s="5">
        <v>100000.0</v>
      </c>
      <c r="G4627" s="1" t="s">
        <v>7016</v>
      </c>
      <c r="H4627" s="1" t="s">
        <v>301</v>
      </c>
      <c r="I4627" s="1" t="s">
        <v>810</v>
      </c>
      <c r="K4627" s="1">
        <v>0.0</v>
      </c>
      <c r="L4627" s="1" t="s">
        <v>499</v>
      </c>
      <c r="M4627" s="1" t="str">
        <f>VLOOKUP(L4627,'Copy of PMD Workday Constants -'!B4626:W5312,22,false)</f>
        <v>#N/A</v>
      </c>
      <c r="N4627" s="1" t="s">
        <v>32</v>
      </c>
      <c r="O4627" s="1" t="s">
        <v>33</v>
      </c>
      <c r="P4627" s="1" t="s">
        <v>34</v>
      </c>
      <c r="Q4627" s="1" t="s">
        <v>34</v>
      </c>
      <c r="R4627" s="1" t="s">
        <v>35</v>
      </c>
      <c r="T4627" s="1">
        <v>1.00627768E8</v>
      </c>
      <c r="W4627" s="1" t="s">
        <v>91</v>
      </c>
      <c r="X4627" s="1" t="s">
        <v>499</v>
      </c>
    </row>
    <row r="4628">
      <c r="A4628" s="1" t="s">
        <v>13009</v>
      </c>
      <c r="B4628" s="1" t="s">
        <v>1609</v>
      </c>
      <c r="C4628" s="1" t="s">
        <v>13010</v>
      </c>
      <c r="D4628" s="1" t="s">
        <v>28</v>
      </c>
      <c r="E4628" s="1" t="s">
        <v>29</v>
      </c>
      <c r="F4628" s="5">
        <v>100000.0</v>
      </c>
      <c r="G4628" s="1" t="s">
        <v>7016</v>
      </c>
      <c r="H4628" s="1" t="s">
        <v>13011</v>
      </c>
      <c r="I4628" s="1" t="s">
        <v>414</v>
      </c>
      <c r="K4628" s="1">
        <v>0.0</v>
      </c>
      <c r="L4628" s="1" t="s">
        <v>2205</v>
      </c>
      <c r="M4628" s="1" t="str">
        <f>VLOOKUP(L4628,'Copy of PMD Workday Constants -'!B4627:W5313,22,false)</f>
        <v>#N/A</v>
      </c>
      <c r="N4628" s="1" t="s">
        <v>32</v>
      </c>
      <c r="O4628" s="1" t="s">
        <v>33</v>
      </c>
      <c r="P4628" s="1" t="s">
        <v>112</v>
      </c>
      <c r="Q4628" s="1" t="s">
        <v>112</v>
      </c>
      <c r="R4628" s="1" t="s">
        <v>113</v>
      </c>
      <c r="S4628" s="1" t="s">
        <v>66</v>
      </c>
      <c r="T4628" s="1">
        <v>1.0059365E8</v>
      </c>
      <c r="W4628" s="1" t="s">
        <v>391</v>
      </c>
      <c r="X4628" s="1" t="s">
        <v>13012</v>
      </c>
    </row>
    <row r="4629">
      <c r="A4629" s="1" t="s">
        <v>13013</v>
      </c>
      <c r="B4629" s="1" t="s">
        <v>2323</v>
      </c>
      <c r="C4629" s="1" t="s">
        <v>4123</v>
      </c>
      <c r="D4629" s="1" t="s">
        <v>28</v>
      </c>
      <c r="E4629" s="1" t="s">
        <v>29</v>
      </c>
      <c r="F4629" s="5">
        <v>100000.0</v>
      </c>
      <c r="G4629" s="1" t="s">
        <v>7016</v>
      </c>
      <c r="H4629" s="1" t="s">
        <v>434</v>
      </c>
      <c r="I4629" s="1" t="s">
        <v>302</v>
      </c>
      <c r="K4629" s="1">
        <v>0.0</v>
      </c>
      <c r="L4629" s="1" t="s">
        <v>1036</v>
      </c>
      <c r="M4629" s="1" t="str">
        <f>VLOOKUP(L4629,'Copy of PMD Workday Constants -'!B4628:W5314,22,false)</f>
        <v>#N/A</v>
      </c>
      <c r="N4629" s="1" t="s">
        <v>32</v>
      </c>
      <c r="O4629" s="1" t="s">
        <v>33</v>
      </c>
      <c r="P4629" s="1" t="s">
        <v>82</v>
      </c>
      <c r="Q4629" s="1" t="s">
        <v>82</v>
      </c>
      <c r="R4629" s="1" t="s">
        <v>83</v>
      </c>
      <c r="S4629" s="1" t="s">
        <v>180</v>
      </c>
      <c r="T4629" s="1">
        <v>1.0090037E8</v>
      </c>
      <c r="W4629" s="1" t="s">
        <v>85</v>
      </c>
      <c r="X4629" s="1" t="s">
        <v>4124</v>
      </c>
    </row>
    <row r="4630">
      <c r="A4630" s="1" t="s">
        <v>13014</v>
      </c>
      <c r="B4630" s="1" t="s">
        <v>973</v>
      </c>
      <c r="C4630" s="1" t="s">
        <v>13015</v>
      </c>
      <c r="D4630" s="1" t="s">
        <v>28</v>
      </c>
      <c r="E4630" s="1" t="s">
        <v>29</v>
      </c>
      <c r="F4630" s="5">
        <v>100000.0</v>
      </c>
      <c r="G4630" s="1" t="s">
        <v>7016</v>
      </c>
      <c r="H4630" s="4">
        <v>44717.0</v>
      </c>
      <c r="I4630" s="1" t="s">
        <v>237</v>
      </c>
      <c r="K4630" s="1">
        <v>0.0</v>
      </c>
      <c r="L4630" s="1" t="s">
        <v>976</v>
      </c>
      <c r="M4630" s="1" t="str">
        <f>VLOOKUP(L4630,'Copy of PMD Workday Constants -'!B4629:W5315,22,false)</f>
        <v>#N/A</v>
      </c>
      <c r="N4630" s="1" t="s">
        <v>32</v>
      </c>
      <c r="O4630" s="1" t="s">
        <v>33</v>
      </c>
      <c r="P4630" s="1" t="s">
        <v>173</v>
      </c>
      <c r="Q4630" s="1" t="s">
        <v>173</v>
      </c>
      <c r="R4630" s="1" t="s">
        <v>174</v>
      </c>
      <c r="T4630" s="1">
        <v>1.00611358E8</v>
      </c>
      <c r="W4630" s="1" t="s">
        <v>456</v>
      </c>
      <c r="X4630" s="1" t="s">
        <v>977</v>
      </c>
    </row>
    <row r="4631">
      <c r="A4631" s="1" t="s">
        <v>13016</v>
      </c>
      <c r="B4631" s="1" t="s">
        <v>8324</v>
      </c>
      <c r="C4631" s="1" t="s">
        <v>13017</v>
      </c>
      <c r="D4631" s="1" t="s">
        <v>28</v>
      </c>
      <c r="E4631" s="1" t="s">
        <v>29</v>
      </c>
      <c r="F4631" s="5">
        <v>100000.0</v>
      </c>
      <c r="G4631" s="1" t="s">
        <v>7016</v>
      </c>
      <c r="H4631" s="1" t="s">
        <v>498</v>
      </c>
      <c r="I4631" s="1" t="s">
        <v>302</v>
      </c>
      <c r="K4631" s="1">
        <v>0.0</v>
      </c>
      <c r="L4631" s="1" t="s">
        <v>2325</v>
      </c>
      <c r="M4631" s="1" t="str">
        <f>VLOOKUP(L4631,'Copy of PMD Workday Constants -'!B4630:W5316,22,false)</f>
        <v>#N/A</v>
      </c>
      <c r="N4631" s="1" t="s">
        <v>32</v>
      </c>
      <c r="O4631" s="1" t="s">
        <v>33</v>
      </c>
      <c r="P4631" s="1" t="s">
        <v>82</v>
      </c>
      <c r="Q4631" s="1" t="s">
        <v>82</v>
      </c>
      <c r="R4631" s="1" t="s">
        <v>83</v>
      </c>
      <c r="S4631" s="1" t="s">
        <v>180</v>
      </c>
      <c r="T4631" s="1">
        <v>1.00628181E8</v>
      </c>
      <c r="W4631" s="1" t="s">
        <v>85</v>
      </c>
      <c r="X4631" s="1" t="s">
        <v>2325</v>
      </c>
    </row>
    <row r="4632">
      <c r="A4632" s="1" t="s">
        <v>13018</v>
      </c>
      <c r="B4632" s="1" t="s">
        <v>1583</v>
      </c>
      <c r="C4632" s="1" t="s">
        <v>13019</v>
      </c>
      <c r="D4632" s="1" t="s">
        <v>28</v>
      </c>
      <c r="E4632" s="1" t="s">
        <v>29</v>
      </c>
      <c r="F4632" s="5">
        <v>100000.0</v>
      </c>
      <c r="G4632" s="1" t="s">
        <v>7016</v>
      </c>
      <c r="H4632" s="1" t="s">
        <v>498</v>
      </c>
      <c r="I4632" s="1" t="s">
        <v>191</v>
      </c>
      <c r="K4632" s="1">
        <v>0.0</v>
      </c>
      <c r="L4632" s="1" t="s">
        <v>2325</v>
      </c>
      <c r="M4632" s="1" t="str">
        <f>VLOOKUP(L4632,'Copy of PMD Workday Constants -'!B4631:W5317,22,false)</f>
        <v>#N/A</v>
      </c>
      <c r="N4632" s="1" t="s">
        <v>32</v>
      </c>
      <c r="O4632" s="1" t="s">
        <v>33</v>
      </c>
      <c r="P4632" s="1" t="s">
        <v>82</v>
      </c>
      <c r="Q4632" s="1" t="s">
        <v>82</v>
      </c>
      <c r="R4632" s="1" t="s">
        <v>83</v>
      </c>
      <c r="S4632" s="1" t="s">
        <v>180</v>
      </c>
      <c r="T4632" s="1">
        <v>1.00628181E8</v>
      </c>
      <c r="W4632" s="1" t="s">
        <v>85</v>
      </c>
      <c r="X4632" s="1" t="s">
        <v>2325</v>
      </c>
    </row>
    <row r="4633">
      <c r="A4633" s="1" t="s">
        <v>13020</v>
      </c>
      <c r="B4633" s="1" t="s">
        <v>4238</v>
      </c>
      <c r="C4633" s="1" t="s">
        <v>13021</v>
      </c>
      <c r="D4633" s="1" t="s">
        <v>51</v>
      </c>
      <c r="E4633" s="1" t="s">
        <v>29</v>
      </c>
      <c r="F4633" s="5">
        <v>100000.0</v>
      </c>
      <c r="G4633" s="1" t="s">
        <v>7016</v>
      </c>
      <c r="H4633" s="4">
        <v>44442.0</v>
      </c>
      <c r="I4633" s="1" t="s">
        <v>302</v>
      </c>
      <c r="K4633" s="1">
        <v>0.0</v>
      </c>
      <c r="L4633" s="1" t="s">
        <v>4240</v>
      </c>
      <c r="M4633" s="1" t="str">
        <f>VLOOKUP(L4633,'Copy of PMD Workday Constants -'!B4632:W5318,22,false)</f>
        <v>#N/A</v>
      </c>
      <c r="N4633" s="1" t="s">
        <v>32</v>
      </c>
      <c r="O4633" s="1" t="s">
        <v>33</v>
      </c>
      <c r="P4633" s="1" t="s">
        <v>210</v>
      </c>
      <c r="Q4633" s="1" t="s">
        <v>210</v>
      </c>
      <c r="R4633" s="1" t="s">
        <v>211</v>
      </c>
      <c r="S4633" s="1" t="s">
        <v>416</v>
      </c>
      <c r="T4633" s="1">
        <v>1.00625459E8</v>
      </c>
      <c r="W4633" s="1" t="s">
        <v>436</v>
      </c>
      <c r="X4633" s="1" t="s">
        <v>1511</v>
      </c>
    </row>
    <row r="4634">
      <c r="A4634" s="1" t="s">
        <v>13022</v>
      </c>
      <c r="B4634" s="1" t="s">
        <v>12845</v>
      </c>
      <c r="C4634" s="1" t="s">
        <v>13023</v>
      </c>
      <c r="D4634" s="1" t="s">
        <v>51</v>
      </c>
      <c r="E4634" s="1" t="s">
        <v>29</v>
      </c>
      <c r="F4634" s="5">
        <v>100000.0</v>
      </c>
      <c r="G4634" s="1" t="s">
        <v>7016</v>
      </c>
      <c r="H4634" s="1" t="s">
        <v>434</v>
      </c>
      <c r="I4634" s="1" t="s">
        <v>661</v>
      </c>
      <c r="K4634" s="1">
        <v>0.0</v>
      </c>
      <c r="L4634" s="1" t="s">
        <v>4679</v>
      </c>
      <c r="M4634" s="1" t="str">
        <f>VLOOKUP(L4634,'Copy of PMD Workday Constants -'!B4633:W5319,22,false)</f>
        <v>#N/A</v>
      </c>
      <c r="N4634" s="1" t="s">
        <v>32</v>
      </c>
      <c r="O4634" s="1" t="s">
        <v>33</v>
      </c>
      <c r="P4634" s="1" t="s">
        <v>222</v>
      </c>
      <c r="Q4634" s="1" t="s">
        <v>222</v>
      </c>
      <c r="R4634" s="1" t="s">
        <v>223</v>
      </c>
      <c r="S4634" s="1" t="s">
        <v>482</v>
      </c>
      <c r="T4634" s="1">
        <v>1.00620023E8</v>
      </c>
      <c r="W4634" s="1" t="s">
        <v>1801</v>
      </c>
      <c r="X4634" s="1" t="s">
        <v>11020</v>
      </c>
    </row>
    <row r="4635">
      <c r="A4635" s="1" t="s">
        <v>13024</v>
      </c>
      <c r="B4635" s="1" t="s">
        <v>458</v>
      </c>
      <c r="C4635" s="1" t="s">
        <v>13025</v>
      </c>
      <c r="D4635" s="1" t="s">
        <v>103</v>
      </c>
      <c r="E4635" s="1" t="s">
        <v>29</v>
      </c>
      <c r="F4635" s="5">
        <v>100000.0</v>
      </c>
      <c r="G4635" s="1" t="s">
        <v>7016</v>
      </c>
      <c r="H4635" s="4">
        <v>44239.0</v>
      </c>
      <c r="I4635" s="1" t="s">
        <v>80</v>
      </c>
      <c r="K4635" s="1">
        <v>0.0</v>
      </c>
      <c r="L4635" s="1" t="s">
        <v>4794</v>
      </c>
      <c r="M4635" s="1" t="str">
        <f>VLOOKUP(L4635,'Copy of PMD Workday Constants -'!B4634:W5320,22,false)</f>
        <v>#N/A</v>
      </c>
      <c r="N4635" s="1" t="s">
        <v>32</v>
      </c>
      <c r="O4635" s="1" t="s">
        <v>33</v>
      </c>
      <c r="P4635" s="1" t="s">
        <v>173</v>
      </c>
      <c r="Q4635" s="1" t="s">
        <v>173</v>
      </c>
      <c r="R4635" s="1" t="s">
        <v>174</v>
      </c>
      <c r="T4635" s="1">
        <v>1.00875111E8</v>
      </c>
      <c r="W4635" s="1" t="s">
        <v>56</v>
      </c>
      <c r="X4635" s="1" t="s">
        <v>13026</v>
      </c>
    </row>
    <row r="4636">
      <c r="A4636" s="1" t="s">
        <v>13027</v>
      </c>
      <c r="B4636" s="1" t="s">
        <v>12372</v>
      </c>
      <c r="C4636" s="1" t="s">
        <v>13028</v>
      </c>
      <c r="D4636" s="1" t="s">
        <v>28</v>
      </c>
      <c r="E4636" s="1" t="s">
        <v>29</v>
      </c>
      <c r="F4636" s="5">
        <v>100000.0</v>
      </c>
      <c r="G4636" s="1" t="s">
        <v>7016</v>
      </c>
      <c r="H4636" s="1" t="s">
        <v>498</v>
      </c>
      <c r="I4636" s="1" t="s">
        <v>302</v>
      </c>
      <c r="K4636" s="1">
        <v>0.0</v>
      </c>
      <c r="L4636" s="1" t="s">
        <v>2325</v>
      </c>
      <c r="M4636" s="1" t="str">
        <f>VLOOKUP(L4636,'Copy of PMD Workday Constants -'!B4635:W5321,22,false)</f>
        <v>#N/A</v>
      </c>
      <c r="N4636" s="1" t="s">
        <v>32</v>
      </c>
      <c r="O4636" s="1" t="s">
        <v>33</v>
      </c>
      <c r="P4636" s="1" t="s">
        <v>82</v>
      </c>
      <c r="Q4636" s="1" t="s">
        <v>82</v>
      </c>
      <c r="R4636" s="1" t="s">
        <v>83</v>
      </c>
      <c r="S4636" s="1" t="s">
        <v>180</v>
      </c>
      <c r="T4636" s="1">
        <v>1.00628181E8</v>
      </c>
      <c r="W4636" s="1" t="s">
        <v>85</v>
      </c>
      <c r="X4636" s="1" t="s">
        <v>2325</v>
      </c>
    </row>
    <row r="4637">
      <c r="A4637" s="1" t="s">
        <v>13029</v>
      </c>
      <c r="B4637" s="1" t="s">
        <v>11465</v>
      </c>
      <c r="C4637" s="1" t="s">
        <v>13030</v>
      </c>
      <c r="D4637" s="1" t="s">
        <v>28</v>
      </c>
      <c r="E4637" s="1" t="s">
        <v>29</v>
      </c>
      <c r="F4637" s="5">
        <v>100000.0</v>
      </c>
      <c r="G4637" s="1" t="s">
        <v>7016</v>
      </c>
      <c r="H4637" s="1" t="s">
        <v>498</v>
      </c>
      <c r="I4637" s="1" t="s">
        <v>302</v>
      </c>
      <c r="K4637" s="1">
        <v>0.0</v>
      </c>
      <c r="L4637" s="1" t="s">
        <v>2325</v>
      </c>
      <c r="M4637" s="1" t="str">
        <f>VLOOKUP(L4637,'Copy of PMD Workday Constants -'!B4636:W5322,22,false)</f>
        <v>#N/A</v>
      </c>
      <c r="N4637" s="1" t="s">
        <v>32</v>
      </c>
      <c r="O4637" s="1" t="s">
        <v>33</v>
      </c>
      <c r="P4637" s="1" t="s">
        <v>82</v>
      </c>
      <c r="Q4637" s="1" t="s">
        <v>82</v>
      </c>
      <c r="R4637" s="1" t="s">
        <v>83</v>
      </c>
      <c r="S4637" s="1" t="s">
        <v>180</v>
      </c>
      <c r="T4637" s="1">
        <v>1.00628181E8</v>
      </c>
      <c r="W4637" s="1" t="s">
        <v>85</v>
      </c>
      <c r="X4637" s="1" t="s">
        <v>2325</v>
      </c>
    </row>
    <row r="4638">
      <c r="A4638" s="1" t="s">
        <v>13031</v>
      </c>
      <c r="B4638" s="1" t="s">
        <v>903</v>
      </c>
      <c r="C4638" s="1" t="s">
        <v>13032</v>
      </c>
      <c r="D4638" s="1" t="s">
        <v>103</v>
      </c>
      <c r="E4638" s="1" t="s">
        <v>29</v>
      </c>
      <c r="F4638" s="5">
        <v>100000.0</v>
      </c>
      <c r="G4638" s="1" t="s">
        <v>7016</v>
      </c>
      <c r="H4638" s="4">
        <v>44744.0</v>
      </c>
      <c r="I4638" s="1" t="s">
        <v>732</v>
      </c>
      <c r="K4638" s="1">
        <v>0.0</v>
      </c>
      <c r="L4638" s="1" t="s">
        <v>5295</v>
      </c>
      <c r="M4638" s="1" t="str">
        <f>VLOOKUP(L4638,'Copy of PMD Workday Constants -'!B4637:W5323,22,false)</f>
        <v>#N/A</v>
      </c>
      <c r="N4638" s="1" t="s">
        <v>32</v>
      </c>
      <c r="O4638" s="1" t="s">
        <v>33</v>
      </c>
      <c r="P4638" s="1" t="s">
        <v>222</v>
      </c>
      <c r="Q4638" s="1" t="s">
        <v>222</v>
      </c>
      <c r="R4638" s="1" t="s">
        <v>223</v>
      </c>
      <c r="S4638" s="1" t="s">
        <v>482</v>
      </c>
      <c r="T4638" s="1">
        <v>1.00605581E8</v>
      </c>
      <c r="W4638" s="1" t="s">
        <v>85</v>
      </c>
      <c r="X4638" s="1" t="s">
        <v>3727</v>
      </c>
    </row>
    <row r="4639">
      <c r="A4639" s="1" t="s">
        <v>13033</v>
      </c>
      <c r="B4639" s="1" t="s">
        <v>2495</v>
      </c>
      <c r="C4639" s="1" t="s">
        <v>13034</v>
      </c>
      <c r="D4639" s="1" t="s">
        <v>28</v>
      </c>
      <c r="E4639" s="1" t="s">
        <v>29</v>
      </c>
      <c r="F4639" s="5">
        <v>100000.0</v>
      </c>
      <c r="G4639" s="1" t="s">
        <v>7016</v>
      </c>
      <c r="H4639" s="1" t="s">
        <v>498</v>
      </c>
      <c r="I4639" s="1" t="s">
        <v>191</v>
      </c>
      <c r="K4639" s="1">
        <v>0.0</v>
      </c>
      <c r="L4639" s="1" t="s">
        <v>2325</v>
      </c>
      <c r="M4639" s="1" t="str">
        <f>VLOOKUP(L4639,'Copy of PMD Workday Constants -'!B4638:W5324,22,false)</f>
        <v>#N/A</v>
      </c>
      <c r="N4639" s="1" t="s">
        <v>32</v>
      </c>
      <c r="O4639" s="1" t="s">
        <v>33</v>
      </c>
      <c r="P4639" s="1" t="s">
        <v>82</v>
      </c>
      <c r="Q4639" s="1" t="s">
        <v>82</v>
      </c>
      <c r="R4639" s="1" t="s">
        <v>83</v>
      </c>
      <c r="S4639" s="1" t="s">
        <v>180</v>
      </c>
      <c r="T4639" s="1">
        <v>1.00628181E8</v>
      </c>
      <c r="W4639" s="1" t="s">
        <v>85</v>
      </c>
      <c r="X4639" s="1" t="s">
        <v>2325</v>
      </c>
    </row>
    <row r="4640">
      <c r="A4640" s="1" t="s">
        <v>13035</v>
      </c>
      <c r="B4640" s="1" t="s">
        <v>1138</v>
      </c>
      <c r="C4640" s="1" t="s">
        <v>13036</v>
      </c>
      <c r="D4640" s="1" t="s">
        <v>28</v>
      </c>
      <c r="E4640" s="1" t="s">
        <v>29</v>
      </c>
      <c r="F4640" s="5">
        <v>100000.0</v>
      </c>
      <c r="G4640" s="1" t="s">
        <v>7016</v>
      </c>
      <c r="H4640" s="1" t="s">
        <v>498</v>
      </c>
      <c r="I4640" s="1" t="s">
        <v>191</v>
      </c>
      <c r="K4640" s="1">
        <v>0.0</v>
      </c>
      <c r="L4640" s="1" t="s">
        <v>2325</v>
      </c>
      <c r="M4640" s="1" t="str">
        <f>VLOOKUP(L4640,'Copy of PMD Workday Constants -'!B4639:W5325,22,false)</f>
        <v>#N/A</v>
      </c>
      <c r="N4640" s="1" t="s">
        <v>32</v>
      </c>
      <c r="O4640" s="1" t="s">
        <v>33</v>
      </c>
      <c r="P4640" s="1" t="s">
        <v>82</v>
      </c>
      <c r="Q4640" s="1" t="s">
        <v>82</v>
      </c>
      <c r="R4640" s="1" t="s">
        <v>83</v>
      </c>
      <c r="S4640" s="1" t="s">
        <v>180</v>
      </c>
      <c r="T4640" s="1">
        <v>1.00628181E8</v>
      </c>
      <c r="W4640" s="1" t="s">
        <v>85</v>
      </c>
      <c r="X4640" s="1" t="s">
        <v>2325</v>
      </c>
    </row>
    <row r="4641">
      <c r="A4641" s="1" t="s">
        <v>13037</v>
      </c>
      <c r="B4641" s="1" t="s">
        <v>9127</v>
      </c>
      <c r="C4641" s="1" t="s">
        <v>13038</v>
      </c>
      <c r="D4641" s="1" t="s">
        <v>28</v>
      </c>
      <c r="E4641" s="1" t="s">
        <v>29</v>
      </c>
      <c r="F4641" s="5">
        <v>100000.0</v>
      </c>
      <c r="G4641" s="1" t="s">
        <v>7016</v>
      </c>
      <c r="H4641" s="1" t="s">
        <v>498</v>
      </c>
      <c r="I4641" s="1" t="s">
        <v>152</v>
      </c>
      <c r="K4641" s="1">
        <v>0.0</v>
      </c>
      <c r="L4641" s="1" t="s">
        <v>2325</v>
      </c>
      <c r="M4641" s="1" t="str">
        <f>VLOOKUP(L4641,'Copy of PMD Workday Constants -'!B4640:W5326,22,false)</f>
        <v>#N/A</v>
      </c>
      <c r="N4641" s="1" t="s">
        <v>32</v>
      </c>
      <c r="O4641" s="1" t="s">
        <v>33</v>
      </c>
      <c r="P4641" s="1" t="s">
        <v>82</v>
      </c>
      <c r="Q4641" s="1" t="s">
        <v>82</v>
      </c>
      <c r="R4641" s="1" t="s">
        <v>83</v>
      </c>
      <c r="S4641" s="1" t="s">
        <v>180</v>
      </c>
      <c r="T4641" s="1">
        <v>1.00628181E8</v>
      </c>
      <c r="W4641" s="1" t="s">
        <v>85</v>
      </c>
      <c r="X4641" s="1" t="s">
        <v>2325</v>
      </c>
    </row>
    <row r="4642">
      <c r="A4642" s="1" t="s">
        <v>13039</v>
      </c>
      <c r="B4642" s="1" t="s">
        <v>657</v>
      </c>
      <c r="C4642" s="1" t="s">
        <v>13040</v>
      </c>
      <c r="D4642" s="1" t="s">
        <v>28</v>
      </c>
      <c r="E4642" s="1" t="s">
        <v>29</v>
      </c>
      <c r="F4642" s="5">
        <v>100000.0</v>
      </c>
      <c r="G4642" s="1" t="s">
        <v>7016</v>
      </c>
      <c r="H4642" s="1" t="s">
        <v>498</v>
      </c>
      <c r="I4642" s="1" t="s">
        <v>191</v>
      </c>
      <c r="K4642" s="1">
        <v>0.0</v>
      </c>
      <c r="L4642" s="1" t="s">
        <v>2325</v>
      </c>
      <c r="M4642" s="1" t="str">
        <f>VLOOKUP(L4642,'Copy of PMD Workday Constants -'!B4641:W5327,22,false)</f>
        <v>#N/A</v>
      </c>
      <c r="N4642" s="1" t="s">
        <v>32</v>
      </c>
      <c r="O4642" s="1" t="s">
        <v>33</v>
      </c>
      <c r="P4642" s="1" t="s">
        <v>82</v>
      </c>
      <c r="Q4642" s="1" t="s">
        <v>82</v>
      </c>
      <c r="R4642" s="1" t="s">
        <v>83</v>
      </c>
      <c r="S4642" s="1" t="s">
        <v>180</v>
      </c>
      <c r="T4642" s="1">
        <v>1.00628181E8</v>
      </c>
      <c r="W4642" s="1" t="s">
        <v>85</v>
      </c>
      <c r="X4642" s="1" t="s">
        <v>2325</v>
      </c>
    </row>
    <row r="4643">
      <c r="A4643" s="1" t="s">
        <v>13041</v>
      </c>
      <c r="B4643" s="1" t="s">
        <v>13042</v>
      </c>
      <c r="C4643" s="1" t="s">
        <v>13043</v>
      </c>
      <c r="D4643" s="1" t="s">
        <v>28</v>
      </c>
      <c r="E4643" s="1" t="s">
        <v>29</v>
      </c>
      <c r="F4643" s="5">
        <v>100000.0</v>
      </c>
      <c r="G4643" s="1" t="s">
        <v>7016</v>
      </c>
      <c r="H4643" s="1" t="s">
        <v>498</v>
      </c>
      <c r="I4643" s="1" t="s">
        <v>132</v>
      </c>
      <c r="K4643" s="1">
        <v>0.0</v>
      </c>
      <c r="L4643" s="1" t="s">
        <v>2325</v>
      </c>
      <c r="M4643" s="1" t="str">
        <f>VLOOKUP(L4643,'Copy of PMD Workday Constants -'!B4642:W5328,22,false)</f>
        <v>#N/A</v>
      </c>
      <c r="N4643" s="1" t="s">
        <v>32</v>
      </c>
      <c r="O4643" s="1" t="s">
        <v>33</v>
      </c>
      <c r="P4643" s="1" t="s">
        <v>82</v>
      </c>
      <c r="Q4643" s="1" t="s">
        <v>82</v>
      </c>
      <c r="R4643" s="1" t="s">
        <v>83</v>
      </c>
      <c r="S4643" s="1" t="s">
        <v>180</v>
      </c>
      <c r="T4643" s="1">
        <v>1.00628181E8</v>
      </c>
      <c r="W4643" s="1" t="s">
        <v>85</v>
      </c>
      <c r="X4643" s="1" t="s">
        <v>2325</v>
      </c>
    </row>
    <row r="4644">
      <c r="A4644" s="1" t="s">
        <v>13044</v>
      </c>
      <c r="B4644" s="1" t="s">
        <v>6165</v>
      </c>
      <c r="C4644" s="1" t="s">
        <v>13045</v>
      </c>
      <c r="D4644" s="1" t="s">
        <v>51</v>
      </c>
      <c r="E4644" s="1" t="s">
        <v>29</v>
      </c>
      <c r="F4644" s="5">
        <v>100000.0</v>
      </c>
      <c r="G4644" s="1" t="s">
        <v>7016</v>
      </c>
      <c r="H4644" s="1" t="s">
        <v>498</v>
      </c>
      <c r="I4644" s="1" t="s">
        <v>152</v>
      </c>
      <c r="K4644" s="1">
        <v>0.0</v>
      </c>
      <c r="L4644" s="1" t="s">
        <v>2325</v>
      </c>
      <c r="M4644" s="1" t="str">
        <f>VLOOKUP(L4644,'Copy of PMD Workday Constants -'!B4643:W5329,22,false)</f>
        <v>#N/A</v>
      </c>
      <c r="N4644" s="1" t="s">
        <v>32</v>
      </c>
      <c r="O4644" s="1" t="s">
        <v>33</v>
      </c>
      <c r="P4644" s="1" t="s">
        <v>82</v>
      </c>
      <c r="Q4644" s="1" t="s">
        <v>82</v>
      </c>
      <c r="R4644" s="1" t="s">
        <v>83</v>
      </c>
      <c r="S4644" s="1" t="s">
        <v>180</v>
      </c>
      <c r="T4644" s="1">
        <v>1.00628181E8</v>
      </c>
      <c r="W4644" s="1" t="s">
        <v>85</v>
      </c>
      <c r="X4644" s="1" t="s">
        <v>2325</v>
      </c>
    </row>
    <row r="4645">
      <c r="A4645" s="1" t="s">
        <v>13046</v>
      </c>
      <c r="B4645" s="1" t="s">
        <v>411</v>
      </c>
      <c r="C4645" s="1" t="s">
        <v>13047</v>
      </c>
      <c r="D4645" s="1" t="s">
        <v>103</v>
      </c>
      <c r="E4645" s="1" t="s">
        <v>29</v>
      </c>
      <c r="F4645" s="5">
        <v>100000.0</v>
      </c>
      <c r="G4645" s="1" t="s">
        <v>7016</v>
      </c>
      <c r="H4645" s="4">
        <v>44775.0</v>
      </c>
      <c r="I4645" s="1" t="s">
        <v>313</v>
      </c>
      <c r="K4645" s="1">
        <v>0.0</v>
      </c>
      <c r="L4645" s="1" t="s">
        <v>1870</v>
      </c>
      <c r="M4645" s="1" t="str">
        <f>VLOOKUP(L4645,'Copy of PMD Workday Constants -'!B4644:W5330,22,false)</f>
        <v>#N/A</v>
      </c>
      <c r="N4645" s="1" t="s">
        <v>32</v>
      </c>
      <c r="O4645" s="1" t="s">
        <v>33</v>
      </c>
      <c r="P4645" s="1" t="s">
        <v>112</v>
      </c>
      <c r="Q4645" s="1" t="s">
        <v>112</v>
      </c>
      <c r="R4645" s="1" t="s">
        <v>113</v>
      </c>
      <c r="S4645" s="1" t="s">
        <v>1336</v>
      </c>
      <c r="T4645" s="1">
        <v>1.00638639E8</v>
      </c>
      <c r="W4645" s="1" t="s">
        <v>56</v>
      </c>
      <c r="X4645" s="1" t="s">
        <v>13048</v>
      </c>
    </row>
    <row r="4646">
      <c r="A4646" s="1" t="s">
        <v>13049</v>
      </c>
      <c r="B4646" s="1" t="s">
        <v>1062</v>
      </c>
      <c r="C4646" s="1" t="s">
        <v>13050</v>
      </c>
      <c r="D4646" s="1" t="s">
        <v>28</v>
      </c>
      <c r="E4646" s="1" t="s">
        <v>29</v>
      </c>
      <c r="F4646" s="5">
        <v>100000.0</v>
      </c>
      <c r="G4646" s="1" t="s">
        <v>7016</v>
      </c>
      <c r="H4646" s="1" t="s">
        <v>61</v>
      </c>
      <c r="I4646" s="1" t="s">
        <v>80</v>
      </c>
      <c r="K4646" s="1">
        <v>0.0</v>
      </c>
      <c r="L4646" s="1" t="s">
        <v>3630</v>
      </c>
      <c r="M4646" s="1" t="str">
        <f>VLOOKUP(L4646,'Copy of PMD Workday Constants -'!B4645:W5331,22,false)</f>
        <v>#N/A</v>
      </c>
      <c r="N4646" s="1" t="s">
        <v>32</v>
      </c>
      <c r="O4646" s="1" t="s">
        <v>33</v>
      </c>
      <c r="P4646" s="1" t="s">
        <v>64</v>
      </c>
      <c r="Q4646" s="1" t="s">
        <v>64</v>
      </c>
      <c r="R4646" s="1" t="s">
        <v>65</v>
      </c>
      <c r="S4646" s="1" t="s">
        <v>185</v>
      </c>
      <c r="T4646" s="1">
        <v>1.00650382E8</v>
      </c>
      <c r="W4646" s="1" t="s">
        <v>493</v>
      </c>
      <c r="X4646" s="1" t="s">
        <v>13051</v>
      </c>
    </row>
    <row r="4647">
      <c r="A4647" s="1" t="s">
        <v>13052</v>
      </c>
      <c r="B4647" s="1" t="s">
        <v>3420</v>
      </c>
      <c r="C4647" s="1" t="s">
        <v>13053</v>
      </c>
      <c r="D4647" s="1" t="s">
        <v>28</v>
      </c>
      <c r="E4647" s="1" t="s">
        <v>29</v>
      </c>
      <c r="F4647" s="5">
        <v>100000.0</v>
      </c>
      <c r="G4647" s="1" t="s">
        <v>7016</v>
      </c>
      <c r="H4647" s="4">
        <v>44239.0</v>
      </c>
      <c r="I4647" s="1" t="s">
        <v>152</v>
      </c>
      <c r="K4647" s="1">
        <v>0.0</v>
      </c>
      <c r="L4647" s="1" t="s">
        <v>1130</v>
      </c>
      <c r="M4647" s="1" t="str">
        <f>VLOOKUP(L4647,'Copy of PMD Workday Constants -'!B4646:W5332,22,false)</f>
        <v>#N/A</v>
      </c>
      <c r="N4647" s="1" t="s">
        <v>32</v>
      </c>
      <c r="O4647" s="1" t="s">
        <v>33</v>
      </c>
      <c r="P4647" s="1" t="s">
        <v>64</v>
      </c>
      <c r="Q4647" s="1" t="s">
        <v>64</v>
      </c>
      <c r="R4647" s="1" t="s">
        <v>65</v>
      </c>
      <c r="S4647" s="1" t="s">
        <v>66</v>
      </c>
      <c r="T4647" s="1">
        <v>1.00651298E8</v>
      </c>
      <c r="W4647" s="1" t="s">
        <v>140</v>
      </c>
      <c r="X4647" s="1" t="s">
        <v>3423</v>
      </c>
    </row>
    <row r="4648">
      <c r="A4648" s="1" t="s">
        <v>13054</v>
      </c>
      <c r="B4648" s="1" t="s">
        <v>9815</v>
      </c>
      <c r="C4648" s="1" t="s">
        <v>13055</v>
      </c>
      <c r="D4648" s="1" t="s">
        <v>103</v>
      </c>
      <c r="E4648" s="1" t="s">
        <v>29</v>
      </c>
      <c r="F4648" s="5">
        <v>100000.0</v>
      </c>
      <c r="G4648" s="1" t="s">
        <v>7016</v>
      </c>
      <c r="H4648" s="4">
        <v>44871.0</v>
      </c>
      <c r="I4648" s="1" t="s">
        <v>96</v>
      </c>
      <c r="K4648" s="1">
        <v>0.0</v>
      </c>
      <c r="L4648" s="1" t="s">
        <v>9612</v>
      </c>
      <c r="M4648" s="1" t="str">
        <f>VLOOKUP(L4648,'Copy of PMD Workday Constants -'!B4647:W5333,22,false)</f>
        <v>#N/A</v>
      </c>
      <c r="N4648" s="1" t="s">
        <v>32</v>
      </c>
      <c r="O4648" s="1" t="s">
        <v>33</v>
      </c>
      <c r="P4648" s="1" t="s">
        <v>82</v>
      </c>
      <c r="Q4648" s="1" t="s">
        <v>82</v>
      </c>
      <c r="R4648" s="1" t="s">
        <v>83</v>
      </c>
      <c r="S4648" s="1" t="s">
        <v>180</v>
      </c>
      <c r="T4648" s="1">
        <v>1.0059101E8</v>
      </c>
      <c r="W4648" s="1" t="s">
        <v>85</v>
      </c>
      <c r="X4648" s="1" t="s">
        <v>9612</v>
      </c>
    </row>
    <row r="4649">
      <c r="A4649" s="1" t="s">
        <v>13056</v>
      </c>
      <c r="B4649" s="1" t="s">
        <v>10138</v>
      </c>
      <c r="C4649" s="1" t="s">
        <v>13057</v>
      </c>
      <c r="D4649" s="1" t="s">
        <v>28</v>
      </c>
      <c r="E4649" s="1" t="s">
        <v>29</v>
      </c>
      <c r="F4649" s="5">
        <v>100000.0</v>
      </c>
      <c r="G4649" s="1" t="s">
        <v>7016</v>
      </c>
      <c r="H4649" s="1" t="s">
        <v>5294</v>
      </c>
      <c r="I4649" s="4">
        <v>44569.0</v>
      </c>
      <c r="K4649" s="1">
        <v>0.0</v>
      </c>
      <c r="L4649" s="1" t="s">
        <v>1282</v>
      </c>
      <c r="M4649" s="1" t="str">
        <f>VLOOKUP(L4649,'Copy of PMD Workday Constants -'!B4648:W5334,22,false)</f>
        <v>#N/A</v>
      </c>
      <c r="N4649" s="1" t="s">
        <v>32</v>
      </c>
      <c r="O4649" s="1" t="s">
        <v>33</v>
      </c>
      <c r="P4649" s="1" t="s">
        <v>34</v>
      </c>
      <c r="Q4649" s="1" t="s">
        <v>34</v>
      </c>
      <c r="R4649" s="1" t="s">
        <v>35</v>
      </c>
      <c r="S4649" s="1" t="s">
        <v>1166</v>
      </c>
      <c r="T4649" s="1">
        <v>1.006096E8</v>
      </c>
      <c r="W4649" s="1" t="s">
        <v>456</v>
      </c>
      <c r="X4649" s="1" t="s">
        <v>1165</v>
      </c>
    </row>
    <row r="4650">
      <c r="A4650" s="1" t="s">
        <v>13058</v>
      </c>
      <c r="B4650" s="1" t="s">
        <v>373</v>
      </c>
      <c r="C4650" s="1" t="s">
        <v>13059</v>
      </c>
      <c r="D4650" s="1" t="s">
        <v>28</v>
      </c>
      <c r="E4650" s="1" t="s">
        <v>29</v>
      </c>
      <c r="F4650" s="5">
        <v>100000.0</v>
      </c>
      <c r="G4650" s="1" t="s">
        <v>7016</v>
      </c>
      <c r="H4650" s="1" t="s">
        <v>3777</v>
      </c>
      <c r="I4650" s="1" t="s">
        <v>152</v>
      </c>
      <c r="K4650" s="1">
        <v>0.0</v>
      </c>
      <c r="L4650" s="1" t="s">
        <v>370</v>
      </c>
      <c r="M4650" s="1" t="str">
        <f>VLOOKUP(L4650,'Copy of PMD Workday Constants -'!B4649:W5335,22,false)</f>
        <v>#N/A</v>
      </c>
      <c r="N4650" s="1" t="s">
        <v>32</v>
      </c>
      <c r="O4650" s="1" t="s">
        <v>33</v>
      </c>
      <c r="P4650" s="1" t="s">
        <v>210</v>
      </c>
      <c r="Q4650" s="1" t="s">
        <v>210</v>
      </c>
      <c r="R4650" s="1" t="s">
        <v>211</v>
      </c>
      <c r="S4650" s="1" t="s">
        <v>297</v>
      </c>
      <c r="T4650" s="1">
        <v>1.00658132E8</v>
      </c>
      <c r="W4650" s="1" t="s">
        <v>258</v>
      </c>
      <c r="X4650" s="1" t="s">
        <v>6542</v>
      </c>
    </row>
    <row r="4651">
      <c r="A4651" s="1" t="s">
        <v>13060</v>
      </c>
      <c r="B4651" s="1" t="s">
        <v>1808</v>
      </c>
      <c r="C4651" s="1" t="s">
        <v>13061</v>
      </c>
      <c r="D4651" s="1" t="s">
        <v>28</v>
      </c>
      <c r="E4651" s="1" t="s">
        <v>29</v>
      </c>
      <c r="F4651" s="5">
        <v>100000.0</v>
      </c>
      <c r="G4651" s="1" t="s">
        <v>7016</v>
      </c>
      <c r="H4651" s="1" t="s">
        <v>4779</v>
      </c>
      <c r="I4651" s="1" t="s">
        <v>9334</v>
      </c>
      <c r="K4651" s="1">
        <v>0.0</v>
      </c>
      <c r="L4651" s="1" t="s">
        <v>4822</v>
      </c>
      <c r="M4651" s="1" t="str">
        <f>VLOOKUP(L4651,'Copy of PMD Workday Constants -'!B4650:W5336,22,false)</f>
        <v>#N/A</v>
      </c>
      <c r="N4651" s="1" t="s">
        <v>32</v>
      </c>
      <c r="O4651" s="1" t="s">
        <v>33</v>
      </c>
      <c r="P4651" s="1" t="s">
        <v>222</v>
      </c>
      <c r="Q4651" s="1" t="s">
        <v>222</v>
      </c>
      <c r="R4651" s="1" t="s">
        <v>223</v>
      </c>
      <c r="S4651" s="1" t="s">
        <v>601</v>
      </c>
      <c r="T4651" s="1">
        <v>1.00619685E8</v>
      </c>
      <c r="W4651" s="1" t="s">
        <v>493</v>
      </c>
      <c r="X4651" s="1" t="s">
        <v>4822</v>
      </c>
    </row>
    <row r="4652">
      <c r="A4652" s="1" t="s">
        <v>13062</v>
      </c>
      <c r="B4652" s="1" t="s">
        <v>13063</v>
      </c>
      <c r="C4652" s="1" t="s">
        <v>13064</v>
      </c>
      <c r="D4652" s="1" t="s">
        <v>28</v>
      </c>
      <c r="E4652" s="1" t="s">
        <v>29</v>
      </c>
      <c r="F4652" s="5">
        <v>100000.0</v>
      </c>
      <c r="G4652" s="1" t="s">
        <v>7016</v>
      </c>
      <c r="H4652" s="4">
        <v>44481.0</v>
      </c>
      <c r="I4652" s="1" t="s">
        <v>43</v>
      </c>
      <c r="K4652" s="1">
        <v>0.0</v>
      </c>
      <c r="L4652" s="1" t="s">
        <v>157</v>
      </c>
      <c r="M4652" s="1" t="str">
        <f>VLOOKUP(L4652,'Copy of PMD Workday Constants -'!B4651:W5337,22,false)</f>
        <v>#N/A</v>
      </c>
      <c r="N4652" s="1" t="s">
        <v>32</v>
      </c>
      <c r="O4652" s="1" t="s">
        <v>33</v>
      </c>
      <c r="P4652" s="1" t="s">
        <v>112</v>
      </c>
      <c r="Q4652" s="1" t="s">
        <v>112</v>
      </c>
      <c r="R4652" s="1" t="s">
        <v>113</v>
      </c>
      <c r="S4652" s="1" t="s">
        <v>1336</v>
      </c>
      <c r="T4652" s="1">
        <v>1.00658522E8</v>
      </c>
      <c r="W4652" s="1" t="s">
        <v>91</v>
      </c>
      <c r="X4652" s="1" t="s">
        <v>2166</v>
      </c>
    </row>
    <row r="4653">
      <c r="A4653" s="1" t="s">
        <v>13065</v>
      </c>
      <c r="B4653" s="1" t="s">
        <v>1373</v>
      </c>
      <c r="C4653" s="1" t="s">
        <v>13066</v>
      </c>
      <c r="D4653" s="1" t="s">
        <v>103</v>
      </c>
      <c r="E4653" s="1" t="s">
        <v>29</v>
      </c>
      <c r="F4653" s="5">
        <v>100000.0</v>
      </c>
      <c r="G4653" s="1" t="s">
        <v>7016</v>
      </c>
      <c r="H4653" s="4">
        <v>44717.0</v>
      </c>
      <c r="I4653" s="1" t="s">
        <v>104</v>
      </c>
      <c r="K4653" s="1">
        <v>0.0</v>
      </c>
      <c r="L4653" s="1" t="s">
        <v>1375</v>
      </c>
      <c r="M4653" s="1" t="str">
        <f>VLOOKUP(L4653,'Copy of PMD Workday Constants -'!B4652:W5338,22,false)</f>
        <v>#N/A</v>
      </c>
      <c r="N4653" s="1" t="s">
        <v>32</v>
      </c>
      <c r="O4653" s="1" t="s">
        <v>33</v>
      </c>
      <c r="P4653" s="1" t="s">
        <v>64</v>
      </c>
      <c r="Q4653" s="1" t="s">
        <v>64</v>
      </c>
      <c r="R4653" s="1" t="s">
        <v>65</v>
      </c>
      <c r="S4653" s="1" t="s">
        <v>185</v>
      </c>
      <c r="T4653" s="1">
        <v>1.00584032E8</v>
      </c>
      <c r="W4653" s="1" t="s">
        <v>74</v>
      </c>
      <c r="X4653" s="1" t="s">
        <v>1375</v>
      </c>
    </row>
    <row r="4654">
      <c r="A4654" s="1" t="s">
        <v>13067</v>
      </c>
      <c r="B4654" s="1" t="s">
        <v>1163</v>
      </c>
      <c r="C4654" s="1" t="s">
        <v>13068</v>
      </c>
      <c r="D4654" s="1" t="s">
        <v>28</v>
      </c>
      <c r="E4654" s="1" t="s">
        <v>29</v>
      </c>
      <c r="F4654" s="5">
        <v>100000.0</v>
      </c>
      <c r="G4654" s="1" t="s">
        <v>7016</v>
      </c>
      <c r="H4654" s="4">
        <v>44565.0</v>
      </c>
      <c r="I4654" s="1" t="s">
        <v>96</v>
      </c>
      <c r="K4654" s="1">
        <v>0.0</v>
      </c>
      <c r="L4654" s="1" t="s">
        <v>3891</v>
      </c>
      <c r="M4654" s="1" t="str">
        <f>VLOOKUP(L4654,'Copy of PMD Workday Constants -'!B4653:W5339,22,false)</f>
        <v>#N/A</v>
      </c>
      <c r="N4654" s="1" t="s">
        <v>32</v>
      </c>
      <c r="O4654" s="1" t="s">
        <v>33</v>
      </c>
      <c r="P4654" s="1" t="s">
        <v>112</v>
      </c>
      <c r="Q4654" s="1" t="s">
        <v>112</v>
      </c>
      <c r="R4654" s="1" t="s">
        <v>113</v>
      </c>
      <c r="S4654" s="1" t="s">
        <v>114</v>
      </c>
      <c r="T4654" s="1">
        <v>1.00589299E8</v>
      </c>
      <c r="W4654" s="1" t="s">
        <v>147</v>
      </c>
      <c r="X4654" s="1" t="s">
        <v>2519</v>
      </c>
    </row>
    <row r="4655">
      <c r="A4655" s="1" t="s">
        <v>13069</v>
      </c>
      <c r="B4655" s="1" t="s">
        <v>765</v>
      </c>
      <c r="C4655" s="1" t="s">
        <v>13070</v>
      </c>
      <c r="D4655" s="1" t="s">
        <v>51</v>
      </c>
      <c r="E4655" s="1" t="s">
        <v>29</v>
      </c>
      <c r="F4655" s="5">
        <v>100000.0</v>
      </c>
      <c r="G4655" s="1" t="s">
        <v>7016</v>
      </c>
      <c r="H4655" s="4">
        <v>44779.0</v>
      </c>
      <c r="I4655" s="1" t="s">
        <v>131</v>
      </c>
      <c r="K4655" s="1">
        <v>0.0</v>
      </c>
      <c r="L4655" s="1" t="s">
        <v>2612</v>
      </c>
      <c r="M4655" s="1" t="str">
        <f>VLOOKUP(L4655,'Copy of PMD Workday Constants -'!B4654:W5340,22,false)</f>
        <v>#N/A</v>
      </c>
      <c r="N4655" s="1" t="s">
        <v>32</v>
      </c>
      <c r="O4655" s="1" t="s">
        <v>33</v>
      </c>
      <c r="P4655" s="1" t="s">
        <v>173</v>
      </c>
      <c r="Q4655" s="1" t="s">
        <v>173</v>
      </c>
      <c r="R4655" s="1" t="s">
        <v>174</v>
      </c>
      <c r="S4655" s="1" t="s">
        <v>153</v>
      </c>
      <c r="T4655" s="1">
        <v>1.00609544E8</v>
      </c>
      <c r="W4655" s="1" t="s">
        <v>456</v>
      </c>
      <c r="X4655" s="1" t="s">
        <v>13071</v>
      </c>
    </row>
    <row r="4656">
      <c r="A4656" s="1" t="s">
        <v>13072</v>
      </c>
      <c r="B4656" s="1" t="s">
        <v>1247</v>
      </c>
      <c r="C4656" s="1" t="s">
        <v>13073</v>
      </c>
      <c r="D4656" s="1" t="s">
        <v>103</v>
      </c>
      <c r="E4656" s="1" t="s">
        <v>29</v>
      </c>
      <c r="F4656" s="5">
        <v>100000.0</v>
      </c>
      <c r="G4656" s="1" t="s">
        <v>7016</v>
      </c>
      <c r="H4656" s="1" t="s">
        <v>1245</v>
      </c>
      <c r="I4656" s="1" t="s">
        <v>810</v>
      </c>
      <c r="K4656" s="1">
        <v>0.0</v>
      </c>
      <c r="L4656" s="1" t="s">
        <v>8258</v>
      </c>
      <c r="M4656" s="1" t="str">
        <f>VLOOKUP(L4656,'Copy of PMD Workday Constants -'!B4655:W5341,22,false)</f>
        <v>#N/A</v>
      </c>
      <c r="N4656" s="1" t="s">
        <v>32</v>
      </c>
      <c r="O4656" s="1" t="s">
        <v>33</v>
      </c>
      <c r="P4656" s="1" t="s">
        <v>112</v>
      </c>
      <c r="Q4656" s="1" t="s">
        <v>112</v>
      </c>
      <c r="R4656" s="1" t="s">
        <v>113</v>
      </c>
      <c r="S4656" s="1" t="s">
        <v>114</v>
      </c>
      <c r="T4656" s="1">
        <v>1.00620553E8</v>
      </c>
      <c r="W4656" s="1" t="s">
        <v>140</v>
      </c>
      <c r="X4656" s="1" t="s">
        <v>13074</v>
      </c>
    </row>
    <row r="4657">
      <c r="A4657" s="1" t="s">
        <v>13075</v>
      </c>
      <c r="B4657" s="1" t="s">
        <v>637</v>
      </c>
      <c r="C4657" s="1" t="s">
        <v>13076</v>
      </c>
      <c r="D4657" s="1" t="s">
        <v>28</v>
      </c>
      <c r="E4657" s="1" t="s">
        <v>29</v>
      </c>
      <c r="F4657" s="5">
        <v>100000.0</v>
      </c>
      <c r="G4657" s="1" t="s">
        <v>7016</v>
      </c>
      <c r="H4657" s="1" t="s">
        <v>6735</v>
      </c>
      <c r="I4657" s="1" t="s">
        <v>80</v>
      </c>
      <c r="K4657" s="1">
        <v>0.0</v>
      </c>
      <c r="L4657" s="1" t="s">
        <v>4924</v>
      </c>
      <c r="M4657" s="1" t="str">
        <f>VLOOKUP(L4657,'Copy of PMD Workday Constants -'!B4656:W5342,22,false)</f>
        <v>#N/A</v>
      </c>
      <c r="N4657" s="1" t="s">
        <v>32</v>
      </c>
      <c r="O4657" s="1" t="s">
        <v>33</v>
      </c>
      <c r="P4657" s="1" t="s">
        <v>210</v>
      </c>
      <c r="Q4657" s="1" t="s">
        <v>210</v>
      </c>
      <c r="R4657" s="1" t="s">
        <v>211</v>
      </c>
      <c r="S4657" s="1" t="s">
        <v>1336</v>
      </c>
      <c r="T4657" s="1">
        <v>1.00634482E8</v>
      </c>
      <c r="W4657" s="1" t="s">
        <v>56</v>
      </c>
      <c r="X4657" s="1" t="s">
        <v>12536</v>
      </c>
    </row>
    <row r="4658">
      <c r="A4658" s="1" t="s">
        <v>13077</v>
      </c>
      <c r="B4658" s="1" t="s">
        <v>6446</v>
      </c>
      <c r="C4658" s="1" t="s">
        <v>13078</v>
      </c>
      <c r="D4658" s="1" t="s">
        <v>28</v>
      </c>
      <c r="E4658" s="1" t="s">
        <v>29</v>
      </c>
      <c r="F4658" s="5">
        <v>100000.0</v>
      </c>
      <c r="G4658" s="1" t="s">
        <v>7016</v>
      </c>
      <c r="H4658" s="4">
        <v>44349.0</v>
      </c>
      <c r="I4658" s="1" t="s">
        <v>2110</v>
      </c>
      <c r="K4658" s="1">
        <v>0.0</v>
      </c>
      <c r="L4658" s="1" t="s">
        <v>6800</v>
      </c>
      <c r="M4658" s="1" t="str">
        <f>VLOOKUP(L4658,'Copy of PMD Workday Constants -'!B4657:W5343,22,false)</f>
        <v>#N/A</v>
      </c>
      <c r="N4658" s="1" t="s">
        <v>32</v>
      </c>
      <c r="O4658" s="1" t="s">
        <v>33</v>
      </c>
      <c r="P4658" s="1" t="s">
        <v>210</v>
      </c>
      <c r="Q4658" s="1" t="s">
        <v>210</v>
      </c>
      <c r="R4658" s="1" t="s">
        <v>211</v>
      </c>
      <c r="S4658" s="1" t="s">
        <v>297</v>
      </c>
      <c r="T4658" s="1">
        <v>1.00922604E8</v>
      </c>
      <c r="W4658" s="1" t="s">
        <v>258</v>
      </c>
      <c r="X4658" s="1" t="s">
        <v>6800</v>
      </c>
    </row>
    <row r="4659">
      <c r="A4659" s="1" t="s">
        <v>13079</v>
      </c>
      <c r="B4659" s="1" t="s">
        <v>4687</v>
      </c>
      <c r="C4659" s="1" t="s">
        <v>13080</v>
      </c>
      <c r="D4659" s="1" t="s">
        <v>51</v>
      </c>
      <c r="E4659" s="1" t="s">
        <v>29</v>
      </c>
      <c r="F4659" s="5">
        <v>100000.0</v>
      </c>
      <c r="G4659" s="1" t="s">
        <v>7016</v>
      </c>
      <c r="H4659" s="4">
        <v>44654.0</v>
      </c>
      <c r="I4659" s="4">
        <v>44780.0</v>
      </c>
      <c r="K4659" s="1">
        <v>0.0</v>
      </c>
      <c r="L4659" s="1" t="s">
        <v>1677</v>
      </c>
      <c r="M4659" s="1" t="str">
        <f>VLOOKUP(L4659,'Copy of PMD Workday Constants -'!B4658:W5344,22,false)</f>
        <v>#N/A</v>
      </c>
      <c r="N4659" s="1" t="s">
        <v>32</v>
      </c>
      <c r="O4659" s="1" t="s">
        <v>33</v>
      </c>
      <c r="P4659" s="1" t="s">
        <v>54</v>
      </c>
      <c r="Q4659" s="1" t="s">
        <v>54</v>
      </c>
      <c r="R4659" s="1" t="s">
        <v>55</v>
      </c>
      <c r="S4659" s="1" t="s">
        <v>701</v>
      </c>
      <c r="T4659" s="1">
        <v>1.00623248E8</v>
      </c>
      <c r="W4659" s="1" t="s">
        <v>74</v>
      </c>
      <c r="X4659" s="1" t="s">
        <v>1677</v>
      </c>
    </row>
    <row r="4660">
      <c r="A4660" s="1" t="s">
        <v>13081</v>
      </c>
      <c r="B4660" s="1" t="s">
        <v>756</v>
      </c>
      <c r="C4660" s="1" t="s">
        <v>13082</v>
      </c>
      <c r="D4660" s="1" t="s">
        <v>28</v>
      </c>
      <c r="E4660" s="1" t="s">
        <v>29</v>
      </c>
      <c r="F4660" s="5">
        <v>100000.0</v>
      </c>
      <c r="G4660" s="1" t="s">
        <v>7016</v>
      </c>
      <c r="H4660" s="1" t="s">
        <v>4625</v>
      </c>
      <c r="I4660" s="1" t="s">
        <v>732</v>
      </c>
      <c r="K4660" s="1">
        <v>0.0</v>
      </c>
      <c r="L4660" s="1" t="s">
        <v>2540</v>
      </c>
      <c r="M4660" s="1" t="str">
        <f>VLOOKUP(L4660,'Copy of PMD Workday Constants -'!B4659:W5345,22,false)</f>
        <v>#N/A</v>
      </c>
      <c r="N4660" s="1" t="s">
        <v>32</v>
      </c>
      <c r="O4660" s="1" t="s">
        <v>33</v>
      </c>
      <c r="P4660" s="1" t="s">
        <v>222</v>
      </c>
      <c r="Q4660" s="1" t="s">
        <v>222</v>
      </c>
      <c r="R4660" s="1" t="s">
        <v>223</v>
      </c>
      <c r="S4660" s="1" t="s">
        <v>601</v>
      </c>
      <c r="T4660" s="1">
        <v>1.00599268E8</v>
      </c>
      <c r="W4660" s="1" t="s">
        <v>74</v>
      </c>
      <c r="X4660" s="1" t="s">
        <v>4626</v>
      </c>
    </row>
    <row r="4661">
      <c r="A4661" s="1" t="s">
        <v>13083</v>
      </c>
      <c r="B4661" s="1" t="s">
        <v>2199</v>
      </c>
      <c r="C4661" s="1" t="s">
        <v>13084</v>
      </c>
      <c r="D4661" s="1" t="s">
        <v>28</v>
      </c>
      <c r="E4661" s="1" t="s">
        <v>29</v>
      </c>
      <c r="F4661" s="5">
        <v>100000.0</v>
      </c>
      <c r="G4661" s="1" t="s">
        <v>7016</v>
      </c>
      <c r="H4661" s="1" t="s">
        <v>498</v>
      </c>
      <c r="I4661" s="1" t="s">
        <v>104</v>
      </c>
      <c r="K4661" s="1">
        <v>0.0</v>
      </c>
      <c r="L4661" s="1" t="s">
        <v>2417</v>
      </c>
      <c r="M4661" s="1" t="str">
        <f>VLOOKUP(L4661,'Copy of PMD Workday Constants -'!B4660:W5346,22,false)</f>
        <v>#N/A</v>
      </c>
      <c r="N4661" s="1" t="s">
        <v>32</v>
      </c>
      <c r="O4661" s="1" t="s">
        <v>33</v>
      </c>
      <c r="P4661" s="1" t="s">
        <v>34</v>
      </c>
      <c r="Q4661" s="1" t="s">
        <v>34</v>
      </c>
      <c r="R4661" s="1" t="s">
        <v>35</v>
      </c>
      <c r="T4661" s="1">
        <v>1.00642238E8</v>
      </c>
      <c r="W4661" s="1" t="s">
        <v>258</v>
      </c>
      <c r="X4661" s="1" t="s">
        <v>2202</v>
      </c>
    </row>
    <row r="4662">
      <c r="A4662" s="1" t="s">
        <v>13085</v>
      </c>
      <c r="B4662" s="1" t="s">
        <v>756</v>
      </c>
      <c r="C4662" s="1" t="s">
        <v>13086</v>
      </c>
      <c r="D4662" s="1" t="s">
        <v>28</v>
      </c>
      <c r="E4662" s="1" t="s">
        <v>29</v>
      </c>
      <c r="F4662" s="5">
        <v>100000.0</v>
      </c>
      <c r="G4662" s="1" t="s">
        <v>7016</v>
      </c>
      <c r="H4662" s="1" t="s">
        <v>4625</v>
      </c>
      <c r="I4662" s="1" t="s">
        <v>732</v>
      </c>
      <c r="K4662" s="1">
        <v>0.0</v>
      </c>
      <c r="L4662" s="1" t="s">
        <v>2540</v>
      </c>
      <c r="M4662" s="1" t="str">
        <f>VLOOKUP(L4662,'Copy of PMD Workday Constants -'!B4661:W5347,22,false)</f>
        <v>#N/A</v>
      </c>
      <c r="N4662" s="1" t="s">
        <v>32</v>
      </c>
      <c r="O4662" s="1" t="s">
        <v>33</v>
      </c>
      <c r="P4662" s="1" t="s">
        <v>222</v>
      </c>
      <c r="Q4662" s="1" t="s">
        <v>222</v>
      </c>
      <c r="R4662" s="1" t="s">
        <v>223</v>
      </c>
      <c r="S4662" s="1" t="s">
        <v>601</v>
      </c>
      <c r="T4662" s="1">
        <v>1.00599268E8</v>
      </c>
      <c r="W4662" s="1" t="s">
        <v>74</v>
      </c>
      <c r="X4662" s="1" t="s">
        <v>4626</v>
      </c>
    </row>
    <row r="4663">
      <c r="A4663" s="1" t="s">
        <v>13087</v>
      </c>
      <c r="B4663" s="1" t="s">
        <v>13088</v>
      </c>
      <c r="C4663" s="1" t="s">
        <v>13089</v>
      </c>
      <c r="D4663" s="1" t="s">
        <v>28</v>
      </c>
      <c r="E4663" s="1" t="s">
        <v>29</v>
      </c>
      <c r="F4663" s="5">
        <v>100000.0</v>
      </c>
      <c r="G4663" s="1" t="s">
        <v>7016</v>
      </c>
      <c r="H4663" s="1" t="s">
        <v>1518</v>
      </c>
      <c r="I4663" s="1" t="s">
        <v>302</v>
      </c>
      <c r="K4663" s="1">
        <v>0.0</v>
      </c>
      <c r="L4663" s="1" t="s">
        <v>1282</v>
      </c>
      <c r="M4663" s="1" t="str">
        <f>VLOOKUP(L4663,'Copy of PMD Workday Constants -'!B4662:W5348,22,false)</f>
        <v>#N/A</v>
      </c>
      <c r="N4663" s="1" t="s">
        <v>32</v>
      </c>
      <c r="O4663" s="1" t="s">
        <v>33</v>
      </c>
      <c r="P4663" s="1" t="s">
        <v>34</v>
      </c>
      <c r="Q4663" s="1" t="s">
        <v>34</v>
      </c>
      <c r="R4663" s="1" t="s">
        <v>35</v>
      </c>
      <c r="S4663" s="1" t="s">
        <v>1166</v>
      </c>
      <c r="T4663" s="1">
        <v>1.006096E8</v>
      </c>
      <c r="W4663" s="1" t="s">
        <v>456</v>
      </c>
      <c r="X4663" s="1" t="s">
        <v>1282</v>
      </c>
    </row>
    <row r="4664">
      <c r="A4664" s="1" t="s">
        <v>13090</v>
      </c>
      <c r="B4664" s="1" t="s">
        <v>13091</v>
      </c>
      <c r="C4664" s="1" t="s">
        <v>13092</v>
      </c>
      <c r="D4664" s="1" t="s">
        <v>28</v>
      </c>
      <c r="E4664" s="1" t="s">
        <v>29</v>
      </c>
      <c r="F4664" s="5">
        <v>100000.0</v>
      </c>
      <c r="G4664" s="1" t="s">
        <v>7016</v>
      </c>
      <c r="H4664" s="1" t="s">
        <v>1524</v>
      </c>
      <c r="I4664" s="1" t="s">
        <v>152</v>
      </c>
      <c r="K4664" s="1">
        <v>0.0</v>
      </c>
      <c r="L4664" s="1" t="s">
        <v>89</v>
      </c>
      <c r="M4664" s="1" t="str">
        <f>VLOOKUP(L4664,'Copy of PMD Workday Constants -'!B4663:W5349,22,false)</f>
        <v>#N/A</v>
      </c>
      <c r="N4664" s="1" t="s">
        <v>32</v>
      </c>
      <c r="O4664" s="1" t="s">
        <v>33</v>
      </c>
      <c r="P4664" s="1" t="s">
        <v>34</v>
      </c>
      <c r="Q4664" s="1" t="s">
        <v>34</v>
      </c>
      <c r="R4664" s="1" t="s">
        <v>35</v>
      </c>
      <c r="T4664" s="1">
        <v>1.00609569E8</v>
      </c>
      <c r="X4664" s="1" t="s">
        <v>89</v>
      </c>
    </row>
    <row r="4665">
      <c r="A4665" s="1" t="s">
        <v>13093</v>
      </c>
      <c r="B4665" s="1" t="s">
        <v>756</v>
      </c>
      <c r="C4665" s="1" t="s">
        <v>13094</v>
      </c>
      <c r="D4665" s="1" t="s">
        <v>28</v>
      </c>
      <c r="E4665" s="1" t="s">
        <v>29</v>
      </c>
      <c r="F4665" s="5">
        <v>100000.0</v>
      </c>
      <c r="G4665" s="1" t="s">
        <v>7016</v>
      </c>
      <c r="H4665" s="1" t="s">
        <v>375</v>
      </c>
      <c r="I4665" s="4">
        <v>44569.0</v>
      </c>
      <c r="K4665" s="1">
        <v>0.0</v>
      </c>
      <c r="L4665" s="1" t="s">
        <v>6744</v>
      </c>
      <c r="M4665" s="1" t="str">
        <f>VLOOKUP(L4665,'Copy of PMD Workday Constants -'!B4664:W5350,22,false)</f>
        <v>#N/A</v>
      </c>
      <c r="N4665" s="1" t="s">
        <v>32</v>
      </c>
      <c r="O4665" s="1" t="s">
        <v>33</v>
      </c>
      <c r="P4665" s="1" t="s">
        <v>173</v>
      </c>
      <c r="Q4665" s="1" t="s">
        <v>173</v>
      </c>
      <c r="R4665" s="1" t="s">
        <v>174</v>
      </c>
      <c r="T4665" s="1">
        <v>1.00599152E8</v>
      </c>
      <c r="W4665" s="1" t="s">
        <v>74</v>
      </c>
      <c r="X4665" s="1" t="s">
        <v>6698</v>
      </c>
    </row>
    <row r="4666">
      <c r="A4666" s="1" t="s">
        <v>13095</v>
      </c>
      <c r="B4666" s="1" t="s">
        <v>13096</v>
      </c>
      <c r="C4666" s="1" t="s">
        <v>13097</v>
      </c>
      <c r="D4666" s="1" t="s">
        <v>51</v>
      </c>
      <c r="E4666" s="1" t="s">
        <v>29</v>
      </c>
      <c r="F4666" s="5">
        <v>100000.0</v>
      </c>
      <c r="G4666" s="1" t="s">
        <v>7016</v>
      </c>
      <c r="H4666" s="4">
        <v>44598.0</v>
      </c>
      <c r="I4666" s="1" t="s">
        <v>43</v>
      </c>
      <c r="K4666" s="1">
        <v>0.0</v>
      </c>
      <c r="L4666" s="1" t="s">
        <v>4608</v>
      </c>
      <c r="M4666" s="1" t="str">
        <f>VLOOKUP(L4666,'Copy of PMD Workday Constants -'!B4665:W5351,22,false)</f>
        <v>#N/A</v>
      </c>
      <c r="N4666" s="1" t="s">
        <v>32</v>
      </c>
      <c r="O4666" s="1" t="s">
        <v>33</v>
      </c>
      <c r="P4666" s="1" t="s">
        <v>222</v>
      </c>
      <c r="Q4666" s="1" t="s">
        <v>222</v>
      </c>
      <c r="R4666" s="1" t="s">
        <v>223</v>
      </c>
      <c r="S4666" s="1" t="s">
        <v>482</v>
      </c>
      <c r="T4666" s="1">
        <v>1.00592715E8</v>
      </c>
      <c r="W4666" s="1" t="s">
        <v>115</v>
      </c>
      <c r="X4666" s="1" t="s">
        <v>4608</v>
      </c>
    </row>
    <row r="4667">
      <c r="A4667" s="1" t="s">
        <v>13098</v>
      </c>
      <c r="B4667" s="1" t="s">
        <v>1449</v>
      </c>
      <c r="C4667" s="1" t="s">
        <v>13099</v>
      </c>
      <c r="D4667" s="1" t="s">
        <v>51</v>
      </c>
      <c r="E4667" s="1" t="s">
        <v>29</v>
      </c>
      <c r="F4667" s="5">
        <v>100000.0</v>
      </c>
      <c r="G4667" s="1" t="s">
        <v>7016</v>
      </c>
      <c r="H4667" s="4">
        <v>44291.0</v>
      </c>
      <c r="I4667" s="1" t="s">
        <v>509</v>
      </c>
      <c r="K4667" s="1">
        <v>0.0</v>
      </c>
      <c r="L4667" s="1" t="s">
        <v>11540</v>
      </c>
      <c r="M4667" s="1" t="str">
        <f>VLOOKUP(L4667,'Copy of PMD Workday Constants -'!B4666:W5352,22,false)</f>
        <v>#N/A</v>
      </c>
      <c r="N4667" s="1" t="s">
        <v>32</v>
      </c>
      <c r="O4667" s="1" t="s">
        <v>33</v>
      </c>
      <c r="P4667" s="1" t="s">
        <v>173</v>
      </c>
      <c r="Q4667" s="1" t="s">
        <v>173</v>
      </c>
      <c r="R4667" s="1" t="s">
        <v>174</v>
      </c>
      <c r="S4667" s="1" t="s">
        <v>540</v>
      </c>
      <c r="T4667" s="1">
        <v>1.00606323E8</v>
      </c>
      <c r="W4667" s="1" t="s">
        <v>493</v>
      </c>
      <c r="X4667" s="1" t="s">
        <v>6867</v>
      </c>
    </row>
    <row r="4668">
      <c r="A4668" s="1" t="s">
        <v>13100</v>
      </c>
      <c r="B4668" s="1" t="s">
        <v>9891</v>
      </c>
      <c r="C4668" s="1" t="s">
        <v>13101</v>
      </c>
      <c r="D4668" s="1" t="s">
        <v>28</v>
      </c>
      <c r="E4668" s="1" t="s">
        <v>29</v>
      </c>
      <c r="F4668" s="5">
        <v>100000.0</v>
      </c>
      <c r="G4668" s="1" t="s">
        <v>7016</v>
      </c>
      <c r="H4668" s="1" t="s">
        <v>1915</v>
      </c>
      <c r="I4668" s="1" t="s">
        <v>104</v>
      </c>
      <c r="K4668" s="1">
        <v>0.0</v>
      </c>
      <c r="L4668" s="1" t="s">
        <v>1916</v>
      </c>
      <c r="M4668" s="1" t="str">
        <f>VLOOKUP(L4668,'Copy of PMD Workday Constants -'!B4667:W5353,22,false)</f>
        <v>#N/A</v>
      </c>
      <c r="N4668" s="1" t="s">
        <v>32</v>
      </c>
      <c r="O4668" s="1" t="s">
        <v>33</v>
      </c>
      <c r="P4668" s="1" t="s">
        <v>222</v>
      </c>
      <c r="Q4668" s="1" t="s">
        <v>222</v>
      </c>
      <c r="R4668" s="1" t="s">
        <v>223</v>
      </c>
      <c r="S4668" s="1" t="s">
        <v>601</v>
      </c>
      <c r="T4668" s="1">
        <v>1.00955805E8</v>
      </c>
      <c r="W4668" s="1" t="s">
        <v>436</v>
      </c>
      <c r="X4668" s="1" t="s">
        <v>1916</v>
      </c>
    </row>
    <row r="4669">
      <c r="A4669" s="1" t="s">
        <v>13102</v>
      </c>
      <c r="B4669" s="1" t="s">
        <v>1968</v>
      </c>
      <c r="C4669" s="1" t="s">
        <v>13103</v>
      </c>
      <c r="D4669" s="1" t="s">
        <v>51</v>
      </c>
      <c r="E4669" s="1" t="s">
        <v>29</v>
      </c>
      <c r="F4669" s="5">
        <v>100000.0</v>
      </c>
      <c r="G4669" s="1" t="s">
        <v>7016</v>
      </c>
      <c r="H4669" s="1" t="s">
        <v>7081</v>
      </c>
      <c r="I4669" s="1" t="s">
        <v>865</v>
      </c>
      <c r="K4669" s="1">
        <v>0.0</v>
      </c>
      <c r="L4669" s="1" t="s">
        <v>7062</v>
      </c>
      <c r="M4669" s="1" t="str">
        <f>VLOOKUP(L4669,'Copy of PMD Workday Constants -'!B4668:W5354,22,false)</f>
        <v>#N/A</v>
      </c>
      <c r="N4669" s="1" t="s">
        <v>32</v>
      </c>
      <c r="O4669" s="1" t="s">
        <v>33</v>
      </c>
      <c r="P4669" s="1" t="s">
        <v>222</v>
      </c>
      <c r="Q4669" s="1" t="s">
        <v>222</v>
      </c>
      <c r="R4669" s="1" t="s">
        <v>223</v>
      </c>
      <c r="S4669" s="1" t="s">
        <v>1457</v>
      </c>
      <c r="T4669" s="1">
        <v>1.00614969E8</v>
      </c>
      <c r="W4669" s="1" t="s">
        <v>85</v>
      </c>
      <c r="X4669" s="1" t="s">
        <v>10149</v>
      </c>
    </row>
    <row r="4670">
      <c r="A4670" s="1" t="s">
        <v>13104</v>
      </c>
      <c r="B4670" s="1" t="s">
        <v>13105</v>
      </c>
      <c r="C4670" s="1" t="s">
        <v>4123</v>
      </c>
      <c r="D4670" s="1" t="s">
        <v>28</v>
      </c>
      <c r="E4670" s="1" t="s">
        <v>29</v>
      </c>
      <c r="F4670" s="5">
        <v>100000.0</v>
      </c>
      <c r="G4670" s="1" t="s">
        <v>7016</v>
      </c>
      <c r="H4670" s="1" t="s">
        <v>1553</v>
      </c>
      <c r="I4670" s="1" t="s">
        <v>302</v>
      </c>
      <c r="K4670" s="1">
        <v>0.0</v>
      </c>
      <c r="L4670" s="1" t="s">
        <v>1844</v>
      </c>
      <c r="M4670" s="1" t="str">
        <f>VLOOKUP(L4670,'Copy of PMD Workday Constants -'!B4669:W5355,22,false)</f>
        <v>#N/A</v>
      </c>
      <c r="N4670" s="1" t="s">
        <v>32</v>
      </c>
      <c r="O4670" s="1" t="s">
        <v>33</v>
      </c>
      <c r="P4670" s="1" t="s">
        <v>82</v>
      </c>
      <c r="Q4670" s="1" t="s">
        <v>82</v>
      </c>
      <c r="R4670" s="1" t="s">
        <v>83</v>
      </c>
      <c r="S4670" s="1" t="s">
        <v>180</v>
      </c>
      <c r="T4670" s="1">
        <v>1.01152213E8</v>
      </c>
      <c r="W4670" s="1" t="s">
        <v>85</v>
      </c>
      <c r="X4670" s="1" t="s">
        <v>4124</v>
      </c>
    </row>
    <row r="4671">
      <c r="A4671" s="1" t="s">
        <v>13106</v>
      </c>
      <c r="B4671" s="1" t="s">
        <v>13107</v>
      </c>
      <c r="C4671" s="1" t="s">
        <v>13108</v>
      </c>
      <c r="D4671" s="1" t="s">
        <v>28</v>
      </c>
      <c r="E4671" s="1" t="s">
        <v>29</v>
      </c>
      <c r="F4671" s="5">
        <v>100000.0</v>
      </c>
      <c r="G4671" s="1" t="s">
        <v>7016</v>
      </c>
      <c r="H4671" s="1" t="s">
        <v>7921</v>
      </c>
      <c r="I4671" s="4">
        <v>44630.0</v>
      </c>
      <c r="K4671" s="1">
        <v>0.0</v>
      </c>
      <c r="L4671" s="1" t="s">
        <v>825</v>
      </c>
      <c r="M4671" s="1" t="str">
        <f>VLOOKUP(L4671,'Copy of PMD Workday Constants -'!B4670:W5356,22,false)</f>
        <v>#N/A</v>
      </c>
      <c r="N4671" s="1" t="s">
        <v>32</v>
      </c>
      <c r="O4671" s="1" t="s">
        <v>33</v>
      </c>
      <c r="P4671" s="1" t="s">
        <v>112</v>
      </c>
      <c r="Q4671" s="1" t="s">
        <v>112</v>
      </c>
      <c r="R4671" s="1" t="s">
        <v>113</v>
      </c>
      <c r="S4671" s="1" t="s">
        <v>120</v>
      </c>
      <c r="T4671" s="1">
        <v>1.00621664E8</v>
      </c>
      <c r="W4671" s="1" t="s">
        <v>436</v>
      </c>
      <c r="X4671" s="1" t="s">
        <v>3945</v>
      </c>
    </row>
    <row r="4672">
      <c r="A4672" s="1" t="s">
        <v>13109</v>
      </c>
      <c r="B4672" s="1" t="s">
        <v>5784</v>
      </c>
      <c r="C4672" s="1" t="s">
        <v>13110</v>
      </c>
      <c r="D4672" s="1" t="s">
        <v>28</v>
      </c>
      <c r="E4672" s="1" t="s">
        <v>29</v>
      </c>
      <c r="F4672" s="5">
        <v>100000.0</v>
      </c>
      <c r="G4672" s="1" t="s">
        <v>7016</v>
      </c>
      <c r="H4672" s="1" t="s">
        <v>243</v>
      </c>
      <c r="I4672" s="1" t="s">
        <v>302</v>
      </c>
      <c r="K4672" s="1">
        <v>0.0</v>
      </c>
      <c r="L4672" s="1" t="s">
        <v>3345</v>
      </c>
      <c r="M4672" s="1" t="str">
        <f>VLOOKUP(L4672,'Copy of PMD Workday Constants -'!B4671:W5357,22,false)</f>
        <v>#N/A</v>
      </c>
      <c r="N4672" s="1" t="s">
        <v>32</v>
      </c>
      <c r="O4672" s="1" t="s">
        <v>33</v>
      </c>
      <c r="P4672" s="1" t="s">
        <v>64</v>
      </c>
      <c r="Q4672" s="1" t="s">
        <v>64</v>
      </c>
      <c r="R4672" s="1" t="s">
        <v>65</v>
      </c>
      <c r="S4672" s="1" t="s">
        <v>791</v>
      </c>
      <c r="T4672" s="1">
        <v>1.0105484E8</v>
      </c>
      <c r="W4672" s="1" t="s">
        <v>456</v>
      </c>
      <c r="X4672" s="1" t="s">
        <v>1016</v>
      </c>
    </row>
    <row r="4673">
      <c r="A4673" s="1" t="s">
        <v>13111</v>
      </c>
      <c r="B4673" s="1" t="s">
        <v>13112</v>
      </c>
      <c r="C4673" s="1" t="s">
        <v>12889</v>
      </c>
      <c r="D4673" s="1" t="s">
        <v>28</v>
      </c>
      <c r="E4673" s="1" t="s">
        <v>29</v>
      </c>
      <c r="F4673" s="5">
        <v>100000.0</v>
      </c>
      <c r="G4673" s="1" t="s">
        <v>7016</v>
      </c>
      <c r="H4673" s="1" t="s">
        <v>2515</v>
      </c>
      <c r="I4673" s="4">
        <v>44568.0</v>
      </c>
      <c r="K4673" s="1">
        <v>0.0</v>
      </c>
      <c r="L4673" s="1" t="s">
        <v>4794</v>
      </c>
      <c r="M4673" s="1" t="str">
        <f>VLOOKUP(L4673,'Copy of PMD Workday Constants -'!B4672:W5358,22,false)</f>
        <v>#N/A</v>
      </c>
      <c r="N4673" s="1" t="s">
        <v>32</v>
      </c>
      <c r="O4673" s="1" t="s">
        <v>33</v>
      </c>
      <c r="P4673" s="1" t="s">
        <v>173</v>
      </c>
      <c r="Q4673" s="1" t="s">
        <v>173</v>
      </c>
      <c r="R4673" s="1" t="s">
        <v>174</v>
      </c>
      <c r="S4673" s="1" t="s">
        <v>612</v>
      </c>
      <c r="T4673" s="1">
        <v>1.00875111E8</v>
      </c>
      <c r="W4673" s="1" t="s">
        <v>56</v>
      </c>
      <c r="X4673" s="1" t="s">
        <v>7818</v>
      </c>
    </row>
    <row r="4674">
      <c r="A4674" s="1" t="s">
        <v>13113</v>
      </c>
      <c r="B4674" s="1" t="s">
        <v>9053</v>
      </c>
      <c r="C4674" s="1" t="s">
        <v>12889</v>
      </c>
      <c r="D4674" s="1" t="s">
        <v>28</v>
      </c>
      <c r="E4674" s="1" t="s">
        <v>29</v>
      </c>
      <c r="F4674" s="5">
        <v>100000.0</v>
      </c>
      <c r="G4674" s="1" t="s">
        <v>7016</v>
      </c>
      <c r="H4674" s="1" t="s">
        <v>1005</v>
      </c>
      <c r="I4674" s="4">
        <v>44568.0</v>
      </c>
      <c r="K4674" s="1">
        <v>0.0</v>
      </c>
      <c r="L4674" s="1" t="s">
        <v>4794</v>
      </c>
      <c r="M4674" s="1" t="str">
        <f>VLOOKUP(L4674,'Copy of PMD Workday Constants -'!B4673:W5359,22,false)</f>
        <v>#N/A</v>
      </c>
      <c r="N4674" s="1" t="s">
        <v>32</v>
      </c>
      <c r="O4674" s="1" t="s">
        <v>33</v>
      </c>
      <c r="P4674" s="1" t="s">
        <v>173</v>
      </c>
      <c r="Q4674" s="1" t="s">
        <v>173</v>
      </c>
      <c r="R4674" s="1" t="s">
        <v>174</v>
      </c>
      <c r="S4674" s="1" t="s">
        <v>612</v>
      </c>
      <c r="T4674" s="1">
        <v>1.00875111E8</v>
      </c>
      <c r="W4674" s="1" t="s">
        <v>56</v>
      </c>
      <c r="X4674" s="1" t="s">
        <v>7818</v>
      </c>
    </row>
    <row r="4675">
      <c r="A4675" s="1" t="s">
        <v>13114</v>
      </c>
      <c r="B4675" s="1" t="s">
        <v>13115</v>
      </c>
      <c r="C4675" s="1" t="s">
        <v>12889</v>
      </c>
      <c r="D4675" s="1" t="s">
        <v>28</v>
      </c>
      <c r="E4675" s="1" t="s">
        <v>29</v>
      </c>
      <c r="F4675" s="5">
        <v>100000.0</v>
      </c>
      <c r="G4675" s="1" t="s">
        <v>7016</v>
      </c>
      <c r="H4675" s="1" t="s">
        <v>1005</v>
      </c>
      <c r="I4675" s="4">
        <v>44568.0</v>
      </c>
      <c r="K4675" s="1">
        <v>0.0</v>
      </c>
      <c r="L4675" s="1" t="s">
        <v>4794</v>
      </c>
      <c r="M4675" s="1" t="str">
        <f>VLOOKUP(L4675,'Copy of PMD Workday Constants -'!B4674:W5360,22,false)</f>
        <v>#N/A</v>
      </c>
      <c r="N4675" s="1" t="s">
        <v>32</v>
      </c>
      <c r="O4675" s="1" t="s">
        <v>33</v>
      </c>
      <c r="P4675" s="1" t="s">
        <v>173</v>
      </c>
      <c r="Q4675" s="1" t="s">
        <v>173</v>
      </c>
      <c r="R4675" s="1" t="s">
        <v>174</v>
      </c>
      <c r="S4675" s="1" t="s">
        <v>612</v>
      </c>
      <c r="T4675" s="1">
        <v>1.00875111E8</v>
      </c>
      <c r="W4675" s="1" t="s">
        <v>56</v>
      </c>
      <c r="X4675" s="1" t="s">
        <v>7818</v>
      </c>
    </row>
    <row r="4676">
      <c r="A4676" s="1" t="s">
        <v>13116</v>
      </c>
      <c r="B4676" s="1" t="s">
        <v>13117</v>
      </c>
      <c r="C4676" s="1" t="s">
        <v>12889</v>
      </c>
      <c r="D4676" s="1" t="s">
        <v>28</v>
      </c>
      <c r="E4676" s="1" t="s">
        <v>29</v>
      </c>
      <c r="F4676" s="5">
        <v>100000.0</v>
      </c>
      <c r="G4676" s="1" t="s">
        <v>7016</v>
      </c>
      <c r="H4676" s="1" t="s">
        <v>1005</v>
      </c>
      <c r="I4676" s="4">
        <v>44568.0</v>
      </c>
      <c r="K4676" s="1">
        <v>0.0</v>
      </c>
      <c r="L4676" s="1" t="s">
        <v>4794</v>
      </c>
      <c r="M4676" s="1" t="str">
        <f>VLOOKUP(L4676,'Copy of PMD Workday Constants -'!B4675:W5361,22,false)</f>
        <v>#N/A</v>
      </c>
      <c r="N4676" s="1" t="s">
        <v>32</v>
      </c>
      <c r="O4676" s="1" t="s">
        <v>33</v>
      </c>
      <c r="P4676" s="1" t="s">
        <v>173</v>
      </c>
      <c r="Q4676" s="1" t="s">
        <v>173</v>
      </c>
      <c r="R4676" s="1" t="s">
        <v>174</v>
      </c>
      <c r="S4676" s="1" t="s">
        <v>612</v>
      </c>
      <c r="T4676" s="1">
        <v>1.00875111E8</v>
      </c>
      <c r="W4676" s="1" t="s">
        <v>56</v>
      </c>
      <c r="X4676" s="1" t="s">
        <v>7818</v>
      </c>
    </row>
    <row r="4677">
      <c r="A4677" s="1" t="s">
        <v>13118</v>
      </c>
      <c r="B4677" s="1" t="s">
        <v>13119</v>
      </c>
      <c r="C4677" s="1" t="s">
        <v>12889</v>
      </c>
      <c r="D4677" s="1" t="s">
        <v>28</v>
      </c>
      <c r="E4677" s="1" t="s">
        <v>29</v>
      </c>
      <c r="F4677" s="5">
        <v>100000.0</v>
      </c>
      <c r="G4677" s="1" t="s">
        <v>7016</v>
      </c>
      <c r="H4677" s="1" t="s">
        <v>1005</v>
      </c>
      <c r="I4677" s="4">
        <v>44568.0</v>
      </c>
      <c r="K4677" s="1">
        <v>0.0</v>
      </c>
      <c r="L4677" s="1" t="s">
        <v>4794</v>
      </c>
      <c r="M4677" s="1" t="str">
        <f>VLOOKUP(L4677,'Copy of PMD Workday Constants -'!B4676:W5362,22,false)</f>
        <v>#N/A</v>
      </c>
      <c r="N4677" s="1" t="s">
        <v>32</v>
      </c>
      <c r="O4677" s="1" t="s">
        <v>33</v>
      </c>
      <c r="P4677" s="1" t="s">
        <v>173</v>
      </c>
      <c r="Q4677" s="1" t="s">
        <v>173</v>
      </c>
      <c r="R4677" s="1" t="s">
        <v>174</v>
      </c>
      <c r="S4677" s="1" t="s">
        <v>612</v>
      </c>
      <c r="T4677" s="1">
        <v>1.00875111E8</v>
      </c>
      <c r="W4677" s="1" t="s">
        <v>56</v>
      </c>
      <c r="X4677" s="1" t="s">
        <v>7818</v>
      </c>
    </row>
    <row r="4678">
      <c r="A4678" s="1" t="s">
        <v>13120</v>
      </c>
      <c r="B4678" s="1" t="s">
        <v>965</v>
      </c>
      <c r="C4678" s="1" t="s">
        <v>12889</v>
      </c>
      <c r="D4678" s="1" t="s">
        <v>28</v>
      </c>
      <c r="E4678" s="1" t="s">
        <v>29</v>
      </c>
      <c r="F4678" s="5">
        <v>100000.0</v>
      </c>
      <c r="G4678" s="1" t="s">
        <v>7016</v>
      </c>
      <c r="H4678" s="1" t="s">
        <v>1005</v>
      </c>
      <c r="I4678" s="4">
        <v>44568.0</v>
      </c>
      <c r="K4678" s="1">
        <v>0.0</v>
      </c>
      <c r="L4678" s="1" t="s">
        <v>4794</v>
      </c>
      <c r="M4678" s="1" t="str">
        <f>VLOOKUP(L4678,'Copy of PMD Workday Constants -'!B4677:W5363,22,false)</f>
        <v>#N/A</v>
      </c>
      <c r="N4678" s="1" t="s">
        <v>32</v>
      </c>
      <c r="O4678" s="1" t="s">
        <v>33</v>
      </c>
      <c r="P4678" s="1" t="s">
        <v>173</v>
      </c>
      <c r="Q4678" s="1" t="s">
        <v>173</v>
      </c>
      <c r="R4678" s="1" t="s">
        <v>174</v>
      </c>
      <c r="S4678" s="1" t="s">
        <v>612</v>
      </c>
      <c r="T4678" s="1">
        <v>1.00875111E8</v>
      </c>
      <c r="W4678" s="1" t="s">
        <v>56</v>
      </c>
      <c r="X4678" s="1" t="s">
        <v>7818</v>
      </c>
    </row>
    <row r="4679">
      <c r="A4679" s="1" t="s">
        <v>13121</v>
      </c>
      <c r="B4679" s="1" t="s">
        <v>13122</v>
      </c>
      <c r="C4679" s="1" t="s">
        <v>12889</v>
      </c>
      <c r="D4679" s="1" t="s">
        <v>28</v>
      </c>
      <c r="E4679" s="1" t="s">
        <v>29</v>
      </c>
      <c r="F4679" s="5">
        <v>100000.0</v>
      </c>
      <c r="G4679" s="1" t="s">
        <v>7016</v>
      </c>
      <c r="H4679" s="1" t="s">
        <v>1005</v>
      </c>
      <c r="I4679" s="4">
        <v>44568.0</v>
      </c>
      <c r="K4679" s="1">
        <v>0.0</v>
      </c>
      <c r="L4679" s="1" t="s">
        <v>4794</v>
      </c>
      <c r="M4679" s="1" t="str">
        <f>VLOOKUP(L4679,'Copy of PMD Workday Constants -'!B4678:W5364,22,false)</f>
        <v>#N/A</v>
      </c>
      <c r="N4679" s="1" t="s">
        <v>32</v>
      </c>
      <c r="O4679" s="1" t="s">
        <v>33</v>
      </c>
      <c r="P4679" s="1" t="s">
        <v>173</v>
      </c>
      <c r="Q4679" s="1" t="s">
        <v>173</v>
      </c>
      <c r="R4679" s="1" t="s">
        <v>174</v>
      </c>
      <c r="S4679" s="1" t="s">
        <v>612</v>
      </c>
      <c r="T4679" s="1">
        <v>1.00875111E8</v>
      </c>
      <c r="W4679" s="1" t="s">
        <v>56</v>
      </c>
      <c r="X4679" s="1" t="s">
        <v>7818</v>
      </c>
    </row>
    <row r="4680">
      <c r="A4680" s="1" t="s">
        <v>13123</v>
      </c>
      <c r="B4680" s="1" t="s">
        <v>6488</v>
      </c>
      <c r="C4680" s="1" t="s">
        <v>13124</v>
      </c>
      <c r="D4680" s="1" t="s">
        <v>51</v>
      </c>
      <c r="E4680" s="1" t="s">
        <v>29</v>
      </c>
      <c r="F4680" s="5">
        <v>100000.0</v>
      </c>
      <c r="G4680" s="1" t="s">
        <v>7016</v>
      </c>
      <c r="H4680" s="4">
        <v>44565.0</v>
      </c>
      <c r="I4680" s="1" t="s">
        <v>80</v>
      </c>
      <c r="K4680" s="1">
        <v>0.0</v>
      </c>
      <c r="L4680" s="1" t="s">
        <v>4338</v>
      </c>
      <c r="M4680" s="1" t="str">
        <f>VLOOKUP(L4680,'Copy of PMD Workday Constants -'!B4679:W5365,22,false)</f>
        <v>#N/A</v>
      </c>
      <c r="N4680" s="1" t="s">
        <v>32</v>
      </c>
      <c r="O4680" s="1" t="s">
        <v>33</v>
      </c>
      <c r="P4680" s="1" t="s">
        <v>173</v>
      </c>
      <c r="Q4680" s="1" t="s">
        <v>173</v>
      </c>
      <c r="R4680" s="1" t="s">
        <v>174</v>
      </c>
      <c r="T4680" s="1">
        <v>1.00616269E8</v>
      </c>
      <c r="W4680" s="1" t="s">
        <v>74</v>
      </c>
      <c r="X4680" s="1" t="s">
        <v>13125</v>
      </c>
    </row>
    <row r="4681">
      <c r="A4681" s="1" t="s">
        <v>13126</v>
      </c>
      <c r="B4681" s="1" t="s">
        <v>5402</v>
      </c>
      <c r="C4681" s="1" t="s">
        <v>13127</v>
      </c>
      <c r="D4681" s="1" t="s">
        <v>51</v>
      </c>
      <c r="E4681" s="1" t="s">
        <v>29</v>
      </c>
      <c r="F4681" s="5">
        <v>100000.0</v>
      </c>
      <c r="G4681" s="1" t="s">
        <v>7016</v>
      </c>
      <c r="H4681" s="4">
        <v>44565.0</v>
      </c>
      <c r="I4681" s="1" t="s">
        <v>80</v>
      </c>
      <c r="K4681" s="1">
        <v>0.0</v>
      </c>
      <c r="L4681" s="1" t="s">
        <v>5404</v>
      </c>
      <c r="M4681" s="1" t="str">
        <f>VLOOKUP(L4681,'Copy of PMD Workday Constants -'!B4680:W5366,22,false)</f>
        <v>#N/A</v>
      </c>
      <c r="N4681" s="1" t="s">
        <v>32</v>
      </c>
      <c r="O4681" s="1" t="s">
        <v>33</v>
      </c>
      <c r="P4681" s="1" t="s">
        <v>64</v>
      </c>
      <c r="Q4681" s="1" t="s">
        <v>64</v>
      </c>
      <c r="R4681" s="1" t="s">
        <v>65</v>
      </c>
      <c r="T4681" s="1">
        <v>1.00650453E8</v>
      </c>
      <c r="W4681" s="1" t="s">
        <v>436</v>
      </c>
      <c r="X4681" s="1" t="s">
        <v>11046</v>
      </c>
    </row>
    <row r="4682">
      <c r="A4682" s="1" t="s">
        <v>13128</v>
      </c>
      <c r="B4682" s="1" t="s">
        <v>585</v>
      </c>
      <c r="C4682" s="1" t="s">
        <v>13129</v>
      </c>
      <c r="D4682" s="1" t="s">
        <v>28</v>
      </c>
      <c r="E4682" s="1" t="s">
        <v>29</v>
      </c>
      <c r="F4682" s="5">
        <v>100000.0</v>
      </c>
      <c r="G4682" s="1" t="s">
        <v>7016</v>
      </c>
      <c r="H4682" s="1" t="s">
        <v>13130</v>
      </c>
      <c r="I4682" s="4">
        <v>44570.0</v>
      </c>
      <c r="K4682" s="1">
        <v>0.0</v>
      </c>
      <c r="L4682" s="1" t="s">
        <v>588</v>
      </c>
      <c r="M4682" s="1" t="str">
        <f>VLOOKUP(L4682,'Copy of PMD Workday Constants -'!B4681:W5367,22,false)</f>
        <v>#N/A</v>
      </c>
      <c r="N4682" s="1" t="s">
        <v>32</v>
      </c>
      <c r="O4682" s="1" t="s">
        <v>33</v>
      </c>
      <c r="P4682" s="1" t="s">
        <v>34</v>
      </c>
      <c r="Q4682" s="1" t="s">
        <v>34</v>
      </c>
      <c r="R4682" s="1" t="s">
        <v>35</v>
      </c>
      <c r="S4682" s="1" t="s">
        <v>36</v>
      </c>
      <c r="T4682" s="1">
        <v>1.00609607E8</v>
      </c>
      <c r="W4682" s="1" t="s">
        <v>91</v>
      </c>
      <c r="X4682" s="1" t="s">
        <v>589</v>
      </c>
    </row>
    <row r="4683">
      <c r="A4683" s="1" t="s">
        <v>13131</v>
      </c>
      <c r="B4683" s="1" t="s">
        <v>8268</v>
      </c>
      <c r="C4683" s="1" t="s">
        <v>13132</v>
      </c>
      <c r="D4683" s="1" t="s">
        <v>51</v>
      </c>
      <c r="E4683" s="1" t="s">
        <v>29</v>
      </c>
      <c r="F4683" s="5">
        <v>100000.0</v>
      </c>
      <c r="G4683" s="1" t="s">
        <v>7016</v>
      </c>
      <c r="H4683" s="1" t="s">
        <v>509</v>
      </c>
      <c r="I4683" s="4">
        <v>44626.0</v>
      </c>
      <c r="K4683" s="1">
        <v>0.0</v>
      </c>
      <c r="L4683" s="1" t="s">
        <v>7585</v>
      </c>
      <c r="M4683" s="1" t="str">
        <f>VLOOKUP(L4683,'Copy of PMD Workday Constants -'!B4682:W5368,22,false)</f>
        <v>#N/A</v>
      </c>
      <c r="N4683" s="1" t="s">
        <v>32</v>
      </c>
      <c r="O4683" s="1" t="s">
        <v>33</v>
      </c>
      <c r="P4683" s="1" t="s">
        <v>173</v>
      </c>
      <c r="Q4683" s="1" t="s">
        <v>173</v>
      </c>
      <c r="R4683" s="1" t="s">
        <v>174</v>
      </c>
      <c r="T4683" s="1">
        <v>1.01237665E8</v>
      </c>
      <c r="W4683" s="1" t="s">
        <v>74</v>
      </c>
      <c r="X4683" s="1" t="s">
        <v>13133</v>
      </c>
    </row>
    <row r="4684">
      <c r="A4684" s="1" t="s">
        <v>13134</v>
      </c>
      <c r="B4684" s="1" t="s">
        <v>8043</v>
      </c>
      <c r="C4684" s="1" t="s">
        <v>11223</v>
      </c>
      <c r="D4684" s="1" t="s">
        <v>51</v>
      </c>
      <c r="E4684" s="1" t="s">
        <v>29</v>
      </c>
      <c r="F4684" s="5">
        <v>100000.0</v>
      </c>
      <c r="G4684" s="1" t="s">
        <v>7016</v>
      </c>
      <c r="H4684" s="1" t="s">
        <v>1254</v>
      </c>
      <c r="I4684" s="1" t="s">
        <v>732</v>
      </c>
      <c r="K4684" s="1">
        <v>0.0</v>
      </c>
      <c r="L4684" s="1" t="s">
        <v>1249</v>
      </c>
      <c r="M4684" s="1" t="str">
        <f>VLOOKUP(L4684,'Copy of PMD Workday Constants -'!B4683:W5369,22,false)</f>
        <v>#N/A</v>
      </c>
      <c r="N4684" s="1" t="s">
        <v>32</v>
      </c>
      <c r="O4684" s="1" t="s">
        <v>33</v>
      </c>
      <c r="P4684" s="1" t="s">
        <v>222</v>
      </c>
      <c r="Q4684" s="1" t="s">
        <v>222</v>
      </c>
      <c r="R4684" s="1" t="s">
        <v>223</v>
      </c>
      <c r="S4684" s="1" t="s">
        <v>646</v>
      </c>
      <c r="T4684" s="1">
        <v>1.00609871E8</v>
      </c>
      <c r="V4684" s="1" t="s">
        <v>67</v>
      </c>
      <c r="W4684" s="1" t="s">
        <v>493</v>
      </c>
      <c r="X4684" s="1" t="s">
        <v>1250</v>
      </c>
    </row>
    <row r="4685">
      <c r="A4685" s="1" t="s">
        <v>13135</v>
      </c>
      <c r="B4685" s="1" t="s">
        <v>4642</v>
      </c>
      <c r="C4685" s="1" t="s">
        <v>13136</v>
      </c>
      <c r="D4685" s="1" t="s">
        <v>51</v>
      </c>
      <c r="E4685" s="1" t="s">
        <v>29</v>
      </c>
      <c r="F4685" s="5">
        <v>100000.0</v>
      </c>
      <c r="G4685" s="1" t="s">
        <v>7016</v>
      </c>
      <c r="H4685" s="1" t="s">
        <v>1785</v>
      </c>
      <c r="I4685" s="1" t="s">
        <v>152</v>
      </c>
      <c r="K4685" s="1">
        <v>0.0</v>
      </c>
      <c r="L4685" s="1" t="s">
        <v>7664</v>
      </c>
      <c r="M4685" s="1" t="str">
        <f>VLOOKUP(L4685,'Copy of PMD Workday Constants -'!B4684:W5370,22,false)</f>
        <v>#N/A</v>
      </c>
      <c r="N4685" s="1" t="s">
        <v>32</v>
      </c>
      <c r="O4685" s="1" t="s">
        <v>33</v>
      </c>
      <c r="P4685" s="1" t="s">
        <v>222</v>
      </c>
      <c r="Q4685" s="1" t="s">
        <v>222</v>
      </c>
      <c r="R4685" s="1" t="s">
        <v>223</v>
      </c>
      <c r="S4685" s="1" t="s">
        <v>601</v>
      </c>
      <c r="T4685" s="1">
        <v>1.00882877E8</v>
      </c>
      <c r="W4685" s="1" t="s">
        <v>436</v>
      </c>
      <c r="X4685" s="1" t="s">
        <v>7664</v>
      </c>
    </row>
    <row r="4686">
      <c r="A4686" s="1" t="s">
        <v>13137</v>
      </c>
      <c r="B4686" s="1" t="s">
        <v>450</v>
      </c>
      <c r="C4686" s="1" t="s">
        <v>13138</v>
      </c>
      <c r="D4686" s="1" t="s">
        <v>28</v>
      </c>
      <c r="E4686" s="1" t="s">
        <v>29</v>
      </c>
      <c r="F4686" s="5">
        <v>100000.0</v>
      </c>
      <c r="G4686" s="1" t="s">
        <v>7016</v>
      </c>
      <c r="H4686" s="1" t="s">
        <v>1015</v>
      </c>
      <c r="I4686" s="1" t="s">
        <v>104</v>
      </c>
      <c r="K4686" s="1">
        <v>0.0</v>
      </c>
      <c r="L4686" s="1" t="s">
        <v>3345</v>
      </c>
      <c r="M4686" s="1" t="str">
        <f>VLOOKUP(L4686,'Copy of PMD Workday Constants -'!B4685:W5371,22,false)</f>
        <v>#N/A</v>
      </c>
      <c r="N4686" s="1" t="s">
        <v>32</v>
      </c>
      <c r="O4686" s="1" t="s">
        <v>33</v>
      </c>
      <c r="P4686" s="1" t="s">
        <v>64</v>
      </c>
      <c r="Q4686" s="1" t="s">
        <v>64</v>
      </c>
      <c r="R4686" s="1" t="s">
        <v>65</v>
      </c>
      <c r="S4686" s="1" t="s">
        <v>1336</v>
      </c>
      <c r="T4686" s="1">
        <v>1.0105484E8</v>
      </c>
      <c r="W4686" s="1" t="s">
        <v>456</v>
      </c>
      <c r="X4686" s="1" t="s">
        <v>1016</v>
      </c>
    </row>
    <row r="4687">
      <c r="A4687" s="1" t="s">
        <v>13139</v>
      </c>
      <c r="B4687" s="1" t="s">
        <v>13140</v>
      </c>
      <c r="C4687" s="1" t="s">
        <v>13141</v>
      </c>
      <c r="D4687" s="1" t="s">
        <v>51</v>
      </c>
      <c r="E4687" s="1" t="s">
        <v>29</v>
      </c>
      <c r="F4687" s="5">
        <v>100000.0</v>
      </c>
      <c r="G4687" s="1" t="s">
        <v>7016</v>
      </c>
      <c r="H4687" s="1" t="s">
        <v>2559</v>
      </c>
      <c r="I4687" s="1" t="s">
        <v>302</v>
      </c>
      <c r="K4687" s="1">
        <v>0.0</v>
      </c>
      <c r="L4687" s="1" t="s">
        <v>4822</v>
      </c>
      <c r="M4687" s="1" t="str">
        <f>VLOOKUP(L4687,'Copy of PMD Workday Constants -'!B4686:W5372,22,false)</f>
        <v>#N/A</v>
      </c>
      <c r="N4687" s="1" t="s">
        <v>32</v>
      </c>
      <c r="O4687" s="1" t="s">
        <v>33</v>
      </c>
      <c r="P4687" s="1" t="s">
        <v>222</v>
      </c>
      <c r="Q4687" s="1" t="s">
        <v>222</v>
      </c>
      <c r="R4687" s="1" t="s">
        <v>223</v>
      </c>
      <c r="T4687" s="1">
        <v>1.00619685E8</v>
      </c>
      <c r="W4687" s="1" t="s">
        <v>74</v>
      </c>
      <c r="X4687" s="1" t="s">
        <v>1511</v>
      </c>
    </row>
    <row r="4688">
      <c r="A4688" s="1" t="s">
        <v>13142</v>
      </c>
      <c r="B4688" s="1" t="s">
        <v>411</v>
      </c>
      <c r="C4688" s="1" t="s">
        <v>13143</v>
      </c>
      <c r="D4688" s="1" t="s">
        <v>28</v>
      </c>
      <c r="E4688" s="1" t="s">
        <v>29</v>
      </c>
      <c r="F4688" s="5">
        <v>100000.0</v>
      </c>
      <c r="G4688" s="1" t="s">
        <v>7016</v>
      </c>
      <c r="H4688" s="4">
        <v>44355.0</v>
      </c>
      <c r="I4688" s="1" t="s">
        <v>732</v>
      </c>
      <c r="K4688" s="1">
        <v>0.0</v>
      </c>
      <c r="L4688" s="1" t="s">
        <v>2417</v>
      </c>
      <c r="M4688" s="1" t="str">
        <f>VLOOKUP(L4688,'Copy of PMD Workday Constants -'!B4687:W5373,22,false)</f>
        <v>#N/A</v>
      </c>
      <c r="N4688" s="1" t="s">
        <v>32</v>
      </c>
      <c r="O4688" s="1" t="s">
        <v>33</v>
      </c>
      <c r="P4688" s="1" t="s">
        <v>34</v>
      </c>
      <c r="Q4688" s="1" t="s">
        <v>34</v>
      </c>
      <c r="R4688" s="1" t="s">
        <v>35</v>
      </c>
      <c r="T4688" s="1">
        <v>1.00642238E8</v>
      </c>
      <c r="W4688" s="1" t="s">
        <v>56</v>
      </c>
      <c r="X4688" s="1" t="s">
        <v>3112</v>
      </c>
    </row>
    <row r="4689">
      <c r="A4689" s="1" t="s">
        <v>13144</v>
      </c>
      <c r="B4689" s="1" t="s">
        <v>353</v>
      </c>
      <c r="C4689" s="1" t="s">
        <v>13145</v>
      </c>
      <c r="D4689" s="1" t="s">
        <v>28</v>
      </c>
      <c r="E4689" s="1" t="s">
        <v>29</v>
      </c>
      <c r="F4689" s="5">
        <v>100000.0</v>
      </c>
      <c r="G4689" s="1" t="s">
        <v>7016</v>
      </c>
      <c r="H4689" s="4">
        <v>44239.0</v>
      </c>
      <c r="I4689" s="1" t="s">
        <v>1349</v>
      </c>
      <c r="K4689" s="1">
        <v>0.0</v>
      </c>
      <c r="L4689" s="1" t="s">
        <v>5313</v>
      </c>
      <c r="M4689" s="1" t="str">
        <f>VLOOKUP(L4689,'Copy of PMD Workday Constants -'!B4688:W5374,22,false)</f>
        <v>#N/A</v>
      </c>
      <c r="N4689" s="1" t="s">
        <v>32</v>
      </c>
      <c r="O4689" s="1" t="s">
        <v>33</v>
      </c>
      <c r="P4689" s="1" t="s">
        <v>64</v>
      </c>
      <c r="Q4689" s="1" t="s">
        <v>64</v>
      </c>
      <c r="R4689" s="1" t="s">
        <v>65</v>
      </c>
      <c r="S4689" s="1" t="s">
        <v>1496</v>
      </c>
      <c r="T4689" s="1">
        <v>1.00910509E8</v>
      </c>
      <c r="W4689" s="1" t="s">
        <v>258</v>
      </c>
      <c r="X4689" s="1" t="s">
        <v>5313</v>
      </c>
    </row>
    <row r="4690">
      <c r="A4690" s="1" t="s">
        <v>13146</v>
      </c>
      <c r="B4690" s="1" t="s">
        <v>4129</v>
      </c>
      <c r="C4690" s="1" t="s">
        <v>13147</v>
      </c>
      <c r="D4690" s="1" t="s">
        <v>28</v>
      </c>
      <c r="E4690" s="1" t="s">
        <v>29</v>
      </c>
      <c r="F4690" s="5">
        <v>100000.0</v>
      </c>
      <c r="G4690" s="1" t="s">
        <v>7016</v>
      </c>
      <c r="H4690" s="4">
        <v>44294.0</v>
      </c>
      <c r="I4690" s="1" t="s">
        <v>217</v>
      </c>
      <c r="K4690" s="1">
        <v>0.0</v>
      </c>
      <c r="L4690" s="1" t="s">
        <v>255</v>
      </c>
      <c r="M4690" s="1" t="str">
        <f>VLOOKUP(L4690,'Copy of PMD Workday Constants -'!B4689:W5375,22,false)</f>
        <v>#N/A</v>
      </c>
      <c r="N4690" s="1" t="s">
        <v>32</v>
      </c>
      <c r="O4690" s="1" t="s">
        <v>33</v>
      </c>
      <c r="P4690" s="1" t="s">
        <v>112</v>
      </c>
      <c r="Q4690" s="1" t="s">
        <v>112</v>
      </c>
      <c r="R4690" s="1" t="s">
        <v>113</v>
      </c>
      <c r="S4690" s="1" t="s">
        <v>297</v>
      </c>
      <c r="T4690" s="1">
        <v>1.00659114E8</v>
      </c>
      <c r="W4690" s="1" t="s">
        <v>258</v>
      </c>
      <c r="X4690" s="1" t="s">
        <v>359</v>
      </c>
    </row>
    <row r="4691">
      <c r="A4691" s="1" t="s">
        <v>13148</v>
      </c>
      <c r="B4691" s="1" t="s">
        <v>93</v>
      </c>
      <c r="C4691" s="1" t="s">
        <v>13149</v>
      </c>
      <c r="D4691" s="1" t="s">
        <v>51</v>
      </c>
      <c r="E4691" s="1" t="s">
        <v>29</v>
      </c>
      <c r="F4691" s="5">
        <v>100000.0</v>
      </c>
      <c r="G4691" s="1" t="s">
        <v>7016</v>
      </c>
      <c r="H4691" s="1" t="s">
        <v>13150</v>
      </c>
      <c r="I4691" s="1" t="s">
        <v>152</v>
      </c>
      <c r="K4691" s="1">
        <v>0.0</v>
      </c>
      <c r="L4691" s="1" t="s">
        <v>2885</v>
      </c>
      <c r="M4691" s="1" t="str">
        <f>VLOOKUP(L4691,'Copy of PMD Workday Constants -'!B4690:W5376,22,false)</f>
        <v>#N/A</v>
      </c>
      <c r="N4691" s="1" t="s">
        <v>32</v>
      </c>
      <c r="O4691" s="1" t="s">
        <v>33</v>
      </c>
      <c r="P4691" s="1" t="s">
        <v>210</v>
      </c>
      <c r="Q4691" s="1" t="s">
        <v>210</v>
      </c>
      <c r="R4691" s="1" t="s">
        <v>211</v>
      </c>
      <c r="S4691" s="1" t="s">
        <v>416</v>
      </c>
      <c r="T4691" s="1">
        <v>1.00647463E8</v>
      </c>
      <c r="W4691" s="1" t="s">
        <v>56</v>
      </c>
      <c r="X4691" s="1" t="s">
        <v>2885</v>
      </c>
    </row>
    <row r="4692">
      <c r="A4692" s="1" t="s">
        <v>13151</v>
      </c>
      <c r="B4692" s="1" t="s">
        <v>13152</v>
      </c>
      <c r="C4692" s="1" t="s">
        <v>13153</v>
      </c>
      <c r="D4692" s="1" t="s">
        <v>51</v>
      </c>
      <c r="E4692" s="1" t="s">
        <v>29</v>
      </c>
      <c r="F4692" s="5">
        <v>100000.0</v>
      </c>
      <c r="G4692" s="1" t="s">
        <v>7016</v>
      </c>
      <c r="H4692" s="4">
        <v>44686.0</v>
      </c>
      <c r="I4692" s="1" t="s">
        <v>80</v>
      </c>
      <c r="K4692" s="1">
        <v>0.0</v>
      </c>
      <c r="L4692" s="1" t="s">
        <v>2013</v>
      </c>
      <c r="M4692" s="1" t="str">
        <f>VLOOKUP(L4692,'Copy of PMD Workday Constants -'!B4691:W5377,22,false)</f>
        <v>#N/A</v>
      </c>
      <c r="N4692" s="1" t="s">
        <v>32</v>
      </c>
      <c r="O4692" s="1" t="s">
        <v>33</v>
      </c>
      <c r="P4692" s="1" t="s">
        <v>222</v>
      </c>
      <c r="Q4692" s="1" t="s">
        <v>222</v>
      </c>
      <c r="R4692" s="1" t="s">
        <v>223</v>
      </c>
      <c r="S4692" s="1" t="s">
        <v>482</v>
      </c>
      <c r="T4692" s="1">
        <v>1.00596618E8</v>
      </c>
      <c r="W4692" s="1" t="s">
        <v>74</v>
      </c>
      <c r="X4692" s="1" t="s">
        <v>11863</v>
      </c>
    </row>
    <row r="4693">
      <c r="A4693" s="1" t="s">
        <v>13154</v>
      </c>
      <c r="B4693" s="1" t="s">
        <v>13155</v>
      </c>
      <c r="C4693" s="1" t="s">
        <v>13156</v>
      </c>
      <c r="D4693" s="1" t="s">
        <v>51</v>
      </c>
      <c r="E4693" s="1" t="s">
        <v>29</v>
      </c>
      <c r="F4693" s="5">
        <v>100000.0</v>
      </c>
      <c r="G4693" s="1" t="s">
        <v>7016</v>
      </c>
      <c r="H4693" s="4">
        <v>43993.0</v>
      </c>
      <c r="I4693" s="1" t="s">
        <v>80</v>
      </c>
      <c r="K4693" s="1">
        <v>0.0</v>
      </c>
      <c r="L4693" s="1" t="s">
        <v>4608</v>
      </c>
      <c r="M4693" s="1" t="str">
        <f>VLOOKUP(L4693,'Copy of PMD Workday Constants -'!B4692:W5378,22,false)</f>
        <v>#N/A</v>
      </c>
      <c r="N4693" s="1" t="s">
        <v>32</v>
      </c>
      <c r="O4693" s="1" t="s">
        <v>33</v>
      </c>
      <c r="P4693" s="1" t="s">
        <v>222</v>
      </c>
      <c r="Q4693" s="1" t="s">
        <v>222</v>
      </c>
      <c r="R4693" s="1" t="s">
        <v>223</v>
      </c>
      <c r="S4693" s="1" t="s">
        <v>482</v>
      </c>
      <c r="T4693" s="1">
        <v>1.00592715E8</v>
      </c>
      <c r="W4693" s="1" t="s">
        <v>115</v>
      </c>
      <c r="X4693" s="1" t="s">
        <v>12452</v>
      </c>
    </row>
    <row r="4694">
      <c r="A4694" s="1" t="s">
        <v>13157</v>
      </c>
      <c r="B4694" s="1" t="s">
        <v>13158</v>
      </c>
      <c r="C4694" s="1" t="s">
        <v>13159</v>
      </c>
      <c r="D4694" s="1" t="s">
        <v>51</v>
      </c>
      <c r="E4694" s="1" t="s">
        <v>29</v>
      </c>
      <c r="F4694" s="5">
        <v>100000.0</v>
      </c>
      <c r="G4694" s="1" t="s">
        <v>7016</v>
      </c>
      <c r="H4694" s="4">
        <v>44294.0</v>
      </c>
      <c r="I4694" s="1" t="s">
        <v>80</v>
      </c>
      <c r="K4694" s="1">
        <v>0.0</v>
      </c>
      <c r="L4694" s="1" t="s">
        <v>2507</v>
      </c>
      <c r="M4694" s="1" t="str">
        <f>VLOOKUP(L4694,'Copy of PMD Workday Constants -'!B4693:W5379,22,false)</f>
        <v>#N/A</v>
      </c>
      <c r="N4694" s="1" t="s">
        <v>32</v>
      </c>
      <c r="O4694" s="1" t="s">
        <v>33</v>
      </c>
      <c r="P4694" s="1" t="s">
        <v>222</v>
      </c>
      <c r="Q4694" s="1" t="s">
        <v>222</v>
      </c>
      <c r="R4694" s="1" t="s">
        <v>223</v>
      </c>
      <c r="S4694" s="1" t="s">
        <v>482</v>
      </c>
      <c r="T4694" s="1">
        <v>1.00659458E8</v>
      </c>
      <c r="W4694" s="1" t="s">
        <v>115</v>
      </c>
      <c r="X4694" s="1" t="s">
        <v>2507</v>
      </c>
    </row>
    <row r="4695">
      <c r="A4695" s="1" t="s">
        <v>13160</v>
      </c>
      <c r="B4695" s="1" t="s">
        <v>4968</v>
      </c>
      <c r="C4695" s="1" t="s">
        <v>13161</v>
      </c>
      <c r="D4695" s="1" t="s">
        <v>28</v>
      </c>
      <c r="E4695" s="1" t="s">
        <v>29</v>
      </c>
      <c r="F4695" s="5">
        <v>100000.0</v>
      </c>
      <c r="G4695" s="1" t="s">
        <v>7016</v>
      </c>
      <c r="H4695" s="1" t="s">
        <v>1220</v>
      </c>
      <c r="I4695" s="1" t="s">
        <v>2110</v>
      </c>
      <c r="K4695" s="1">
        <v>0.0</v>
      </c>
      <c r="L4695" s="1" t="s">
        <v>2630</v>
      </c>
      <c r="M4695" s="1" t="str">
        <f>VLOOKUP(L4695,'Copy of PMD Workday Constants -'!B4694:W5380,22,false)</f>
        <v>#N/A</v>
      </c>
      <c r="N4695" s="1" t="s">
        <v>32</v>
      </c>
      <c r="O4695" s="1" t="s">
        <v>33</v>
      </c>
      <c r="P4695" s="1" t="s">
        <v>34</v>
      </c>
      <c r="Q4695" s="1" t="s">
        <v>34</v>
      </c>
      <c r="R4695" s="1" t="s">
        <v>35</v>
      </c>
      <c r="S4695" s="1" t="s">
        <v>1166</v>
      </c>
      <c r="T4695" s="1">
        <v>1.00606975E8</v>
      </c>
      <c r="W4695" s="1" t="s">
        <v>456</v>
      </c>
      <c r="X4695" s="1" t="s">
        <v>9375</v>
      </c>
    </row>
    <row r="4696">
      <c r="A4696" s="1" t="s">
        <v>13162</v>
      </c>
      <c r="B4696" s="1" t="s">
        <v>521</v>
      </c>
      <c r="C4696" s="1" t="s">
        <v>13163</v>
      </c>
      <c r="D4696" s="1" t="s">
        <v>51</v>
      </c>
      <c r="E4696" s="1" t="s">
        <v>29</v>
      </c>
      <c r="F4696" s="5">
        <v>100000.0</v>
      </c>
      <c r="G4696" s="1" t="s">
        <v>7016</v>
      </c>
      <c r="H4696" s="1" t="s">
        <v>1055</v>
      </c>
      <c r="I4696" s="1" t="s">
        <v>302</v>
      </c>
      <c r="K4696" s="1">
        <v>0.0</v>
      </c>
      <c r="L4696" s="1" t="s">
        <v>2086</v>
      </c>
      <c r="M4696" s="1" t="str">
        <f>VLOOKUP(L4696,'Copy of PMD Workday Constants -'!B4695:W5381,22,false)</f>
        <v>#N/A</v>
      </c>
      <c r="N4696" s="1" t="s">
        <v>32</v>
      </c>
      <c r="O4696" s="1" t="s">
        <v>33</v>
      </c>
      <c r="P4696" s="1" t="s">
        <v>82</v>
      </c>
      <c r="Q4696" s="1" t="s">
        <v>82</v>
      </c>
      <c r="R4696" s="1" t="s">
        <v>83</v>
      </c>
      <c r="S4696" s="1" t="s">
        <v>13164</v>
      </c>
      <c r="T4696" s="1">
        <v>1.0061233E8</v>
      </c>
      <c r="W4696" s="1" t="s">
        <v>85</v>
      </c>
      <c r="X4696" s="1" t="s">
        <v>2086</v>
      </c>
    </row>
    <row r="4697">
      <c r="A4697" s="1" t="s">
        <v>13165</v>
      </c>
      <c r="B4697" s="1" t="s">
        <v>4968</v>
      </c>
      <c r="C4697" s="1" t="s">
        <v>13166</v>
      </c>
      <c r="D4697" s="1" t="s">
        <v>28</v>
      </c>
      <c r="E4697" s="1" t="s">
        <v>29</v>
      </c>
      <c r="F4697" s="5">
        <v>100000.0</v>
      </c>
      <c r="G4697" s="1" t="s">
        <v>7016</v>
      </c>
      <c r="H4697" s="1" t="s">
        <v>1220</v>
      </c>
      <c r="I4697" s="1" t="s">
        <v>1673</v>
      </c>
      <c r="K4697" s="1">
        <v>0.0</v>
      </c>
      <c r="L4697" s="1" t="s">
        <v>2630</v>
      </c>
      <c r="M4697" s="1" t="str">
        <f>VLOOKUP(L4697,'Copy of PMD Workday Constants -'!B4696:W5382,22,false)</f>
        <v>#N/A</v>
      </c>
      <c r="N4697" s="1" t="s">
        <v>32</v>
      </c>
      <c r="O4697" s="1" t="s">
        <v>33</v>
      </c>
      <c r="P4697" s="1" t="s">
        <v>34</v>
      </c>
      <c r="Q4697" s="1" t="s">
        <v>34</v>
      </c>
      <c r="R4697" s="1" t="s">
        <v>35</v>
      </c>
      <c r="S4697" s="1" t="s">
        <v>1166</v>
      </c>
      <c r="T4697" s="1">
        <v>1.00606975E8</v>
      </c>
      <c r="W4697" s="1" t="s">
        <v>456</v>
      </c>
      <c r="X4697" s="1" t="s">
        <v>9375</v>
      </c>
    </row>
    <row r="4698">
      <c r="A4698" s="1" t="s">
        <v>13167</v>
      </c>
      <c r="B4698" s="1" t="s">
        <v>507</v>
      </c>
      <c r="C4698" s="1" t="s">
        <v>13168</v>
      </c>
      <c r="D4698" s="1" t="s">
        <v>51</v>
      </c>
      <c r="E4698" s="1" t="s">
        <v>29</v>
      </c>
      <c r="F4698" s="5">
        <v>100000.0</v>
      </c>
      <c r="G4698" s="1" t="s">
        <v>7016</v>
      </c>
      <c r="H4698" s="4">
        <v>44567.0</v>
      </c>
      <c r="I4698" s="1" t="s">
        <v>1746</v>
      </c>
      <c r="K4698" s="1">
        <v>0.0</v>
      </c>
      <c r="L4698" s="1" t="s">
        <v>1635</v>
      </c>
      <c r="M4698" s="1" t="str">
        <f>VLOOKUP(L4698,'Copy of PMD Workday Constants -'!B4697:W5383,22,false)</f>
        <v>#N/A</v>
      </c>
      <c r="N4698" s="1" t="s">
        <v>32</v>
      </c>
      <c r="O4698" s="1" t="s">
        <v>33</v>
      </c>
      <c r="P4698" s="1" t="s">
        <v>34</v>
      </c>
      <c r="Q4698" s="1" t="s">
        <v>34</v>
      </c>
      <c r="R4698" s="1" t="s">
        <v>35</v>
      </c>
      <c r="T4698" s="1">
        <v>1.00656371E8</v>
      </c>
      <c r="W4698" s="1" t="s">
        <v>456</v>
      </c>
      <c r="X4698" s="1" t="s">
        <v>4015</v>
      </c>
    </row>
    <row r="4699">
      <c r="A4699" s="1" t="s">
        <v>13169</v>
      </c>
      <c r="B4699" s="1" t="s">
        <v>13170</v>
      </c>
      <c r="C4699" s="1" t="s">
        <v>13171</v>
      </c>
      <c r="D4699" s="1" t="s">
        <v>103</v>
      </c>
      <c r="E4699" s="1" t="s">
        <v>29</v>
      </c>
      <c r="F4699" s="5">
        <v>100000.0</v>
      </c>
      <c r="G4699" s="1" t="s">
        <v>7016</v>
      </c>
      <c r="H4699" s="4">
        <v>44208.0</v>
      </c>
      <c r="I4699" s="1" t="s">
        <v>132</v>
      </c>
      <c r="K4699" s="1">
        <v>0.0</v>
      </c>
      <c r="L4699" s="1" t="s">
        <v>6578</v>
      </c>
      <c r="M4699" s="1" t="str">
        <f>VLOOKUP(L4699,'Copy of PMD Workday Constants -'!B4698:W5384,22,false)</f>
        <v>#N/A</v>
      </c>
      <c r="N4699" s="1" t="s">
        <v>32</v>
      </c>
      <c r="O4699" s="1" t="s">
        <v>33</v>
      </c>
      <c r="P4699" s="1" t="s">
        <v>222</v>
      </c>
      <c r="Q4699" s="1" t="s">
        <v>222</v>
      </c>
      <c r="R4699" s="1" t="s">
        <v>223</v>
      </c>
      <c r="S4699" s="1" t="s">
        <v>482</v>
      </c>
      <c r="T4699" s="1">
        <v>1.00597339E8</v>
      </c>
      <c r="W4699" s="1" t="s">
        <v>258</v>
      </c>
      <c r="X4699" s="1" t="s">
        <v>6578</v>
      </c>
    </row>
    <row r="4700">
      <c r="A4700" s="1" t="s">
        <v>13172</v>
      </c>
      <c r="B4700" s="1" t="s">
        <v>3962</v>
      </c>
      <c r="C4700" s="1" t="s">
        <v>13173</v>
      </c>
      <c r="D4700" s="1" t="s">
        <v>28</v>
      </c>
      <c r="E4700" s="1" t="s">
        <v>29</v>
      </c>
      <c r="F4700" s="5">
        <v>100000.0</v>
      </c>
      <c r="G4700" s="1" t="s">
        <v>7016</v>
      </c>
      <c r="H4700" s="1" t="s">
        <v>2559</v>
      </c>
      <c r="I4700" s="1" t="s">
        <v>302</v>
      </c>
      <c r="K4700" s="1">
        <v>0.0</v>
      </c>
      <c r="L4700" s="1" t="s">
        <v>983</v>
      </c>
      <c r="M4700" s="1" t="str">
        <f>VLOOKUP(L4700,'Copy of PMD Workday Constants -'!B4699:W5385,22,false)</f>
        <v>#N/A</v>
      </c>
      <c r="N4700" s="1" t="s">
        <v>32</v>
      </c>
      <c r="O4700" s="1" t="s">
        <v>33</v>
      </c>
      <c r="P4700" s="1" t="s">
        <v>112</v>
      </c>
      <c r="Q4700" s="1" t="s">
        <v>112</v>
      </c>
      <c r="R4700" s="1" t="s">
        <v>113</v>
      </c>
      <c r="S4700" s="1" t="s">
        <v>455</v>
      </c>
      <c r="T4700" s="1">
        <v>1.00607644E8</v>
      </c>
      <c r="W4700" s="1" t="s">
        <v>456</v>
      </c>
      <c r="X4700" s="1" t="s">
        <v>2155</v>
      </c>
    </row>
    <row r="4701">
      <c r="A4701" s="1" t="s">
        <v>13174</v>
      </c>
      <c r="B4701" s="1" t="s">
        <v>1775</v>
      </c>
      <c r="C4701" s="1" t="s">
        <v>13175</v>
      </c>
      <c r="D4701" s="1" t="s">
        <v>51</v>
      </c>
      <c r="E4701" s="1" t="s">
        <v>29</v>
      </c>
      <c r="F4701" s="5">
        <v>100000.0</v>
      </c>
      <c r="G4701" s="1" t="s">
        <v>7016</v>
      </c>
      <c r="H4701" s="4">
        <v>44567.0</v>
      </c>
      <c r="I4701" s="4">
        <v>44568.0</v>
      </c>
      <c r="K4701" s="1">
        <v>0.0</v>
      </c>
      <c r="L4701" s="1" t="s">
        <v>4534</v>
      </c>
      <c r="M4701" s="1" t="str">
        <f>VLOOKUP(L4701,'Copy of PMD Workday Constants -'!B4700:W5386,22,false)</f>
        <v>#N/A</v>
      </c>
      <c r="N4701" s="1" t="s">
        <v>32</v>
      </c>
      <c r="O4701" s="1" t="s">
        <v>33</v>
      </c>
      <c r="P4701" s="1" t="s">
        <v>173</v>
      </c>
      <c r="Q4701" s="1" t="s">
        <v>173</v>
      </c>
      <c r="R4701" s="1" t="s">
        <v>174</v>
      </c>
      <c r="T4701" s="1">
        <v>1.00620934E8</v>
      </c>
      <c r="W4701" s="1" t="s">
        <v>456</v>
      </c>
      <c r="X4701" s="1" t="s">
        <v>11491</v>
      </c>
    </row>
    <row r="4702">
      <c r="A4702" s="1" t="s">
        <v>13176</v>
      </c>
      <c r="B4702" s="1" t="s">
        <v>13177</v>
      </c>
      <c r="C4702" s="1" t="s">
        <v>13178</v>
      </c>
      <c r="D4702" s="1" t="s">
        <v>51</v>
      </c>
      <c r="E4702" s="1" t="s">
        <v>29</v>
      </c>
      <c r="F4702" s="5">
        <v>100000.0</v>
      </c>
      <c r="G4702" s="1" t="s">
        <v>7016</v>
      </c>
      <c r="H4702" s="1" t="s">
        <v>110</v>
      </c>
      <c r="I4702" s="1" t="s">
        <v>302</v>
      </c>
      <c r="K4702" s="1">
        <v>0.0</v>
      </c>
      <c r="L4702" s="1" t="s">
        <v>198</v>
      </c>
      <c r="M4702" s="1" t="str">
        <f>VLOOKUP(L4702,'Copy of PMD Workday Constants -'!B4701:W5387,22,false)</f>
        <v>#N/A</v>
      </c>
      <c r="N4702" s="1" t="s">
        <v>32</v>
      </c>
      <c r="O4702" s="1" t="s">
        <v>33</v>
      </c>
      <c r="P4702" s="1" t="s">
        <v>82</v>
      </c>
      <c r="Q4702" s="1" t="s">
        <v>82</v>
      </c>
      <c r="R4702" s="1" t="s">
        <v>83</v>
      </c>
      <c r="S4702" s="1" t="s">
        <v>180</v>
      </c>
      <c r="T4702" s="1">
        <v>1.00590896E8</v>
      </c>
      <c r="W4702" s="1" t="s">
        <v>140</v>
      </c>
      <c r="X4702" s="1" t="s">
        <v>3087</v>
      </c>
    </row>
    <row r="4703">
      <c r="A4703" s="1" t="s">
        <v>13179</v>
      </c>
      <c r="B4703" s="1" t="s">
        <v>13180</v>
      </c>
      <c r="C4703" s="1" t="s">
        <v>13181</v>
      </c>
      <c r="D4703" s="1" t="s">
        <v>28</v>
      </c>
      <c r="E4703" s="1" t="s">
        <v>29</v>
      </c>
      <c r="F4703" s="5">
        <v>100000.0</v>
      </c>
      <c r="G4703" s="1" t="s">
        <v>7016</v>
      </c>
      <c r="H4703" s="4">
        <v>44840.0</v>
      </c>
      <c r="I4703" s="4">
        <v>44813.0</v>
      </c>
      <c r="K4703" s="1">
        <v>0.0</v>
      </c>
      <c r="L4703" s="1" t="s">
        <v>825</v>
      </c>
      <c r="M4703" s="1" t="str">
        <f>VLOOKUP(L4703,'Copy of PMD Workday Constants -'!B4702:W5388,22,false)</f>
        <v>#N/A</v>
      </c>
      <c r="N4703" s="1" t="s">
        <v>32</v>
      </c>
      <c r="O4703" s="1" t="s">
        <v>33</v>
      </c>
      <c r="P4703" s="1" t="s">
        <v>112</v>
      </c>
      <c r="Q4703" s="1" t="s">
        <v>112</v>
      </c>
      <c r="R4703" s="1" t="s">
        <v>113</v>
      </c>
      <c r="S4703" s="1" t="s">
        <v>307</v>
      </c>
      <c r="T4703" s="1">
        <v>1.00621664E8</v>
      </c>
      <c r="W4703" s="1" t="s">
        <v>947</v>
      </c>
      <c r="X4703" s="1" t="s">
        <v>3945</v>
      </c>
    </row>
    <row r="4704">
      <c r="A4704" s="1" t="s">
        <v>13182</v>
      </c>
      <c r="B4704" s="1" t="s">
        <v>1775</v>
      </c>
      <c r="C4704" s="1" t="s">
        <v>13183</v>
      </c>
      <c r="D4704" s="1" t="s">
        <v>51</v>
      </c>
      <c r="E4704" s="1" t="s">
        <v>29</v>
      </c>
      <c r="F4704" s="5">
        <v>100000.0</v>
      </c>
      <c r="G4704" s="1" t="s">
        <v>7016</v>
      </c>
      <c r="H4704" s="4">
        <v>44567.0</v>
      </c>
      <c r="I4704" s="4">
        <v>44689.0</v>
      </c>
      <c r="K4704" s="1">
        <v>0.0</v>
      </c>
      <c r="L4704" s="1" t="s">
        <v>4534</v>
      </c>
      <c r="M4704" s="1" t="str">
        <f>VLOOKUP(L4704,'Copy of PMD Workday Constants -'!B4703:W5389,22,false)</f>
        <v>#N/A</v>
      </c>
      <c r="N4704" s="1" t="s">
        <v>32</v>
      </c>
      <c r="O4704" s="1" t="s">
        <v>33</v>
      </c>
      <c r="P4704" s="1" t="s">
        <v>173</v>
      </c>
      <c r="Q4704" s="1" t="s">
        <v>173</v>
      </c>
      <c r="R4704" s="1" t="s">
        <v>174</v>
      </c>
      <c r="T4704" s="1">
        <v>1.00620934E8</v>
      </c>
      <c r="W4704" s="1" t="s">
        <v>456</v>
      </c>
      <c r="X4704" s="1" t="s">
        <v>11491</v>
      </c>
    </row>
    <row r="4705">
      <c r="A4705" s="1" t="s">
        <v>13184</v>
      </c>
      <c r="B4705" s="1" t="s">
        <v>3270</v>
      </c>
      <c r="C4705" s="1" t="s">
        <v>13185</v>
      </c>
      <c r="D4705" s="1" t="s">
        <v>28</v>
      </c>
      <c r="E4705" s="1" t="s">
        <v>29</v>
      </c>
      <c r="F4705" s="5">
        <v>100000.0</v>
      </c>
      <c r="G4705" s="1" t="s">
        <v>7016</v>
      </c>
      <c r="H4705" s="4">
        <v>43628.0</v>
      </c>
      <c r="I4705" s="4">
        <v>44717.0</v>
      </c>
      <c r="K4705" s="1">
        <v>0.0</v>
      </c>
      <c r="L4705" s="1" t="s">
        <v>3408</v>
      </c>
      <c r="M4705" s="1" t="str">
        <f>VLOOKUP(L4705,'Copy of PMD Workday Constants -'!B4704:W5390,22,false)</f>
        <v>#N/A</v>
      </c>
      <c r="N4705" s="1" t="s">
        <v>32</v>
      </c>
      <c r="O4705" s="1" t="s">
        <v>33</v>
      </c>
      <c r="P4705" s="1" t="s">
        <v>222</v>
      </c>
      <c r="Q4705" s="1" t="s">
        <v>222</v>
      </c>
      <c r="R4705" s="1" t="s">
        <v>223</v>
      </c>
      <c r="S4705" s="1" t="s">
        <v>601</v>
      </c>
      <c r="T4705" s="1">
        <v>1.0066189E8</v>
      </c>
      <c r="W4705" s="1" t="s">
        <v>74</v>
      </c>
      <c r="X4705" s="1" t="s">
        <v>13186</v>
      </c>
    </row>
    <row r="4706">
      <c r="A4706" s="1" t="s">
        <v>13187</v>
      </c>
      <c r="B4706" s="1" t="s">
        <v>13188</v>
      </c>
      <c r="C4706" s="1" t="s">
        <v>13189</v>
      </c>
      <c r="D4706" s="1" t="s">
        <v>103</v>
      </c>
      <c r="E4706" s="1" t="s">
        <v>29</v>
      </c>
      <c r="F4706" s="5">
        <v>100000.0</v>
      </c>
      <c r="G4706" s="1" t="s">
        <v>7016</v>
      </c>
      <c r="H4706" s="4">
        <v>44541.0</v>
      </c>
      <c r="I4706" s="1" t="s">
        <v>152</v>
      </c>
      <c r="K4706" s="1">
        <v>0.0</v>
      </c>
      <c r="L4706" s="1" t="s">
        <v>4994</v>
      </c>
      <c r="M4706" s="1" t="str">
        <f>VLOOKUP(L4706,'Copy of PMD Workday Constants -'!B4705:W5391,22,false)</f>
        <v>#N/A</v>
      </c>
      <c r="N4706" s="1" t="s">
        <v>32</v>
      </c>
      <c r="O4706" s="1" t="s">
        <v>33</v>
      </c>
      <c r="P4706" s="1" t="s">
        <v>82</v>
      </c>
      <c r="Q4706" s="1" t="s">
        <v>82</v>
      </c>
      <c r="R4706" s="1" t="s">
        <v>83</v>
      </c>
      <c r="S4706" s="1" t="s">
        <v>180</v>
      </c>
      <c r="T4706" s="1">
        <v>1.00618376E8</v>
      </c>
      <c r="W4706" s="1" t="s">
        <v>74</v>
      </c>
      <c r="X4706" s="1" t="s">
        <v>4994</v>
      </c>
    </row>
    <row r="4707">
      <c r="A4707" s="1" t="s">
        <v>13190</v>
      </c>
      <c r="B4707" s="1" t="s">
        <v>1775</v>
      </c>
      <c r="C4707" s="1" t="s">
        <v>13191</v>
      </c>
      <c r="D4707" s="1" t="s">
        <v>103</v>
      </c>
      <c r="E4707" s="1" t="s">
        <v>29</v>
      </c>
      <c r="F4707" s="5">
        <v>100000.0</v>
      </c>
      <c r="G4707" s="1" t="s">
        <v>7016</v>
      </c>
      <c r="H4707" s="4">
        <v>44567.0</v>
      </c>
      <c r="I4707" s="1" t="s">
        <v>414</v>
      </c>
      <c r="K4707" s="1">
        <v>0.0</v>
      </c>
      <c r="L4707" s="1" t="s">
        <v>4534</v>
      </c>
      <c r="M4707" s="1" t="str">
        <f>VLOOKUP(L4707,'Copy of PMD Workday Constants -'!B4706:W5392,22,false)</f>
        <v>#N/A</v>
      </c>
      <c r="N4707" s="1" t="s">
        <v>32</v>
      </c>
      <c r="O4707" s="1" t="s">
        <v>33</v>
      </c>
      <c r="P4707" s="1" t="s">
        <v>173</v>
      </c>
      <c r="Q4707" s="1" t="s">
        <v>173</v>
      </c>
      <c r="R4707" s="1" t="s">
        <v>174</v>
      </c>
      <c r="T4707" s="1">
        <v>1.00620934E8</v>
      </c>
      <c r="W4707" s="1" t="s">
        <v>456</v>
      </c>
      <c r="X4707" s="1" t="s">
        <v>11491</v>
      </c>
    </row>
    <row r="4708">
      <c r="A4708" s="1" t="s">
        <v>13192</v>
      </c>
      <c r="B4708" s="1" t="s">
        <v>3521</v>
      </c>
      <c r="C4708" s="1" t="s">
        <v>13193</v>
      </c>
      <c r="D4708" s="1" t="s">
        <v>28</v>
      </c>
      <c r="E4708" s="1" t="s">
        <v>29</v>
      </c>
      <c r="F4708" s="5">
        <v>100000.0</v>
      </c>
      <c r="G4708" s="1" t="s">
        <v>7016</v>
      </c>
      <c r="H4708" s="1" t="s">
        <v>1518</v>
      </c>
      <c r="I4708" s="4">
        <v>44568.0</v>
      </c>
      <c r="K4708" s="1">
        <v>0.0</v>
      </c>
      <c r="L4708" s="1" t="s">
        <v>4217</v>
      </c>
      <c r="M4708" s="1" t="str">
        <f>VLOOKUP(L4708,'Copy of PMD Workday Constants -'!B4707:W5393,22,false)</f>
        <v>#N/A</v>
      </c>
      <c r="N4708" s="1" t="s">
        <v>32</v>
      </c>
      <c r="O4708" s="1" t="s">
        <v>33</v>
      </c>
      <c r="P4708" s="1" t="s">
        <v>222</v>
      </c>
      <c r="Q4708" s="1" t="s">
        <v>222</v>
      </c>
      <c r="R4708" s="1" t="s">
        <v>223</v>
      </c>
      <c r="S4708" s="1" t="s">
        <v>482</v>
      </c>
      <c r="T4708" s="1">
        <v>1.0065605E8</v>
      </c>
      <c r="W4708" s="1" t="s">
        <v>85</v>
      </c>
      <c r="X4708" s="1" t="s">
        <v>13194</v>
      </c>
    </row>
    <row r="4709">
      <c r="A4709" s="1" t="s">
        <v>13195</v>
      </c>
      <c r="B4709" s="1" t="s">
        <v>4467</v>
      </c>
      <c r="C4709" s="1" t="s">
        <v>13196</v>
      </c>
      <c r="D4709" s="1" t="s">
        <v>51</v>
      </c>
      <c r="E4709" s="1" t="s">
        <v>29</v>
      </c>
      <c r="F4709" s="5">
        <v>100000.0</v>
      </c>
      <c r="G4709" s="1" t="s">
        <v>7016</v>
      </c>
      <c r="H4709" s="1" t="s">
        <v>2510</v>
      </c>
      <c r="I4709" s="1" t="s">
        <v>132</v>
      </c>
      <c r="K4709" s="1">
        <v>0.0</v>
      </c>
      <c r="L4709" s="1" t="s">
        <v>448</v>
      </c>
      <c r="M4709" s="1" t="str">
        <f>VLOOKUP(L4709,'Copy of PMD Workday Constants -'!B4708:W5394,22,false)</f>
        <v>#N/A</v>
      </c>
      <c r="N4709" s="1" t="s">
        <v>32</v>
      </c>
      <c r="O4709" s="1" t="s">
        <v>33</v>
      </c>
      <c r="P4709" s="1" t="s">
        <v>112</v>
      </c>
      <c r="Q4709" s="1" t="s">
        <v>112</v>
      </c>
      <c r="R4709" s="1" t="s">
        <v>113</v>
      </c>
      <c r="S4709" s="1" t="s">
        <v>307</v>
      </c>
      <c r="T4709" s="1">
        <v>1.00657929E8</v>
      </c>
      <c r="W4709" s="1" t="s">
        <v>308</v>
      </c>
      <c r="X4709" s="1" t="s">
        <v>5029</v>
      </c>
    </row>
    <row r="4710">
      <c r="A4710" s="1" t="s">
        <v>13197</v>
      </c>
      <c r="B4710" s="1" t="s">
        <v>3585</v>
      </c>
      <c r="C4710" s="1" t="s">
        <v>13198</v>
      </c>
      <c r="D4710" s="1" t="s">
        <v>28</v>
      </c>
      <c r="E4710" s="1" t="s">
        <v>29</v>
      </c>
      <c r="F4710" s="5">
        <v>100000.0</v>
      </c>
      <c r="G4710" s="1" t="s">
        <v>7016</v>
      </c>
      <c r="H4710" s="1" t="s">
        <v>1078</v>
      </c>
      <c r="I4710" s="1" t="s">
        <v>80</v>
      </c>
      <c r="K4710" s="1">
        <v>0.0</v>
      </c>
      <c r="L4710" s="1" t="s">
        <v>5807</v>
      </c>
      <c r="M4710" s="1" t="str">
        <f>VLOOKUP(L4710,'Copy of PMD Workday Constants -'!B4709:W5395,22,false)</f>
        <v>#N/A</v>
      </c>
      <c r="N4710" s="1" t="s">
        <v>32</v>
      </c>
      <c r="O4710" s="1" t="s">
        <v>33</v>
      </c>
      <c r="P4710" s="1" t="s">
        <v>173</v>
      </c>
      <c r="Q4710" s="1" t="s">
        <v>173</v>
      </c>
      <c r="R4710" s="1" t="s">
        <v>174</v>
      </c>
      <c r="S4710" s="1" t="s">
        <v>540</v>
      </c>
      <c r="T4710" s="1">
        <v>1.00589278E8</v>
      </c>
      <c r="X4710" s="1" t="s">
        <v>9345</v>
      </c>
    </row>
    <row r="4711">
      <c r="A4711" s="1" t="s">
        <v>13199</v>
      </c>
      <c r="B4711" s="1" t="s">
        <v>10403</v>
      </c>
      <c r="C4711" s="1" t="s">
        <v>13200</v>
      </c>
      <c r="D4711" s="1" t="s">
        <v>51</v>
      </c>
      <c r="E4711" s="1" t="s">
        <v>29</v>
      </c>
      <c r="F4711" s="5">
        <v>100000.0</v>
      </c>
      <c r="G4711" s="1" t="s">
        <v>7016</v>
      </c>
      <c r="H4711" s="4">
        <v>43987.0</v>
      </c>
      <c r="I4711" s="1" t="s">
        <v>152</v>
      </c>
      <c r="K4711" s="1">
        <v>0.0</v>
      </c>
      <c r="L4711" s="1" t="s">
        <v>1036</v>
      </c>
      <c r="M4711" s="1" t="str">
        <f>VLOOKUP(L4711,'Copy of PMD Workday Constants -'!B4710:W5396,22,false)</f>
        <v>#N/A</v>
      </c>
      <c r="N4711" s="1" t="s">
        <v>32</v>
      </c>
      <c r="O4711" s="1" t="s">
        <v>33</v>
      </c>
      <c r="P4711" s="1" t="s">
        <v>82</v>
      </c>
      <c r="Q4711" s="1" t="s">
        <v>82</v>
      </c>
      <c r="R4711" s="1" t="s">
        <v>83</v>
      </c>
      <c r="S4711" s="1" t="s">
        <v>180</v>
      </c>
      <c r="T4711" s="1">
        <v>1.0090037E8</v>
      </c>
      <c r="W4711" s="1" t="s">
        <v>85</v>
      </c>
      <c r="X4711" s="1" t="s">
        <v>13201</v>
      </c>
    </row>
    <row r="4712">
      <c r="A4712" s="1" t="s">
        <v>13202</v>
      </c>
      <c r="B4712" s="1" t="s">
        <v>6446</v>
      </c>
      <c r="C4712" s="1" t="s">
        <v>13203</v>
      </c>
      <c r="D4712" s="1" t="s">
        <v>28</v>
      </c>
      <c r="E4712" s="1" t="s">
        <v>29</v>
      </c>
      <c r="F4712" s="5">
        <v>100000.0</v>
      </c>
      <c r="G4712" s="1" t="s">
        <v>7016</v>
      </c>
      <c r="H4712" s="1" t="s">
        <v>2314</v>
      </c>
      <c r="I4712" s="1" t="s">
        <v>5944</v>
      </c>
      <c r="K4712" s="1">
        <v>0.0</v>
      </c>
      <c r="L4712" s="1" t="s">
        <v>1335</v>
      </c>
      <c r="M4712" s="1" t="str">
        <f>VLOOKUP(L4712,'Copy of PMD Workday Constants -'!B4711:W5397,22,false)</f>
        <v>#N/A</v>
      </c>
      <c r="N4712" s="1" t="s">
        <v>32</v>
      </c>
      <c r="O4712" s="1" t="s">
        <v>33</v>
      </c>
      <c r="P4712" s="1" t="s">
        <v>210</v>
      </c>
      <c r="Q4712" s="1" t="s">
        <v>210</v>
      </c>
      <c r="R4712" s="1" t="s">
        <v>211</v>
      </c>
      <c r="S4712" s="1" t="s">
        <v>4328</v>
      </c>
      <c r="T4712" s="1">
        <v>1.00594397E8</v>
      </c>
      <c r="W4712" s="1" t="s">
        <v>258</v>
      </c>
      <c r="X4712" s="1" t="s">
        <v>1335</v>
      </c>
    </row>
    <row r="4713">
      <c r="A4713" s="1" t="s">
        <v>13204</v>
      </c>
      <c r="B4713" s="1" t="s">
        <v>341</v>
      </c>
      <c r="C4713" s="1" t="s">
        <v>13205</v>
      </c>
      <c r="D4713" s="1" t="s">
        <v>28</v>
      </c>
      <c r="E4713" s="1" t="s">
        <v>29</v>
      </c>
      <c r="F4713" s="5">
        <v>100000.0</v>
      </c>
      <c r="G4713" s="1" t="s">
        <v>7016</v>
      </c>
      <c r="H4713" s="1" t="s">
        <v>1330</v>
      </c>
      <c r="I4713" s="1" t="s">
        <v>104</v>
      </c>
      <c r="K4713" s="1">
        <v>0.0</v>
      </c>
      <c r="L4713" s="1" t="s">
        <v>2325</v>
      </c>
      <c r="M4713" s="1" t="str">
        <f>VLOOKUP(L4713,'Copy of PMD Workday Constants -'!B4712:W5398,22,false)</f>
        <v>#N/A</v>
      </c>
      <c r="N4713" s="1" t="s">
        <v>32</v>
      </c>
      <c r="O4713" s="1" t="s">
        <v>33</v>
      </c>
      <c r="P4713" s="1" t="s">
        <v>82</v>
      </c>
      <c r="Q4713" s="1" t="s">
        <v>82</v>
      </c>
      <c r="R4713" s="1" t="s">
        <v>83</v>
      </c>
      <c r="S4713" s="1" t="s">
        <v>180</v>
      </c>
      <c r="T4713" s="1">
        <v>1.00628181E8</v>
      </c>
      <c r="W4713" s="1" t="s">
        <v>85</v>
      </c>
      <c r="X4713" s="1" t="s">
        <v>2325</v>
      </c>
    </row>
    <row r="4714">
      <c r="A4714" s="1" t="s">
        <v>13206</v>
      </c>
      <c r="B4714" s="1" t="s">
        <v>3267</v>
      </c>
      <c r="C4714" s="1" t="s">
        <v>13207</v>
      </c>
      <c r="D4714" s="1" t="s">
        <v>103</v>
      </c>
      <c r="E4714" s="1" t="s">
        <v>29</v>
      </c>
      <c r="F4714" s="5">
        <v>100000.0</v>
      </c>
      <c r="G4714" s="1" t="s">
        <v>7016</v>
      </c>
      <c r="H4714" s="1" t="s">
        <v>170</v>
      </c>
      <c r="I4714" s="4">
        <v>44717.0</v>
      </c>
      <c r="K4714" s="1">
        <v>0.0</v>
      </c>
      <c r="L4714" s="1" t="s">
        <v>6800</v>
      </c>
      <c r="M4714" s="1" t="str">
        <f>VLOOKUP(L4714,'Copy of PMD Workday Constants -'!B4713:W5399,22,false)</f>
        <v>#N/A</v>
      </c>
      <c r="N4714" s="1" t="s">
        <v>32</v>
      </c>
      <c r="O4714" s="1" t="s">
        <v>33</v>
      </c>
      <c r="P4714" s="1" t="s">
        <v>210</v>
      </c>
      <c r="Q4714" s="1" t="s">
        <v>210</v>
      </c>
      <c r="R4714" s="1" t="s">
        <v>211</v>
      </c>
      <c r="T4714" s="1">
        <v>1.00922604E8</v>
      </c>
      <c r="W4714" s="1" t="s">
        <v>258</v>
      </c>
      <c r="X4714" s="1" t="s">
        <v>6800</v>
      </c>
    </row>
    <row r="4715">
      <c r="A4715" s="1" t="s">
        <v>13208</v>
      </c>
      <c r="B4715" s="1" t="s">
        <v>373</v>
      </c>
      <c r="C4715" s="1" t="s">
        <v>13209</v>
      </c>
      <c r="D4715" s="1" t="s">
        <v>51</v>
      </c>
      <c r="E4715" s="1" t="s">
        <v>29</v>
      </c>
      <c r="F4715" s="5">
        <v>100000.0</v>
      </c>
      <c r="G4715" s="1" t="s">
        <v>7016</v>
      </c>
      <c r="H4715" s="4">
        <v>44900.0</v>
      </c>
      <c r="I4715" s="1" t="s">
        <v>80</v>
      </c>
      <c r="K4715" s="1">
        <v>0.0</v>
      </c>
      <c r="L4715" s="1" t="s">
        <v>8754</v>
      </c>
      <c r="M4715" s="1" t="str">
        <f>VLOOKUP(L4715,'Copy of PMD Workday Constants -'!B4714:W5400,22,false)</f>
        <v>#N/A</v>
      </c>
      <c r="N4715" s="1" t="s">
        <v>32</v>
      </c>
      <c r="O4715" s="1" t="s">
        <v>33</v>
      </c>
      <c r="P4715" s="1" t="s">
        <v>222</v>
      </c>
      <c r="Q4715" s="1" t="s">
        <v>222</v>
      </c>
      <c r="R4715" s="1" t="s">
        <v>223</v>
      </c>
      <c r="S4715" s="1" t="s">
        <v>482</v>
      </c>
      <c r="T4715" s="1">
        <v>1.00639544E8</v>
      </c>
      <c r="W4715" s="1" t="s">
        <v>258</v>
      </c>
      <c r="X4715" s="1" t="s">
        <v>10577</v>
      </c>
    </row>
    <row r="4716">
      <c r="A4716" s="1" t="s">
        <v>13210</v>
      </c>
      <c r="B4716" s="1" t="s">
        <v>776</v>
      </c>
      <c r="C4716" s="1" t="s">
        <v>13211</v>
      </c>
      <c r="D4716" s="1" t="s">
        <v>28</v>
      </c>
      <c r="E4716" s="1" t="s">
        <v>29</v>
      </c>
      <c r="F4716" s="5">
        <v>100000.0</v>
      </c>
      <c r="G4716" s="1" t="s">
        <v>7016</v>
      </c>
      <c r="H4716" s="1" t="s">
        <v>13212</v>
      </c>
      <c r="I4716" s="1" t="s">
        <v>2485</v>
      </c>
      <c r="K4716" s="1">
        <v>0.0</v>
      </c>
      <c r="L4716" s="1" t="s">
        <v>2042</v>
      </c>
      <c r="M4716" s="1" t="str">
        <f>VLOOKUP(L4716,'Copy of PMD Workday Constants -'!B4715:W5401,22,false)</f>
        <v>#N/A</v>
      </c>
      <c r="N4716" s="1" t="s">
        <v>32</v>
      </c>
      <c r="O4716" s="1" t="s">
        <v>33</v>
      </c>
      <c r="P4716" s="1" t="s">
        <v>34</v>
      </c>
      <c r="Q4716" s="1" t="s">
        <v>34</v>
      </c>
      <c r="R4716" s="1" t="s">
        <v>35</v>
      </c>
      <c r="S4716" s="1" t="s">
        <v>126</v>
      </c>
      <c r="T4716" s="1">
        <v>1.00611284E8</v>
      </c>
      <c r="W4716" s="1" t="s">
        <v>74</v>
      </c>
      <c r="X4716" s="1" t="s">
        <v>3606</v>
      </c>
    </row>
    <row r="4717">
      <c r="A4717" s="1" t="s">
        <v>13213</v>
      </c>
      <c r="B4717" s="1" t="s">
        <v>10648</v>
      </c>
      <c r="C4717" s="1" t="s">
        <v>13214</v>
      </c>
      <c r="D4717" s="1" t="s">
        <v>28</v>
      </c>
      <c r="E4717" s="1" t="s">
        <v>29</v>
      </c>
      <c r="F4717" s="5">
        <v>100000.0</v>
      </c>
      <c r="G4717" s="1" t="s">
        <v>7016</v>
      </c>
      <c r="H4717" s="4">
        <v>43842.0</v>
      </c>
      <c r="I4717" s="4">
        <v>44568.0</v>
      </c>
      <c r="K4717" s="1">
        <v>0.0</v>
      </c>
      <c r="L4717" s="1" t="s">
        <v>350</v>
      </c>
      <c r="M4717" s="1" t="str">
        <f>VLOOKUP(L4717,'Copy of PMD Workday Constants -'!B4716:W5402,22,false)</f>
        <v>#N/A</v>
      </c>
      <c r="N4717" s="1" t="s">
        <v>32</v>
      </c>
      <c r="O4717" s="1" t="s">
        <v>33</v>
      </c>
      <c r="P4717" s="1" t="s">
        <v>82</v>
      </c>
      <c r="Q4717" s="1" t="s">
        <v>82</v>
      </c>
      <c r="R4717" s="1" t="s">
        <v>83</v>
      </c>
      <c r="S4717" s="1" t="s">
        <v>180</v>
      </c>
      <c r="T4717" s="1">
        <v>1.00582847E8</v>
      </c>
      <c r="W4717" s="1" t="s">
        <v>85</v>
      </c>
      <c r="X4717" s="1" t="s">
        <v>350</v>
      </c>
    </row>
    <row r="4718">
      <c r="A4718" s="1" t="s">
        <v>13215</v>
      </c>
      <c r="B4718" s="1" t="s">
        <v>1725</v>
      </c>
      <c r="C4718" s="1" t="s">
        <v>13216</v>
      </c>
      <c r="D4718" s="1" t="s">
        <v>51</v>
      </c>
      <c r="E4718" s="1" t="s">
        <v>29</v>
      </c>
      <c r="F4718" s="5">
        <v>100000.0</v>
      </c>
      <c r="G4718" s="1" t="s">
        <v>7016</v>
      </c>
      <c r="H4718" s="4">
        <v>44837.0</v>
      </c>
      <c r="I4718" s="1" t="s">
        <v>80</v>
      </c>
      <c r="K4718" s="1">
        <v>0.0</v>
      </c>
      <c r="L4718" s="1" t="s">
        <v>3137</v>
      </c>
      <c r="M4718" s="1" t="str">
        <f>VLOOKUP(L4718,'Copy of PMD Workday Constants -'!B4717:W5403,22,false)</f>
        <v>#N/A</v>
      </c>
      <c r="N4718" s="1" t="s">
        <v>32</v>
      </c>
      <c r="O4718" s="1" t="s">
        <v>33</v>
      </c>
      <c r="P4718" s="1" t="s">
        <v>82</v>
      </c>
      <c r="Q4718" s="1" t="s">
        <v>82</v>
      </c>
      <c r="R4718" s="1" t="s">
        <v>83</v>
      </c>
      <c r="S4718" s="1" t="s">
        <v>180</v>
      </c>
      <c r="T4718" s="1">
        <v>1.00586452E8</v>
      </c>
      <c r="W4718" s="1" t="s">
        <v>85</v>
      </c>
      <c r="X4718" s="1" t="s">
        <v>5126</v>
      </c>
    </row>
    <row r="4719">
      <c r="A4719" s="1" t="s">
        <v>13217</v>
      </c>
      <c r="B4719" s="1" t="s">
        <v>673</v>
      </c>
      <c r="C4719" s="1" t="s">
        <v>13218</v>
      </c>
      <c r="D4719" s="1" t="s">
        <v>28</v>
      </c>
      <c r="E4719" s="1" t="s">
        <v>29</v>
      </c>
      <c r="F4719" s="5">
        <v>100000.0</v>
      </c>
      <c r="G4719" s="1" t="s">
        <v>7016</v>
      </c>
      <c r="H4719" s="1" t="s">
        <v>6936</v>
      </c>
      <c r="I4719" s="1" t="s">
        <v>302</v>
      </c>
      <c r="K4719" s="1">
        <v>0.0</v>
      </c>
      <c r="L4719" s="1" t="s">
        <v>309</v>
      </c>
      <c r="M4719" s="1" t="str">
        <f>VLOOKUP(L4719,'Copy of PMD Workday Constants -'!B4718:W5404,22,false)</f>
        <v>#N/A</v>
      </c>
      <c r="N4719" s="1" t="s">
        <v>32</v>
      </c>
      <c r="O4719" s="1" t="s">
        <v>33</v>
      </c>
      <c r="P4719" s="1" t="s">
        <v>34</v>
      </c>
      <c r="Q4719" s="1" t="s">
        <v>34</v>
      </c>
      <c r="R4719" s="1" t="s">
        <v>35</v>
      </c>
      <c r="S4719" s="1" t="s">
        <v>185</v>
      </c>
      <c r="T4719" s="1">
        <v>1.00608155E8</v>
      </c>
      <c r="W4719" s="1" t="s">
        <v>47</v>
      </c>
      <c r="X4719" s="1" t="s">
        <v>675</v>
      </c>
    </row>
    <row r="4720">
      <c r="A4720" s="1" t="s">
        <v>13219</v>
      </c>
      <c r="B4720" s="1" t="s">
        <v>13220</v>
      </c>
      <c r="C4720" s="1" t="s">
        <v>13221</v>
      </c>
      <c r="D4720" s="1" t="s">
        <v>103</v>
      </c>
      <c r="E4720" s="1" t="s">
        <v>29</v>
      </c>
      <c r="F4720" s="5">
        <v>100000.0</v>
      </c>
      <c r="G4720" s="1" t="s">
        <v>7016</v>
      </c>
      <c r="H4720" s="1" t="s">
        <v>1650</v>
      </c>
      <c r="I4720" s="1" t="s">
        <v>301</v>
      </c>
      <c r="K4720" s="1">
        <v>0.0</v>
      </c>
      <c r="L4720" s="1" t="s">
        <v>1916</v>
      </c>
      <c r="M4720" s="1" t="str">
        <f>VLOOKUP(L4720,'Copy of PMD Workday Constants -'!B4719:W5405,22,false)</f>
        <v>#N/A</v>
      </c>
      <c r="N4720" s="1" t="s">
        <v>32</v>
      </c>
      <c r="O4720" s="1" t="s">
        <v>33</v>
      </c>
      <c r="P4720" s="1" t="s">
        <v>222</v>
      </c>
      <c r="Q4720" s="1" t="s">
        <v>222</v>
      </c>
      <c r="R4720" s="1" t="s">
        <v>223</v>
      </c>
      <c r="S4720" s="1" t="s">
        <v>601</v>
      </c>
      <c r="T4720" s="1">
        <v>1.00955805E8</v>
      </c>
      <c r="W4720" s="1" t="s">
        <v>74</v>
      </c>
      <c r="X4720" s="1" t="s">
        <v>12410</v>
      </c>
    </row>
    <row r="4721">
      <c r="A4721" s="1" t="s">
        <v>13222</v>
      </c>
      <c r="B4721" s="1" t="s">
        <v>554</v>
      </c>
      <c r="C4721" s="1" t="s">
        <v>13223</v>
      </c>
      <c r="D4721" s="1" t="s">
        <v>28</v>
      </c>
      <c r="E4721" s="1" t="s">
        <v>29</v>
      </c>
      <c r="F4721" s="5">
        <v>100000.0</v>
      </c>
      <c r="G4721" s="1" t="s">
        <v>7016</v>
      </c>
      <c r="H4721" s="1" t="s">
        <v>460</v>
      </c>
      <c r="I4721" s="4">
        <v>44780.0</v>
      </c>
      <c r="K4721" s="1">
        <v>0.0</v>
      </c>
      <c r="L4721" s="1" t="s">
        <v>467</v>
      </c>
      <c r="M4721" s="1" t="str">
        <f>VLOOKUP(L4721,'Copy of PMD Workday Constants -'!B4720:W5406,22,false)</f>
        <v>#N/A</v>
      </c>
      <c r="N4721" s="1" t="s">
        <v>32</v>
      </c>
      <c r="O4721" s="1" t="s">
        <v>33</v>
      </c>
      <c r="P4721" s="1" t="s">
        <v>64</v>
      </c>
      <c r="Q4721" s="1" t="s">
        <v>64</v>
      </c>
      <c r="R4721" s="1" t="s">
        <v>65</v>
      </c>
      <c r="S4721" s="1" t="s">
        <v>13224</v>
      </c>
      <c r="T4721" s="1">
        <v>1.01170594E8</v>
      </c>
      <c r="W4721" s="1" t="s">
        <v>1303</v>
      </c>
      <c r="X4721" s="1" t="s">
        <v>559</v>
      </c>
    </row>
    <row r="4722">
      <c r="A4722" s="1" t="s">
        <v>13225</v>
      </c>
      <c r="B4722" s="1" t="s">
        <v>4687</v>
      </c>
      <c r="C4722" s="1" t="s">
        <v>13226</v>
      </c>
      <c r="D4722" s="1" t="s">
        <v>28</v>
      </c>
      <c r="E4722" s="1" t="s">
        <v>29</v>
      </c>
      <c r="F4722" s="5">
        <v>100000.0</v>
      </c>
      <c r="G4722" s="1" t="s">
        <v>7016</v>
      </c>
      <c r="H4722" s="4">
        <v>44412.0</v>
      </c>
      <c r="I4722" s="1" t="s">
        <v>80</v>
      </c>
      <c r="K4722" s="1">
        <v>0.0</v>
      </c>
      <c r="L4722" s="1" t="s">
        <v>1357</v>
      </c>
      <c r="M4722" s="1" t="str">
        <f>VLOOKUP(L4722,'Copy of PMD Workday Constants -'!B4721:W5407,22,false)</f>
        <v>#N/A</v>
      </c>
      <c r="N4722" s="1" t="s">
        <v>32</v>
      </c>
      <c r="O4722" s="1" t="s">
        <v>33</v>
      </c>
      <c r="P4722" s="1" t="s">
        <v>64</v>
      </c>
      <c r="Q4722" s="1" t="s">
        <v>64</v>
      </c>
      <c r="R4722" s="1" t="s">
        <v>65</v>
      </c>
      <c r="S4722" s="1" t="s">
        <v>4915</v>
      </c>
      <c r="T4722" s="1">
        <v>1.00589587E8</v>
      </c>
      <c r="W4722" s="1" t="s">
        <v>74</v>
      </c>
      <c r="X4722" s="1" t="s">
        <v>9867</v>
      </c>
    </row>
    <row r="4723">
      <c r="A4723" s="1" t="s">
        <v>13227</v>
      </c>
      <c r="B4723" s="1" t="s">
        <v>580</v>
      </c>
      <c r="C4723" s="1" t="s">
        <v>13228</v>
      </c>
      <c r="D4723" s="1" t="s">
        <v>28</v>
      </c>
      <c r="E4723" s="1" t="s">
        <v>29</v>
      </c>
      <c r="F4723" s="5">
        <v>100000.0</v>
      </c>
      <c r="G4723" s="1" t="s">
        <v>7016</v>
      </c>
      <c r="H4723" s="1" t="s">
        <v>2510</v>
      </c>
      <c r="I4723" s="1" t="s">
        <v>810</v>
      </c>
      <c r="K4723" s="1">
        <v>0.0</v>
      </c>
      <c r="L4723" s="1" t="s">
        <v>1622</v>
      </c>
      <c r="M4723" s="1" t="str">
        <f>VLOOKUP(L4723,'Copy of PMD Workday Constants -'!B4722:W5408,22,false)</f>
        <v>#N/A</v>
      </c>
      <c r="N4723" s="1" t="s">
        <v>32</v>
      </c>
      <c r="O4723" s="1" t="s">
        <v>33</v>
      </c>
      <c r="P4723" s="1" t="s">
        <v>173</v>
      </c>
      <c r="Q4723" s="1" t="s">
        <v>173</v>
      </c>
      <c r="R4723" s="1" t="s">
        <v>174</v>
      </c>
      <c r="T4723" s="1">
        <v>1.00643454E8</v>
      </c>
      <c r="W4723" s="1" t="s">
        <v>456</v>
      </c>
      <c r="X4723" s="1" t="s">
        <v>10605</v>
      </c>
    </row>
    <row r="4724">
      <c r="A4724" s="1" t="s">
        <v>13229</v>
      </c>
      <c r="B4724" s="1" t="s">
        <v>13230</v>
      </c>
      <c r="C4724" s="1" t="s">
        <v>13231</v>
      </c>
      <c r="D4724" s="1" t="s">
        <v>103</v>
      </c>
      <c r="E4724" s="1" t="s">
        <v>29</v>
      </c>
      <c r="F4724" s="5">
        <v>100000.0</v>
      </c>
      <c r="G4724" s="1" t="s">
        <v>7016</v>
      </c>
      <c r="H4724" s="1" t="s">
        <v>1027</v>
      </c>
      <c r="I4724" s="1" t="s">
        <v>302</v>
      </c>
      <c r="K4724" s="1">
        <v>0.0</v>
      </c>
      <c r="L4724" s="1" t="s">
        <v>3137</v>
      </c>
      <c r="M4724" s="1" t="str">
        <f>VLOOKUP(L4724,'Copy of PMD Workday Constants -'!B4723:W5409,22,false)</f>
        <v>#N/A</v>
      </c>
      <c r="N4724" s="1" t="s">
        <v>32</v>
      </c>
      <c r="O4724" s="1" t="s">
        <v>33</v>
      </c>
      <c r="P4724" s="1" t="s">
        <v>82</v>
      </c>
      <c r="Q4724" s="1" t="s">
        <v>82</v>
      </c>
      <c r="R4724" s="1" t="s">
        <v>83</v>
      </c>
      <c r="S4724" s="1" t="s">
        <v>180</v>
      </c>
      <c r="T4724" s="1">
        <v>1.00586452E8</v>
      </c>
      <c r="W4724" s="1" t="s">
        <v>85</v>
      </c>
      <c r="X4724" s="1" t="s">
        <v>5126</v>
      </c>
    </row>
    <row r="4725">
      <c r="A4725" s="1" t="s">
        <v>13232</v>
      </c>
      <c r="B4725" s="1" t="s">
        <v>13233</v>
      </c>
      <c r="C4725" s="1" t="s">
        <v>13234</v>
      </c>
      <c r="D4725" s="1" t="s">
        <v>28</v>
      </c>
      <c r="E4725" s="1" t="s">
        <v>29</v>
      </c>
      <c r="F4725" s="5">
        <v>100000.0</v>
      </c>
      <c r="G4725" s="1" t="s">
        <v>7016</v>
      </c>
      <c r="H4725" s="1" t="s">
        <v>8677</v>
      </c>
      <c r="I4725" s="1" t="s">
        <v>80</v>
      </c>
      <c r="K4725" s="1">
        <v>0.0</v>
      </c>
      <c r="L4725" s="1" t="s">
        <v>3137</v>
      </c>
      <c r="M4725" s="1" t="str">
        <f>VLOOKUP(L4725,'Copy of PMD Workday Constants -'!B4724:W5410,22,false)</f>
        <v>#N/A</v>
      </c>
      <c r="N4725" s="1" t="s">
        <v>32</v>
      </c>
      <c r="O4725" s="1" t="s">
        <v>33</v>
      </c>
      <c r="P4725" s="1" t="s">
        <v>82</v>
      </c>
      <c r="Q4725" s="1" t="s">
        <v>82</v>
      </c>
      <c r="R4725" s="1" t="s">
        <v>83</v>
      </c>
      <c r="S4725" s="1" t="s">
        <v>180</v>
      </c>
      <c r="T4725" s="1">
        <v>1.00586452E8</v>
      </c>
      <c r="W4725" s="1" t="s">
        <v>85</v>
      </c>
      <c r="X4725" s="1" t="s">
        <v>5126</v>
      </c>
    </row>
    <row r="4726">
      <c r="A4726" s="1" t="s">
        <v>13235</v>
      </c>
      <c r="B4726" s="1" t="s">
        <v>3711</v>
      </c>
      <c r="C4726" s="1" t="s">
        <v>13236</v>
      </c>
      <c r="D4726" s="1" t="s">
        <v>28</v>
      </c>
      <c r="E4726" s="1" t="s">
        <v>29</v>
      </c>
      <c r="F4726" s="5">
        <v>100000.0</v>
      </c>
      <c r="G4726" s="1" t="s">
        <v>7016</v>
      </c>
      <c r="H4726" s="1" t="s">
        <v>1220</v>
      </c>
      <c r="I4726" s="1" t="s">
        <v>302</v>
      </c>
      <c r="K4726" s="1">
        <v>0.0</v>
      </c>
      <c r="L4726" s="1" t="s">
        <v>1075</v>
      </c>
      <c r="M4726" s="1" t="str">
        <f>VLOOKUP(L4726,'Copy of PMD Workday Constants -'!B4725:W5411,22,false)</f>
        <v>#N/A</v>
      </c>
      <c r="N4726" s="1" t="s">
        <v>32</v>
      </c>
      <c r="O4726" s="1" t="s">
        <v>33</v>
      </c>
      <c r="P4726" s="1" t="s">
        <v>34</v>
      </c>
      <c r="Q4726" s="1" t="s">
        <v>34</v>
      </c>
      <c r="R4726" s="1" t="s">
        <v>35</v>
      </c>
      <c r="S4726" s="1" t="s">
        <v>1336</v>
      </c>
      <c r="T4726" s="1">
        <v>1.00601386E8</v>
      </c>
      <c r="W4726" s="1" t="s">
        <v>91</v>
      </c>
      <c r="X4726" s="1" t="s">
        <v>602</v>
      </c>
    </row>
    <row r="4727">
      <c r="A4727" s="1" t="s">
        <v>13237</v>
      </c>
      <c r="B4727" s="1" t="s">
        <v>3036</v>
      </c>
      <c r="C4727" s="1" t="s">
        <v>13238</v>
      </c>
      <c r="D4727" s="1" t="s">
        <v>51</v>
      </c>
      <c r="E4727" s="1" t="s">
        <v>29</v>
      </c>
      <c r="F4727" s="5">
        <v>100000.0</v>
      </c>
      <c r="G4727" s="1" t="s">
        <v>7016</v>
      </c>
      <c r="H4727" s="4">
        <v>44808.0</v>
      </c>
      <c r="I4727" s="1" t="s">
        <v>466</v>
      </c>
      <c r="K4727" s="1">
        <v>0.0</v>
      </c>
      <c r="L4727" s="1" t="s">
        <v>2066</v>
      </c>
      <c r="M4727" s="1" t="str">
        <f>VLOOKUP(L4727,'Copy of PMD Workday Constants -'!B4726:W5412,22,false)</f>
        <v>#N/A</v>
      </c>
      <c r="N4727" s="1" t="s">
        <v>32</v>
      </c>
      <c r="O4727" s="1" t="s">
        <v>33</v>
      </c>
      <c r="P4727" s="1" t="s">
        <v>54</v>
      </c>
      <c r="Q4727" s="1" t="s">
        <v>54</v>
      </c>
      <c r="R4727" s="1" t="s">
        <v>55</v>
      </c>
      <c r="T4727" s="1">
        <v>1.0058019E8</v>
      </c>
      <c r="W4727" s="1" t="s">
        <v>74</v>
      </c>
      <c r="X4727" s="1" t="s">
        <v>13239</v>
      </c>
    </row>
    <row r="4728">
      <c r="A4728" s="1" t="s">
        <v>13240</v>
      </c>
      <c r="B4728" s="1" t="s">
        <v>2091</v>
      </c>
      <c r="C4728" s="1" t="s">
        <v>13241</v>
      </c>
      <c r="D4728" s="1" t="s">
        <v>51</v>
      </c>
      <c r="E4728" s="1" t="s">
        <v>29</v>
      </c>
      <c r="F4728" s="5">
        <v>100000.0</v>
      </c>
      <c r="G4728" s="1" t="s">
        <v>7016</v>
      </c>
      <c r="H4728" s="1" t="s">
        <v>2210</v>
      </c>
      <c r="I4728" s="1" t="s">
        <v>132</v>
      </c>
      <c r="K4728" s="1">
        <v>0.0</v>
      </c>
      <c r="L4728" s="1" t="s">
        <v>275</v>
      </c>
      <c r="M4728" s="1" t="str">
        <f>VLOOKUP(L4728,'Copy of PMD Workday Constants -'!B4727:W5413,22,false)</f>
        <v>#N/A</v>
      </c>
      <c r="N4728" s="1" t="s">
        <v>32</v>
      </c>
      <c r="O4728" s="1" t="s">
        <v>33</v>
      </c>
      <c r="P4728" s="1" t="s">
        <v>34</v>
      </c>
      <c r="Q4728" s="1" t="s">
        <v>34</v>
      </c>
      <c r="R4728" s="1" t="s">
        <v>35</v>
      </c>
      <c r="S4728" s="1" t="s">
        <v>126</v>
      </c>
      <c r="T4728" s="1">
        <v>1.00608828E8</v>
      </c>
      <c r="W4728" s="1" t="s">
        <v>308</v>
      </c>
      <c r="X4728" s="1" t="s">
        <v>1854</v>
      </c>
    </row>
    <row r="4729">
      <c r="A4729" s="1" t="s">
        <v>13242</v>
      </c>
      <c r="B4729" s="1" t="s">
        <v>4530</v>
      </c>
      <c r="C4729" s="1" t="s">
        <v>13243</v>
      </c>
      <c r="D4729" s="1" t="s">
        <v>28</v>
      </c>
      <c r="E4729" s="1" t="s">
        <v>29</v>
      </c>
      <c r="F4729" s="5">
        <v>100000.0</v>
      </c>
      <c r="G4729" s="1" t="s">
        <v>7016</v>
      </c>
      <c r="H4729" s="4">
        <v>44808.0</v>
      </c>
      <c r="I4729" s="1" t="s">
        <v>43</v>
      </c>
      <c r="K4729" s="1">
        <v>0.0</v>
      </c>
      <c r="L4729" s="1" t="s">
        <v>5161</v>
      </c>
      <c r="M4729" s="1" t="str">
        <f>VLOOKUP(L4729,'Copy of PMD Workday Constants -'!B4728:W5414,22,false)</f>
        <v>#N/A</v>
      </c>
      <c r="N4729" s="1" t="s">
        <v>32</v>
      </c>
      <c r="O4729" s="1" t="s">
        <v>33</v>
      </c>
      <c r="P4729" s="1" t="s">
        <v>112</v>
      </c>
      <c r="Q4729" s="1" t="s">
        <v>112</v>
      </c>
      <c r="R4729" s="1" t="s">
        <v>113</v>
      </c>
      <c r="S4729" s="1" t="s">
        <v>307</v>
      </c>
      <c r="T4729" s="1">
        <v>1.00591654E8</v>
      </c>
      <c r="W4729" s="1" t="s">
        <v>287</v>
      </c>
      <c r="X4729" s="1" t="s">
        <v>13244</v>
      </c>
    </row>
    <row r="4730">
      <c r="A4730" s="1" t="s">
        <v>13245</v>
      </c>
      <c r="B4730" s="1" t="s">
        <v>13246</v>
      </c>
      <c r="C4730" s="1" t="s">
        <v>4123</v>
      </c>
      <c r="D4730" s="1" t="s">
        <v>28</v>
      </c>
      <c r="E4730" s="1" t="s">
        <v>29</v>
      </c>
      <c r="F4730" s="5">
        <v>100000.0</v>
      </c>
      <c r="G4730" s="1" t="s">
        <v>7016</v>
      </c>
      <c r="H4730" s="4">
        <v>44655.0</v>
      </c>
      <c r="I4730" s="1" t="s">
        <v>302</v>
      </c>
      <c r="K4730" s="1">
        <v>0.0</v>
      </c>
      <c r="L4730" s="1" t="s">
        <v>1844</v>
      </c>
      <c r="M4730" s="1" t="str">
        <f>VLOOKUP(L4730,'Copy of PMD Workday Constants -'!B4729:W5415,22,false)</f>
        <v>#N/A</v>
      </c>
      <c r="N4730" s="1" t="s">
        <v>32</v>
      </c>
      <c r="O4730" s="1" t="s">
        <v>33</v>
      </c>
      <c r="P4730" s="1" t="s">
        <v>82</v>
      </c>
      <c r="Q4730" s="1" t="s">
        <v>82</v>
      </c>
      <c r="R4730" s="1" t="s">
        <v>83</v>
      </c>
      <c r="T4730" s="1">
        <v>1.01152213E8</v>
      </c>
      <c r="W4730" s="1" t="s">
        <v>2098</v>
      </c>
      <c r="X4730" s="1" t="s">
        <v>13247</v>
      </c>
    </row>
    <row r="4731">
      <c r="A4731" s="1" t="s">
        <v>13248</v>
      </c>
      <c r="B4731" s="1" t="s">
        <v>2257</v>
      </c>
      <c r="C4731" s="1" t="s">
        <v>13249</v>
      </c>
      <c r="D4731" s="1" t="s">
        <v>51</v>
      </c>
      <c r="E4731" s="1" t="s">
        <v>29</v>
      </c>
      <c r="F4731" s="5">
        <v>100000.0</v>
      </c>
      <c r="G4731" s="1" t="s">
        <v>7016</v>
      </c>
      <c r="H4731" s="1" t="s">
        <v>1220</v>
      </c>
      <c r="I4731" s="1" t="s">
        <v>13250</v>
      </c>
      <c r="K4731" s="1">
        <v>0.0</v>
      </c>
      <c r="L4731" s="1" t="s">
        <v>1447</v>
      </c>
      <c r="M4731" s="1" t="str">
        <f>VLOOKUP(L4731,'Copy of PMD Workday Constants -'!B4730:W5416,22,false)</f>
        <v>#N/A</v>
      </c>
      <c r="N4731" s="1" t="s">
        <v>32</v>
      </c>
      <c r="O4731" s="1" t="s">
        <v>33</v>
      </c>
      <c r="P4731" s="1" t="s">
        <v>64</v>
      </c>
      <c r="Q4731" s="1" t="s">
        <v>64</v>
      </c>
      <c r="R4731" s="1" t="s">
        <v>65</v>
      </c>
      <c r="S4731" s="1" t="s">
        <v>791</v>
      </c>
      <c r="T4731" s="1">
        <v>1.00997154E8</v>
      </c>
      <c r="W4731" s="1" t="s">
        <v>456</v>
      </c>
      <c r="X4731" s="1" t="s">
        <v>9375</v>
      </c>
    </row>
    <row r="4732">
      <c r="A4732" s="1" t="s">
        <v>13251</v>
      </c>
      <c r="B4732" s="1" t="s">
        <v>13252</v>
      </c>
      <c r="C4732" s="1" t="s">
        <v>13253</v>
      </c>
      <c r="D4732" s="1" t="s">
        <v>51</v>
      </c>
      <c r="E4732" s="1" t="s">
        <v>29</v>
      </c>
      <c r="F4732" s="5">
        <v>100000.0</v>
      </c>
      <c r="G4732" s="1" t="s">
        <v>7016</v>
      </c>
      <c r="H4732" s="1" t="s">
        <v>816</v>
      </c>
      <c r="I4732" s="1" t="s">
        <v>132</v>
      </c>
      <c r="K4732" s="1">
        <v>0.0</v>
      </c>
      <c r="L4732" s="1" t="s">
        <v>13254</v>
      </c>
      <c r="M4732" s="1" t="str">
        <f>VLOOKUP(L4732,'Copy of PMD Workday Constants -'!B4731:W5417,22,false)</f>
        <v>#N/A</v>
      </c>
      <c r="N4732" s="1" t="s">
        <v>32</v>
      </c>
      <c r="O4732" s="1" t="s">
        <v>33</v>
      </c>
      <c r="P4732" s="1" t="s">
        <v>82</v>
      </c>
      <c r="Q4732" s="1" t="s">
        <v>82</v>
      </c>
      <c r="R4732" s="1" t="s">
        <v>83</v>
      </c>
      <c r="S4732" s="1" t="s">
        <v>180</v>
      </c>
      <c r="T4732" s="1">
        <v>1.01094571E8</v>
      </c>
      <c r="X4732" s="1" t="s">
        <v>13254</v>
      </c>
    </row>
    <row r="4733">
      <c r="A4733" s="1" t="s">
        <v>13255</v>
      </c>
      <c r="B4733" s="1" t="s">
        <v>913</v>
      </c>
      <c r="C4733" s="1" t="s">
        <v>13256</v>
      </c>
      <c r="D4733" s="1" t="s">
        <v>28</v>
      </c>
      <c r="E4733" s="1" t="s">
        <v>29</v>
      </c>
      <c r="F4733" s="5">
        <v>100000.0</v>
      </c>
      <c r="G4733" s="1" t="s">
        <v>7016</v>
      </c>
      <c r="H4733" s="4">
        <v>44808.0</v>
      </c>
      <c r="I4733" s="1" t="s">
        <v>152</v>
      </c>
      <c r="K4733" s="1">
        <v>0.0</v>
      </c>
      <c r="L4733" s="1" t="s">
        <v>938</v>
      </c>
      <c r="M4733" s="1" t="str">
        <f>VLOOKUP(L4733,'Copy of PMD Workday Constants -'!B4732:W5418,22,false)</f>
        <v>#N/A</v>
      </c>
      <c r="N4733" s="1" t="s">
        <v>32</v>
      </c>
      <c r="O4733" s="1" t="s">
        <v>33</v>
      </c>
      <c r="P4733" s="1" t="s">
        <v>82</v>
      </c>
      <c r="Q4733" s="1" t="s">
        <v>82</v>
      </c>
      <c r="R4733" s="1" t="s">
        <v>83</v>
      </c>
      <c r="S4733" s="1" t="s">
        <v>13257</v>
      </c>
      <c r="T4733" s="1">
        <v>1.00653499E8</v>
      </c>
      <c r="W4733" s="1" t="s">
        <v>85</v>
      </c>
      <c r="X4733" s="1" t="s">
        <v>916</v>
      </c>
    </row>
    <row r="4734">
      <c r="A4734" s="1" t="s">
        <v>13258</v>
      </c>
      <c r="B4734" s="1" t="s">
        <v>2257</v>
      </c>
      <c r="C4734" s="1" t="s">
        <v>13259</v>
      </c>
      <c r="D4734" s="1" t="s">
        <v>51</v>
      </c>
      <c r="E4734" s="1" t="s">
        <v>29</v>
      </c>
      <c r="F4734" s="5">
        <v>100000.0</v>
      </c>
      <c r="G4734" s="1" t="s">
        <v>7016</v>
      </c>
      <c r="H4734" s="1" t="s">
        <v>1220</v>
      </c>
      <c r="I4734" s="1" t="s">
        <v>7669</v>
      </c>
      <c r="K4734" s="1">
        <v>0.0</v>
      </c>
      <c r="L4734" s="1" t="s">
        <v>1447</v>
      </c>
      <c r="M4734" s="1" t="str">
        <f>VLOOKUP(L4734,'Copy of PMD Workday Constants -'!B4733:W5419,22,false)</f>
        <v>#N/A</v>
      </c>
      <c r="N4734" s="1" t="s">
        <v>32</v>
      </c>
      <c r="O4734" s="1" t="s">
        <v>33</v>
      </c>
      <c r="P4734" s="1" t="s">
        <v>64</v>
      </c>
      <c r="Q4734" s="1" t="s">
        <v>64</v>
      </c>
      <c r="R4734" s="1" t="s">
        <v>65</v>
      </c>
      <c r="S4734" s="1" t="s">
        <v>791</v>
      </c>
      <c r="T4734" s="1">
        <v>1.00997154E8</v>
      </c>
      <c r="W4734" s="1" t="s">
        <v>456</v>
      </c>
      <c r="X4734" s="1" t="s">
        <v>9375</v>
      </c>
    </row>
    <row r="4735">
      <c r="A4735" s="1" t="s">
        <v>13260</v>
      </c>
      <c r="B4735" s="1" t="s">
        <v>13261</v>
      </c>
      <c r="C4735" s="1" t="s">
        <v>13262</v>
      </c>
      <c r="D4735" s="1" t="s">
        <v>103</v>
      </c>
      <c r="E4735" s="1" t="s">
        <v>29</v>
      </c>
      <c r="F4735" s="5">
        <v>100000.0</v>
      </c>
      <c r="G4735" s="1" t="s">
        <v>7016</v>
      </c>
      <c r="H4735" s="4">
        <v>44748.0</v>
      </c>
      <c r="I4735" s="4">
        <v>44568.0</v>
      </c>
      <c r="K4735" s="1">
        <v>0.0</v>
      </c>
      <c r="L4735" s="1" t="s">
        <v>7692</v>
      </c>
      <c r="M4735" s="1" t="str">
        <f>VLOOKUP(L4735,'Copy of PMD Workday Constants -'!B4734:W5420,22,false)</f>
        <v>#N/A</v>
      </c>
      <c r="N4735" s="1" t="s">
        <v>32</v>
      </c>
      <c r="O4735" s="1" t="s">
        <v>33</v>
      </c>
      <c r="P4735" s="1" t="s">
        <v>222</v>
      </c>
      <c r="Q4735" s="1" t="s">
        <v>222</v>
      </c>
      <c r="R4735" s="1" t="s">
        <v>223</v>
      </c>
      <c r="S4735" s="1" t="s">
        <v>482</v>
      </c>
      <c r="T4735" s="1">
        <v>1.0060809E8</v>
      </c>
      <c r="W4735" s="1" t="s">
        <v>85</v>
      </c>
      <c r="X4735" s="1" t="s">
        <v>13263</v>
      </c>
    </row>
    <row r="4736">
      <c r="A4736" s="1" t="s">
        <v>13264</v>
      </c>
      <c r="B4736" s="1" t="s">
        <v>2257</v>
      </c>
      <c r="C4736" s="1" t="s">
        <v>13265</v>
      </c>
      <c r="D4736" s="1" t="s">
        <v>28</v>
      </c>
      <c r="E4736" s="1" t="s">
        <v>29</v>
      </c>
      <c r="F4736" s="5">
        <v>100000.0</v>
      </c>
      <c r="G4736" s="1" t="s">
        <v>7016</v>
      </c>
      <c r="H4736" s="1" t="s">
        <v>1220</v>
      </c>
      <c r="I4736" s="1" t="s">
        <v>1673</v>
      </c>
      <c r="K4736" s="1">
        <v>0.0</v>
      </c>
      <c r="L4736" s="1" t="s">
        <v>1447</v>
      </c>
      <c r="M4736" s="1" t="str">
        <f>VLOOKUP(L4736,'Copy of PMD Workday Constants -'!B4735:W5421,22,false)</f>
        <v>#N/A</v>
      </c>
      <c r="N4736" s="1" t="s">
        <v>32</v>
      </c>
      <c r="O4736" s="1" t="s">
        <v>33</v>
      </c>
      <c r="P4736" s="1" t="s">
        <v>64</v>
      </c>
      <c r="Q4736" s="1" t="s">
        <v>64</v>
      </c>
      <c r="R4736" s="1" t="s">
        <v>65</v>
      </c>
      <c r="S4736" s="1" t="s">
        <v>791</v>
      </c>
      <c r="T4736" s="1">
        <v>1.00997154E8</v>
      </c>
      <c r="W4736" s="1" t="s">
        <v>456</v>
      </c>
      <c r="X4736" s="1" t="s">
        <v>9375</v>
      </c>
    </row>
    <row r="4737">
      <c r="A4737" s="1" t="s">
        <v>13266</v>
      </c>
      <c r="B4737" s="1" t="s">
        <v>5422</v>
      </c>
      <c r="C4737" s="1" t="s">
        <v>13267</v>
      </c>
      <c r="D4737" s="1" t="s">
        <v>79</v>
      </c>
      <c r="E4737" s="1" t="s">
        <v>29</v>
      </c>
      <c r="F4737" s="5">
        <v>99226.0</v>
      </c>
      <c r="G4737" s="1" t="s">
        <v>7016</v>
      </c>
      <c r="H4737" s="4">
        <v>44810.0</v>
      </c>
      <c r="I4737" s="4">
        <v>44780.0</v>
      </c>
      <c r="K4737" s="1">
        <v>0.0</v>
      </c>
      <c r="L4737" s="1" t="s">
        <v>806</v>
      </c>
      <c r="M4737" s="1" t="str">
        <f>VLOOKUP(L4737,'Copy of PMD Workday Constants -'!B4736:W5422,22,false)</f>
        <v>#N/A</v>
      </c>
      <c r="N4737" s="1" t="s">
        <v>32</v>
      </c>
      <c r="O4737" s="1" t="s">
        <v>33</v>
      </c>
      <c r="P4737" s="1" t="s">
        <v>173</v>
      </c>
      <c r="Q4737" s="1" t="s">
        <v>173</v>
      </c>
      <c r="R4737" s="1" t="s">
        <v>174</v>
      </c>
      <c r="S4737" s="1" t="s">
        <v>612</v>
      </c>
      <c r="T4737" s="1">
        <v>1.00581784E8</v>
      </c>
      <c r="U4737" s="1" t="s">
        <v>13268</v>
      </c>
      <c r="V4737" s="1" t="s">
        <v>781</v>
      </c>
      <c r="W4737" s="1" t="s">
        <v>147</v>
      </c>
      <c r="X4737" s="1" t="s">
        <v>806</v>
      </c>
    </row>
    <row r="4738">
      <c r="A4738" s="1" t="s">
        <v>13269</v>
      </c>
      <c r="B4738" s="1" t="s">
        <v>9127</v>
      </c>
      <c r="C4738" s="1" t="s">
        <v>7950</v>
      </c>
      <c r="D4738" s="1" t="s">
        <v>28</v>
      </c>
      <c r="E4738" s="1" t="s">
        <v>29</v>
      </c>
      <c r="F4738" s="5">
        <v>99000.0</v>
      </c>
      <c r="G4738" s="1" t="s">
        <v>7016</v>
      </c>
      <c r="H4738" s="4">
        <v>44538.0</v>
      </c>
      <c r="I4738" s="1" t="s">
        <v>302</v>
      </c>
      <c r="K4738" s="1">
        <v>0.0</v>
      </c>
      <c r="L4738" s="1" t="s">
        <v>344</v>
      </c>
      <c r="M4738" s="1" t="str">
        <f>VLOOKUP(L4738,'Copy of PMD Workday Constants -'!B4737:W5423,22,false)</f>
        <v>#N/A</v>
      </c>
      <c r="N4738" s="1" t="s">
        <v>32</v>
      </c>
      <c r="O4738" s="1" t="s">
        <v>33</v>
      </c>
      <c r="P4738" s="1" t="s">
        <v>82</v>
      </c>
      <c r="Q4738" s="1" t="s">
        <v>82</v>
      </c>
      <c r="R4738" s="1" t="s">
        <v>83</v>
      </c>
      <c r="S4738" s="1" t="s">
        <v>180</v>
      </c>
      <c r="T4738" s="1">
        <v>1.00610483E8</v>
      </c>
      <c r="W4738" s="1" t="s">
        <v>85</v>
      </c>
      <c r="X4738" s="1" t="s">
        <v>4124</v>
      </c>
    </row>
    <row r="4739">
      <c r="A4739" s="1" t="s">
        <v>13270</v>
      </c>
      <c r="B4739" s="1" t="s">
        <v>765</v>
      </c>
      <c r="C4739" s="1" t="s">
        <v>13271</v>
      </c>
      <c r="D4739" s="1" t="s">
        <v>79</v>
      </c>
      <c r="E4739" s="1" t="s">
        <v>29</v>
      </c>
      <c r="F4739" s="5">
        <v>99000.0</v>
      </c>
      <c r="G4739" s="1" t="s">
        <v>7016</v>
      </c>
      <c r="H4739" s="1" t="s">
        <v>1134</v>
      </c>
      <c r="I4739" s="1" t="s">
        <v>732</v>
      </c>
      <c r="K4739" s="1">
        <v>0.0</v>
      </c>
      <c r="L4739" s="1" t="s">
        <v>4202</v>
      </c>
      <c r="M4739" s="1" t="str">
        <f>VLOOKUP(L4739,'Copy of PMD Workday Constants -'!B4738:W5424,22,false)</f>
        <v>#N/A</v>
      </c>
      <c r="N4739" s="1" t="s">
        <v>32</v>
      </c>
      <c r="O4739" s="1" t="s">
        <v>33</v>
      </c>
      <c r="P4739" s="1" t="s">
        <v>173</v>
      </c>
      <c r="Q4739" s="1" t="s">
        <v>173</v>
      </c>
      <c r="R4739" s="1" t="s">
        <v>174</v>
      </c>
      <c r="S4739" s="1" t="s">
        <v>153</v>
      </c>
      <c r="T4739" s="1">
        <v>1.00914325E8</v>
      </c>
      <c r="W4739" s="1" t="s">
        <v>456</v>
      </c>
      <c r="X4739" s="1" t="s">
        <v>8942</v>
      </c>
    </row>
    <row r="4740">
      <c r="A4740" s="1" t="s">
        <v>13272</v>
      </c>
      <c r="B4740" s="1" t="s">
        <v>4721</v>
      </c>
      <c r="C4740" s="1" t="s">
        <v>13273</v>
      </c>
      <c r="D4740" s="1" t="s">
        <v>28</v>
      </c>
      <c r="E4740" s="1" t="s">
        <v>29</v>
      </c>
      <c r="F4740" s="5">
        <v>99000.0</v>
      </c>
      <c r="G4740" s="1" t="s">
        <v>7016</v>
      </c>
      <c r="H4740" s="1" t="s">
        <v>537</v>
      </c>
      <c r="I4740" s="1" t="s">
        <v>810</v>
      </c>
      <c r="K4740" s="1">
        <v>0.0</v>
      </c>
      <c r="L4740" s="1" t="s">
        <v>9456</v>
      </c>
      <c r="M4740" s="1" t="str">
        <f>VLOOKUP(L4740,'Copy of PMD Workday Constants -'!B4739:W5425,22,false)</f>
        <v>#N/A</v>
      </c>
      <c r="N4740" s="1" t="s">
        <v>32</v>
      </c>
      <c r="O4740" s="1" t="s">
        <v>33</v>
      </c>
      <c r="P4740" s="1" t="s">
        <v>222</v>
      </c>
      <c r="Q4740" s="1" t="s">
        <v>222</v>
      </c>
      <c r="R4740" s="1" t="s">
        <v>223</v>
      </c>
      <c r="S4740" s="1" t="s">
        <v>482</v>
      </c>
      <c r="T4740" s="1">
        <v>1.00609628E8</v>
      </c>
      <c r="W4740" s="1" t="s">
        <v>436</v>
      </c>
      <c r="X4740" s="1" t="s">
        <v>5931</v>
      </c>
    </row>
    <row r="4741">
      <c r="A4741" s="1" t="s">
        <v>13274</v>
      </c>
      <c r="B4741" s="1" t="s">
        <v>5634</v>
      </c>
      <c r="C4741" s="1" t="s">
        <v>13275</v>
      </c>
      <c r="D4741" s="1" t="s">
        <v>103</v>
      </c>
      <c r="E4741" s="1" t="s">
        <v>29</v>
      </c>
      <c r="F4741" s="5">
        <v>98000.0</v>
      </c>
      <c r="G4741" s="1" t="s">
        <v>7016</v>
      </c>
      <c r="H4741" s="1" t="s">
        <v>1245</v>
      </c>
      <c r="I4741" s="4">
        <v>44780.0</v>
      </c>
      <c r="K4741" s="1">
        <v>0.0</v>
      </c>
      <c r="L4741" s="1" t="s">
        <v>2655</v>
      </c>
      <c r="M4741" s="1" t="str">
        <f>VLOOKUP(L4741,'Copy of PMD Workday Constants -'!B4740:W5426,22,false)</f>
        <v>#N/A</v>
      </c>
      <c r="N4741" s="1" t="s">
        <v>32</v>
      </c>
      <c r="O4741" s="1" t="s">
        <v>33</v>
      </c>
      <c r="P4741" s="1" t="s">
        <v>210</v>
      </c>
      <c r="Q4741" s="1" t="s">
        <v>210</v>
      </c>
      <c r="R4741" s="1" t="s">
        <v>211</v>
      </c>
      <c r="T4741" s="1">
        <v>1.0062606E8</v>
      </c>
      <c r="W4741" s="1" t="s">
        <v>436</v>
      </c>
      <c r="X4741" s="1" t="s">
        <v>7332</v>
      </c>
    </row>
    <row r="4742">
      <c r="A4742" s="1" t="s">
        <v>13276</v>
      </c>
      <c r="B4742" s="1" t="s">
        <v>1900</v>
      </c>
      <c r="C4742" s="1" t="s">
        <v>13277</v>
      </c>
      <c r="D4742" s="1" t="s">
        <v>79</v>
      </c>
      <c r="E4742" s="1" t="s">
        <v>29</v>
      </c>
      <c r="F4742" s="5">
        <v>98000.0</v>
      </c>
      <c r="G4742" s="1" t="s">
        <v>7016</v>
      </c>
      <c r="H4742" s="1" t="s">
        <v>1575</v>
      </c>
      <c r="I4742" s="1" t="s">
        <v>301</v>
      </c>
      <c r="K4742" s="1">
        <v>0.0</v>
      </c>
      <c r="L4742" s="1" t="s">
        <v>1902</v>
      </c>
      <c r="M4742" s="1" t="str">
        <f>VLOOKUP(L4742,'Copy of PMD Workday Constants -'!B4741:W5427,22,false)</f>
        <v>#N/A</v>
      </c>
      <c r="N4742" s="1" t="s">
        <v>32</v>
      </c>
      <c r="O4742" s="1" t="s">
        <v>33</v>
      </c>
      <c r="P4742" s="1" t="s">
        <v>173</v>
      </c>
      <c r="Q4742" s="1" t="s">
        <v>173</v>
      </c>
      <c r="R4742" s="1" t="s">
        <v>174</v>
      </c>
      <c r="S4742" s="1" t="s">
        <v>540</v>
      </c>
      <c r="T4742" s="1">
        <v>1.00956516E8</v>
      </c>
      <c r="W4742" s="1" t="s">
        <v>258</v>
      </c>
      <c r="X4742" s="1" t="s">
        <v>1903</v>
      </c>
    </row>
    <row r="4743">
      <c r="A4743" s="1" t="s">
        <v>13278</v>
      </c>
      <c r="B4743" s="1" t="s">
        <v>13279</v>
      </c>
      <c r="C4743" s="1" t="s">
        <v>13280</v>
      </c>
      <c r="D4743" s="1" t="s">
        <v>51</v>
      </c>
      <c r="E4743" s="1" t="s">
        <v>29</v>
      </c>
      <c r="F4743" s="5">
        <v>97813.0</v>
      </c>
      <c r="G4743" s="1" t="s">
        <v>7016</v>
      </c>
      <c r="H4743" s="1" t="s">
        <v>52</v>
      </c>
      <c r="I4743" s="1" t="s">
        <v>6596</v>
      </c>
      <c r="K4743" s="1">
        <v>0.0</v>
      </c>
      <c r="L4743" s="1" t="s">
        <v>8293</v>
      </c>
      <c r="M4743" s="1" t="str">
        <f>VLOOKUP(L4743,'Copy of PMD Workday Constants -'!B4742:W5428,22,false)</f>
        <v>#N/A</v>
      </c>
      <c r="N4743" s="1" t="s">
        <v>32</v>
      </c>
      <c r="O4743" s="1" t="s">
        <v>33</v>
      </c>
      <c r="P4743" s="1" t="s">
        <v>5253</v>
      </c>
      <c r="Q4743" s="1" t="s">
        <v>5253</v>
      </c>
      <c r="R4743" s="1" t="s">
        <v>65</v>
      </c>
      <c r="T4743" s="1">
        <v>1.00591676E8</v>
      </c>
      <c r="W4743" s="1" t="s">
        <v>947</v>
      </c>
      <c r="X4743" s="1" t="s">
        <v>12040</v>
      </c>
    </row>
    <row r="4744">
      <c r="A4744" s="1" t="s">
        <v>13281</v>
      </c>
      <c r="B4744" s="1" t="s">
        <v>3885</v>
      </c>
      <c r="C4744" s="1" t="s">
        <v>13282</v>
      </c>
      <c r="D4744" s="1" t="s">
        <v>103</v>
      </c>
      <c r="E4744" s="1" t="s">
        <v>29</v>
      </c>
      <c r="F4744" s="5">
        <v>97000.0</v>
      </c>
      <c r="G4744" s="1" t="s">
        <v>7016</v>
      </c>
      <c r="H4744" s="4">
        <v>44565.0</v>
      </c>
      <c r="I4744" s="1" t="s">
        <v>152</v>
      </c>
      <c r="K4744" s="1">
        <v>0.0</v>
      </c>
      <c r="L4744" s="1" t="s">
        <v>2771</v>
      </c>
      <c r="M4744" s="1" t="str">
        <f>VLOOKUP(L4744,'Copy of PMD Workday Constants -'!B4743:W5429,22,false)</f>
        <v>#N/A</v>
      </c>
      <c r="N4744" s="1" t="s">
        <v>32</v>
      </c>
      <c r="O4744" s="1" t="s">
        <v>33</v>
      </c>
      <c r="P4744" s="1" t="s">
        <v>222</v>
      </c>
      <c r="Q4744" s="1" t="s">
        <v>222</v>
      </c>
      <c r="R4744" s="1" t="s">
        <v>223</v>
      </c>
      <c r="S4744" s="1" t="s">
        <v>601</v>
      </c>
      <c r="T4744" s="1">
        <v>1.00641939E8</v>
      </c>
      <c r="W4744" s="1" t="s">
        <v>533</v>
      </c>
      <c r="X4744" s="1" t="s">
        <v>13283</v>
      </c>
    </row>
    <row r="4745">
      <c r="A4745" s="1" t="s">
        <v>13284</v>
      </c>
      <c r="B4745" s="1" t="s">
        <v>304</v>
      </c>
      <c r="C4745" s="1" t="s">
        <v>13285</v>
      </c>
      <c r="D4745" s="1" t="s">
        <v>79</v>
      </c>
      <c r="E4745" s="1" t="s">
        <v>29</v>
      </c>
      <c r="F4745" s="5">
        <v>96000.0</v>
      </c>
      <c r="G4745" s="1" t="s">
        <v>7016</v>
      </c>
      <c r="H4745" s="4">
        <v>44837.0</v>
      </c>
      <c r="I4745" s="1" t="s">
        <v>43</v>
      </c>
      <c r="K4745" s="1">
        <v>0.0</v>
      </c>
      <c r="L4745" s="1" t="s">
        <v>3408</v>
      </c>
      <c r="M4745" s="1" t="str">
        <f>VLOOKUP(L4745,'Copy of PMD Workday Constants -'!B4744:W5430,22,false)</f>
        <v>#N/A</v>
      </c>
      <c r="N4745" s="1" t="s">
        <v>32</v>
      </c>
      <c r="O4745" s="1" t="s">
        <v>33</v>
      </c>
      <c r="P4745" s="1" t="s">
        <v>222</v>
      </c>
      <c r="Q4745" s="1" t="s">
        <v>222</v>
      </c>
      <c r="R4745" s="1" t="s">
        <v>223</v>
      </c>
      <c r="S4745" s="1" t="s">
        <v>482</v>
      </c>
      <c r="T4745" s="1">
        <v>1.0066189E8</v>
      </c>
      <c r="W4745" s="1" t="s">
        <v>308</v>
      </c>
      <c r="X4745" s="1" t="s">
        <v>10097</v>
      </c>
    </row>
    <row r="4746">
      <c r="A4746" s="1" t="s">
        <v>13286</v>
      </c>
      <c r="B4746" s="1" t="s">
        <v>13287</v>
      </c>
      <c r="C4746" s="1" t="s">
        <v>13288</v>
      </c>
      <c r="D4746" s="1" t="s">
        <v>28</v>
      </c>
      <c r="E4746" s="1" t="s">
        <v>29</v>
      </c>
      <c r="F4746" s="5">
        <v>95000.0</v>
      </c>
      <c r="G4746" s="1" t="s">
        <v>7016</v>
      </c>
      <c r="H4746" s="1" t="s">
        <v>1842</v>
      </c>
      <c r="I4746" s="1" t="s">
        <v>96</v>
      </c>
      <c r="K4746" s="1">
        <v>0.0</v>
      </c>
      <c r="L4746" s="1" t="s">
        <v>5558</v>
      </c>
      <c r="M4746" s="1" t="str">
        <f>VLOOKUP(L4746,'Copy of PMD Workday Constants -'!B4745:W5431,22,false)</f>
        <v>#N/A</v>
      </c>
      <c r="N4746" s="1" t="s">
        <v>32</v>
      </c>
      <c r="O4746" s="1" t="s">
        <v>33</v>
      </c>
      <c r="P4746" s="1" t="s">
        <v>222</v>
      </c>
      <c r="Q4746" s="1" t="s">
        <v>222</v>
      </c>
      <c r="R4746" s="1" t="s">
        <v>223</v>
      </c>
      <c r="S4746" s="1" t="s">
        <v>482</v>
      </c>
      <c r="T4746" s="1">
        <v>1.00652479E8</v>
      </c>
      <c r="W4746" s="1" t="s">
        <v>74</v>
      </c>
      <c r="X4746" s="1" t="s">
        <v>5575</v>
      </c>
    </row>
    <row r="4747">
      <c r="A4747" s="1" t="s">
        <v>13289</v>
      </c>
      <c r="B4747" s="1" t="s">
        <v>324</v>
      </c>
      <c r="C4747" s="1" t="s">
        <v>13290</v>
      </c>
      <c r="D4747" s="1" t="s">
        <v>79</v>
      </c>
      <c r="E4747" s="1" t="s">
        <v>29</v>
      </c>
      <c r="F4747" s="5">
        <v>95000.0</v>
      </c>
      <c r="G4747" s="1" t="s">
        <v>7016</v>
      </c>
      <c r="H4747" s="4">
        <v>44622.0</v>
      </c>
      <c r="I4747" s="1" t="s">
        <v>421</v>
      </c>
      <c r="K4747" s="1">
        <v>0.0</v>
      </c>
      <c r="L4747" s="1" t="s">
        <v>11159</v>
      </c>
      <c r="M4747" s="1" t="str">
        <f>VLOOKUP(L4747,'Copy of PMD Workday Constants -'!B4746:W5432,22,false)</f>
        <v>#N/A</v>
      </c>
      <c r="N4747" s="1" t="s">
        <v>32</v>
      </c>
      <c r="O4747" s="1" t="s">
        <v>33</v>
      </c>
      <c r="P4747" s="1" t="s">
        <v>222</v>
      </c>
      <c r="Q4747" s="1" t="s">
        <v>222</v>
      </c>
      <c r="R4747" s="1" t="s">
        <v>223</v>
      </c>
      <c r="S4747" s="1" t="s">
        <v>601</v>
      </c>
      <c r="T4747" s="1">
        <v>1.00602248E8</v>
      </c>
      <c r="W4747" s="1" t="s">
        <v>56</v>
      </c>
      <c r="X4747" s="1" t="s">
        <v>11160</v>
      </c>
    </row>
    <row r="4748">
      <c r="A4748" s="1" t="s">
        <v>13291</v>
      </c>
      <c r="B4748" s="1" t="s">
        <v>13292</v>
      </c>
      <c r="C4748" s="1" t="s">
        <v>13293</v>
      </c>
      <c r="D4748" s="1" t="s">
        <v>103</v>
      </c>
      <c r="E4748" s="1" t="s">
        <v>29</v>
      </c>
      <c r="F4748" s="5">
        <v>95000.0</v>
      </c>
      <c r="G4748" s="1" t="s">
        <v>7016</v>
      </c>
      <c r="H4748" s="1" t="s">
        <v>322</v>
      </c>
      <c r="I4748" s="4">
        <v>44569.0</v>
      </c>
      <c r="K4748" s="1">
        <v>0.0</v>
      </c>
      <c r="L4748" s="1" t="s">
        <v>1324</v>
      </c>
      <c r="M4748" s="1" t="str">
        <f>VLOOKUP(L4748,'Copy of PMD Workday Constants -'!B4747:W5433,22,false)</f>
        <v>#N/A</v>
      </c>
      <c r="N4748" s="1" t="s">
        <v>32</v>
      </c>
      <c r="O4748" s="1" t="s">
        <v>33</v>
      </c>
      <c r="P4748" s="1" t="s">
        <v>34</v>
      </c>
      <c r="Q4748" s="1" t="s">
        <v>34</v>
      </c>
      <c r="R4748" s="1" t="s">
        <v>35</v>
      </c>
      <c r="T4748" s="1">
        <v>1.00613915E8</v>
      </c>
      <c r="W4748" s="1" t="s">
        <v>37</v>
      </c>
      <c r="X4748" s="1" t="s">
        <v>3701</v>
      </c>
    </row>
    <row r="4749">
      <c r="A4749" s="1" t="s">
        <v>13294</v>
      </c>
      <c r="B4749" s="1" t="s">
        <v>348</v>
      </c>
      <c r="C4749" s="1" t="s">
        <v>13295</v>
      </c>
      <c r="D4749" s="1" t="s">
        <v>51</v>
      </c>
      <c r="E4749" s="1" t="s">
        <v>29</v>
      </c>
      <c r="F4749" s="5">
        <v>95000.0</v>
      </c>
      <c r="G4749" s="1" t="s">
        <v>7016</v>
      </c>
      <c r="H4749" s="1" t="s">
        <v>1915</v>
      </c>
      <c r="I4749" s="1" t="s">
        <v>80</v>
      </c>
      <c r="K4749" s="1">
        <v>0.0</v>
      </c>
      <c r="L4749" s="1" t="s">
        <v>5558</v>
      </c>
      <c r="M4749" s="1" t="str">
        <f>VLOOKUP(L4749,'Copy of PMD Workday Constants -'!B4748:W5434,22,false)</f>
        <v>#N/A</v>
      </c>
      <c r="N4749" s="1" t="s">
        <v>32</v>
      </c>
      <c r="O4749" s="1" t="s">
        <v>33</v>
      </c>
      <c r="P4749" s="1" t="s">
        <v>222</v>
      </c>
      <c r="Q4749" s="1" t="s">
        <v>222</v>
      </c>
      <c r="R4749" s="1" t="s">
        <v>223</v>
      </c>
      <c r="S4749" s="1" t="s">
        <v>482</v>
      </c>
      <c r="T4749" s="1">
        <v>1.00652479E8</v>
      </c>
      <c r="W4749" s="1" t="s">
        <v>85</v>
      </c>
      <c r="X4749" s="1" t="s">
        <v>13296</v>
      </c>
    </row>
    <row r="4750">
      <c r="A4750" s="1" t="s">
        <v>13297</v>
      </c>
      <c r="B4750" s="1" t="s">
        <v>13298</v>
      </c>
      <c r="C4750" s="1" t="s">
        <v>13299</v>
      </c>
      <c r="D4750" s="1" t="s">
        <v>103</v>
      </c>
      <c r="E4750" s="1" t="s">
        <v>29</v>
      </c>
      <c r="F4750" s="5">
        <v>95000.0</v>
      </c>
      <c r="G4750" s="1" t="s">
        <v>7016</v>
      </c>
      <c r="H4750" s="4">
        <v>44810.0</v>
      </c>
      <c r="I4750" s="1" t="s">
        <v>816</v>
      </c>
      <c r="K4750" s="1">
        <v>0.0</v>
      </c>
      <c r="L4750" s="1" t="s">
        <v>10660</v>
      </c>
      <c r="M4750" s="1" t="str">
        <f>VLOOKUP(L4750,'Copy of PMD Workday Constants -'!B4749:W5435,22,false)</f>
        <v>#N/A</v>
      </c>
      <c r="N4750" s="1" t="s">
        <v>32</v>
      </c>
      <c r="O4750" s="1" t="s">
        <v>33</v>
      </c>
      <c r="P4750" s="1" t="s">
        <v>222</v>
      </c>
      <c r="Q4750" s="1" t="s">
        <v>222</v>
      </c>
      <c r="R4750" s="1" t="s">
        <v>223</v>
      </c>
      <c r="S4750" s="1" t="s">
        <v>482</v>
      </c>
      <c r="T4750" s="1">
        <v>1.00604296E8</v>
      </c>
      <c r="W4750" s="1" t="s">
        <v>74</v>
      </c>
      <c r="X4750" s="1" t="s">
        <v>13186</v>
      </c>
    </row>
    <row r="4751">
      <c r="A4751" s="1" t="s">
        <v>13300</v>
      </c>
      <c r="B4751" s="1" t="s">
        <v>657</v>
      </c>
      <c r="C4751" s="1" t="s">
        <v>13301</v>
      </c>
      <c r="D4751" s="1" t="s">
        <v>51</v>
      </c>
      <c r="E4751" s="1" t="s">
        <v>29</v>
      </c>
      <c r="F4751" s="5">
        <v>95000.0</v>
      </c>
      <c r="G4751" s="1" t="s">
        <v>7016</v>
      </c>
      <c r="H4751" s="4">
        <v>44776.0</v>
      </c>
      <c r="I4751" s="1" t="s">
        <v>13250</v>
      </c>
      <c r="K4751" s="1">
        <v>0.0</v>
      </c>
      <c r="L4751" s="1" t="s">
        <v>5734</v>
      </c>
      <c r="M4751" s="1" t="str">
        <f>VLOOKUP(L4751,'Copy of PMD Workday Constants -'!B4750:W5436,22,false)</f>
        <v>#N/A</v>
      </c>
      <c r="N4751" s="1" t="s">
        <v>32</v>
      </c>
      <c r="O4751" s="1" t="s">
        <v>33</v>
      </c>
      <c r="P4751" s="1" t="s">
        <v>173</v>
      </c>
      <c r="Q4751" s="1" t="s">
        <v>173</v>
      </c>
      <c r="R4751" s="1" t="s">
        <v>174</v>
      </c>
      <c r="S4751" s="1" t="s">
        <v>153</v>
      </c>
      <c r="T4751" s="1">
        <v>1.00648324E8</v>
      </c>
      <c r="W4751" s="1" t="s">
        <v>85</v>
      </c>
      <c r="X4751" s="1" t="s">
        <v>13302</v>
      </c>
    </row>
    <row r="4752">
      <c r="A4752" s="1" t="s">
        <v>13303</v>
      </c>
      <c r="B4752" s="1" t="s">
        <v>2212</v>
      </c>
      <c r="C4752" s="1" t="s">
        <v>13304</v>
      </c>
      <c r="D4752" s="1" t="s">
        <v>51</v>
      </c>
      <c r="E4752" s="1" t="s">
        <v>29</v>
      </c>
      <c r="F4752" s="5">
        <v>92000.0</v>
      </c>
      <c r="G4752" s="1" t="s">
        <v>7016</v>
      </c>
      <c r="H4752" s="1" t="s">
        <v>1134</v>
      </c>
      <c r="I4752" s="1" t="s">
        <v>132</v>
      </c>
      <c r="K4752" s="1">
        <v>0.0</v>
      </c>
      <c r="L4752" s="1" t="s">
        <v>7062</v>
      </c>
      <c r="M4752" s="1" t="str">
        <f>VLOOKUP(L4752,'Copy of PMD Workday Constants -'!B4751:W5437,22,false)</f>
        <v>#N/A</v>
      </c>
      <c r="N4752" s="1" t="s">
        <v>32</v>
      </c>
      <c r="O4752" s="1" t="s">
        <v>33</v>
      </c>
      <c r="P4752" s="1" t="s">
        <v>222</v>
      </c>
      <c r="Q4752" s="1" t="s">
        <v>222</v>
      </c>
      <c r="R4752" s="1" t="s">
        <v>223</v>
      </c>
      <c r="S4752" s="1" t="s">
        <v>84</v>
      </c>
      <c r="T4752" s="1">
        <v>1.00614969E8</v>
      </c>
      <c r="W4752" s="1" t="s">
        <v>85</v>
      </c>
      <c r="X4752" s="1" t="s">
        <v>13305</v>
      </c>
    </row>
    <row r="4753">
      <c r="A4753" s="1" t="s">
        <v>13306</v>
      </c>
      <c r="B4753" s="1" t="s">
        <v>13307</v>
      </c>
      <c r="C4753" s="1" t="s">
        <v>13308</v>
      </c>
      <c r="D4753" s="1" t="s">
        <v>51</v>
      </c>
      <c r="E4753" s="1" t="s">
        <v>29</v>
      </c>
      <c r="F4753" s="5">
        <v>90790.53</v>
      </c>
      <c r="G4753" s="1" t="s">
        <v>7016</v>
      </c>
      <c r="H4753" s="1" t="s">
        <v>1785</v>
      </c>
      <c r="I4753" s="4">
        <v>44840.0</v>
      </c>
      <c r="K4753" s="1">
        <v>0.0</v>
      </c>
      <c r="L4753" s="1" t="s">
        <v>8293</v>
      </c>
      <c r="M4753" s="1" t="str">
        <f>VLOOKUP(L4753,'Copy of PMD Workday Constants -'!B4752:W5438,22,false)</f>
        <v>#N/A</v>
      </c>
      <c r="N4753" s="1" t="s">
        <v>32</v>
      </c>
      <c r="O4753" s="1" t="s">
        <v>33</v>
      </c>
      <c r="P4753" s="1" t="s">
        <v>5253</v>
      </c>
      <c r="Q4753" s="1" t="s">
        <v>5253</v>
      </c>
      <c r="R4753" s="1" t="s">
        <v>65</v>
      </c>
      <c r="T4753" s="1">
        <v>1.00591676E8</v>
      </c>
      <c r="W4753" s="1" t="s">
        <v>147</v>
      </c>
      <c r="X4753" s="1" t="s">
        <v>13309</v>
      </c>
    </row>
    <row r="4754">
      <c r="A4754" s="1" t="s">
        <v>13310</v>
      </c>
      <c r="B4754" s="1" t="s">
        <v>6073</v>
      </c>
      <c r="C4754" s="1" t="s">
        <v>13311</v>
      </c>
      <c r="D4754" s="1" t="s">
        <v>103</v>
      </c>
      <c r="E4754" s="1" t="s">
        <v>29</v>
      </c>
      <c r="F4754" s="5">
        <v>90000.0</v>
      </c>
      <c r="G4754" s="1" t="s">
        <v>7016</v>
      </c>
      <c r="H4754" s="4">
        <v>44806.0</v>
      </c>
      <c r="I4754" s="1" t="s">
        <v>526</v>
      </c>
      <c r="K4754" s="1">
        <v>0.0</v>
      </c>
      <c r="L4754" s="1" t="s">
        <v>618</v>
      </c>
      <c r="M4754" s="1" t="str">
        <f>VLOOKUP(L4754,'Copy of PMD Workday Constants -'!B4753:W5439,22,false)</f>
        <v>#N/A</v>
      </c>
      <c r="N4754" s="1" t="s">
        <v>32</v>
      </c>
      <c r="O4754" s="1" t="s">
        <v>33</v>
      </c>
      <c r="P4754" s="1" t="s">
        <v>173</v>
      </c>
      <c r="Q4754" s="1" t="s">
        <v>173</v>
      </c>
      <c r="R4754" s="1" t="s">
        <v>174</v>
      </c>
      <c r="T4754" s="1">
        <v>1.00591141E8</v>
      </c>
      <c r="W4754" s="1" t="s">
        <v>74</v>
      </c>
      <c r="X4754" s="1" t="s">
        <v>5731</v>
      </c>
    </row>
    <row r="4755">
      <c r="A4755" s="1" t="s">
        <v>13312</v>
      </c>
      <c r="B4755" s="1" t="s">
        <v>13313</v>
      </c>
      <c r="C4755" s="1" t="s">
        <v>13314</v>
      </c>
      <c r="D4755" s="1" t="s">
        <v>51</v>
      </c>
      <c r="E4755" s="1" t="s">
        <v>29</v>
      </c>
      <c r="F4755" s="5">
        <v>90000.0</v>
      </c>
      <c r="G4755" s="1" t="s">
        <v>7016</v>
      </c>
      <c r="H4755" s="4">
        <v>44686.0</v>
      </c>
      <c r="I4755" s="1" t="s">
        <v>80</v>
      </c>
      <c r="K4755" s="1">
        <v>0.0</v>
      </c>
      <c r="L4755" s="1" t="s">
        <v>5558</v>
      </c>
      <c r="M4755" s="1" t="str">
        <f>VLOOKUP(L4755,'Copy of PMD Workday Constants -'!B4754:W5440,22,false)</f>
        <v>#N/A</v>
      </c>
      <c r="N4755" s="1" t="s">
        <v>32</v>
      </c>
      <c r="O4755" s="1" t="s">
        <v>33</v>
      </c>
      <c r="P4755" s="1" t="s">
        <v>222</v>
      </c>
      <c r="Q4755" s="1" t="s">
        <v>222</v>
      </c>
      <c r="R4755" s="1" t="s">
        <v>223</v>
      </c>
      <c r="S4755" s="1" t="s">
        <v>482</v>
      </c>
      <c r="T4755" s="1">
        <v>1.00652479E8</v>
      </c>
      <c r="W4755" s="1" t="s">
        <v>115</v>
      </c>
      <c r="X4755" s="1" t="s">
        <v>11706</v>
      </c>
    </row>
    <row r="4756">
      <c r="A4756" s="1" t="s">
        <v>13315</v>
      </c>
      <c r="B4756" s="1" t="s">
        <v>7899</v>
      </c>
      <c r="C4756" s="1" t="s">
        <v>13316</v>
      </c>
      <c r="D4756" s="1" t="s">
        <v>103</v>
      </c>
      <c r="E4756" s="1" t="s">
        <v>29</v>
      </c>
      <c r="F4756" s="5">
        <v>90000.0</v>
      </c>
      <c r="G4756" s="1" t="s">
        <v>7016</v>
      </c>
      <c r="H4756" s="1" t="s">
        <v>592</v>
      </c>
      <c r="I4756" s="1" t="s">
        <v>12174</v>
      </c>
      <c r="K4756" s="1">
        <v>0.0</v>
      </c>
      <c r="L4756" s="1" t="s">
        <v>10660</v>
      </c>
      <c r="M4756" s="1" t="str">
        <f>VLOOKUP(L4756,'Copy of PMD Workday Constants -'!B4755:W5441,22,false)</f>
        <v>#N/A</v>
      </c>
      <c r="N4756" s="1" t="s">
        <v>32</v>
      </c>
      <c r="O4756" s="1" t="s">
        <v>33</v>
      </c>
      <c r="P4756" s="1" t="s">
        <v>222</v>
      </c>
      <c r="Q4756" s="1" t="s">
        <v>222</v>
      </c>
      <c r="R4756" s="1" t="s">
        <v>223</v>
      </c>
      <c r="S4756" s="1" t="s">
        <v>482</v>
      </c>
      <c r="T4756" s="1">
        <v>1.00604296E8</v>
      </c>
      <c r="W4756" s="1" t="s">
        <v>258</v>
      </c>
      <c r="X4756" s="1" t="s">
        <v>13317</v>
      </c>
    </row>
    <row r="4757">
      <c r="A4757" s="1" t="s">
        <v>13318</v>
      </c>
      <c r="B4757" s="1" t="s">
        <v>13319</v>
      </c>
      <c r="C4757" s="1" t="s">
        <v>13320</v>
      </c>
      <c r="D4757" s="1" t="s">
        <v>51</v>
      </c>
      <c r="E4757" s="1" t="s">
        <v>29</v>
      </c>
      <c r="F4757" s="5">
        <v>90000.0</v>
      </c>
      <c r="G4757" s="1" t="s">
        <v>7016</v>
      </c>
      <c r="H4757" s="1" t="s">
        <v>870</v>
      </c>
      <c r="I4757" s="1" t="s">
        <v>509</v>
      </c>
      <c r="K4757" s="1">
        <v>0.0</v>
      </c>
      <c r="L4757" s="1" t="s">
        <v>11908</v>
      </c>
      <c r="M4757" s="1" t="str">
        <f>VLOOKUP(L4757,'Copy of PMD Workday Constants -'!B4756:W5442,22,false)</f>
        <v>#N/A</v>
      </c>
      <c r="N4757" s="1" t="s">
        <v>32</v>
      </c>
      <c r="O4757" s="1" t="s">
        <v>33</v>
      </c>
      <c r="P4757" s="1" t="s">
        <v>222</v>
      </c>
      <c r="Q4757" s="1" t="s">
        <v>222</v>
      </c>
      <c r="R4757" s="1" t="s">
        <v>223</v>
      </c>
      <c r="T4757" s="1">
        <v>1.00642273E8</v>
      </c>
      <c r="W4757" s="1" t="s">
        <v>250</v>
      </c>
      <c r="X4757" s="1" t="s">
        <v>11908</v>
      </c>
    </row>
    <row r="4758">
      <c r="A4758" s="1" t="s">
        <v>13321</v>
      </c>
      <c r="B4758" s="1" t="s">
        <v>776</v>
      </c>
      <c r="C4758" s="1" t="s">
        <v>13322</v>
      </c>
      <c r="D4758" s="1" t="s">
        <v>51</v>
      </c>
      <c r="E4758" s="1" t="s">
        <v>29</v>
      </c>
      <c r="F4758" s="5">
        <v>90000.0</v>
      </c>
      <c r="G4758" s="1" t="s">
        <v>7016</v>
      </c>
      <c r="H4758" s="1" t="s">
        <v>569</v>
      </c>
      <c r="I4758" s="1" t="s">
        <v>80</v>
      </c>
      <c r="K4758" s="1">
        <v>0.0</v>
      </c>
      <c r="L4758" s="1" t="s">
        <v>2547</v>
      </c>
      <c r="M4758" s="1" t="str">
        <f>VLOOKUP(L4758,'Copy of PMD Workday Constants -'!B4757:W5443,22,false)</f>
        <v>#N/A</v>
      </c>
      <c r="N4758" s="1" t="s">
        <v>32</v>
      </c>
      <c r="O4758" s="1" t="s">
        <v>33</v>
      </c>
      <c r="P4758" s="1" t="s">
        <v>64</v>
      </c>
      <c r="Q4758" s="1" t="s">
        <v>64</v>
      </c>
      <c r="R4758" s="1" t="s">
        <v>65</v>
      </c>
      <c r="T4758" s="1">
        <v>1.00592932E8</v>
      </c>
      <c r="W4758" s="1" t="s">
        <v>74</v>
      </c>
      <c r="X4758" s="1" t="s">
        <v>2547</v>
      </c>
    </row>
    <row r="4759">
      <c r="A4759" s="1" t="s">
        <v>13323</v>
      </c>
      <c r="B4759" s="1" t="s">
        <v>13324</v>
      </c>
      <c r="C4759" s="1" t="s">
        <v>13325</v>
      </c>
      <c r="D4759" s="1" t="s">
        <v>51</v>
      </c>
      <c r="E4759" s="1" t="s">
        <v>29</v>
      </c>
      <c r="F4759" s="5">
        <v>90000.0</v>
      </c>
      <c r="G4759" s="1" t="s">
        <v>7016</v>
      </c>
      <c r="H4759" s="4">
        <v>44654.0</v>
      </c>
      <c r="I4759" s="1" t="s">
        <v>13326</v>
      </c>
      <c r="K4759" s="1">
        <v>0.0</v>
      </c>
      <c r="L4759" s="1" t="s">
        <v>5558</v>
      </c>
      <c r="M4759" s="1" t="str">
        <f>VLOOKUP(L4759,'Copy of PMD Workday Constants -'!B4758:W5444,22,false)</f>
        <v>#N/A</v>
      </c>
      <c r="N4759" s="1" t="s">
        <v>32</v>
      </c>
      <c r="O4759" s="1" t="s">
        <v>33</v>
      </c>
      <c r="P4759" s="1" t="s">
        <v>222</v>
      </c>
      <c r="Q4759" s="1" t="s">
        <v>222</v>
      </c>
      <c r="R4759" s="1" t="s">
        <v>223</v>
      </c>
      <c r="S4759" s="1" t="s">
        <v>482</v>
      </c>
      <c r="T4759" s="1">
        <v>1.00652479E8</v>
      </c>
      <c r="W4759" s="1" t="s">
        <v>250</v>
      </c>
      <c r="X4759" s="1" t="s">
        <v>13327</v>
      </c>
    </row>
    <row r="4760">
      <c r="A4760" s="1" t="s">
        <v>13328</v>
      </c>
      <c r="B4760" s="1" t="s">
        <v>13329</v>
      </c>
      <c r="C4760" s="1" t="s">
        <v>13330</v>
      </c>
      <c r="D4760" s="1" t="s">
        <v>103</v>
      </c>
      <c r="E4760" s="1" t="s">
        <v>29</v>
      </c>
      <c r="F4760" s="5">
        <v>90000.0</v>
      </c>
      <c r="G4760" s="1" t="s">
        <v>7016</v>
      </c>
      <c r="H4760" s="1" t="s">
        <v>2241</v>
      </c>
      <c r="I4760" s="1" t="s">
        <v>132</v>
      </c>
      <c r="K4760" s="1">
        <v>0.0</v>
      </c>
      <c r="L4760" s="1" t="s">
        <v>13331</v>
      </c>
      <c r="M4760" s="1" t="str">
        <f>VLOOKUP(L4760,'Copy of PMD Workday Constants -'!B4759:W5445,22,false)</f>
        <v>#N/A</v>
      </c>
      <c r="N4760" s="1" t="s">
        <v>32</v>
      </c>
      <c r="O4760" s="1" t="s">
        <v>33</v>
      </c>
      <c r="P4760" s="1" t="s">
        <v>222</v>
      </c>
      <c r="Q4760" s="1" t="s">
        <v>222</v>
      </c>
      <c r="R4760" s="1" t="s">
        <v>223</v>
      </c>
      <c r="T4760" s="1">
        <v>1.00660529E8</v>
      </c>
      <c r="W4760" s="1" t="s">
        <v>308</v>
      </c>
      <c r="X4760" s="1" t="s">
        <v>13331</v>
      </c>
    </row>
    <row r="4761">
      <c r="A4761" s="1" t="s">
        <v>13332</v>
      </c>
      <c r="B4761" s="1" t="s">
        <v>13333</v>
      </c>
      <c r="C4761" s="1" t="s">
        <v>13334</v>
      </c>
      <c r="D4761" s="1" t="s">
        <v>51</v>
      </c>
      <c r="E4761" s="1" t="s">
        <v>29</v>
      </c>
      <c r="F4761" s="5">
        <v>90000.0</v>
      </c>
      <c r="G4761" s="1" t="s">
        <v>7016</v>
      </c>
      <c r="H4761" s="4">
        <v>44683.0</v>
      </c>
      <c r="I4761" s="1" t="s">
        <v>302</v>
      </c>
      <c r="K4761" s="1">
        <v>0.0</v>
      </c>
      <c r="L4761" s="1" t="s">
        <v>11159</v>
      </c>
      <c r="M4761" s="1" t="str">
        <f>VLOOKUP(L4761,'Copy of PMD Workday Constants -'!B4760:W5446,22,false)</f>
        <v>#N/A</v>
      </c>
      <c r="N4761" s="1" t="s">
        <v>32</v>
      </c>
      <c r="O4761" s="1" t="s">
        <v>33</v>
      </c>
      <c r="P4761" s="1" t="s">
        <v>222</v>
      </c>
      <c r="Q4761" s="1" t="s">
        <v>222</v>
      </c>
      <c r="R4761" s="1" t="s">
        <v>223</v>
      </c>
      <c r="S4761" s="1" t="s">
        <v>601</v>
      </c>
      <c r="T4761" s="1">
        <v>1.00602248E8</v>
      </c>
      <c r="W4761" s="1" t="s">
        <v>1801</v>
      </c>
      <c r="X4761" s="1" t="s">
        <v>6853</v>
      </c>
    </row>
    <row r="4762">
      <c r="A4762" s="1" t="s">
        <v>13335</v>
      </c>
      <c r="B4762" s="1" t="s">
        <v>776</v>
      </c>
      <c r="C4762" s="1" t="s">
        <v>13336</v>
      </c>
      <c r="D4762" s="1" t="s">
        <v>103</v>
      </c>
      <c r="E4762" s="1" t="s">
        <v>29</v>
      </c>
      <c r="F4762" s="5">
        <v>90000.0</v>
      </c>
      <c r="G4762" s="1" t="s">
        <v>7016</v>
      </c>
      <c r="H4762" s="1" t="s">
        <v>1220</v>
      </c>
      <c r="I4762" s="1" t="s">
        <v>166</v>
      </c>
      <c r="K4762" s="1">
        <v>0.0</v>
      </c>
      <c r="L4762" s="1" t="s">
        <v>2547</v>
      </c>
      <c r="M4762" s="1" t="str">
        <f>VLOOKUP(L4762,'Copy of PMD Workday Constants -'!B4761:W5447,22,false)</f>
        <v>#N/A</v>
      </c>
      <c r="N4762" s="1" t="s">
        <v>32</v>
      </c>
      <c r="O4762" s="1" t="s">
        <v>33</v>
      </c>
      <c r="P4762" s="1" t="s">
        <v>64</v>
      </c>
      <c r="Q4762" s="1" t="s">
        <v>64</v>
      </c>
      <c r="R4762" s="1" t="s">
        <v>65</v>
      </c>
      <c r="S4762" s="1" t="s">
        <v>185</v>
      </c>
      <c r="T4762" s="1">
        <v>1.00592932E8</v>
      </c>
      <c r="W4762" s="1" t="s">
        <v>74</v>
      </c>
      <c r="X4762" s="1" t="s">
        <v>2547</v>
      </c>
    </row>
    <row r="4763">
      <c r="A4763" s="1" t="s">
        <v>13337</v>
      </c>
      <c r="B4763" s="1" t="s">
        <v>7281</v>
      </c>
      <c r="C4763" s="1" t="s">
        <v>13338</v>
      </c>
      <c r="D4763" s="1" t="s">
        <v>103</v>
      </c>
      <c r="E4763" s="1" t="s">
        <v>29</v>
      </c>
      <c r="F4763" s="5">
        <v>90000.0</v>
      </c>
      <c r="G4763" s="1" t="s">
        <v>7016</v>
      </c>
      <c r="H4763" s="4">
        <v>44717.0</v>
      </c>
      <c r="I4763" s="1" t="s">
        <v>526</v>
      </c>
      <c r="K4763" s="1">
        <v>0.0</v>
      </c>
      <c r="L4763" s="1" t="s">
        <v>5205</v>
      </c>
      <c r="M4763" s="1" t="str">
        <f>VLOOKUP(L4763,'Copy of PMD Workday Constants -'!B4762:W5448,22,false)</f>
        <v>#N/A</v>
      </c>
      <c r="N4763" s="1" t="s">
        <v>32</v>
      </c>
      <c r="O4763" s="1" t="s">
        <v>33</v>
      </c>
      <c r="P4763" s="1" t="s">
        <v>222</v>
      </c>
      <c r="Q4763" s="1" t="s">
        <v>222</v>
      </c>
      <c r="R4763" s="1" t="s">
        <v>223</v>
      </c>
      <c r="S4763" s="1" t="s">
        <v>1336</v>
      </c>
      <c r="T4763" s="1">
        <v>1.00896447E8</v>
      </c>
      <c r="W4763" s="1" t="s">
        <v>56</v>
      </c>
      <c r="X4763" s="1" t="s">
        <v>13339</v>
      </c>
    </row>
    <row r="4764">
      <c r="A4764" s="1" t="s">
        <v>13340</v>
      </c>
      <c r="B4764" s="1" t="s">
        <v>573</v>
      </c>
      <c r="C4764" s="1" t="s">
        <v>13341</v>
      </c>
      <c r="D4764" s="1" t="s">
        <v>79</v>
      </c>
      <c r="E4764" s="1" t="s">
        <v>29</v>
      </c>
      <c r="F4764" s="5">
        <v>90000.0</v>
      </c>
      <c r="G4764" s="1" t="s">
        <v>7016</v>
      </c>
      <c r="H4764" s="1" t="s">
        <v>1287</v>
      </c>
      <c r="I4764" s="1" t="s">
        <v>732</v>
      </c>
      <c r="K4764" s="1">
        <v>0.0</v>
      </c>
      <c r="L4764" s="1" t="s">
        <v>6283</v>
      </c>
      <c r="M4764" s="1" t="str">
        <f>VLOOKUP(L4764,'Copy of PMD Workday Constants -'!B4763:W5449,22,false)</f>
        <v>#N/A</v>
      </c>
      <c r="N4764" s="1" t="s">
        <v>32</v>
      </c>
      <c r="O4764" s="1" t="s">
        <v>33</v>
      </c>
      <c r="P4764" s="1" t="s">
        <v>222</v>
      </c>
      <c r="Q4764" s="1" t="s">
        <v>222</v>
      </c>
      <c r="R4764" s="1" t="s">
        <v>223</v>
      </c>
      <c r="S4764" s="1" t="s">
        <v>482</v>
      </c>
      <c r="T4764" s="1">
        <v>1.00630003E8</v>
      </c>
      <c r="W4764" s="1" t="s">
        <v>74</v>
      </c>
      <c r="X4764" s="1" t="s">
        <v>5828</v>
      </c>
    </row>
    <row r="4765">
      <c r="A4765" s="1" t="s">
        <v>13342</v>
      </c>
      <c r="B4765" s="1" t="s">
        <v>13343</v>
      </c>
      <c r="C4765" s="1" t="s">
        <v>13344</v>
      </c>
      <c r="D4765" s="1" t="s">
        <v>103</v>
      </c>
      <c r="E4765" s="1" t="s">
        <v>29</v>
      </c>
      <c r="F4765" s="5">
        <v>90000.0</v>
      </c>
      <c r="G4765" s="1" t="s">
        <v>7016</v>
      </c>
      <c r="H4765" s="1" t="s">
        <v>413</v>
      </c>
      <c r="I4765" s="1" t="s">
        <v>80</v>
      </c>
      <c r="K4765" s="1">
        <v>0.0</v>
      </c>
      <c r="L4765" s="1" t="s">
        <v>7847</v>
      </c>
      <c r="M4765" s="1" t="str">
        <f>VLOOKUP(L4765,'Copy of PMD Workday Constants -'!B4764:W5450,22,false)</f>
        <v>#N/A</v>
      </c>
      <c r="N4765" s="1" t="s">
        <v>32</v>
      </c>
      <c r="O4765" s="1" t="s">
        <v>33</v>
      </c>
      <c r="P4765" s="1" t="s">
        <v>5253</v>
      </c>
      <c r="Q4765" s="1" t="s">
        <v>5253</v>
      </c>
      <c r="R4765" s="1" t="s">
        <v>113</v>
      </c>
      <c r="S4765" s="1" t="s">
        <v>114</v>
      </c>
      <c r="T4765" s="1">
        <v>1.0065052E8</v>
      </c>
      <c r="W4765" s="1" t="s">
        <v>287</v>
      </c>
      <c r="X4765" s="1" t="s">
        <v>5569</v>
      </c>
    </row>
    <row r="4766">
      <c r="A4766" s="1" t="s">
        <v>13345</v>
      </c>
      <c r="B4766" s="1" t="s">
        <v>11534</v>
      </c>
      <c r="C4766" s="1" t="s">
        <v>13346</v>
      </c>
      <c r="D4766" s="1" t="s">
        <v>28</v>
      </c>
      <c r="E4766" s="1" t="s">
        <v>29</v>
      </c>
      <c r="F4766" s="5">
        <v>90000.0</v>
      </c>
      <c r="G4766" s="1" t="s">
        <v>7016</v>
      </c>
      <c r="H4766" s="1" t="s">
        <v>42</v>
      </c>
      <c r="I4766" s="4">
        <v>44573.0</v>
      </c>
      <c r="K4766" s="1">
        <v>0.0</v>
      </c>
      <c r="L4766" s="1" t="s">
        <v>1335</v>
      </c>
      <c r="M4766" s="1" t="str">
        <f>VLOOKUP(L4766,'Copy of PMD Workday Constants -'!B4765:W5451,22,false)</f>
        <v>#N/A</v>
      </c>
      <c r="N4766" s="1" t="s">
        <v>32</v>
      </c>
      <c r="O4766" s="1" t="s">
        <v>33</v>
      </c>
      <c r="P4766" s="1" t="s">
        <v>210</v>
      </c>
      <c r="Q4766" s="1" t="s">
        <v>210</v>
      </c>
      <c r="R4766" s="1" t="s">
        <v>211</v>
      </c>
      <c r="S4766" s="1" t="s">
        <v>1336</v>
      </c>
      <c r="T4766" s="1">
        <v>1.00594397E8</v>
      </c>
      <c r="W4766" s="1" t="s">
        <v>258</v>
      </c>
      <c r="X4766" s="1" t="s">
        <v>1337</v>
      </c>
    </row>
    <row r="4767">
      <c r="A4767" s="1" t="s">
        <v>13347</v>
      </c>
      <c r="B4767" s="1" t="s">
        <v>10514</v>
      </c>
      <c r="C4767" s="1" t="s">
        <v>13348</v>
      </c>
      <c r="D4767" s="1" t="s">
        <v>51</v>
      </c>
      <c r="E4767" s="1" t="s">
        <v>29</v>
      </c>
      <c r="F4767" s="5">
        <v>86000.0</v>
      </c>
      <c r="G4767" s="1" t="s">
        <v>7016</v>
      </c>
      <c r="H4767" s="1" t="s">
        <v>13349</v>
      </c>
      <c r="I4767" s="4">
        <v>44569.0</v>
      </c>
      <c r="K4767" s="1">
        <v>0.0</v>
      </c>
      <c r="L4767" s="1" t="s">
        <v>2602</v>
      </c>
      <c r="M4767" s="1" t="str">
        <f>VLOOKUP(L4767,'Copy of PMD Workday Constants -'!B4766:W5452,22,false)</f>
        <v>#N/A</v>
      </c>
      <c r="N4767" s="1" t="s">
        <v>32</v>
      </c>
      <c r="O4767" s="1" t="s">
        <v>33</v>
      </c>
      <c r="P4767" s="1" t="s">
        <v>173</v>
      </c>
      <c r="Q4767" s="1" t="s">
        <v>173</v>
      </c>
      <c r="R4767" s="1" t="s">
        <v>174</v>
      </c>
      <c r="S4767" s="1" t="s">
        <v>383</v>
      </c>
      <c r="T4767" s="1">
        <v>1.00611351E8</v>
      </c>
      <c r="W4767" s="1" t="s">
        <v>1303</v>
      </c>
      <c r="X4767" s="1" t="s">
        <v>2914</v>
      </c>
    </row>
    <row r="4768">
      <c r="A4768" s="1" t="s">
        <v>13350</v>
      </c>
      <c r="B4768" s="1" t="s">
        <v>13307</v>
      </c>
      <c r="C4768" s="1" t="s">
        <v>13351</v>
      </c>
      <c r="D4768" s="1" t="s">
        <v>51</v>
      </c>
      <c r="E4768" s="1" t="s">
        <v>29</v>
      </c>
      <c r="F4768" s="5">
        <v>85774.48</v>
      </c>
      <c r="G4768" s="1" t="s">
        <v>7016</v>
      </c>
      <c r="H4768" s="1" t="s">
        <v>1134</v>
      </c>
      <c r="I4768" s="1" t="s">
        <v>400</v>
      </c>
      <c r="K4768" s="1">
        <v>0.0</v>
      </c>
      <c r="L4768" s="1" t="s">
        <v>8293</v>
      </c>
      <c r="M4768" s="1" t="str">
        <f>VLOOKUP(L4768,'Copy of PMD Workday Constants -'!B4767:W5453,22,false)</f>
        <v>#N/A</v>
      </c>
      <c r="N4768" s="1" t="s">
        <v>32</v>
      </c>
      <c r="O4768" s="1" t="s">
        <v>33</v>
      </c>
      <c r="P4768" s="1" t="s">
        <v>5253</v>
      </c>
      <c r="Q4768" s="1" t="s">
        <v>5253</v>
      </c>
      <c r="R4768" s="1" t="s">
        <v>65</v>
      </c>
      <c r="T4768" s="1">
        <v>1.00591676E8</v>
      </c>
      <c r="W4768" s="1" t="s">
        <v>147</v>
      </c>
      <c r="X4768" s="1" t="s">
        <v>13352</v>
      </c>
    </row>
    <row r="4769">
      <c r="A4769" s="1" t="s">
        <v>13353</v>
      </c>
      <c r="B4769" s="1" t="s">
        <v>13354</v>
      </c>
      <c r="C4769" s="1" t="s">
        <v>13355</v>
      </c>
      <c r="D4769" s="1" t="s">
        <v>103</v>
      </c>
      <c r="E4769" s="1" t="s">
        <v>29</v>
      </c>
      <c r="F4769" s="5">
        <v>85000.0</v>
      </c>
      <c r="G4769" s="1" t="s">
        <v>7016</v>
      </c>
      <c r="H4769" s="1" t="s">
        <v>1785</v>
      </c>
      <c r="I4769" s="1" t="s">
        <v>248</v>
      </c>
      <c r="K4769" s="1">
        <v>0.0</v>
      </c>
      <c r="L4769" s="1" t="s">
        <v>13356</v>
      </c>
      <c r="M4769" s="1" t="str">
        <f>VLOOKUP(L4769,'Copy of PMD Workday Constants -'!B4768:W5454,22,false)</f>
        <v>#N/A</v>
      </c>
      <c r="N4769" s="1" t="s">
        <v>32</v>
      </c>
      <c r="O4769" s="1" t="s">
        <v>33</v>
      </c>
      <c r="P4769" s="1" t="s">
        <v>222</v>
      </c>
      <c r="Q4769" s="1" t="s">
        <v>222</v>
      </c>
      <c r="R4769" s="1" t="s">
        <v>223</v>
      </c>
      <c r="S4769" s="1" t="s">
        <v>482</v>
      </c>
      <c r="T4769" s="1">
        <v>1.00628004E8</v>
      </c>
      <c r="W4769" s="1" t="s">
        <v>436</v>
      </c>
      <c r="X4769" s="1" t="s">
        <v>13357</v>
      </c>
    </row>
    <row r="4770">
      <c r="A4770" s="1" t="s">
        <v>13358</v>
      </c>
      <c r="B4770" s="1" t="s">
        <v>13359</v>
      </c>
      <c r="C4770" s="1" t="s">
        <v>13360</v>
      </c>
      <c r="D4770" s="1" t="s">
        <v>103</v>
      </c>
      <c r="E4770" s="1" t="s">
        <v>29</v>
      </c>
      <c r="F4770" s="5">
        <v>85000.0</v>
      </c>
      <c r="G4770" s="1" t="s">
        <v>7016</v>
      </c>
      <c r="H4770" s="4">
        <v>44871.0</v>
      </c>
      <c r="I4770" s="4">
        <v>44780.0</v>
      </c>
      <c r="K4770" s="1">
        <v>0.0</v>
      </c>
      <c r="L4770" s="1" t="s">
        <v>2946</v>
      </c>
      <c r="M4770" s="1" t="str">
        <f>VLOOKUP(L4770,'Copy of PMD Workday Constants -'!B4769:W5455,22,false)</f>
        <v>#N/A</v>
      </c>
      <c r="N4770" s="1" t="s">
        <v>32</v>
      </c>
      <c r="O4770" s="1" t="s">
        <v>33</v>
      </c>
      <c r="P4770" s="1" t="s">
        <v>64</v>
      </c>
      <c r="Q4770" s="1" t="s">
        <v>64</v>
      </c>
      <c r="R4770" s="1" t="s">
        <v>65</v>
      </c>
      <c r="T4770" s="1">
        <v>1.01074419E8</v>
      </c>
      <c r="W4770" s="1" t="s">
        <v>436</v>
      </c>
      <c r="X4770" s="1" t="s">
        <v>2946</v>
      </c>
    </row>
    <row r="4771">
      <c r="A4771" s="1" t="s">
        <v>13361</v>
      </c>
      <c r="B4771" s="1" t="s">
        <v>13362</v>
      </c>
      <c r="C4771" s="1" t="s">
        <v>8224</v>
      </c>
      <c r="D4771" s="1" t="s">
        <v>28</v>
      </c>
      <c r="E4771" s="1" t="s">
        <v>29</v>
      </c>
      <c r="F4771" s="5">
        <v>85000.0</v>
      </c>
      <c r="G4771" s="1" t="s">
        <v>7016</v>
      </c>
      <c r="H4771" s="1" t="s">
        <v>2510</v>
      </c>
      <c r="I4771" s="1" t="s">
        <v>301</v>
      </c>
      <c r="K4771" s="1">
        <v>0.0</v>
      </c>
      <c r="L4771" s="1" t="s">
        <v>11159</v>
      </c>
      <c r="M4771" s="1" t="str">
        <f>VLOOKUP(L4771,'Copy of PMD Workday Constants -'!B4770:W5456,22,false)</f>
        <v>#N/A</v>
      </c>
      <c r="N4771" s="1" t="s">
        <v>32</v>
      </c>
      <c r="O4771" s="1" t="s">
        <v>33</v>
      </c>
      <c r="P4771" s="1" t="s">
        <v>222</v>
      </c>
      <c r="Q4771" s="1" t="s">
        <v>222</v>
      </c>
      <c r="R4771" s="1" t="s">
        <v>223</v>
      </c>
      <c r="S4771" s="1" t="s">
        <v>601</v>
      </c>
      <c r="T4771" s="1">
        <v>1.00602248E8</v>
      </c>
      <c r="W4771" s="1" t="s">
        <v>140</v>
      </c>
      <c r="X4771" s="1" t="s">
        <v>13363</v>
      </c>
    </row>
    <row r="4772">
      <c r="A4772" s="1" t="s">
        <v>13364</v>
      </c>
      <c r="B4772" s="1" t="s">
        <v>13365</v>
      </c>
      <c r="C4772" s="1" t="s">
        <v>13366</v>
      </c>
      <c r="D4772" s="1" t="s">
        <v>51</v>
      </c>
      <c r="E4772" s="1" t="s">
        <v>29</v>
      </c>
      <c r="F4772" s="5">
        <v>85000.0</v>
      </c>
      <c r="G4772" s="1" t="s">
        <v>7016</v>
      </c>
      <c r="H4772" s="4">
        <v>44777.0</v>
      </c>
      <c r="I4772" s="1" t="s">
        <v>301</v>
      </c>
      <c r="K4772" s="1">
        <v>0.0</v>
      </c>
      <c r="L4772" s="1" t="s">
        <v>3408</v>
      </c>
      <c r="M4772" s="1" t="str">
        <f>VLOOKUP(L4772,'Copy of PMD Workday Constants -'!B4771:W5457,22,false)</f>
        <v>#N/A</v>
      </c>
      <c r="N4772" s="1" t="s">
        <v>32</v>
      </c>
      <c r="O4772" s="1" t="s">
        <v>33</v>
      </c>
      <c r="P4772" s="1" t="s">
        <v>222</v>
      </c>
      <c r="Q4772" s="1" t="s">
        <v>222</v>
      </c>
      <c r="R4772" s="1" t="s">
        <v>223</v>
      </c>
      <c r="S4772" s="1" t="s">
        <v>482</v>
      </c>
      <c r="T4772" s="1">
        <v>1.0066189E8</v>
      </c>
      <c r="W4772" s="1" t="s">
        <v>74</v>
      </c>
      <c r="X4772" s="1" t="s">
        <v>13186</v>
      </c>
    </row>
    <row r="4773">
      <c r="A4773" s="1" t="s">
        <v>13367</v>
      </c>
      <c r="B4773" s="1" t="s">
        <v>13368</v>
      </c>
      <c r="C4773" s="1" t="s">
        <v>13369</v>
      </c>
      <c r="D4773" s="1" t="s">
        <v>51</v>
      </c>
      <c r="E4773" s="1" t="s">
        <v>29</v>
      </c>
      <c r="F4773" s="5">
        <v>85000.0</v>
      </c>
      <c r="G4773" s="1" t="s">
        <v>7016</v>
      </c>
      <c r="H4773" s="1" t="s">
        <v>13370</v>
      </c>
      <c r="I4773" s="1" t="s">
        <v>43</v>
      </c>
      <c r="K4773" s="1">
        <v>0.0</v>
      </c>
      <c r="L4773" s="1" t="s">
        <v>2602</v>
      </c>
      <c r="M4773" s="1" t="str">
        <f>VLOOKUP(L4773,'Copy of PMD Workday Constants -'!B4772:W5458,22,false)</f>
        <v>#N/A</v>
      </c>
      <c r="N4773" s="1" t="s">
        <v>32</v>
      </c>
      <c r="O4773" s="1" t="s">
        <v>33</v>
      </c>
      <c r="P4773" s="1" t="s">
        <v>173</v>
      </c>
      <c r="Q4773" s="1" t="s">
        <v>173</v>
      </c>
      <c r="R4773" s="1" t="s">
        <v>174</v>
      </c>
      <c r="S4773" s="1" t="s">
        <v>8242</v>
      </c>
      <c r="T4773" s="1">
        <v>1.00611351E8</v>
      </c>
      <c r="W4773" s="1" t="s">
        <v>436</v>
      </c>
      <c r="X4773" s="1" t="s">
        <v>2914</v>
      </c>
    </row>
    <row r="4774">
      <c r="A4774" s="1" t="s">
        <v>13371</v>
      </c>
      <c r="B4774" s="1" t="s">
        <v>13372</v>
      </c>
      <c r="C4774" s="1" t="s">
        <v>13373</v>
      </c>
      <c r="D4774" s="1" t="s">
        <v>51</v>
      </c>
      <c r="E4774" s="1" t="s">
        <v>29</v>
      </c>
      <c r="F4774" s="5">
        <v>85000.0</v>
      </c>
      <c r="G4774" s="1" t="s">
        <v>7016</v>
      </c>
      <c r="H4774" s="4">
        <v>44748.0</v>
      </c>
      <c r="I4774" s="4">
        <v>44658.0</v>
      </c>
      <c r="K4774" s="1">
        <v>0.0</v>
      </c>
      <c r="L4774" s="1" t="s">
        <v>5881</v>
      </c>
      <c r="M4774" s="1" t="str">
        <f>VLOOKUP(L4774,'Copy of PMD Workday Constants -'!B4773:W5459,22,false)</f>
        <v>#N/A</v>
      </c>
      <c r="N4774" s="1" t="s">
        <v>32</v>
      </c>
      <c r="O4774" s="1" t="s">
        <v>33</v>
      </c>
      <c r="P4774" s="1" t="s">
        <v>64</v>
      </c>
      <c r="Q4774" s="1" t="s">
        <v>64</v>
      </c>
      <c r="R4774" s="1" t="s">
        <v>65</v>
      </c>
      <c r="S4774" s="1" t="s">
        <v>1336</v>
      </c>
      <c r="T4774" s="1">
        <v>1.01230882E8</v>
      </c>
      <c r="W4774" s="1" t="s">
        <v>456</v>
      </c>
      <c r="X4774" s="1" t="s">
        <v>5881</v>
      </c>
    </row>
    <row r="4775">
      <c r="A4775" s="1" t="s">
        <v>13374</v>
      </c>
      <c r="B4775" s="1" t="s">
        <v>13375</v>
      </c>
      <c r="C4775" s="1" t="s">
        <v>13376</v>
      </c>
      <c r="D4775" s="1" t="s">
        <v>51</v>
      </c>
      <c r="E4775" s="1" t="s">
        <v>29</v>
      </c>
      <c r="F4775" s="5">
        <v>82300.0</v>
      </c>
      <c r="G4775" s="1" t="s">
        <v>7016</v>
      </c>
      <c r="H4775" s="1" t="s">
        <v>13370</v>
      </c>
      <c r="I4775" s="1" t="s">
        <v>104</v>
      </c>
      <c r="K4775" s="1">
        <v>0.0</v>
      </c>
      <c r="L4775" s="1" t="s">
        <v>2602</v>
      </c>
      <c r="M4775" s="1" t="str">
        <f>VLOOKUP(L4775,'Copy of PMD Workday Constants -'!B4774:W5460,22,false)</f>
        <v>#N/A</v>
      </c>
      <c r="N4775" s="1" t="s">
        <v>32</v>
      </c>
      <c r="O4775" s="1" t="s">
        <v>33</v>
      </c>
      <c r="P4775" s="1" t="s">
        <v>173</v>
      </c>
      <c r="Q4775" s="1" t="s">
        <v>173</v>
      </c>
      <c r="R4775" s="1" t="s">
        <v>174</v>
      </c>
      <c r="S4775" s="1" t="s">
        <v>8242</v>
      </c>
      <c r="T4775" s="1">
        <v>1.00611351E8</v>
      </c>
      <c r="W4775" s="1" t="s">
        <v>436</v>
      </c>
      <c r="X4775" s="1" t="s">
        <v>2914</v>
      </c>
    </row>
    <row r="4776">
      <c r="A4776" s="1" t="s">
        <v>13377</v>
      </c>
      <c r="B4776" s="1" t="s">
        <v>13378</v>
      </c>
      <c r="C4776" s="1" t="s">
        <v>13379</v>
      </c>
      <c r="D4776" s="1" t="s">
        <v>51</v>
      </c>
      <c r="E4776" s="1" t="s">
        <v>29</v>
      </c>
      <c r="F4776" s="5">
        <v>82000.0</v>
      </c>
      <c r="G4776" s="1" t="s">
        <v>7016</v>
      </c>
      <c r="H4776" s="4">
        <v>44871.0</v>
      </c>
      <c r="I4776" s="1" t="s">
        <v>132</v>
      </c>
      <c r="K4776" s="1">
        <v>0.0</v>
      </c>
      <c r="L4776" s="1" t="s">
        <v>13331</v>
      </c>
      <c r="M4776" s="1" t="str">
        <f>VLOOKUP(L4776,'Copy of PMD Workday Constants -'!B4775:W5461,22,false)</f>
        <v>#N/A</v>
      </c>
      <c r="N4776" s="1" t="s">
        <v>32</v>
      </c>
      <c r="O4776" s="1" t="s">
        <v>33</v>
      </c>
      <c r="P4776" s="1" t="s">
        <v>222</v>
      </c>
      <c r="Q4776" s="1" t="s">
        <v>222</v>
      </c>
      <c r="R4776" s="1" t="s">
        <v>223</v>
      </c>
      <c r="S4776" s="1" t="s">
        <v>482</v>
      </c>
      <c r="T4776" s="1">
        <v>1.00660529E8</v>
      </c>
      <c r="W4776" s="1" t="s">
        <v>250</v>
      </c>
      <c r="X4776" s="1" t="s">
        <v>13331</v>
      </c>
    </row>
    <row r="4777">
      <c r="A4777" s="1" t="s">
        <v>13380</v>
      </c>
      <c r="B4777" s="1" t="s">
        <v>13381</v>
      </c>
      <c r="C4777" s="1" t="s">
        <v>13382</v>
      </c>
      <c r="D4777" s="1" t="s">
        <v>51</v>
      </c>
      <c r="E4777" s="1" t="s">
        <v>29</v>
      </c>
      <c r="F4777" s="5">
        <v>81088.0</v>
      </c>
      <c r="G4777" s="1" t="s">
        <v>7016</v>
      </c>
      <c r="H4777" s="1" t="s">
        <v>8241</v>
      </c>
      <c r="I4777" s="1" t="s">
        <v>104</v>
      </c>
      <c r="K4777" s="1">
        <v>0.0</v>
      </c>
      <c r="L4777" s="1" t="s">
        <v>2602</v>
      </c>
      <c r="M4777" s="1" t="str">
        <f>VLOOKUP(L4777,'Copy of PMD Workday Constants -'!B4776:W5462,22,false)</f>
        <v>#N/A</v>
      </c>
      <c r="N4777" s="1" t="s">
        <v>32</v>
      </c>
      <c r="O4777" s="1" t="s">
        <v>33</v>
      </c>
      <c r="P4777" s="1" t="s">
        <v>173</v>
      </c>
      <c r="Q4777" s="1" t="s">
        <v>173</v>
      </c>
      <c r="R4777" s="1" t="s">
        <v>174</v>
      </c>
      <c r="S4777" s="1" t="s">
        <v>383</v>
      </c>
      <c r="T4777" s="1">
        <v>1.00611351E8</v>
      </c>
      <c r="W4777" s="1" t="s">
        <v>1303</v>
      </c>
      <c r="X4777" s="1" t="s">
        <v>8243</v>
      </c>
    </row>
    <row r="4778">
      <c r="A4778" s="1" t="s">
        <v>13383</v>
      </c>
      <c r="B4778" s="1" t="s">
        <v>4721</v>
      </c>
      <c r="C4778" s="1" t="s">
        <v>13384</v>
      </c>
      <c r="D4778" s="1" t="s">
        <v>28</v>
      </c>
      <c r="E4778" s="1" t="s">
        <v>29</v>
      </c>
      <c r="F4778" s="5">
        <v>80000.0</v>
      </c>
      <c r="G4778" s="1" t="s">
        <v>7016</v>
      </c>
      <c r="H4778" s="4">
        <v>44718.0</v>
      </c>
      <c r="I4778" s="1" t="s">
        <v>732</v>
      </c>
      <c r="K4778" s="1">
        <v>0.0</v>
      </c>
      <c r="L4778" s="1" t="s">
        <v>4723</v>
      </c>
      <c r="M4778" s="1" t="str">
        <f>VLOOKUP(L4778,'Copy of PMD Workday Constants -'!B4777:W5463,22,false)</f>
        <v>#N/A</v>
      </c>
      <c r="N4778" s="1" t="s">
        <v>32</v>
      </c>
      <c r="O4778" s="1" t="s">
        <v>33</v>
      </c>
      <c r="P4778" s="1" t="s">
        <v>210</v>
      </c>
      <c r="Q4778" s="1" t="s">
        <v>210</v>
      </c>
      <c r="R4778" s="1" t="s">
        <v>211</v>
      </c>
      <c r="T4778" s="1">
        <v>1.00585834E8</v>
      </c>
      <c r="W4778" s="1" t="s">
        <v>436</v>
      </c>
      <c r="X4778" s="1" t="s">
        <v>13385</v>
      </c>
    </row>
    <row r="4779">
      <c r="A4779" s="1" t="s">
        <v>13386</v>
      </c>
      <c r="B4779" s="1" t="s">
        <v>485</v>
      </c>
      <c r="C4779" s="1" t="s">
        <v>13387</v>
      </c>
      <c r="D4779" s="1" t="s">
        <v>28</v>
      </c>
      <c r="E4779" s="1" t="s">
        <v>29</v>
      </c>
      <c r="F4779" s="5">
        <v>80000.0</v>
      </c>
      <c r="G4779" s="1" t="s">
        <v>7016</v>
      </c>
      <c r="H4779" s="4">
        <v>44871.0</v>
      </c>
      <c r="I4779" s="1" t="s">
        <v>732</v>
      </c>
      <c r="K4779" s="1">
        <v>0.0</v>
      </c>
      <c r="L4779" s="1" t="s">
        <v>11159</v>
      </c>
      <c r="M4779" s="1" t="str">
        <f>VLOOKUP(L4779,'Copy of PMD Workday Constants -'!B4778:W5464,22,false)</f>
        <v>#N/A</v>
      </c>
      <c r="N4779" s="1" t="s">
        <v>32</v>
      </c>
      <c r="O4779" s="1" t="s">
        <v>33</v>
      </c>
      <c r="P4779" s="1" t="s">
        <v>222</v>
      </c>
      <c r="Q4779" s="1" t="s">
        <v>222</v>
      </c>
      <c r="R4779" s="1" t="s">
        <v>223</v>
      </c>
      <c r="S4779" s="1" t="s">
        <v>601</v>
      </c>
      <c r="T4779" s="1">
        <v>1.00602248E8</v>
      </c>
      <c r="W4779" s="1" t="s">
        <v>250</v>
      </c>
      <c r="X4779" s="1" t="s">
        <v>13363</v>
      </c>
    </row>
    <row r="4780">
      <c r="A4780" s="1" t="s">
        <v>13388</v>
      </c>
      <c r="B4780" s="1" t="s">
        <v>1149</v>
      </c>
      <c r="C4780" s="1" t="s">
        <v>13389</v>
      </c>
      <c r="D4780" s="1" t="s">
        <v>103</v>
      </c>
      <c r="E4780" s="1" t="s">
        <v>29</v>
      </c>
      <c r="F4780" s="5">
        <v>80000.0</v>
      </c>
      <c r="G4780" s="1" t="s">
        <v>7016</v>
      </c>
      <c r="H4780" s="4">
        <v>44597.0</v>
      </c>
      <c r="I4780" s="1" t="s">
        <v>421</v>
      </c>
      <c r="K4780" s="1">
        <v>0.0</v>
      </c>
      <c r="L4780" s="1" t="s">
        <v>11159</v>
      </c>
      <c r="M4780" s="1" t="str">
        <f>VLOOKUP(L4780,'Copy of PMD Workday Constants -'!B4779:W5465,22,false)</f>
        <v>#N/A</v>
      </c>
      <c r="N4780" s="1" t="s">
        <v>32</v>
      </c>
      <c r="O4780" s="1" t="s">
        <v>33</v>
      </c>
      <c r="P4780" s="1" t="s">
        <v>222</v>
      </c>
      <c r="Q4780" s="1" t="s">
        <v>222</v>
      </c>
      <c r="R4780" s="1" t="s">
        <v>223</v>
      </c>
      <c r="S4780" s="1" t="s">
        <v>601</v>
      </c>
      <c r="T4780" s="1">
        <v>1.00602248E8</v>
      </c>
      <c r="W4780" s="1" t="s">
        <v>115</v>
      </c>
      <c r="X4780" s="1" t="s">
        <v>12229</v>
      </c>
    </row>
    <row r="4781">
      <c r="A4781" s="1" t="s">
        <v>13390</v>
      </c>
      <c r="B4781" s="1" t="s">
        <v>13152</v>
      </c>
      <c r="C4781" s="1" t="s">
        <v>13153</v>
      </c>
      <c r="D4781" s="1" t="s">
        <v>51</v>
      </c>
      <c r="E4781" s="1" t="s">
        <v>29</v>
      </c>
      <c r="F4781" s="5">
        <v>80000.0</v>
      </c>
      <c r="G4781" s="1" t="s">
        <v>7016</v>
      </c>
      <c r="H4781" s="4">
        <v>44776.0</v>
      </c>
      <c r="I4781" s="1" t="s">
        <v>1134</v>
      </c>
      <c r="K4781" s="1">
        <v>0.0</v>
      </c>
      <c r="L4781" s="1" t="s">
        <v>2013</v>
      </c>
      <c r="M4781" s="1" t="str">
        <f>VLOOKUP(L4781,'Copy of PMD Workday Constants -'!B4780:W5466,22,false)</f>
        <v>#N/A</v>
      </c>
      <c r="N4781" s="1" t="s">
        <v>32</v>
      </c>
      <c r="O4781" s="1" t="s">
        <v>33</v>
      </c>
      <c r="P4781" s="1" t="s">
        <v>222</v>
      </c>
      <c r="Q4781" s="1" t="s">
        <v>222</v>
      </c>
      <c r="R4781" s="1" t="s">
        <v>223</v>
      </c>
      <c r="S4781" s="1" t="s">
        <v>482</v>
      </c>
      <c r="T4781" s="1">
        <v>1.00596618E8</v>
      </c>
      <c r="W4781" s="1" t="s">
        <v>74</v>
      </c>
      <c r="X4781" s="1" t="s">
        <v>11863</v>
      </c>
    </row>
    <row r="4782">
      <c r="A4782" s="1" t="s">
        <v>13391</v>
      </c>
      <c r="B4782" s="1" t="s">
        <v>3478</v>
      </c>
      <c r="C4782" s="1" t="s">
        <v>13392</v>
      </c>
      <c r="D4782" s="1" t="s">
        <v>51</v>
      </c>
      <c r="E4782" s="1" t="s">
        <v>29</v>
      </c>
      <c r="F4782" s="5">
        <v>80000.0</v>
      </c>
      <c r="G4782" s="1" t="s">
        <v>7016</v>
      </c>
      <c r="H4782" s="1" t="s">
        <v>1254</v>
      </c>
      <c r="I4782" s="1" t="s">
        <v>80</v>
      </c>
      <c r="K4782" s="1">
        <v>0.0</v>
      </c>
      <c r="L4782" s="1" t="s">
        <v>3480</v>
      </c>
      <c r="M4782" s="1" t="str">
        <f>VLOOKUP(L4782,'Copy of PMD Workday Constants -'!B4781:W5467,22,false)</f>
        <v>#N/A</v>
      </c>
      <c r="N4782" s="1" t="s">
        <v>32</v>
      </c>
      <c r="O4782" s="1" t="s">
        <v>33</v>
      </c>
      <c r="P4782" s="1" t="s">
        <v>112</v>
      </c>
      <c r="Q4782" s="1" t="s">
        <v>112</v>
      </c>
      <c r="R4782" s="1" t="s">
        <v>113</v>
      </c>
      <c r="S4782" s="1" t="s">
        <v>114</v>
      </c>
      <c r="T4782" s="1">
        <v>1.00628223E8</v>
      </c>
      <c r="W4782" s="1" t="s">
        <v>947</v>
      </c>
      <c r="X4782" s="1" t="s">
        <v>7745</v>
      </c>
    </row>
    <row r="4783">
      <c r="A4783" s="1" t="s">
        <v>13393</v>
      </c>
      <c r="B4783" s="1" t="s">
        <v>573</v>
      </c>
      <c r="C4783" s="1" t="s">
        <v>13394</v>
      </c>
      <c r="D4783" s="1" t="s">
        <v>51</v>
      </c>
      <c r="E4783" s="1" t="s">
        <v>29</v>
      </c>
      <c r="F4783" s="5">
        <v>80000.0</v>
      </c>
      <c r="G4783" s="1" t="s">
        <v>7016</v>
      </c>
      <c r="H4783" s="1" t="s">
        <v>4457</v>
      </c>
      <c r="I4783" s="1" t="s">
        <v>661</v>
      </c>
      <c r="K4783" s="1">
        <v>0.0</v>
      </c>
      <c r="L4783" s="1" t="s">
        <v>10660</v>
      </c>
      <c r="M4783" s="1" t="str">
        <f>VLOOKUP(L4783,'Copy of PMD Workday Constants -'!B4782:W5468,22,false)</f>
        <v>#N/A</v>
      </c>
      <c r="N4783" s="1" t="s">
        <v>32</v>
      </c>
      <c r="O4783" s="1" t="s">
        <v>33</v>
      </c>
      <c r="P4783" s="1" t="s">
        <v>222</v>
      </c>
      <c r="Q4783" s="1" t="s">
        <v>222</v>
      </c>
      <c r="R4783" s="1" t="s">
        <v>223</v>
      </c>
      <c r="S4783" s="1" t="s">
        <v>482</v>
      </c>
      <c r="T4783" s="1">
        <v>1.00604296E8</v>
      </c>
      <c r="W4783" s="1" t="s">
        <v>115</v>
      </c>
      <c r="X4783" s="1" t="s">
        <v>13186</v>
      </c>
    </row>
    <row r="4784">
      <c r="A4784" s="1" t="s">
        <v>13395</v>
      </c>
      <c r="B4784" s="1" t="s">
        <v>13396</v>
      </c>
      <c r="C4784" s="1" t="s">
        <v>13397</v>
      </c>
      <c r="D4784" s="1" t="s">
        <v>28</v>
      </c>
      <c r="E4784" s="1" t="s">
        <v>29</v>
      </c>
      <c r="F4784" s="5">
        <v>80000.0</v>
      </c>
      <c r="G4784" s="1" t="s">
        <v>7016</v>
      </c>
      <c r="H4784" s="1" t="s">
        <v>460</v>
      </c>
      <c r="I4784" s="1" t="s">
        <v>810</v>
      </c>
      <c r="K4784" s="1">
        <v>0.0</v>
      </c>
      <c r="L4784" s="1" t="s">
        <v>2983</v>
      </c>
      <c r="M4784" s="1" t="str">
        <f>VLOOKUP(L4784,'Copy of PMD Workday Constants -'!B4783:W5469,22,false)</f>
        <v>#N/A</v>
      </c>
      <c r="N4784" s="1" t="s">
        <v>32</v>
      </c>
      <c r="O4784" s="1" t="s">
        <v>33</v>
      </c>
      <c r="P4784" s="1" t="s">
        <v>34</v>
      </c>
      <c r="Q4784" s="1" t="s">
        <v>34</v>
      </c>
      <c r="R4784" s="1" t="s">
        <v>35</v>
      </c>
      <c r="S4784" s="1" t="s">
        <v>383</v>
      </c>
      <c r="T4784" s="1">
        <v>1.00650568E8</v>
      </c>
      <c r="W4784" s="1" t="s">
        <v>140</v>
      </c>
      <c r="X4784" s="1" t="s">
        <v>2983</v>
      </c>
    </row>
    <row r="4785">
      <c r="A4785" s="1" t="s">
        <v>13398</v>
      </c>
      <c r="B4785" s="1" t="s">
        <v>13399</v>
      </c>
      <c r="C4785" s="1" t="s">
        <v>13400</v>
      </c>
      <c r="D4785" s="1" t="s">
        <v>51</v>
      </c>
      <c r="E4785" s="1" t="s">
        <v>29</v>
      </c>
      <c r="F4785" s="5">
        <v>79000.0</v>
      </c>
      <c r="G4785" s="1" t="s">
        <v>7016</v>
      </c>
      <c r="H4785" s="1" t="s">
        <v>13401</v>
      </c>
      <c r="I4785" s="1" t="s">
        <v>43</v>
      </c>
      <c r="K4785" s="1">
        <v>0.0</v>
      </c>
      <c r="L4785" s="1" t="s">
        <v>2602</v>
      </c>
      <c r="M4785" s="1" t="str">
        <f>VLOOKUP(L4785,'Copy of PMD Workday Constants -'!B4784:W5470,22,false)</f>
        <v>#N/A</v>
      </c>
      <c r="N4785" s="1" t="s">
        <v>32</v>
      </c>
      <c r="O4785" s="1" t="s">
        <v>33</v>
      </c>
      <c r="P4785" s="1" t="s">
        <v>173</v>
      </c>
      <c r="Q4785" s="1" t="s">
        <v>173</v>
      </c>
      <c r="R4785" s="1" t="s">
        <v>174</v>
      </c>
      <c r="S4785" s="1" t="s">
        <v>8242</v>
      </c>
      <c r="T4785" s="1">
        <v>1.00611351E8</v>
      </c>
      <c r="W4785" s="1" t="s">
        <v>436</v>
      </c>
      <c r="X4785" s="1" t="s">
        <v>2914</v>
      </c>
    </row>
    <row r="4786">
      <c r="A4786" s="1" t="s">
        <v>13402</v>
      </c>
      <c r="B4786" s="1" t="s">
        <v>3126</v>
      </c>
      <c r="C4786" s="1" t="s">
        <v>13403</v>
      </c>
      <c r="D4786" s="1" t="s">
        <v>51</v>
      </c>
      <c r="E4786" s="1" t="s">
        <v>29</v>
      </c>
      <c r="F4786" s="5">
        <v>77500.0</v>
      </c>
      <c r="G4786" s="1" t="s">
        <v>7016</v>
      </c>
      <c r="H4786" s="1" t="s">
        <v>13370</v>
      </c>
      <c r="I4786" s="1" t="s">
        <v>104</v>
      </c>
      <c r="K4786" s="1">
        <v>0.0</v>
      </c>
      <c r="L4786" s="1" t="s">
        <v>2602</v>
      </c>
      <c r="M4786" s="1" t="str">
        <f>VLOOKUP(L4786,'Copy of PMD Workday Constants -'!B4785:W5471,22,false)</f>
        <v>#N/A</v>
      </c>
      <c r="N4786" s="1" t="s">
        <v>32</v>
      </c>
      <c r="O4786" s="1" t="s">
        <v>33</v>
      </c>
      <c r="P4786" s="1" t="s">
        <v>173</v>
      </c>
      <c r="Q4786" s="1" t="s">
        <v>173</v>
      </c>
      <c r="R4786" s="1" t="s">
        <v>174</v>
      </c>
      <c r="S4786" s="1" t="s">
        <v>8242</v>
      </c>
      <c r="T4786" s="1">
        <v>1.00611351E8</v>
      </c>
      <c r="W4786" s="1" t="s">
        <v>436</v>
      </c>
      <c r="X4786" s="1" t="s">
        <v>2914</v>
      </c>
    </row>
    <row r="4787">
      <c r="A4787" s="1" t="s">
        <v>13404</v>
      </c>
      <c r="B4787" s="1" t="s">
        <v>13405</v>
      </c>
      <c r="C4787" s="1" t="s">
        <v>13406</v>
      </c>
      <c r="D4787" s="1" t="s">
        <v>28</v>
      </c>
      <c r="E4787" s="1" t="s">
        <v>29</v>
      </c>
      <c r="F4787" s="5">
        <v>77000.0</v>
      </c>
      <c r="G4787" s="1" t="s">
        <v>7016</v>
      </c>
      <c r="H4787" s="1" t="s">
        <v>3062</v>
      </c>
      <c r="I4787" s="4">
        <v>44573.0</v>
      </c>
      <c r="K4787" s="1">
        <v>0.0</v>
      </c>
      <c r="L4787" s="1" t="s">
        <v>2602</v>
      </c>
      <c r="M4787" s="1" t="str">
        <f>VLOOKUP(L4787,'Copy of PMD Workday Constants -'!B4786:W5472,22,false)</f>
        <v>#N/A</v>
      </c>
      <c r="N4787" s="1" t="s">
        <v>32</v>
      </c>
      <c r="O4787" s="1" t="s">
        <v>33</v>
      </c>
      <c r="P4787" s="1" t="s">
        <v>173</v>
      </c>
      <c r="Q4787" s="1" t="s">
        <v>173</v>
      </c>
      <c r="R4787" s="1" t="s">
        <v>174</v>
      </c>
      <c r="S4787" s="1" t="s">
        <v>8242</v>
      </c>
      <c r="T4787" s="1">
        <v>1.00611351E8</v>
      </c>
      <c r="X4787" s="1" t="s">
        <v>2914</v>
      </c>
    </row>
    <row r="4788">
      <c r="A4788" s="1" t="s">
        <v>13407</v>
      </c>
      <c r="B4788" s="1" t="s">
        <v>8204</v>
      </c>
      <c r="C4788" s="1" t="s">
        <v>13408</v>
      </c>
      <c r="D4788" s="1" t="s">
        <v>103</v>
      </c>
      <c r="E4788" s="1" t="s">
        <v>29</v>
      </c>
      <c r="F4788" s="5">
        <v>75240.77</v>
      </c>
      <c r="G4788" s="1" t="s">
        <v>7016</v>
      </c>
      <c r="H4788" s="4">
        <v>44868.0</v>
      </c>
      <c r="I4788" s="1" t="s">
        <v>104</v>
      </c>
      <c r="K4788" s="1">
        <v>0.0</v>
      </c>
      <c r="L4788" s="1" t="s">
        <v>9033</v>
      </c>
      <c r="M4788" s="1" t="str">
        <f>VLOOKUP(L4788,'Copy of PMD Workday Constants -'!B4787:W5473,22,false)</f>
        <v>#N/A</v>
      </c>
      <c r="N4788" s="1" t="s">
        <v>32</v>
      </c>
      <c r="O4788" s="1" t="s">
        <v>33</v>
      </c>
      <c r="P4788" s="1" t="s">
        <v>5253</v>
      </c>
      <c r="Q4788" s="1" t="s">
        <v>5253</v>
      </c>
      <c r="R4788" s="1" t="s">
        <v>211</v>
      </c>
      <c r="T4788" s="1">
        <v>1.01146755E8</v>
      </c>
      <c r="W4788" s="1" t="s">
        <v>258</v>
      </c>
      <c r="X4788" s="1" t="s">
        <v>9033</v>
      </c>
    </row>
    <row r="4789">
      <c r="A4789" s="1" t="s">
        <v>13409</v>
      </c>
      <c r="B4789" s="1" t="s">
        <v>11669</v>
      </c>
      <c r="C4789" s="1" t="s">
        <v>13410</v>
      </c>
      <c r="D4789" s="1" t="s">
        <v>103</v>
      </c>
      <c r="E4789" s="1" t="s">
        <v>29</v>
      </c>
      <c r="F4789" s="5">
        <v>75000.0</v>
      </c>
      <c r="G4789" s="1" t="s">
        <v>7016</v>
      </c>
      <c r="H4789" s="4">
        <v>44229.0</v>
      </c>
      <c r="I4789" s="1" t="s">
        <v>43</v>
      </c>
      <c r="K4789" s="1">
        <v>0.0</v>
      </c>
      <c r="L4789" s="1" t="s">
        <v>4608</v>
      </c>
      <c r="M4789" s="1" t="str">
        <f>VLOOKUP(L4789,'Copy of PMD Workday Constants -'!B4788:W5474,22,false)</f>
        <v>#N/A</v>
      </c>
      <c r="N4789" s="1" t="s">
        <v>32</v>
      </c>
      <c r="O4789" s="1" t="s">
        <v>33</v>
      </c>
      <c r="P4789" s="1" t="s">
        <v>222</v>
      </c>
      <c r="Q4789" s="1" t="s">
        <v>222</v>
      </c>
      <c r="R4789" s="1" t="s">
        <v>223</v>
      </c>
      <c r="S4789" s="1" t="s">
        <v>482</v>
      </c>
      <c r="T4789" s="1">
        <v>1.00592715E8</v>
      </c>
      <c r="W4789" s="1" t="s">
        <v>115</v>
      </c>
      <c r="X4789" s="1" t="s">
        <v>13411</v>
      </c>
    </row>
    <row r="4790">
      <c r="A4790" s="1" t="s">
        <v>13412</v>
      </c>
      <c r="B4790" s="1" t="s">
        <v>12310</v>
      </c>
      <c r="C4790" s="1" t="s">
        <v>13413</v>
      </c>
      <c r="D4790" s="1" t="s">
        <v>51</v>
      </c>
      <c r="E4790" s="1" t="s">
        <v>29</v>
      </c>
      <c r="F4790" s="5">
        <v>75000.0</v>
      </c>
      <c r="G4790" s="1" t="s">
        <v>7016</v>
      </c>
      <c r="H4790" s="4">
        <v>44899.0</v>
      </c>
      <c r="I4790" s="1" t="s">
        <v>302</v>
      </c>
      <c r="K4790" s="1">
        <v>0.0</v>
      </c>
      <c r="L4790" s="1" t="s">
        <v>4608</v>
      </c>
      <c r="M4790" s="1" t="str">
        <f>VLOOKUP(L4790,'Copy of PMD Workday Constants -'!B4789:W5475,22,false)</f>
        <v>#N/A</v>
      </c>
      <c r="N4790" s="1" t="s">
        <v>32</v>
      </c>
      <c r="O4790" s="1" t="s">
        <v>33</v>
      </c>
      <c r="P4790" s="1" t="s">
        <v>222</v>
      </c>
      <c r="Q4790" s="1" t="s">
        <v>222</v>
      </c>
      <c r="R4790" s="1" t="s">
        <v>223</v>
      </c>
      <c r="S4790" s="1" t="s">
        <v>482</v>
      </c>
      <c r="T4790" s="1">
        <v>1.00592715E8</v>
      </c>
      <c r="W4790" s="1" t="s">
        <v>436</v>
      </c>
      <c r="X4790" s="1" t="s">
        <v>12951</v>
      </c>
    </row>
    <row r="4791">
      <c r="A4791" s="1" t="s">
        <v>13414</v>
      </c>
      <c r="B4791" s="1" t="s">
        <v>4610</v>
      </c>
      <c r="C4791" s="1" t="s">
        <v>13415</v>
      </c>
      <c r="D4791" s="1" t="s">
        <v>103</v>
      </c>
      <c r="E4791" s="1" t="s">
        <v>29</v>
      </c>
      <c r="F4791" s="5">
        <v>75000.0</v>
      </c>
      <c r="G4791" s="1" t="s">
        <v>7016</v>
      </c>
      <c r="H4791" s="1" t="s">
        <v>2142</v>
      </c>
      <c r="I4791" s="1" t="s">
        <v>43</v>
      </c>
      <c r="K4791" s="1">
        <v>0.0</v>
      </c>
      <c r="L4791" s="1" t="s">
        <v>4679</v>
      </c>
      <c r="M4791" s="1" t="str">
        <f>VLOOKUP(L4791,'Copy of PMD Workday Constants -'!B4790:W5476,22,false)</f>
        <v>#N/A</v>
      </c>
      <c r="N4791" s="1" t="s">
        <v>32</v>
      </c>
      <c r="O4791" s="1" t="s">
        <v>33</v>
      </c>
      <c r="P4791" s="1" t="s">
        <v>222</v>
      </c>
      <c r="Q4791" s="1" t="s">
        <v>222</v>
      </c>
      <c r="R4791" s="1" t="s">
        <v>223</v>
      </c>
      <c r="S4791" s="1" t="s">
        <v>482</v>
      </c>
      <c r="T4791" s="1">
        <v>1.00620023E8</v>
      </c>
      <c r="W4791" s="1" t="s">
        <v>140</v>
      </c>
      <c r="X4791" s="1" t="s">
        <v>10678</v>
      </c>
    </row>
    <row r="4792">
      <c r="A4792" s="1" t="s">
        <v>13416</v>
      </c>
      <c r="B4792" s="1" t="s">
        <v>1737</v>
      </c>
      <c r="C4792" s="1" t="s">
        <v>13417</v>
      </c>
      <c r="D4792" s="1" t="s">
        <v>51</v>
      </c>
      <c r="E4792" s="1" t="s">
        <v>29</v>
      </c>
      <c r="F4792" s="5">
        <v>75000.0</v>
      </c>
      <c r="G4792" s="1" t="s">
        <v>7016</v>
      </c>
      <c r="H4792" s="4">
        <v>44622.0</v>
      </c>
      <c r="I4792" s="1" t="s">
        <v>661</v>
      </c>
      <c r="K4792" s="1">
        <v>0.0</v>
      </c>
      <c r="L4792" s="1" t="s">
        <v>2417</v>
      </c>
      <c r="M4792" s="1" t="str">
        <f>VLOOKUP(L4792,'Copy of PMD Workday Constants -'!B4791:W5477,22,false)</f>
        <v>#N/A</v>
      </c>
      <c r="N4792" s="1" t="s">
        <v>32</v>
      </c>
      <c r="O4792" s="1" t="s">
        <v>33</v>
      </c>
      <c r="P4792" s="1" t="s">
        <v>34</v>
      </c>
      <c r="Q4792" s="1" t="s">
        <v>34</v>
      </c>
      <c r="R4792" s="1" t="s">
        <v>35</v>
      </c>
      <c r="T4792" s="1">
        <v>1.00642238E8</v>
      </c>
      <c r="W4792" s="1" t="s">
        <v>56</v>
      </c>
      <c r="X4792" s="1" t="s">
        <v>7879</v>
      </c>
    </row>
    <row r="4793">
      <c r="A4793" s="1" t="s">
        <v>13418</v>
      </c>
      <c r="B4793" s="1" t="s">
        <v>776</v>
      </c>
      <c r="C4793" s="1" t="s">
        <v>13419</v>
      </c>
      <c r="D4793" s="1" t="s">
        <v>28</v>
      </c>
      <c r="E4793" s="1" t="s">
        <v>29</v>
      </c>
      <c r="F4793" s="5">
        <v>75000.0</v>
      </c>
      <c r="G4793" s="1" t="s">
        <v>7016</v>
      </c>
      <c r="H4793" s="1" t="s">
        <v>6662</v>
      </c>
      <c r="I4793" s="4">
        <v>44782.0</v>
      </c>
      <c r="K4793" s="1">
        <v>0.0</v>
      </c>
      <c r="L4793" s="1" t="s">
        <v>2042</v>
      </c>
      <c r="M4793" s="1" t="str">
        <f>VLOOKUP(L4793,'Copy of PMD Workday Constants -'!B4792:W5478,22,false)</f>
        <v>#N/A</v>
      </c>
      <c r="N4793" s="1" t="s">
        <v>32</v>
      </c>
      <c r="O4793" s="1" t="s">
        <v>33</v>
      </c>
      <c r="P4793" s="1" t="s">
        <v>34</v>
      </c>
      <c r="Q4793" s="1" t="s">
        <v>34</v>
      </c>
      <c r="R4793" s="1" t="s">
        <v>35</v>
      </c>
      <c r="S4793" s="1" t="s">
        <v>4915</v>
      </c>
      <c r="T4793" s="1">
        <v>1.00611284E8</v>
      </c>
      <c r="W4793" s="1" t="s">
        <v>74</v>
      </c>
      <c r="X4793" s="1" t="s">
        <v>13420</v>
      </c>
    </row>
    <row r="4794">
      <c r="A4794" s="1" t="s">
        <v>13421</v>
      </c>
      <c r="B4794" s="1" t="s">
        <v>87</v>
      </c>
      <c r="C4794" s="1" t="s">
        <v>13422</v>
      </c>
      <c r="D4794" s="1" t="s">
        <v>28</v>
      </c>
      <c r="E4794" s="1" t="s">
        <v>29</v>
      </c>
      <c r="F4794" s="5">
        <v>75000.0</v>
      </c>
      <c r="G4794" s="1" t="s">
        <v>7016</v>
      </c>
      <c r="H4794" s="1" t="s">
        <v>1134</v>
      </c>
      <c r="I4794" s="1" t="s">
        <v>104</v>
      </c>
      <c r="K4794" s="1">
        <v>0.0</v>
      </c>
      <c r="L4794" s="1" t="s">
        <v>942</v>
      </c>
      <c r="M4794" s="1" t="str">
        <f>VLOOKUP(L4794,'Copy of PMD Workday Constants -'!B4793:W5479,22,false)</f>
        <v>#N/A</v>
      </c>
      <c r="N4794" s="1" t="s">
        <v>32</v>
      </c>
      <c r="O4794" s="1" t="s">
        <v>33</v>
      </c>
      <c r="P4794" s="1" t="s">
        <v>54</v>
      </c>
      <c r="Q4794" s="1" t="s">
        <v>54</v>
      </c>
      <c r="R4794" s="1" t="s">
        <v>55</v>
      </c>
      <c r="T4794" s="1">
        <v>1.00595407E8</v>
      </c>
      <c r="W4794" s="1" t="s">
        <v>91</v>
      </c>
      <c r="X4794" s="1" t="s">
        <v>158</v>
      </c>
    </row>
    <row r="4795">
      <c r="A4795" s="1" t="s">
        <v>13423</v>
      </c>
      <c r="B4795" s="1" t="s">
        <v>10116</v>
      </c>
      <c r="C4795" s="1" t="s">
        <v>13424</v>
      </c>
      <c r="D4795" s="1" t="s">
        <v>51</v>
      </c>
      <c r="E4795" s="1" t="s">
        <v>29</v>
      </c>
      <c r="F4795" s="5">
        <v>75000.0</v>
      </c>
      <c r="G4795" s="1" t="s">
        <v>7016</v>
      </c>
      <c r="H4795" s="1" t="s">
        <v>1134</v>
      </c>
      <c r="I4795" s="4">
        <v>44626.0</v>
      </c>
      <c r="K4795" s="1">
        <v>0.0</v>
      </c>
      <c r="L4795" s="1" t="s">
        <v>2081</v>
      </c>
      <c r="M4795" s="1" t="str">
        <f>VLOOKUP(L4795,'Copy of PMD Workday Constants -'!B4794:W5480,22,false)</f>
        <v>#N/A</v>
      </c>
      <c r="N4795" s="1" t="s">
        <v>32</v>
      </c>
      <c r="O4795" s="1" t="s">
        <v>33</v>
      </c>
      <c r="P4795" s="1" t="s">
        <v>34</v>
      </c>
      <c r="Q4795" s="1" t="s">
        <v>34</v>
      </c>
      <c r="R4795" s="1" t="s">
        <v>35</v>
      </c>
      <c r="T4795" s="1">
        <v>1.01215106E8</v>
      </c>
      <c r="W4795" s="1" t="s">
        <v>74</v>
      </c>
      <c r="X4795" s="1" t="s">
        <v>2081</v>
      </c>
    </row>
    <row r="4796">
      <c r="A4796" s="1" t="s">
        <v>13425</v>
      </c>
      <c r="B4796" s="1" t="s">
        <v>13426</v>
      </c>
      <c r="C4796" s="1" t="s">
        <v>13427</v>
      </c>
      <c r="D4796" s="1" t="s">
        <v>103</v>
      </c>
      <c r="E4796" s="1" t="s">
        <v>29</v>
      </c>
      <c r="F4796" s="5">
        <v>75000.0</v>
      </c>
      <c r="G4796" s="1" t="s">
        <v>7016</v>
      </c>
      <c r="H4796" s="4">
        <v>44839.0</v>
      </c>
      <c r="I4796" s="1" t="s">
        <v>526</v>
      </c>
      <c r="K4796" s="1">
        <v>0.0</v>
      </c>
      <c r="L4796" s="1" t="s">
        <v>2655</v>
      </c>
      <c r="M4796" s="1" t="str">
        <f>VLOOKUP(L4796,'Copy of PMD Workday Constants -'!B4795:W5481,22,false)</f>
        <v>#N/A</v>
      </c>
      <c r="N4796" s="1" t="s">
        <v>32</v>
      </c>
      <c r="O4796" s="1" t="s">
        <v>33</v>
      </c>
      <c r="P4796" s="1" t="s">
        <v>210</v>
      </c>
      <c r="Q4796" s="1" t="s">
        <v>210</v>
      </c>
      <c r="R4796" s="1" t="s">
        <v>211</v>
      </c>
      <c r="T4796" s="1">
        <v>1.0062606E8</v>
      </c>
      <c r="W4796" s="1" t="s">
        <v>140</v>
      </c>
      <c r="X4796" s="1" t="s">
        <v>13428</v>
      </c>
    </row>
    <row r="4797">
      <c r="A4797" s="1" t="s">
        <v>13429</v>
      </c>
      <c r="B4797" s="1" t="s">
        <v>13430</v>
      </c>
      <c r="C4797" s="1" t="s">
        <v>13431</v>
      </c>
      <c r="D4797" s="1" t="s">
        <v>28</v>
      </c>
      <c r="E4797" s="1" t="s">
        <v>29</v>
      </c>
      <c r="F4797" s="5">
        <v>75000.0</v>
      </c>
      <c r="G4797" s="1" t="s">
        <v>7016</v>
      </c>
      <c r="H4797" s="1" t="s">
        <v>1708</v>
      </c>
      <c r="I4797" s="1" t="s">
        <v>217</v>
      </c>
      <c r="K4797" s="1">
        <v>0.0</v>
      </c>
      <c r="L4797" s="1" t="s">
        <v>8258</v>
      </c>
      <c r="M4797" s="1" t="str">
        <f>VLOOKUP(L4797,'Copy of PMD Workday Constants -'!B4796:W5482,22,false)</f>
        <v>#N/A</v>
      </c>
      <c r="N4797" s="1" t="s">
        <v>32</v>
      </c>
      <c r="O4797" s="1" t="s">
        <v>33</v>
      </c>
      <c r="P4797" s="1" t="s">
        <v>112</v>
      </c>
      <c r="Q4797" s="1" t="s">
        <v>112</v>
      </c>
      <c r="R4797" s="1" t="s">
        <v>113</v>
      </c>
      <c r="S4797" s="1" t="s">
        <v>114</v>
      </c>
      <c r="T4797" s="1">
        <v>1.00620553E8</v>
      </c>
      <c r="W4797" s="1" t="s">
        <v>140</v>
      </c>
      <c r="X4797" s="1" t="s">
        <v>8258</v>
      </c>
    </row>
    <row r="4798">
      <c r="A4798" s="1" t="s">
        <v>13432</v>
      </c>
      <c r="B4798" s="1" t="s">
        <v>7446</v>
      </c>
      <c r="C4798" s="1" t="s">
        <v>13433</v>
      </c>
      <c r="D4798" s="1" t="s">
        <v>28</v>
      </c>
      <c r="E4798" s="1" t="s">
        <v>29</v>
      </c>
      <c r="F4798" s="5">
        <v>75000.0</v>
      </c>
      <c r="G4798" s="1" t="s">
        <v>7016</v>
      </c>
      <c r="H4798" s="1" t="s">
        <v>5581</v>
      </c>
      <c r="I4798" s="1" t="s">
        <v>661</v>
      </c>
      <c r="K4798" s="1">
        <v>0.0</v>
      </c>
      <c r="L4798" s="1" t="s">
        <v>1344</v>
      </c>
      <c r="M4798" s="1" t="str">
        <f>VLOOKUP(L4798,'Copy of PMD Workday Constants -'!B4797:W5483,22,false)</f>
        <v>#N/A</v>
      </c>
      <c r="N4798" s="1" t="s">
        <v>32</v>
      </c>
      <c r="O4798" s="1" t="s">
        <v>33</v>
      </c>
      <c r="P4798" s="1" t="s">
        <v>112</v>
      </c>
      <c r="Q4798" s="1" t="s">
        <v>112</v>
      </c>
      <c r="R4798" s="1" t="s">
        <v>113</v>
      </c>
      <c r="S4798" s="1" t="s">
        <v>134</v>
      </c>
      <c r="T4798" s="1">
        <v>1.0061941E8</v>
      </c>
      <c r="W4798" s="1" t="s">
        <v>74</v>
      </c>
      <c r="X4798" s="1" t="s">
        <v>7448</v>
      </c>
    </row>
    <row r="4799">
      <c r="A4799" s="1" t="s">
        <v>13434</v>
      </c>
      <c r="B4799" s="1" t="s">
        <v>70</v>
      </c>
      <c r="C4799" s="1" t="s">
        <v>13435</v>
      </c>
      <c r="D4799" s="1" t="s">
        <v>28</v>
      </c>
      <c r="E4799" s="1" t="s">
        <v>29</v>
      </c>
      <c r="F4799" s="5">
        <v>75000.0</v>
      </c>
      <c r="G4799" s="1" t="s">
        <v>7016</v>
      </c>
      <c r="H4799" s="1" t="s">
        <v>13436</v>
      </c>
      <c r="I4799" s="4">
        <v>44751.0</v>
      </c>
      <c r="K4799" s="1">
        <v>0.0</v>
      </c>
      <c r="L4799" s="1" t="s">
        <v>2042</v>
      </c>
      <c r="M4799" s="1" t="str">
        <f>VLOOKUP(L4799,'Copy of PMD Workday Constants -'!B4798:W5484,22,false)</f>
        <v>#N/A</v>
      </c>
      <c r="N4799" s="1" t="s">
        <v>32</v>
      </c>
      <c r="O4799" s="1" t="s">
        <v>33</v>
      </c>
      <c r="P4799" s="1" t="s">
        <v>34</v>
      </c>
      <c r="Q4799" s="1" t="s">
        <v>34</v>
      </c>
      <c r="R4799" s="1" t="s">
        <v>35</v>
      </c>
      <c r="S4799" s="1" t="s">
        <v>126</v>
      </c>
      <c r="T4799" s="1">
        <v>1.00611284E8</v>
      </c>
      <c r="W4799" s="1" t="s">
        <v>74</v>
      </c>
      <c r="X4799" s="1" t="s">
        <v>3606</v>
      </c>
    </row>
    <row r="4800">
      <c r="A4800" s="1" t="s">
        <v>13437</v>
      </c>
      <c r="B4800" s="1" t="s">
        <v>573</v>
      </c>
      <c r="C4800" s="1" t="s">
        <v>13438</v>
      </c>
      <c r="D4800" s="1" t="s">
        <v>28</v>
      </c>
      <c r="E4800" s="1" t="s">
        <v>29</v>
      </c>
      <c r="F4800" s="5">
        <v>75000.0</v>
      </c>
      <c r="G4800" s="1" t="s">
        <v>7016</v>
      </c>
      <c r="H4800" s="1" t="s">
        <v>2290</v>
      </c>
      <c r="I4800" s="1" t="s">
        <v>11241</v>
      </c>
      <c r="K4800" s="1">
        <v>0.0</v>
      </c>
      <c r="L4800" s="1" t="s">
        <v>576</v>
      </c>
      <c r="M4800" s="1" t="str">
        <f>VLOOKUP(L4800,'Copy of PMD Workday Constants -'!B4799:W5485,22,false)</f>
        <v>#N/A</v>
      </c>
      <c r="N4800" s="1" t="s">
        <v>32</v>
      </c>
      <c r="O4800" s="1" t="s">
        <v>33</v>
      </c>
      <c r="P4800" s="1" t="s">
        <v>210</v>
      </c>
      <c r="Q4800" s="1" t="s">
        <v>210</v>
      </c>
      <c r="R4800" s="1" t="s">
        <v>211</v>
      </c>
      <c r="T4800" s="1">
        <v>1.00660495E8</v>
      </c>
      <c r="W4800" s="1" t="s">
        <v>577</v>
      </c>
      <c r="X4800" s="1" t="s">
        <v>578</v>
      </c>
    </row>
    <row r="4801">
      <c r="A4801" s="1" t="s">
        <v>13439</v>
      </c>
      <c r="B4801" s="1" t="s">
        <v>12310</v>
      </c>
      <c r="C4801" s="1" t="s">
        <v>13440</v>
      </c>
      <c r="D4801" s="1" t="s">
        <v>103</v>
      </c>
      <c r="E4801" s="1" t="s">
        <v>29</v>
      </c>
      <c r="F4801" s="5">
        <v>75000.0</v>
      </c>
      <c r="G4801" s="1" t="s">
        <v>7016</v>
      </c>
      <c r="H4801" s="4">
        <v>44540.0</v>
      </c>
      <c r="I4801" s="1" t="s">
        <v>810</v>
      </c>
      <c r="K4801" s="1">
        <v>0.0</v>
      </c>
      <c r="L4801" s="1" t="s">
        <v>8754</v>
      </c>
      <c r="M4801" s="1" t="str">
        <f>VLOOKUP(L4801,'Copy of PMD Workday Constants -'!B4800:W5486,22,false)</f>
        <v>#N/A</v>
      </c>
      <c r="N4801" s="1" t="s">
        <v>32</v>
      </c>
      <c r="O4801" s="1" t="s">
        <v>33</v>
      </c>
      <c r="P4801" s="1" t="s">
        <v>222</v>
      </c>
      <c r="Q4801" s="1" t="s">
        <v>222</v>
      </c>
      <c r="R4801" s="1" t="s">
        <v>223</v>
      </c>
      <c r="S4801" s="1" t="s">
        <v>482</v>
      </c>
      <c r="T4801" s="1">
        <v>1.00639544E8</v>
      </c>
      <c r="W4801" s="1" t="s">
        <v>436</v>
      </c>
      <c r="X4801" s="1" t="s">
        <v>8754</v>
      </c>
    </row>
    <row r="4802">
      <c r="A4802" s="1" t="s">
        <v>13441</v>
      </c>
      <c r="B4802" s="1" t="s">
        <v>4279</v>
      </c>
      <c r="C4802" s="1" t="s">
        <v>13442</v>
      </c>
      <c r="D4802" s="1" t="s">
        <v>103</v>
      </c>
      <c r="E4802" s="1" t="s">
        <v>29</v>
      </c>
      <c r="F4802" s="5">
        <v>75000.0</v>
      </c>
      <c r="G4802" s="1" t="s">
        <v>7016</v>
      </c>
      <c r="H4802" s="1" t="s">
        <v>1765</v>
      </c>
      <c r="I4802" s="1" t="s">
        <v>80</v>
      </c>
      <c r="K4802" s="1">
        <v>0.0</v>
      </c>
      <c r="L4802" s="1" t="s">
        <v>2013</v>
      </c>
      <c r="M4802" s="1" t="str">
        <f>VLOOKUP(L4802,'Copy of PMD Workday Constants -'!B4801:W5487,22,false)</f>
        <v>#N/A</v>
      </c>
      <c r="N4802" s="1" t="s">
        <v>32</v>
      </c>
      <c r="O4802" s="1" t="s">
        <v>33</v>
      </c>
      <c r="P4802" s="1" t="s">
        <v>222</v>
      </c>
      <c r="Q4802" s="1" t="s">
        <v>222</v>
      </c>
      <c r="R4802" s="1" t="s">
        <v>223</v>
      </c>
      <c r="S4802" s="1" t="s">
        <v>482</v>
      </c>
      <c r="T4802" s="1">
        <v>1.00596618E8</v>
      </c>
      <c r="W4802" s="1" t="s">
        <v>74</v>
      </c>
      <c r="X4802" s="1" t="s">
        <v>11863</v>
      </c>
    </row>
    <row r="4803">
      <c r="A4803" s="1" t="s">
        <v>13443</v>
      </c>
      <c r="B4803" s="1" t="s">
        <v>3930</v>
      </c>
      <c r="C4803" s="1" t="s">
        <v>13444</v>
      </c>
      <c r="D4803" s="1" t="s">
        <v>51</v>
      </c>
      <c r="E4803" s="1" t="s">
        <v>29</v>
      </c>
      <c r="F4803" s="5">
        <v>75000.0</v>
      </c>
      <c r="G4803" s="1" t="s">
        <v>7016</v>
      </c>
      <c r="H4803" s="1" t="s">
        <v>4625</v>
      </c>
      <c r="I4803" s="1" t="s">
        <v>865</v>
      </c>
      <c r="K4803" s="1">
        <v>0.0</v>
      </c>
      <c r="L4803" s="1" t="s">
        <v>6578</v>
      </c>
      <c r="M4803" s="1" t="str">
        <f>VLOOKUP(L4803,'Copy of PMD Workday Constants -'!B4802:W5488,22,false)</f>
        <v>#N/A</v>
      </c>
      <c r="N4803" s="1" t="s">
        <v>32</v>
      </c>
      <c r="O4803" s="1" t="s">
        <v>33</v>
      </c>
      <c r="P4803" s="1" t="s">
        <v>222</v>
      </c>
      <c r="Q4803" s="1" t="s">
        <v>222</v>
      </c>
      <c r="R4803" s="1" t="s">
        <v>223</v>
      </c>
      <c r="S4803" s="1" t="s">
        <v>482</v>
      </c>
      <c r="T4803" s="1">
        <v>1.00597339E8</v>
      </c>
      <c r="W4803" s="1" t="s">
        <v>2098</v>
      </c>
      <c r="X4803" s="1" t="s">
        <v>13445</v>
      </c>
    </row>
    <row r="4804">
      <c r="A4804" s="1" t="s">
        <v>13446</v>
      </c>
      <c r="B4804" s="1" t="s">
        <v>12791</v>
      </c>
      <c r="C4804" s="1" t="s">
        <v>13447</v>
      </c>
      <c r="D4804" s="1" t="s">
        <v>51</v>
      </c>
      <c r="E4804" s="1" t="s">
        <v>29</v>
      </c>
      <c r="F4804" s="5">
        <v>75000.0</v>
      </c>
      <c r="G4804" s="1" t="s">
        <v>7016</v>
      </c>
      <c r="H4804" s="1" t="s">
        <v>9765</v>
      </c>
      <c r="I4804" s="1" t="s">
        <v>302</v>
      </c>
      <c r="K4804" s="1">
        <v>0.0</v>
      </c>
      <c r="L4804" s="1" t="s">
        <v>4608</v>
      </c>
      <c r="M4804" s="1" t="str">
        <f>VLOOKUP(L4804,'Copy of PMD Workday Constants -'!B4803:W5489,22,false)</f>
        <v>#N/A</v>
      </c>
      <c r="N4804" s="1" t="s">
        <v>32</v>
      </c>
      <c r="O4804" s="1" t="s">
        <v>33</v>
      </c>
      <c r="P4804" s="1" t="s">
        <v>222</v>
      </c>
      <c r="Q4804" s="1" t="s">
        <v>222</v>
      </c>
      <c r="R4804" s="1" t="s">
        <v>223</v>
      </c>
      <c r="T4804" s="1">
        <v>1.00592715E8</v>
      </c>
      <c r="W4804" s="1" t="s">
        <v>115</v>
      </c>
      <c r="X4804" s="1" t="s">
        <v>12951</v>
      </c>
    </row>
    <row r="4805">
      <c r="A4805" s="1" t="s">
        <v>13448</v>
      </c>
      <c r="B4805" s="1" t="s">
        <v>5822</v>
      </c>
      <c r="C4805" s="1" t="s">
        <v>13449</v>
      </c>
      <c r="D4805" s="1" t="s">
        <v>51</v>
      </c>
      <c r="E4805" s="1" t="s">
        <v>29</v>
      </c>
      <c r="F4805" s="5">
        <v>75000.0</v>
      </c>
      <c r="G4805" s="1" t="s">
        <v>7016</v>
      </c>
      <c r="H4805" s="4">
        <v>44748.0</v>
      </c>
      <c r="I4805" s="4">
        <v>44748.0</v>
      </c>
      <c r="K4805" s="1">
        <v>0.0</v>
      </c>
      <c r="L4805" s="1" t="s">
        <v>13450</v>
      </c>
      <c r="M4805" s="1" t="str">
        <f>VLOOKUP(L4805,'Copy of PMD Workday Constants -'!B4804:W5490,22,false)</f>
        <v>#N/A</v>
      </c>
      <c r="N4805" s="1" t="s">
        <v>32</v>
      </c>
      <c r="O4805" s="1" t="s">
        <v>33</v>
      </c>
      <c r="P4805" s="1" t="s">
        <v>222</v>
      </c>
      <c r="Q4805" s="1" t="s">
        <v>222</v>
      </c>
      <c r="R4805" s="1" t="s">
        <v>223</v>
      </c>
      <c r="T4805" s="1">
        <v>1.00634698E8</v>
      </c>
      <c r="W4805" s="1" t="s">
        <v>456</v>
      </c>
      <c r="X4805" s="1" t="s">
        <v>13451</v>
      </c>
    </row>
    <row r="4806">
      <c r="A4806" s="1" t="s">
        <v>13452</v>
      </c>
      <c r="B4806" s="1" t="s">
        <v>13453</v>
      </c>
      <c r="C4806" s="1" t="s">
        <v>13454</v>
      </c>
      <c r="D4806" s="1" t="s">
        <v>28</v>
      </c>
      <c r="E4806" s="1" t="s">
        <v>29</v>
      </c>
      <c r="F4806" s="5">
        <v>75000.0</v>
      </c>
      <c r="G4806" s="1" t="s">
        <v>7016</v>
      </c>
      <c r="H4806" s="1" t="s">
        <v>1134</v>
      </c>
      <c r="I4806" s="1" t="s">
        <v>132</v>
      </c>
      <c r="K4806" s="1">
        <v>0.0</v>
      </c>
      <c r="L4806" s="1" t="s">
        <v>111</v>
      </c>
      <c r="M4806" s="1" t="str">
        <f>VLOOKUP(L4806,'Copy of PMD Workday Constants -'!B4805:W5491,22,false)</f>
        <v>#N/A</v>
      </c>
      <c r="N4806" s="1" t="s">
        <v>32</v>
      </c>
      <c r="O4806" s="1" t="s">
        <v>33</v>
      </c>
      <c r="P4806" s="1" t="s">
        <v>112</v>
      </c>
      <c r="Q4806" s="1" t="s">
        <v>112</v>
      </c>
      <c r="R4806" s="1" t="s">
        <v>113</v>
      </c>
      <c r="S4806" s="1" t="s">
        <v>134</v>
      </c>
      <c r="T4806" s="1">
        <v>1.00596941E8</v>
      </c>
      <c r="W4806" s="1" t="s">
        <v>74</v>
      </c>
      <c r="X4806" s="1" t="s">
        <v>111</v>
      </c>
    </row>
    <row r="4807">
      <c r="A4807" s="1" t="s">
        <v>13455</v>
      </c>
      <c r="B4807" s="1" t="s">
        <v>11207</v>
      </c>
      <c r="C4807" s="1" t="s">
        <v>13456</v>
      </c>
      <c r="D4807" s="1" t="s">
        <v>51</v>
      </c>
      <c r="E4807" s="1" t="s">
        <v>29</v>
      </c>
      <c r="F4807" s="5">
        <v>75000.0</v>
      </c>
      <c r="G4807" s="1" t="s">
        <v>7016</v>
      </c>
      <c r="H4807" s="4">
        <v>44450.0</v>
      </c>
      <c r="I4807" s="1" t="s">
        <v>80</v>
      </c>
      <c r="K4807" s="1">
        <v>0.0</v>
      </c>
      <c r="L4807" s="1" t="s">
        <v>6578</v>
      </c>
      <c r="M4807" s="1" t="str">
        <f>VLOOKUP(L4807,'Copy of PMD Workday Constants -'!B4806:W5492,22,false)</f>
        <v>#N/A</v>
      </c>
      <c r="N4807" s="1" t="s">
        <v>32</v>
      </c>
      <c r="O4807" s="1" t="s">
        <v>33</v>
      </c>
      <c r="P4807" s="1" t="s">
        <v>222</v>
      </c>
      <c r="Q4807" s="1" t="s">
        <v>222</v>
      </c>
      <c r="R4807" s="1" t="s">
        <v>223</v>
      </c>
      <c r="S4807" s="1" t="s">
        <v>482</v>
      </c>
      <c r="T4807" s="1">
        <v>1.00597339E8</v>
      </c>
      <c r="W4807" s="1" t="s">
        <v>37</v>
      </c>
      <c r="X4807" s="1" t="s">
        <v>13457</v>
      </c>
    </row>
    <row r="4808">
      <c r="A4808" s="1" t="s">
        <v>13458</v>
      </c>
      <c r="B4808" s="1" t="s">
        <v>1184</v>
      </c>
      <c r="C4808" s="1" t="s">
        <v>13459</v>
      </c>
      <c r="D4808" s="1" t="s">
        <v>28</v>
      </c>
      <c r="E4808" s="1" t="s">
        <v>29</v>
      </c>
      <c r="F4808" s="5">
        <v>75000.0</v>
      </c>
      <c r="G4808" s="1" t="s">
        <v>7016</v>
      </c>
      <c r="H4808" s="4">
        <v>44868.0</v>
      </c>
      <c r="I4808" s="1" t="s">
        <v>80</v>
      </c>
      <c r="K4808" s="1">
        <v>0.0</v>
      </c>
      <c r="L4808" s="1" t="s">
        <v>1916</v>
      </c>
      <c r="M4808" s="1" t="str">
        <f>VLOOKUP(L4808,'Copy of PMD Workday Constants -'!B4807:W5493,22,false)</f>
        <v>#N/A</v>
      </c>
      <c r="N4808" s="1" t="s">
        <v>32</v>
      </c>
      <c r="O4808" s="1" t="s">
        <v>33</v>
      </c>
      <c r="P4808" s="1" t="s">
        <v>222</v>
      </c>
      <c r="Q4808" s="1" t="s">
        <v>222</v>
      </c>
      <c r="R4808" s="1" t="s">
        <v>223</v>
      </c>
      <c r="S4808" s="1" t="s">
        <v>601</v>
      </c>
      <c r="T4808" s="1">
        <v>1.00955805E8</v>
      </c>
      <c r="W4808" s="1" t="s">
        <v>56</v>
      </c>
      <c r="X4808" s="1" t="s">
        <v>5018</v>
      </c>
    </row>
    <row r="4809">
      <c r="A4809" s="1" t="s">
        <v>13460</v>
      </c>
      <c r="B4809" s="1" t="s">
        <v>13461</v>
      </c>
      <c r="C4809" s="1" t="s">
        <v>13462</v>
      </c>
      <c r="D4809" s="1" t="s">
        <v>103</v>
      </c>
      <c r="E4809" s="1" t="s">
        <v>29</v>
      </c>
      <c r="F4809" s="5">
        <v>75000.0</v>
      </c>
      <c r="G4809" s="1" t="s">
        <v>7016</v>
      </c>
      <c r="H4809" s="1" t="s">
        <v>1134</v>
      </c>
      <c r="I4809" s="1" t="s">
        <v>132</v>
      </c>
      <c r="K4809" s="1">
        <v>0.0</v>
      </c>
      <c r="L4809" s="1" t="s">
        <v>5558</v>
      </c>
      <c r="M4809" s="1" t="str">
        <f>VLOOKUP(L4809,'Copy of PMD Workday Constants -'!B4808:W5494,22,false)</f>
        <v>#N/A</v>
      </c>
      <c r="N4809" s="1" t="s">
        <v>32</v>
      </c>
      <c r="O4809" s="1" t="s">
        <v>33</v>
      </c>
      <c r="P4809" s="1" t="s">
        <v>222</v>
      </c>
      <c r="Q4809" s="1" t="s">
        <v>222</v>
      </c>
      <c r="R4809" s="1" t="s">
        <v>223</v>
      </c>
      <c r="T4809" s="1">
        <v>1.00652479E8</v>
      </c>
      <c r="W4809" s="1" t="s">
        <v>115</v>
      </c>
      <c r="X4809" s="1" t="s">
        <v>12147</v>
      </c>
    </row>
    <row r="4810">
      <c r="A4810" s="1" t="s">
        <v>13463</v>
      </c>
      <c r="B4810" s="1" t="s">
        <v>1373</v>
      </c>
      <c r="C4810" s="1" t="s">
        <v>13464</v>
      </c>
      <c r="D4810" s="1" t="s">
        <v>51</v>
      </c>
      <c r="E4810" s="1" t="s">
        <v>29</v>
      </c>
      <c r="F4810" s="5">
        <v>75000.0</v>
      </c>
      <c r="G4810" s="1" t="s">
        <v>7016</v>
      </c>
      <c r="H4810" s="4">
        <v>44294.0</v>
      </c>
      <c r="I4810" s="1" t="s">
        <v>80</v>
      </c>
      <c r="K4810" s="1">
        <v>0.0</v>
      </c>
      <c r="L4810" s="1" t="s">
        <v>6578</v>
      </c>
      <c r="M4810" s="1" t="str">
        <f>VLOOKUP(L4810,'Copy of PMD Workday Constants -'!B4809:W5495,22,false)</f>
        <v>#N/A</v>
      </c>
      <c r="N4810" s="1" t="s">
        <v>32</v>
      </c>
      <c r="O4810" s="1" t="s">
        <v>33</v>
      </c>
      <c r="P4810" s="1" t="s">
        <v>222</v>
      </c>
      <c r="Q4810" s="1" t="s">
        <v>222</v>
      </c>
      <c r="R4810" s="1" t="s">
        <v>223</v>
      </c>
      <c r="S4810" s="1" t="s">
        <v>482</v>
      </c>
      <c r="T4810" s="1">
        <v>1.00597339E8</v>
      </c>
      <c r="W4810" s="1" t="s">
        <v>74</v>
      </c>
      <c r="X4810" s="1" t="s">
        <v>6578</v>
      </c>
    </row>
    <row r="4811">
      <c r="A4811" s="1" t="s">
        <v>13465</v>
      </c>
      <c r="B4811" s="1" t="s">
        <v>87</v>
      </c>
      <c r="C4811" s="1" t="s">
        <v>13466</v>
      </c>
      <c r="D4811" s="1" t="s">
        <v>79</v>
      </c>
      <c r="E4811" s="1" t="s">
        <v>29</v>
      </c>
      <c r="F4811" s="5">
        <v>75000.0</v>
      </c>
      <c r="G4811" s="1" t="s">
        <v>7016</v>
      </c>
      <c r="H4811" s="4">
        <v>44565.0</v>
      </c>
      <c r="I4811" s="4">
        <v>44809.0</v>
      </c>
      <c r="K4811" s="1">
        <v>0.0</v>
      </c>
      <c r="L4811" s="1" t="s">
        <v>1587</v>
      </c>
      <c r="M4811" s="1" t="str">
        <f>VLOOKUP(L4811,'Copy of PMD Workday Constants -'!B4810:W5496,22,false)</f>
        <v>#N/A</v>
      </c>
      <c r="N4811" s="1" t="s">
        <v>32</v>
      </c>
      <c r="O4811" s="1" t="s">
        <v>33</v>
      </c>
      <c r="P4811" s="1" t="s">
        <v>64</v>
      </c>
      <c r="Q4811" s="1" t="s">
        <v>64</v>
      </c>
      <c r="R4811" s="1" t="s">
        <v>65</v>
      </c>
      <c r="S4811" s="1" t="s">
        <v>1336</v>
      </c>
      <c r="T4811" s="1">
        <v>1.01141441E8</v>
      </c>
      <c r="W4811" s="1" t="s">
        <v>91</v>
      </c>
      <c r="X4811" s="1" t="s">
        <v>1587</v>
      </c>
    </row>
    <row r="4812">
      <c r="A4812" s="1" t="s">
        <v>13467</v>
      </c>
      <c r="B4812" s="1" t="s">
        <v>6924</v>
      </c>
      <c r="C4812" s="1" t="s">
        <v>13468</v>
      </c>
      <c r="D4812" s="1" t="s">
        <v>103</v>
      </c>
      <c r="E4812" s="1" t="s">
        <v>29</v>
      </c>
      <c r="F4812" s="5">
        <v>75000.0</v>
      </c>
      <c r="G4812" s="1" t="s">
        <v>7016</v>
      </c>
      <c r="H4812" s="1" t="s">
        <v>1245</v>
      </c>
      <c r="I4812" s="1" t="s">
        <v>104</v>
      </c>
      <c r="K4812" s="1">
        <v>0.0</v>
      </c>
      <c r="L4812" s="1" t="s">
        <v>3727</v>
      </c>
      <c r="M4812" s="1" t="str">
        <f>VLOOKUP(L4812,'Copy of PMD Workday Constants -'!B4811:W5497,22,false)</f>
        <v>#N/A</v>
      </c>
      <c r="N4812" s="1" t="s">
        <v>32</v>
      </c>
      <c r="O4812" s="1" t="s">
        <v>33</v>
      </c>
      <c r="P4812" s="1" t="s">
        <v>222</v>
      </c>
      <c r="Q4812" s="1" t="s">
        <v>222</v>
      </c>
      <c r="R4812" s="1" t="s">
        <v>223</v>
      </c>
      <c r="S4812" s="1" t="s">
        <v>482</v>
      </c>
      <c r="T4812" s="1">
        <v>1.00611158E8</v>
      </c>
      <c r="W4812" s="1" t="s">
        <v>258</v>
      </c>
      <c r="X4812" s="1" t="s">
        <v>3727</v>
      </c>
    </row>
    <row r="4813">
      <c r="A4813" s="1" t="s">
        <v>13469</v>
      </c>
      <c r="B4813" s="1" t="s">
        <v>554</v>
      </c>
      <c r="C4813" s="1" t="s">
        <v>13470</v>
      </c>
      <c r="D4813" s="1" t="s">
        <v>51</v>
      </c>
      <c r="E4813" s="1" t="s">
        <v>29</v>
      </c>
      <c r="F4813" s="5">
        <v>75000.0</v>
      </c>
      <c r="G4813" s="1" t="s">
        <v>7016</v>
      </c>
      <c r="H4813" s="1" t="s">
        <v>13471</v>
      </c>
      <c r="I4813" s="1" t="s">
        <v>1349</v>
      </c>
      <c r="K4813" s="1">
        <v>0.0</v>
      </c>
      <c r="L4813" s="1" t="s">
        <v>4365</v>
      </c>
      <c r="M4813" s="1" t="str">
        <f>VLOOKUP(L4813,'Copy of PMD Workday Constants -'!B4812:W5498,22,false)</f>
        <v>#N/A</v>
      </c>
      <c r="N4813" s="1" t="s">
        <v>32</v>
      </c>
      <c r="O4813" s="1" t="s">
        <v>33</v>
      </c>
      <c r="P4813" s="1" t="s">
        <v>173</v>
      </c>
      <c r="Q4813" s="1" t="s">
        <v>173</v>
      </c>
      <c r="R4813" s="1" t="s">
        <v>174</v>
      </c>
      <c r="S4813" s="1" t="s">
        <v>114</v>
      </c>
      <c r="T4813" s="1">
        <v>1.0066064E8</v>
      </c>
      <c r="W4813" s="1" t="s">
        <v>140</v>
      </c>
      <c r="X4813" s="1" t="s">
        <v>13472</v>
      </c>
    </row>
    <row r="4814">
      <c r="A4814" s="1" t="s">
        <v>13473</v>
      </c>
      <c r="B4814" s="1" t="s">
        <v>5822</v>
      </c>
      <c r="C4814" s="1" t="s">
        <v>13474</v>
      </c>
      <c r="D4814" s="1" t="s">
        <v>51</v>
      </c>
      <c r="E4814" s="1" t="s">
        <v>29</v>
      </c>
      <c r="F4814" s="5">
        <v>75000.0</v>
      </c>
      <c r="G4814" s="1" t="s">
        <v>7016</v>
      </c>
      <c r="H4814" s="1" t="s">
        <v>1575</v>
      </c>
      <c r="I4814" s="1" t="s">
        <v>816</v>
      </c>
      <c r="K4814" s="1">
        <v>0.0</v>
      </c>
      <c r="L4814" s="1" t="s">
        <v>13451</v>
      </c>
      <c r="M4814" s="1" t="str">
        <f>VLOOKUP(L4814,'Copy of PMD Workday Constants -'!B4813:W5499,22,false)</f>
        <v>#N/A</v>
      </c>
      <c r="N4814" s="1" t="s">
        <v>32</v>
      </c>
      <c r="O4814" s="1" t="s">
        <v>33</v>
      </c>
      <c r="P4814" s="1" t="s">
        <v>222</v>
      </c>
      <c r="Q4814" s="1" t="s">
        <v>222</v>
      </c>
      <c r="R4814" s="1" t="s">
        <v>223</v>
      </c>
      <c r="S4814" s="1" t="s">
        <v>11505</v>
      </c>
      <c r="T4814" s="1">
        <v>1.00588849E8</v>
      </c>
      <c r="W4814" s="1" t="s">
        <v>456</v>
      </c>
      <c r="X4814" s="1" t="s">
        <v>13475</v>
      </c>
    </row>
    <row r="4815">
      <c r="A4815" s="1" t="s">
        <v>13476</v>
      </c>
      <c r="B4815" s="1" t="s">
        <v>13477</v>
      </c>
      <c r="C4815" s="1" t="s">
        <v>13478</v>
      </c>
      <c r="D4815" s="1" t="s">
        <v>28</v>
      </c>
      <c r="E4815" s="1" t="s">
        <v>29</v>
      </c>
      <c r="F4815" s="5">
        <v>75000.0</v>
      </c>
      <c r="G4815" s="1" t="s">
        <v>7016</v>
      </c>
      <c r="H4815" s="1" t="s">
        <v>1785</v>
      </c>
      <c r="I4815" s="1" t="s">
        <v>191</v>
      </c>
      <c r="K4815" s="1">
        <v>0.0</v>
      </c>
      <c r="L4815" s="1" t="s">
        <v>3630</v>
      </c>
      <c r="M4815" s="1" t="str">
        <f>VLOOKUP(L4815,'Copy of PMD Workday Constants -'!B4814:W5500,22,false)</f>
        <v>#N/A</v>
      </c>
      <c r="N4815" s="1" t="s">
        <v>32</v>
      </c>
      <c r="O4815" s="1" t="s">
        <v>33</v>
      </c>
      <c r="P4815" s="1" t="s">
        <v>64</v>
      </c>
      <c r="Q4815" s="1" t="s">
        <v>64</v>
      </c>
      <c r="R4815" s="1" t="s">
        <v>65</v>
      </c>
      <c r="S4815" s="1" t="s">
        <v>185</v>
      </c>
      <c r="T4815" s="1">
        <v>1.00650382E8</v>
      </c>
      <c r="W4815" s="1" t="s">
        <v>2098</v>
      </c>
      <c r="X4815" s="1" t="s">
        <v>3630</v>
      </c>
    </row>
    <row r="4816">
      <c r="A4816" s="1" t="s">
        <v>13479</v>
      </c>
      <c r="B4816" s="1" t="s">
        <v>13480</v>
      </c>
      <c r="C4816" s="1" t="s">
        <v>13481</v>
      </c>
      <c r="D4816" s="1" t="s">
        <v>103</v>
      </c>
      <c r="E4816" s="1" t="s">
        <v>29</v>
      </c>
      <c r="F4816" s="5">
        <v>75000.0</v>
      </c>
      <c r="G4816" s="1" t="s">
        <v>7016</v>
      </c>
      <c r="H4816" s="4">
        <v>44748.0</v>
      </c>
      <c r="I4816" s="1" t="s">
        <v>80</v>
      </c>
      <c r="K4816" s="1">
        <v>0.0</v>
      </c>
      <c r="L4816" s="1" t="s">
        <v>11577</v>
      </c>
      <c r="M4816" s="1" t="str">
        <f>VLOOKUP(L4816,'Copy of PMD Workday Constants -'!B4815:W5501,22,false)</f>
        <v>#N/A</v>
      </c>
      <c r="N4816" s="1" t="s">
        <v>32</v>
      </c>
      <c r="O4816" s="1" t="s">
        <v>33</v>
      </c>
      <c r="P4816" s="1" t="s">
        <v>222</v>
      </c>
      <c r="Q4816" s="1" t="s">
        <v>222</v>
      </c>
      <c r="R4816" s="1" t="s">
        <v>223</v>
      </c>
      <c r="S4816" s="1" t="s">
        <v>482</v>
      </c>
      <c r="T4816" s="1">
        <v>1.00626837E8</v>
      </c>
      <c r="W4816" s="1" t="s">
        <v>74</v>
      </c>
      <c r="X4816" s="1" t="s">
        <v>10781</v>
      </c>
    </row>
    <row r="4817">
      <c r="A4817" s="1" t="s">
        <v>13482</v>
      </c>
      <c r="B4817" s="1" t="s">
        <v>13483</v>
      </c>
      <c r="C4817" s="1" t="s">
        <v>13484</v>
      </c>
      <c r="D4817" s="1" t="s">
        <v>28</v>
      </c>
      <c r="E4817" s="1" t="s">
        <v>29</v>
      </c>
      <c r="F4817" s="5">
        <v>75000.0</v>
      </c>
      <c r="G4817" s="1" t="s">
        <v>7016</v>
      </c>
      <c r="H4817" s="4">
        <v>44685.0</v>
      </c>
      <c r="I4817" s="1" t="s">
        <v>810</v>
      </c>
      <c r="K4817" s="1">
        <v>0.0</v>
      </c>
      <c r="L4817" s="1" t="s">
        <v>8868</v>
      </c>
      <c r="M4817" s="1" t="str">
        <f>VLOOKUP(L4817,'Copy of PMD Workday Constants -'!B4816:W5502,22,false)</f>
        <v>#N/A</v>
      </c>
      <c r="N4817" s="1" t="s">
        <v>32</v>
      </c>
      <c r="O4817" s="1" t="s">
        <v>33</v>
      </c>
      <c r="P4817" s="1" t="s">
        <v>222</v>
      </c>
      <c r="Q4817" s="1" t="s">
        <v>222</v>
      </c>
      <c r="R4817" s="1" t="s">
        <v>223</v>
      </c>
      <c r="S4817" s="1" t="s">
        <v>601</v>
      </c>
      <c r="T4817" s="1">
        <v>1.00612509E8</v>
      </c>
      <c r="W4817" s="1" t="s">
        <v>140</v>
      </c>
      <c r="X4817" s="1" t="s">
        <v>11160</v>
      </c>
    </row>
    <row r="4818">
      <c r="A4818" s="1" t="s">
        <v>13485</v>
      </c>
      <c r="B4818" s="1" t="s">
        <v>1112</v>
      </c>
      <c r="C4818" s="1" t="s">
        <v>13486</v>
      </c>
      <c r="D4818" s="1" t="s">
        <v>103</v>
      </c>
      <c r="E4818" s="1" t="s">
        <v>29</v>
      </c>
      <c r="F4818" s="5">
        <v>75000.0</v>
      </c>
      <c r="G4818" s="1" t="s">
        <v>7016</v>
      </c>
      <c r="H4818" s="4">
        <v>44748.0</v>
      </c>
      <c r="I4818" s="1" t="s">
        <v>421</v>
      </c>
      <c r="K4818" s="1">
        <v>0.0</v>
      </c>
      <c r="L4818" s="1" t="s">
        <v>11159</v>
      </c>
      <c r="M4818" s="1" t="str">
        <f>VLOOKUP(L4818,'Copy of PMD Workday Constants -'!B4817:W5503,22,false)</f>
        <v>#N/A</v>
      </c>
      <c r="N4818" s="1" t="s">
        <v>32</v>
      </c>
      <c r="O4818" s="1" t="s">
        <v>33</v>
      </c>
      <c r="P4818" s="1" t="s">
        <v>222</v>
      </c>
      <c r="Q4818" s="1" t="s">
        <v>222</v>
      </c>
      <c r="R4818" s="1" t="s">
        <v>223</v>
      </c>
      <c r="S4818" s="1" t="s">
        <v>601</v>
      </c>
      <c r="T4818" s="1">
        <v>1.00602248E8</v>
      </c>
      <c r="W4818" s="1" t="s">
        <v>56</v>
      </c>
      <c r="X4818" s="1" t="s">
        <v>11160</v>
      </c>
    </row>
    <row r="4819">
      <c r="A4819" s="1" t="s">
        <v>13487</v>
      </c>
      <c r="B4819" s="1" t="s">
        <v>521</v>
      </c>
      <c r="C4819" s="1" t="s">
        <v>13488</v>
      </c>
      <c r="D4819" s="1" t="s">
        <v>28</v>
      </c>
      <c r="E4819" s="1" t="s">
        <v>29</v>
      </c>
      <c r="F4819" s="5">
        <v>75000.0</v>
      </c>
      <c r="G4819" s="1" t="s">
        <v>7016</v>
      </c>
      <c r="H4819" s="4">
        <v>44229.0</v>
      </c>
      <c r="I4819" s="1" t="s">
        <v>13489</v>
      </c>
      <c r="K4819" s="1">
        <v>0.0</v>
      </c>
      <c r="L4819" s="1" t="s">
        <v>2353</v>
      </c>
      <c r="M4819" s="1" t="str">
        <f>VLOOKUP(L4819,'Copy of PMD Workday Constants -'!B4818:W5504,22,false)</f>
        <v>#N/A</v>
      </c>
      <c r="N4819" s="1" t="s">
        <v>32</v>
      </c>
      <c r="O4819" s="1" t="s">
        <v>33</v>
      </c>
      <c r="P4819" s="1" t="s">
        <v>82</v>
      </c>
      <c r="Q4819" s="1" t="s">
        <v>82</v>
      </c>
      <c r="R4819" s="1" t="s">
        <v>83</v>
      </c>
      <c r="S4819" s="1" t="s">
        <v>180</v>
      </c>
      <c r="T4819" s="1">
        <v>1.0061108E8</v>
      </c>
      <c r="W4819" s="1" t="s">
        <v>85</v>
      </c>
      <c r="X4819" s="1" t="s">
        <v>7862</v>
      </c>
    </row>
    <row r="4820">
      <c r="A4820" s="1" t="s">
        <v>13490</v>
      </c>
      <c r="B4820" s="1" t="s">
        <v>8731</v>
      </c>
      <c r="C4820" s="1" t="s">
        <v>13491</v>
      </c>
      <c r="D4820" s="1" t="s">
        <v>28</v>
      </c>
      <c r="E4820" s="1" t="s">
        <v>29</v>
      </c>
      <c r="F4820" s="5">
        <v>75000.0</v>
      </c>
      <c r="G4820" s="1" t="s">
        <v>7016</v>
      </c>
      <c r="H4820" s="1" t="s">
        <v>727</v>
      </c>
      <c r="I4820" s="1" t="s">
        <v>80</v>
      </c>
      <c r="K4820" s="1">
        <v>0.0</v>
      </c>
      <c r="L4820" s="1" t="s">
        <v>1870</v>
      </c>
      <c r="M4820" s="1" t="str">
        <f>VLOOKUP(L4820,'Copy of PMD Workday Constants -'!B4819:W5505,22,false)</f>
        <v>#N/A</v>
      </c>
      <c r="N4820" s="1" t="s">
        <v>32</v>
      </c>
      <c r="O4820" s="1" t="s">
        <v>33</v>
      </c>
      <c r="P4820" s="1" t="s">
        <v>112</v>
      </c>
      <c r="Q4820" s="1" t="s">
        <v>112</v>
      </c>
      <c r="R4820" s="1" t="s">
        <v>113</v>
      </c>
      <c r="S4820" s="1" t="s">
        <v>1336</v>
      </c>
      <c r="T4820" s="1">
        <v>1.00638639E8</v>
      </c>
      <c r="W4820" s="1" t="s">
        <v>436</v>
      </c>
      <c r="X4820" s="1" t="s">
        <v>13492</v>
      </c>
    </row>
    <row r="4821">
      <c r="A4821" s="1" t="s">
        <v>13493</v>
      </c>
      <c r="B4821" s="1" t="s">
        <v>324</v>
      </c>
      <c r="C4821" s="1" t="s">
        <v>13494</v>
      </c>
      <c r="D4821" s="1" t="s">
        <v>51</v>
      </c>
      <c r="E4821" s="1" t="s">
        <v>29</v>
      </c>
      <c r="F4821" s="5">
        <v>75000.0</v>
      </c>
      <c r="G4821" s="1" t="s">
        <v>7016</v>
      </c>
      <c r="H4821" s="1" t="s">
        <v>3574</v>
      </c>
      <c r="I4821" s="1" t="s">
        <v>2485</v>
      </c>
      <c r="K4821" s="1">
        <v>0.0</v>
      </c>
      <c r="L4821" s="1" t="s">
        <v>5335</v>
      </c>
      <c r="M4821" s="1" t="str">
        <f>VLOOKUP(L4821,'Copy of PMD Workday Constants -'!B4820:W5506,22,false)</f>
        <v>#N/A</v>
      </c>
      <c r="N4821" s="1" t="s">
        <v>32</v>
      </c>
      <c r="O4821" s="1" t="s">
        <v>33</v>
      </c>
      <c r="P4821" s="1" t="s">
        <v>64</v>
      </c>
      <c r="Q4821" s="1" t="s">
        <v>64</v>
      </c>
      <c r="R4821" s="1" t="s">
        <v>65</v>
      </c>
      <c r="S4821" s="1" t="s">
        <v>98</v>
      </c>
      <c r="T4821" s="1">
        <v>1.00649463E8</v>
      </c>
      <c r="W4821" s="1" t="s">
        <v>56</v>
      </c>
      <c r="X4821" s="1" t="s">
        <v>5336</v>
      </c>
    </row>
    <row r="4822">
      <c r="A4822" s="1" t="s">
        <v>13495</v>
      </c>
      <c r="B4822" s="1" t="s">
        <v>13496</v>
      </c>
      <c r="C4822" s="1" t="s">
        <v>13497</v>
      </c>
      <c r="D4822" s="1" t="s">
        <v>28</v>
      </c>
      <c r="E4822" s="1" t="s">
        <v>29</v>
      </c>
      <c r="F4822" s="5">
        <v>75000.0</v>
      </c>
      <c r="G4822" s="1" t="s">
        <v>7016</v>
      </c>
      <c r="H4822" s="1" t="s">
        <v>3998</v>
      </c>
      <c r="I4822" s="4">
        <v>45108.0</v>
      </c>
      <c r="K4822" s="1">
        <v>0.0</v>
      </c>
      <c r="L4822" s="1" t="s">
        <v>3571</v>
      </c>
      <c r="M4822" s="1" t="str">
        <f>VLOOKUP(L4822,'Copy of PMD Workday Constants -'!B4821:W5507,22,false)</f>
        <v>#N/A</v>
      </c>
      <c r="N4822" s="1" t="s">
        <v>32</v>
      </c>
      <c r="O4822" s="1" t="s">
        <v>33</v>
      </c>
      <c r="P4822" s="1" t="s">
        <v>173</v>
      </c>
      <c r="Q4822" s="1" t="s">
        <v>173</v>
      </c>
      <c r="R4822" s="1" t="s">
        <v>174</v>
      </c>
      <c r="S4822" s="1" t="s">
        <v>612</v>
      </c>
      <c r="T4822" s="1">
        <v>1.00651086E8</v>
      </c>
      <c r="W4822" s="1" t="s">
        <v>456</v>
      </c>
      <c r="X4822" s="1" t="s">
        <v>13498</v>
      </c>
    </row>
    <row r="4823">
      <c r="A4823" s="1" t="s">
        <v>13499</v>
      </c>
      <c r="B4823" s="1" t="s">
        <v>554</v>
      </c>
      <c r="C4823" s="1" t="s">
        <v>13500</v>
      </c>
      <c r="D4823" s="1" t="s">
        <v>103</v>
      </c>
      <c r="E4823" s="1" t="s">
        <v>29</v>
      </c>
      <c r="F4823" s="5">
        <v>75000.0</v>
      </c>
      <c r="G4823" s="1" t="s">
        <v>7016</v>
      </c>
      <c r="H4823" s="1" t="s">
        <v>3083</v>
      </c>
      <c r="I4823" s="1" t="s">
        <v>810</v>
      </c>
      <c r="K4823" s="1">
        <v>0.0</v>
      </c>
      <c r="L4823" s="1" t="s">
        <v>6578</v>
      </c>
      <c r="M4823" s="1" t="str">
        <f>VLOOKUP(L4823,'Copy of PMD Workday Constants -'!B4822:W5508,22,false)</f>
        <v>#N/A</v>
      </c>
      <c r="N4823" s="1" t="s">
        <v>32</v>
      </c>
      <c r="O4823" s="1" t="s">
        <v>33</v>
      </c>
      <c r="P4823" s="1" t="s">
        <v>222</v>
      </c>
      <c r="Q4823" s="1" t="s">
        <v>222</v>
      </c>
      <c r="R4823" s="1" t="s">
        <v>223</v>
      </c>
      <c r="S4823" s="1" t="s">
        <v>482</v>
      </c>
      <c r="T4823" s="1">
        <v>1.00597339E8</v>
      </c>
      <c r="W4823" s="1" t="s">
        <v>85</v>
      </c>
      <c r="X4823" s="1" t="s">
        <v>13457</v>
      </c>
    </row>
    <row r="4824">
      <c r="A4824" s="1" t="s">
        <v>13501</v>
      </c>
      <c r="B4824" s="1" t="s">
        <v>9506</v>
      </c>
      <c r="C4824" s="1" t="s">
        <v>13502</v>
      </c>
      <c r="D4824" s="1" t="s">
        <v>51</v>
      </c>
      <c r="E4824" s="1" t="s">
        <v>29</v>
      </c>
      <c r="F4824" s="5">
        <v>75000.0</v>
      </c>
      <c r="G4824" s="1" t="s">
        <v>7016</v>
      </c>
      <c r="H4824" s="1" t="s">
        <v>2318</v>
      </c>
      <c r="I4824" s="1" t="s">
        <v>80</v>
      </c>
      <c r="K4824" s="1">
        <v>0.0</v>
      </c>
      <c r="L4824" s="1" t="s">
        <v>6578</v>
      </c>
      <c r="M4824" s="1" t="str">
        <f>VLOOKUP(L4824,'Copy of PMD Workday Constants -'!B4823:W5509,22,false)</f>
        <v>#N/A</v>
      </c>
      <c r="N4824" s="1" t="s">
        <v>32</v>
      </c>
      <c r="O4824" s="1" t="s">
        <v>33</v>
      </c>
      <c r="P4824" s="1" t="s">
        <v>222</v>
      </c>
      <c r="Q4824" s="1" t="s">
        <v>222</v>
      </c>
      <c r="R4824" s="1" t="s">
        <v>223</v>
      </c>
      <c r="S4824" s="1" t="s">
        <v>482</v>
      </c>
      <c r="T4824" s="1">
        <v>1.00597339E8</v>
      </c>
      <c r="W4824" s="1" t="s">
        <v>258</v>
      </c>
      <c r="X4824" s="1" t="s">
        <v>6579</v>
      </c>
    </row>
    <row r="4825">
      <c r="A4825" s="1" t="s">
        <v>13503</v>
      </c>
      <c r="B4825" s="1" t="s">
        <v>143</v>
      </c>
      <c r="C4825" s="1" t="s">
        <v>13504</v>
      </c>
      <c r="D4825" s="1" t="s">
        <v>28</v>
      </c>
      <c r="E4825" s="1" t="s">
        <v>29</v>
      </c>
      <c r="F4825" s="5">
        <v>75000.0</v>
      </c>
      <c r="G4825" s="1" t="s">
        <v>7016</v>
      </c>
      <c r="H4825" s="4">
        <v>44870.0</v>
      </c>
      <c r="I4825" s="4">
        <v>44570.0</v>
      </c>
      <c r="K4825" s="1">
        <v>0.0</v>
      </c>
      <c r="L4825" s="1" t="s">
        <v>9987</v>
      </c>
      <c r="M4825" s="1" t="str">
        <f>VLOOKUP(L4825,'Copy of PMD Workday Constants -'!B4824:W5510,22,false)</f>
        <v>#N/A</v>
      </c>
      <c r="N4825" s="1" t="s">
        <v>32</v>
      </c>
      <c r="O4825" s="1" t="s">
        <v>33</v>
      </c>
      <c r="P4825" s="1" t="s">
        <v>64</v>
      </c>
      <c r="Q4825" s="1" t="s">
        <v>64</v>
      </c>
      <c r="R4825" s="1" t="s">
        <v>65</v>
      </c>
      <c r="S4825" s="1" t="s">
        <v>1336</v>
      </c>
      <c r="T4825" s="1">
        <v>1.01211126E8</v>
      </c>
      <c r="W4825" s="1" t="s">
        <v>147</v>
      </c>
      <c r="X4825" s="1" t="s">
        <v>9987</v>
      </c>
    </row>
    <row r="4826">
      <c r="A4826" s="1" t="s">
        <v>13505</v>
      </c>
      <c r="B4826" s="1" t="s">
        <v>13506</v>
      </c>
      <c r="C4826" s="1" t="s">
        <v>13507</v>
      </c>
      <c r="D4826" s="1" t="s">
        <v>103</v>
      </c>
      <c r="E4826" s="1" t="s">
        <v>29</v>
      </c>
      <c r="F4826" s="5">
        <v>75000.0</v>
      </c>
      <c r="G4826" s="1" t="s">
        <v>7016</v>
      </c>
      <c r="H4826" s="4">
        <v>44777.0</v>
      </c>
      <c r="I4826" s="1" t="s">
        <v>1134</v>
      </c>
      <c r="K4826" s="1">
        <v>0.0</v>
      </c>
      <c r="L4826" s="1" t="s">
        <v>11159</v>
      </c>
      <c r="M4826" s="1" t="str">
        <f>VLOOKUP(L4826,'Copy of PMD Workday Constants -'!B4825:W5511,22,false)</f>
        <v>#N/A</v>
      </c>
      <c r="N4826" s="1" t="s">
        <v>32</v>
      </c>
      <c r="O4826" s="1" t="s">
        <v>33</v>
      </c>
      <c r="P4826" s="1" t="s">
        <v>222</v>
      </c>
      <c r="Q4826" s="1" t="s">
        <v>222</v>
      </c>
      <c r="R4826" s="1" t="s">
        <v>223</v>
      </c>
      <c r="S4826" s="1" t="s">
        <v>601</v>
      </c>
      <c r="T4826" s="1">
        <v>1.00602248E8</v>
      </c>
      <c r="W4826" s="1" t="s">
        <v>56</v>
      </c>
      <c r="X4826" s="1" t="s">
        <v>13508</v>
      </c>
    </row>
    <row r="4827">
      <c r="A4827" s="1" t="s">
        <v>13509</v>
      </c>
      <c r="B4827" s="1" t="s">
        <v>7281</v>
      </c>
      <c r="C4827" s="1" t="s">
        <v>13510</v>
      </c>
      <c r="D4827" s="1" t="s">
        <v>103</v>
      </c>
      <c r="E4827" s="1" t="s">
        <v>29</v>
      </c>
      <c r="F4827" s="5">
        <v>75000.0</v>
      </c>
      <c r="G4827" s="1" t="s">
        <v>7016</v>
      </c>
      <c r="H4827" s="4">
        <v>44747.0</v>
      </c>
      <c r="I4827" s="1" t="s">
        <v>1134</v>
      </c>
      <c r="K4827" s="1">
        <v>0.0</v>
      </c>
      <c r="L4827" s="1" t="s">
        <v>5205</v>
      </c>
      <c r="M4827" s="1" t="str">
        <f>VLOOKUP(L4827,'Copy of PMD Workday Constants -'!B4826:W5512,22,false)</f>
        <v>#N/A</v>
      </c>
      <c r="N4827" s="1" t="s">
        <v>32</v>
      </c>
      <c r="O4827" s="1" t="s">
        <v>33</v>
      </c>
      <c r="P4827" s="1" t="s">
        <v>222</v>
      </c>
      <c r="Q4827" s="1" t="s">
        <v>222</v>
      </c>
      <c r="R4827" s="1" t="s">
        <v>223</v>
      </c>
      <c r="S4827" s="1" t="s">
        <v>1336</v>
      </c>
      <c r="T4827" s="1">
        <v>1.00896447E8</v>
      </c>
      <c r="W4827" s="1" t="s">
        <v>287</v>
      </c>
      <c r="X4827" s="1" t="s">
        <v>13339</v>
      </c>
    </row>
    <row r="4828">
      <c r="A4828" s="1" t="s">
        <v>13511</v>
      </c>
      <c r="B4828" s="1" t="s">
        <v>12962</v>
      </c>
      <c r="C4828" s="1" t="s">
        <v>13512</v>
      </c>
      <c r="D4828" s="1" t="s">
        <v>103</v>
      </c>
      <c r="E4828" s="1" t="s">
        <v>29</v>
      </c>
      <c r="F4828" s="5">
        <v>75000.0</v>
      </c>
      <c r="G4828" s="1" t="s">
        <v>7016</v>
      </c>
      <c r="H4828" s="4">
        <v>44718.0</v>
      </c>
      <c r="I4828" s="1" t="s">
        <v>96</v>
      </c>
      <c r="K4828" s="1">
        <v>0.0</v>
      </c>
      <c r="L4828" s="1" t="s">
        <v>10653</v>
      </c>
      <c r="M4828" s="1" t="str">
        <f>VLOOKUP(L4828,'Copy of PMD Workday Constants -'!B4827:W5513,22,false)</f>
        <v>#N/A</v>
      </c>
      <c r="N4828" s="1" t="s">
        <v>32</v>
      </c>
      <c r="O4828" s="1" t="s">
        <v>33</v>
      </c>
      <c r="P4828" s="1" t="s">
        <v>222</v>
      </c>
      <c r="Q4828" s="1" t="s">
        <v>222</v>
      </c>
      <c r="R4828" s="1" t="s">
        <v>223</v>
      </c>
      <c r="S4828" s="1" t="s">
        <v>482</v>
      </c>
      <c r="T4828" s="1">
        <v>1.01154609E8</v>
      </c>
      <c r="W4828" s="1" t="s">
        <v>258</v>
      </c>
      <c r="X4828" s="1" t="s">
        <v>13513</v>
      </c>
    </row>
    <row r="4829">
      <c r="A4829" s="1" t="s">
        <v>13514</v>
      </c>
      <c r="B4829" s="1" t="s">
        <v>49</v>
      </c>
      <c r="C4829" s="1" t="s">
        <v>13515</v>
      </c>
      <c r="D4829" s="1" t="s">
        <v>79</v>
      </c>
      <c r="E4829" s="1" t="s">
        <v>29</v>
      </c>
      <c r="F4829" s="5">
        <v>75000.0</v>
      </c>
      <c r="G4829" s="1" t="s">
        <v>7016</v>
      </c>
      <c r="H4829" s="4">
        <v>44266.0</v>
      </c>
      <c r="I4829" s="1" t="s">
        <v>10581</v>
      </c>
      <c r="J4829" s="1" t="s">
        <v>13516</v>
      </c>
      <c r="K4829" s="1">
        <v>0.0</v>
      </c>
      <c r="L4829" s="1" t="s">
        <v>13517</v>
      </c>
      <c r="M4829" s="1" t="str">
        <f>VLOOKUP(L4829,'Copy of PMD Workday Constants -'!B4828:W5514,22,false)</f>
        <v>#N/A</v>
      </c>
      <c r="N4829" s="1" t="s">
        <v>32</v>
      </c>
      <c r="O4829" s="1" t="s">
        <v>33</v>
      </c>
      <c r="P4829" s="1" t="s">
        <v>210</v>
      </c>
      <c r="Q4829" s="1" t="s">
        <v>210</v>
      </c>
      <c r="R4829" s="1" t="s">
        <v>211</v>
      </c>
      <c r="T4829" s="1">
        <v>1.00657101E8</v>
      </c>
      <c r="W4829" s="1" t="s">
        <v>56</v>
      </c>
      <c r="X4829" s="1" t="s">
        <v>13518</v>
      </c>
    </row>
    <row r="4830">
      <c r="A4830" s="1" t="s">
        <v>13519</v>
      </c>
      <c r="B4830" s="1" t="s">
        <v>776</v>
      </c>
      <c r="C4830" s="1" t="s">
        <v>13520</v>
      </c>
      <c r="D4830" s="1" t="s">
        <v>51</v>
      </c>
      <c r="E4830" s="1" t="s">
        <v>29</v>
      </c>
      <c r="F4830" s="5">
        <v>75000.0</v>
      </c>
      <c r="G4830" s="1" t="s">
        <v>7016</v>
      </c>
      <c r="H4830" s="4">
        <v>44900.0</v>
      </c>
      <c r="I4830" s="1" t="s">
        <v>191</v>
      </c>
      <c r="K4830" s="1">
        <v>0.0</v>
      </c>
      <c r="L4830" s="1" t="s">
        <v>2547</v>
      </c>
      <c r="M4830" s="1" t="str">
        <f>VLOOKUP(L4830,'Copy of PMD Workday Constants -'!B4829:W5515,22,false)</f>
        <v>#N/A</v>
      </c>
      <c r="N4830" s="1" t="s">
        <v>32</v>
      </c>
      <c r="O4830" s="1" t="s">
        <v>33</v>
      </c>
      <c r="P4830" s="1" t="s">
        <v>64</v>
      </c>
      <c r="Q4830" s="1" t="s">
        <v>64</v>
      </c>
      <c r="R4830" s="1" t="s">
        <v>65</v>
      </c>
      <c r="S4830" s="1" t="s">
        <v>185</v>
      </c>
      <c r="T4830" s="1">
        <v>1.00592932E8</v>
      </c>
      <c r="W4830" s="1" t="s">
        <v>74</v>
      </c>
      <c r="X4830" s="1" t="s">
        <v>13521</v>
      </c>
    </row>
    <row r="4831">
      <c r="A4831" s="1" t="s">
        <v>13522</v>
      </c>
      <c r="B4831" s="1" t="s">
        <v>10977</v>
      </c>
      <c r="C4831" s="1" t="s">
        <v>13523</v>
      </c>
      <c r="D4831" s="1" t="s">
        <v>51</v>
      </c>
      <c r="E4831" s="1" t="s">
        <v>29</v>
      </c>
      <c r="F4831" s="5">
        <v>75000.0</v>
      </c>
      <c r="G4831" s="1" t="s">
        <v>7016</v>
      </c>
      <c r="H4831" s="1" t="s">
        <v>2069</v>
      </c>
      <c r="I4831" s="1" t="s">
        <v>43</v>
      </c>
      <c r="K4831" s="1">
        <v>0.0</v>
      </c>
      <c r="L4831" s="1" t="s">
        <v>9612</v>
      </c>
      <c r="M4831" s="1" t="str">
        <f>VLOOKUP(L4831,'Copy of PMD Workday Constants -'!B4830:W5516,22,false)</f>
        <v>#N/A</v>
      </c>
      <c r="N4831" s="1" t="s">
        <v>32</v>
      </c>
      <c r="O4831" s="1" t="s">
        <v>33</v>
      </c>
      <c r="P4831" s="1" t="s">
        <v>82</v>
      </c>
      <c r="Q4831" s="1" t="s">
        <v>82</v>
      </c>
      <c r="R4831" s="1" t="s">
        <v>83</v>
      </c>
      <c r="S4831" s="1" t="s">
        <v>180</v>
      </c>
      <c r="T4831" s="1">
        <v>1.0059101E8</v>
      </c>
      <c r="W4831" s="1" t="s">
        <v>85</v>
      </c>
      <c r="X4831" s="1" t="s">
        <v>9612</v>
      </c>
    </row>
    <row r="4832">
      <c r="A4832" s="1" t="s">
        <v>13524</v>
      </c>
      <c r="B4832" s="1" t="s">
        <v>3885</v>
      </c>
      <c r="C4832" s="1" t="s">
        <v>13525</v>
      </c>
      <c r="D4832" s="1" t="s">
        <v>28</v>
      </c>
      <c r="E4832" s="1" t="s">
        <v>29</v>
      </c>
      <c r="F4832" s="5">
        <v>75000.0</v>
      </c>
      <c r="G4832" s="1" t="s">
        <v>7016</v>
      </c>
      <c r="H4832" s="1" t="s">
        <v>706</v>
      </c>
      <c r="I4832" s="1" t="s">
        <v>302</v>
      </c>
      <c r="K4832" s="1">
        <v>0.0</v>
      </c>
      <c r="L4832" s="1" t="s">
        <v>532</v>
      </c>
      <c r="M4832" s="1" t="str">
        <f>VLOOKUP(L4832,'Copy of PMD Workday Constants -'!B4831:W5517,22,false)</f>
        <v>#N/A</v>
      </c>
      <c r="N4832" s="1" t="s">
        <v>32</v>
      </c>
      <c r="O4832" s="1" t="s">
        <v>33</v>
      </c>
      <c r="P4832" s="1" t="s">
        <v>112</v>
      </c>
      <c r="Q4832" s="1" t="s">
        <v>112</v>
      </c>
      <c r="R4832" s="1" t="s">
        <v>113</v>
      </c>
      <c r="S4832" s="1" t="s">
        <v>204</v>
      </c>
      <c r="T4832" s="1">
        <v>1.00646702E8</v>
      </c>
      <c r="W4832" s="1" t="s">
        <v>533</v>
      </c>
      <c r="X4832" s="1" t="s">
        <v>532</v>
      </c>
    </row>
    <row r="4833">
      <c r="A4833" s="1" t="s">
        <v>13526</v>
      </c>
      <c r="B4833" s="1" t="s">
        <v>13527</v>
      </c>
      <c r="C4833" s="1" t="s">
        <v>13528</v>
      </c>
      <c r="D4833" s="1" t="s">
        <v>51</v>
      </c>
      <c r="E4833" s="1" t="s">
        <v>29</v>
      </c>
      <c r="F4833" s="5">
        <v>75000.0</v>
      </c>
      <c r="G4833" s="1" t="s">
        <v>7016</v>
      </c>
      <c r="H4833" s="1" t="s">
        <v>170</v>
      </c>
      <c r="I4833" s="1" t="s">
        <v>1134</v>
      </c>
      <c r="K4833" s="1">
        <v>0.0</v>
      </c>
      <c r="L4833" s="1" t="s">
        <v>1622</v>
      </c>
      <c r="M4833" s="1" t="str">
        <f>VLOOKUP(L4833,'Copy of PMD Workday Constants -'!B4832:W5518,22,false)</f>
        <v>#N/A</v>
      </c>
      <c r="N4833" s="1" t="s">
        <v>32</v>
      </c>
      <c r="O4833" s="1" t="s">
        <v>33</v>
      </c>
      <c r="P4833" s="1" t="s">
        <v>173</v>
      </c>
      <c r="Q4833" s="1" t="s">
        <v>173</v>
      </c>
      <c r="R4833" s="1" t="s">
        <v>174</v>
      </c>
      <c r="T4833" s="1">
        <v>1.00643454E8</v>
      </c>
      <c r="W4833" s="1" t="s">
        <v>140</v>
      </c>
      <c r="X4833" s="1" t="s">
        <v>10605</v>
      </c>
    </row>
    <row r="4834">
      <c r="A4834" s="1" t="s">
        <v>13529</v>
      </c>
      <c r="B4834" s="1" t="s">
        <v>11657</v>
      </c>
      <c r="C4834" s="1" t="s">
        <v>13530</v>
      </c>
      <c r="D4834" s="1" t="s">
        <v>51</v>
      </c>
      <c r="E4834" s="1" t="s">
        <v>29</v>
      </c>
      <c r="F4834" s="5">
        <v>75000.0</v>
      </c>
      <c r="G4834" s="1" t="s">
        <v>7016</v>
      </c>
      <c r="H4834" s="1" t="s">
        <v>11659</v>
      </c>
      <c r="I4834" s="1" t="s">
        <v>80</v>
      </c>
      <c r="K4834" s="1">
        <v>0.0</v>
      </c>
      <c r="L4834" s="1" t="s">
        <v>4608</v>
      </c>
      <c r="M4834" s="1" t="str">
        <f>VLOOKUP(L4834,'Copy of PMD Workday Constants -'!B4833:W5519,22,false)</f>
        <v>#N/A</v>
      </c>
      <c r="N4834" s="1" t="s">
        <v>32</v>
      </c>
      <c r="O4834" s="1" t="s">
        <v>33</v>
      </c>
      <c r="P4834" s="1" t="s">
        <v>222</v>
      </c>
      <c r="Q4834" s="1" t="s">
        <v>222</v>
      </c>
      <c r="R4834" s="1" t="s">
        <v>223</v>
      </c>
      <c r="S4834" s="1" t="s">
        <v>482</v>
      </c>
      <c r="T4834" s="1">
        <v>1.00592715E8</v>
      </c>
      <c r="W4834" s="1" t="s">
        <v>115</v>
      </c>
      <c r="X4834" s="1" t="s">
        <v>4608</v>
      </c>
    </row>
    <row r="4835">
      <c r="A4835" s="1" t="s">
        <v>13531</v>
      </c>
      <c r="B4835" s="1" t="s">
        <v>13532</v>
      </c>
      <c r="C4835" s="1" t="s">
        <v>13533</v>
      </c>
      <c r="D4835" s="1" t="s">
        <v>79</v>
      </c>
      <c r="E4835" s="1" t="s">
        <v>29</v>
      </c>
      <c r="F4835" s="5">
        <v>75000.0</v>
      </c>
      <c r="G4835" s="1" t="s">
        <v>7016</v>
      </c>
      <c r="H4835" s="1" t="s">
        <v>2724</v>
      </c>
      <c r="I4835" s="1" t="s">
        <v>526</v>
      </c>
      <c r="K4835" s="1">
        <v>0.0</v>
      </c>
      <c r="L4835" s="1" t="s">
        <v>13074</v>
      </c>
      <c r="M4835" s="1" t="str">
        <f>VLOOKUP(L4835,'Copy of PMD Workday Constants -'!B4834:W5520,22,false)</f>
        <v>#N/A</v>
      </c>
      <c r="N4835" s="1" t="s">
        <v>32</v>
      </c>
      <c r="O4835" s="1" t="s">
        <v>33</v>
      </c>
      <c r="P4835" s="1" t="s">
        <v>112</v>
      </c>
      <c r="Q4835" s="1" t="s">
        <v>112</v>
      </c>
      <c r="R4835" s="1" t="s">
        <v>113</v>
      </c>
      <c r="T4835" s="1">
        <v>1.00652956E8</v>
      </c>
      <c r="W4835" s="1" t="s">
        <v>140</v>
      </c>
      <c r="X4835" s="1" t="s">
        <v>13074</v>
      </c>
    </row>
    <row r="4836">
      <c r="A4836" s="1" t="s">
        <v>13534</v>
      </c>
      <c r="B4836" s="1" t="s">
        <v>1817</v>
      </c>
      <c r="C4836" s="1" t="s">
        <v>13535</v>
      </c>
      <c r="D4836" s="1" t="s">
        <v>51</v>
      </c>
      <c r="E4836" s="1" t="s">
        <v>29</v>
      </c>
      <c r="F4836" s="5">
        <v>75000.0</v>
      </c>
      <c r="G4836" s="1" t="s">
        <v>7016</v>
      </c>
      <c r="H4836" s="1" t="s">
        <v>870</v>
      </c>
      <c r="I4836" s="1" t="s">
        <v>104</v>
      </c>
      <c r="K4836" s="1">
        <v>0.0</v>
      </c>
      <c r="L4836" s="1" t="s">
        <v>3917</v>
      </c>
      <c r="M4836" s="1" t="str">
        <f>VLOOKUP(L4836,'Copy of PMD Workday Constants -'!B4835:W5521,22,false)</f>
        <v>#N/A</v>
      </c>
      <c r="N4836" s="1" t="s">
        <v>32</v>
      </c>
      <c r="O4836" s="1" t="s">
        <v>33</v>
      </c>
      <c r="P4836" s="1" t="s">
        <v>82</v>
      </c>
      <c r="Q4836" s="1" t="s">
        <v>82</v>
      </c>
      <c r="R4836" s="1" t="s">
        <v>83</v>
      </c>
      <c r="S4836" s="1" t="s">
        <v>180</v>
      </c>
      <c r="T4836" s="1">
        <v>1.00611547E8</v>
      </c>
      <c r="W4836" s="1" t="s">
        <v>2098</v>
      </c>
      <c r="X4836" s="1" t="s">
        <v>13536</v>
      </c>
    </row>
    <row r="4837">
      <c r="A4837" s="1" t="s">
        <v>13537</v>
      </c>
      <c r="B4837" s="1" t="s">
        <v>12848</v>
      </c>
      <c r="C4837" s="1" t="s">
        <v>13538</v>
      </c>
      <c r="D4837" s="1" t="s">
        <v>28</v>
      </c>
      <c r="E4837" s="1" t="s">
        <v>29</v>
      </c>
      <c r="F4837" s="5">
        <v>75000.0</v>
      </c>
      <c r="G4837" s="1" t="s">
        <v>7016</v>
      </c>
      <c r="H4837" s="1" t="s">
        <v>2515</v>
      </c>
      <c r="I4837" s="1" t="s">
        <v>152</v>
      </c>
      <c r="K4837" s="1">
        <v>0.0</v>
      </c>
      <c r="L4837" s="1" t="s">
        <v>3476</v>
      </c>
      <c r="M4837" s="1" t="str">
        <f>VLOOKUP(L4837,'Copy of PMD Workday Constants -'!B4836:W5522,22,false)</f>
        <v>#N/A</v>
      </c>
      <c r="N4837" s="1" t="s">
        <v>32</v>
      </c>
      <c r="O4837" s="1" t="s">
        <v>33</v>
      </c>
      <c r="P4837" s="1" t="s">
        <v>112</v>
      </c>
      <c r="Q4837" s="1" t="s">
        <v>112</v>
      </c>
      <c r="R4837" s="1" t="s">
        <v>113</v>
      </c>
      <c r="S4837" s="1" t="s">
        <v>256</v>
      </c>
      <c r="T4837" s="1">
        <v>1.00702554E8</v>
      </c>
      <c r="W4837" s="1" t="s">
        <v>140</v>
      </c>
      <c r="X4837" s="1" t="s">
        <v>5411</v>
      </c>
    </row>
    <row r="4838">
      <c r="A4838" s="1" t="s">
        <v>13539</v>
      </c>
      <c r="B4838" s="1" t="s">
        <v>11844</v>
      </c>
      <c r="C4838" s="1" t="s">
        <v>13540</v>
      </c>
      <c r="D4838" s="1" t="s">
        <v>79</v>
      </c>
      <c r="E4838" s="1" t="s">
        <v>29</v>
      </c>
      <c r="F4838" s="5">
        <v>75000.0</v>
      </c>
      <c r="G4838" s="1" t="s">
        <v>7016</v>
      </c>
      <c r="H4838" s="1" t="s">
        <v>1842</v>
      </c>
      <c r="I4838" s="1" t="s">
        <v>1349</v>
      </c>
      <c r="K4838" s="1">
        <v>0.0</v>
      </c>
      <c r="L4838" s="1" t="s">
        <v>2194</v>
      </c>
      <c r="M4838" s="1" t="str">
        <f>VLOOKUP(L4838,'Copy of PMD Workday Constants -'!B4837:W5523,22,false)</f>
        <v>#N/A</v>
      </c>
      <c r="N4838" s="1" t="s">
        <v>32</v>
      </c>
      <c r="O4838" s="1" t="s">
        <v>33</v>
      </c>
      <c r="P4838" s="1" t="s">
        <v>173</v>
      </c>
      <c r="Q4838" s="1" t="s">
        <v>173</v>
      </c>
      <c r="R4838" s="1" t="s">
        <v>174</v>
      </c>
      <c r="T4838" s="1">
        <v>1.00691641E8</v>
      </c>
      <c r="W4838" s="1" t="s">
        <v>147</v>
      </c>
      <c r="X4838" s="1" t="s">
        <v>2194</v>
      </c>
    </row>
    <row r="4839">
      <c r="A4839" s="1" t="s">
        <v>13541</v>
      </c>
      <c r="B4839" s="1" t="s">
        <v>13542</v>
      </c>
      <c r="C4839" s="1" t="s">
        <v>13543</v>
      </c>
      <c r="D4839" s="1" t="s">
        <v>51</v>
      </c>
      <c r="E4839" s="1" t="s">
        <v>29</v>
      </c>
      <c r="F4839" s="5">
        <v>75000.0</v>
      </c>
      <c r="G4839" s="1" t="s">
        <v>7016</v>
      </c>
      <c r="H4839" s="1" t="s">
        <v>42</v>
      </c>
      <c r="I4839" s="1" t="s">
        <v>302</v>
      </c>
      <c r="K4839" s="1">
        <v>0.0</v>
      </c>
      <c r="L4839" s="1" t="s">
        <v>2093</v>
      </c>
      <c r="M4839" s="1" t="str">
        <f>VLOOKUP(L4839,'Copy of PMD Workday Constants -'!B4838:W5524,22,false)</f>
        <v>#N/A</v>
      </c>
      <c r="N4839" s="1" t="s">
        <v>32</v>
      </c>
      <c r="O4839" s="1" t="s">
        <v>33</v>
      </c>
      <c r="P4839" s="1" t="s">
        <v>222</v>
      </c>
      <c r="Q4839" s="1" t="s">
        <v>222</v>
      </c>
      <c r="R4839" s="1" t="s">
        <v>223</v>
      </c>
      <c r="S4839" s="1" t="s">
        <v>482</v>
      </c>
      <c r="T4839" s="1">
        <v>1.00612055E8</v>
      </c>
      <c r="W4839" s="1" t="s">
        <v>140</v>
      </c>
      <c r="X4839" s="1" t="s">
        <v>2093</v>
      </c>
    </row>
    <row r="4840">
      <c r="A4840" s="1" t="s">
        <v>13544</v>
      </c>
      <c r="B4840" s="1" t="s">
        <v>13545</v>
      </c>
      <c r="C4840" s="1" t="s">
        <v>13546</v>
      </c>
      <c r="D4840" s="1" t="s">
        <v>28</v>
      </c>
      <c r="E4840" s="1" t="s">
        <v>29</v>
      </c>
      <c r="F4840" s="5">
        <v>73500.0</v>
      </c>
      <c r="G4840" s="1" t="s">
        <v>7016</v>
      </c>
      <c r="H4840" s="1" t="s">
        <v>1015</v>
      </c>
      <c r="I4840" s="1" t="s">
        <v>80</v>
      </c>
      <c r="K4840" s="1">
        <v>0.0</v>
      </c>
      <c r="L4840" s="1" t="s">
        <v>737</v>
      </c>
      <c r="M4840" s="1" t="str">
        <f>VLOOKUP(L4840,'Copy of PMD Workday Constants -'!B4839:W5525,22,false)</f>
        <v>#N/A</v>
      </c>
      <c r="N4840" s="1" t="s">
        <v>32</v>
      </c>
      <c r="O4840" s="1" t="s">
        <v>33</v>
      </c>
      <c r="P4840" s="1" t="s">
        <v>112</v>
      </c>
      <c r="Q4840" s="1" t="s">
        <v>112</v>
      </c>
      <c r="R4840" s="1" t="s">
        <v>113</v>
      </c>
      <c r="T4840" s="1">
        <v>1.00629729E8</v>
      </c>
      <c r="W4840" s="1" t="s">
        <v>37</v>
      </c>
      <c r="X4840" s="1" t="s">
        <v>13547</v>
      </c>
    </row>
    <row r="4841">
      <c r="A4841" s="1" t="s">
        <v>13548</v>
      </c>
      <c r="B4841" s="1" t="s">
        <v>13549</v>
      </c>
      <c r="C4841" s="1" t="s">
        <v>13550</v>
      </c>
      <c r="D4841" s="1" t="s">
        <v>51</v>
      </c>
      <c r="E4841" s="1" t="s">
        <v>29</v>
      </c>
      <c r="F4841" s="5">
        <v>72000.0</v>
      </c>
      <c r="G4841" s="1" t="s">
        <v>7016</v>
      </c>
      <c r="H4841" s="1" t="s">
        <v>1785</v>
      </c>
      <c r="I4841" s="1" t="s">
        <v>80</v>
      </c>
      <c r="K4841" s="1">
        <v>0.0</v>
      </c>
      <c r="L4841" s="1" t="s">
        <v>5558</v>
      </c>
      <c r="M4841" s="1" t="str">
        <f>VLOOKUP(L4841,'Copy of PMD Workday Constants -'!B4840:W5526,22,false)</f>
        <v>#N/A</v>
      </c>
      <c r="N4841" s="1" t="s">
        <v>32</v>
      </c>
      <c r="O4841" s="1" t="s">
        <v>33</v>
      </c>
      <c r="P4841" s="1" t="s">
        <v>222</v>
      </c>
      <c r="Q4841" s="1" t="s">
        <v>222</v>
      </c>
      <c r="R4841" s="1" t="s">
        <v>223</v>
      </c>
      <c r="S4841" s="1" t="s">
        <v>482</v>
      </c>
      <c r="T4841" s="1">
        <v>1.00652479E8</v>
      </c>
      <c r="W4841" s="1" t="s">
        <v>4719</v>
      </c>
      <c r="X4841" s="1" t="s">
        <v>817</v>
      </c>
    </row>
    <row r="4842">
      <c r="A4842" s="1" t="s">
        <v>13551</v>
      </c>
      <c r="B4842" s="1" t="s">
        <v>9050</v>
      </c>
      <c r="C4842" s="1" t="s">
        <v>13552</v>
      </c>
      <c r="D4842" s="1" t="s">
        <v>103</v>
      </c>
      <c r="E4842" s="1" t="s">
        <v>29</v>
      </c>
      <c r="F4842" s="5">
        <v>72000.0</v>
      </c>
      <c r="G4842" s="1" t="s">
        <v>7016</v>
      </c>
      <c r="H4842" s="1" t="s">
        <v>13553</v>
      </c>
      <c r="I4842" s="1" t="s">
        <v>80</v>
      </c>
      <c r="K4842" s="1">
        <v>0.0</v>
      </c>
      <c r="L4842" s="1" t="s">
        <v>198</v>
      </c>
      <c r="M4842" s="1" t="str">
        <f>VLOOKUP(L4842,'Copy of PMD Workday Constants -'!B4841:W5527,22,false)</f>
        <v>#N/A</v>
      </c>
      <c r="N4842" s="1" t="s">
        <v>32</v>
      </c>
      <c r="O4842" s="1" t="s">
        <v>33</v>
      </c>
      <c r="P4842" s="1" t="s">
        <v>82</v>
      </c>
      <c r="Q4842" s="1" t="s">
        <v>82</v>
      </c>
      <c r="R4842" s="1" t="s">
        <v>83</v>
      </c>
      <c r="S4842" s="1" t="s">
        <v>180</v>
      </c>
      <c r="T4842" s="1">
        <v>1.00590896E8</v>
      </c>
      <c r="W4842" s="1" t="s">
        <v>85</v>
      </c>
      <c r="X4842" s="1" t="s">
        <v>12276</v>
      </c>
    </row>
    <row r="4843">
      <c r="A4843" s="1" t="s">
        <v>13554</v>
      </c>
      <c r="B4843" s="1" t="s">
        <v>2091</v>
      </c>
      <c r="C4843" s="1" t="s">
        <v>13555</v>
      </c>
      <c r="D4843" s="1" t="s">
        <v>28</v>
      </c>
      <c r="E4843" s="1" t="s">
        <v>29</v>
      </c>
      <c r="F4843" s="5">
        <v>70224.72</v>
      </c>
      <c r="G4843" s="1" t="s">
        <v>7016</v>
      </c>
      <c r="H4843" s="4">
        <v>44777.0</v>
      </c>
      <c r="I4843" s="1" t="s">
        <v>810</v>
      </c>
      <c r="K4843" s="1">
        <v>0.0</v>
      </c>
      <c r="L4843" s="1" t="s">
        <v>8293</v>
      </c>
      <c r="M4843" s="1" t="str">
        <f>VLOOKUP(L4843,'Copy of PMD Workday Constants -'!B4842:W5528,22,false)</f>
        <v>#N/A</v>
      </c>
      <c r="N4843" s="1" t="s">
        <v>32</v>
      </c>
      <c r="O4843" s="1" t="s">
        <v>33</v>
      </c>
      <c r="P4843" s="1" t="s">
        <v>5253</v>
      </c>
      <c r="Q4843" s="1" t="s">
        <v>5253</v>
      </c>
      <c r="R4843" s="1" t="s">
        <v>65</v>
      </c>
      <c r="T4843" s="1">
        <v>1.00591676E8</v>
      </c>
      <c r="W4843" s="1" t="s">
        <v>308</v>
      </c>
      <c r="X4843" s="1" t="s">
        <v>13352</v>
      </c>
    </row>
    <row r="4844">
      <c r="A4844" s="1" t="s">
        <v>13556</v>
      </c>
      <c r="B4844" s="1" t="s">
        <v>9050</v>
      </c>
      <c r="C4844" s="1" t="s">
        <v>13557</v>
      </c>
      <c r="D4844" s="1" t="s">
        <v>103</v>
      </c>
      <c r="E4844" s="1" t="s">
        <v>29</v>
      </c>
      <c r="F4844" s="5">
        <v>70200.0</v>
      </c>
      <c r="G4844" s="1" t="s">
        <v>7016</v>
      </c>
      <c r="H4844" s="1" t="s">
        <v>3808</v>
      </c>
      <c r="I4844" s="1" t="s">
        <v>104</v>
      </c>
      <c r="K4844" s="1">
        <v>0.0</v>
      </c>
      <c r="L4844" s="1" t="s">
        <v>198</v>
      </c>
      <c r="M4844" s="1" t="str">
        <f>VLOOKUP(L4844,'Copy of PMD Workday Constants -'!B4843:W5529,22,false)</f>
        <v>#N/A</v>
      </c>
      <c r="N4844" s="1" t="s">
        <v>32</v>
      </c>
      <c r="O4844" s="1" t="s">
        <v>33</v>
      </c>
      <c r="P4844" s="1" t="s">
        <v>82</v>
      </c>
      <c r="Q4844" s="1" t="s">
        <v>82</v>
      </c>
      <c r="R4844" s="1" t="s">
        <v>83</v>
      </c>
      <c r="S4844" s="1" t="s">
        <v>180</v>
      </c>
      <c r="T4844" s="1">
        <v>1.00590896E8</v>
      </c>
      <c r="W4844" s="1" t="s">
        <v>85</v>
      </c>
      <c r="X4844" s="1" t="s">
        <v>5126</v>
      </c>
    </row>
    <row r="4845">
      <c r="A4845" s="1" t="s">
        <v>13558</v>
      </c>
      <c r="B4845" s="1" t="s">
        <v>13559</v>
      </c>
      <c r="C4845" s="1" t="s">
        <v>13560</v>
      </c>
      <c r="D4845" s="1" t="s">
        <v>51</v>
      </c>
      <c r="E4845" s="1" t="s">
        <v>29</v>
      </c>
      <c r="F4845" s="5">
        <v>70000.0</v>
      </c>
      <c r="G4845" s="1" t="s">
        <v>7016</v>
      </c>
      <c r="H4845" s="1" t="s">
        <v>2855</v>
      </c>
      <c r="I4845" s="1" t="s">
        <v>132</v>
      </c>
      <c r="K4845" s="1">
        <v>0.0</v>
      </c>
      <c r="L4845" s="1" t="s">
        <v>3408</v>
      </c>
      <c r="M4845" s="1" t="str">
        <f>VLOOKUP(L4845,'Copy of PMD Workday Constants -'!B4844:W5530,22,false)</f>
        <v>#N/A</v>
      </c>
      <c r="N4845" s="1" t="s">
        <v>32</v>
      </c>
      <c r="O4845" s="1" t="s">
        <v>33</v>
      </c>
      <c r="P4845" s="1" t="s">
        <v>222</v>
      </c>
      <c r="Q4845" s="1" t="s">
        <v>222</v>
      </c>
      <c r="R4845" s="1" t="s">
        <v>223</v>
      </c>
      <c r="T4845" s="1">
        <v>1.0066189E8</v>
      </c>
      <c r="W4845" s="1" t="s">
        <v>74</v>
      </c>
      <c r="X4845" s="1" t="s">
        <v>13357</v>
      </c>
    </row>
    <row r="4846">
      <c r="A4846" s="1" t="s">
        <v>13561</v>
      </c>
      <c r="B4846" s="1" t="s">
        <v>973</v>
      </c>
      <c r="C4846" s="1" t="s">
        <v>13562</v>
      </c>
      <c r="D4846" s="1" t="s">
        <v>79</v>
      </c>
      <c r="E4846" s="1" t="s">
        <v>29</v>
      </c>
      <c r="F4846" s="5">
        <v>70000.0</v>
      </c>
      <c r="G4846" s="1" t="s">
        <v>7016</v>
      </c>
      <c r="H4846" s="4">
        <v>44656.0</v>
      </c>
      <c r="I4846" s="1" t="s">
        <v>80</v>
      </c>
      <c r="K4846" s="1">
        <v>0.0</v>
      </c>
      <c r="L4846" s="1" t="s">
        <v>2093</v>
      </c>
      <c r="M4846" s="1" t="str">
        <f>VLOOKUP(L4846,'Copy of PMD Workday Constants -'!B4845:W5531,22,false)</f>
        <v>#N/A</v>
      </c>
      <c r="N4846" s="1" t="s">
        <v>32</v>
      </c>
      <c r="O4846" s="1" t="s">
        <v>33</v>
      </c>
      <c r="P4846" s="1" t="s">
        <v>222</v>
      </c>
      <c r="Q4846" s="1" t="s">
        <v>222</v>
      </c>
      <c r="R4846" s="1" t="s">
        <v>223</v>
      </c>
      <c r="S4846" s="1" t="s">
        <v>646</v>
      </c>
      <c r="T4846" s="1">
        <v>1.00612055E8</v>
      </c>
      <c r="W4846" s="1" t="s">
        <v>456</v>
      </c>
      <c r="X4846" s="1" t="s">
        <v>2093</v>
      </c>
    </row>
    <row r="4847">
      <c r="A4847" s="1" t="s">
        <v>13563</v>
      </c>
      <c r="B4847" s="1" t="s">
        <v>2263</v>
      </c>
      <c r="C4847" s="1" t="s">
        <v>13564</v>
      </c>
      <c r="D4847" s="1" t="s">
        <v>103</v>
      </c>
      <c r="E4847" s="1" t="s">
        <v>29</v>
      </c>
      <c r="F4847" s="5">
        <v>70000.0</v>
      </c>
      <c r="G4847" s="1" t="s">
        <v>7016</v>
      </c>
      <c r="H4847" s="4">
        <v>44621.0</v>
      </c>
      <c r="I4847" s="1" t="s">
        <v>80</v>
      </c>
      <c r="K4847" s="1">
        <v>0.0</v>
      </c>
      <c r="L4847" s="1" t="s">
        <v>4235</v>
      </c>
      <c r="M4847" s="1" t="str">
        <f>VLOOKUP(L4847,'Copy of PMD Workday Constants -'!B4846:W5532,22,false)</f>
        <v>#N/A</v>
      </c>
      <c r="N4847" s="1" t="s">
        <v>32</v>
      </c>
      <c r="O4847" s="1" t="s">
        <v>33</v>
      </c>
      <c r="P4847" s="1" t="s">
        <v>210</v>
      </c>
      <c r="Q4847" s="1" t="s">
        <v>210</v>
      </c>
      <c r="R4847" s="1" t="s">
        <v>211</v>
      </c>
      <c r="S4847" s="1" t="s">
        <v>1313</v>
      </c>
      <c r="T4847" s="1">
        <v>1.00628891E8</v>
      </c>
      <c r="W4847" s="1" t="s">
        <v>577</v>
      </c>
      <c r="X4847" s="1" t="s">
        <v>7115</v>
      </c>
    </row>
    <row r="4848">
      <c r="A4848" s="1" t="s">
        <v>13565</v>
      </c>
      <c r="B4848" s="1" t="s">
        <v>2263</v>
      </c>
      <c r="C4848" s="1" t="s">
        <v>13566</v>
      </c>
      <c r="D4848" s="1" t="s">
        <v>103</v>
      </c>
      <c r="E4848" s="1" t="s">
        <v>29</v>
      </c>
      <c r="F4848" s="5">
        <v>70000.0</v>
      </c>
      <c r="G4848" s="1" t="s">
        <v>7016</v>
      </c>
      <c r="H4848" s="4">
        <v>44621.0</v>
      </c>
      <c r="I4848" s="1" t="s">
        <v>302</v>
      </c>
      <c r="K4848" s="1">
        <v>0.0</v>
      </c>
      <c r="L4848" s="1" t="s">
        <v>4235</v>
      </c>
      <c r="M4848" s="1" t="str">
        <f>VLOOKUP(L4848,'Copy of PMD Workday Constants -'!B4847:W5533,22,false)</f>
        <v>#N/A</v>
      </c>
      <c r="N4848" s="1" t="s">
        <v>32</v>
      </c>
      <c r="O4848" s="1" t="s">
        <v>33</v>
      </c>
      <c r="P4848" s="1" t="s">
        <v>210</v>
      </c>
      <c r="Q4848" s="1" t="s">
        <v>210</v>
      </c>
      <c r="R4848" s="1" t="s">
        <v>211</v>
      </c>
      <c r="S4848" s="1" t="s">
        <v>1313</v>
      </c>
      <c r="T4848" s="1">
        <v>1.00628891E8</v>
      </c>
      <c r="W4848" s="1" t="s">
        <v>577</v>
      </c>
      <c r="X4848" s="1" t="s">
        <v>7115</v>
      </c>
    </row>
    <row r="4849">
      <c r="A4849" s="1" t="s">
        <v>13567</v>
      </c>
      <c r="B4849" s="1" t="s">
        <v>623</v>
      </c>
      <c r="C4849" s="1" t="s">
        <v>13568</v>
      </c>
      <c r="D4849" s="1" t="s">
        <v>103</v>
      </c>
      <c r="E4849" s="1" t="s">
        <v>29</v>
      </c>
      <c r="F4849" s="5">
        <v>70000.0</v>
      </c>
      <c r="G4849" s="1" t="s">
        <v>7016</v>
      </c>
      <c r="H4849" s="1" t="s">
        <v>789</v>
      </c>
      <c r="I4849" s="1" t="s">
        <v>6546</v>
      </c>
      <c r="K4849" s="1">
        <v>0.0</v>
      </c>
      <c r="L4849" s="1" t="s">
        <v>894</v>
      </c>
      <c r="M4849" s="1" t="str">
        <f>VLOOKUP(L4849,'Copy of PMD Workday Constants -'!B4848:W5534,22,false)</f>
        <v>#N/A</v>
      </c>
      <c r="N4849" s="1" t="s">
        <v>32</v>
      </c>
      <c r="O4849" s="1" t="s">
        <v>33</v>
      </c>
      <c r="P4849" s="1" t="s">
        <v>82</v>
      </c>
      <c r="Q4849" s="1" t="s">
        <v>82</v>
      </c>
      <c r="R4849" s="1" t="s">
        <v>83</v>
      </c>
      <c r="S4849" s="1" t="s">
        <v>13569</v>
      </c>
      <c r="T4849" s="1">
        <v>1.01033479E8</v>
      </c>
      <c r="W4849" s="1" t="s">
        <v>85</v>
      </c>
      <c r="X4849" s="1" t="s">
        <v>13570</v>
      </c>
    </row>
    <row r="4850">
      <c r="A4850" s="1" t="s">
        <v>13571</v>
      </c>
      <c r="B4850" s="1" t="s">
        <v>13572</v>
      </c>
      <c r="C4850" s="1" t="s">
        <v>13573</v>
      </c>
      <c r="D4850" s="1" t="s">
        <v>28</v>
      </c>
      <c r="E4850" s="1" t="s">
        <v>29</v>
      </c>
      <c r="F4850" s="5">
        <v>70000.0</v>
      </c>
      <c r="G4850" s="1" t="s">
        <v>7016</v>
      </c>
      <c r="H4850" s="1" t="s">
        <v>2577</v>
      </c>
      <c r="I4850" s="4">
        <v>44573.0</v>
      </c>
      <c r="K4850" s="1">
        <v>0.0</v>
      </c>
      <c r="L4850" s="1" t="s">
        <v>2602</v>
      </c>
      <c r="M4850" s="1" t="str">
        <f>VLOOKUP(L4850,'Copy of PMD Workday Constants -'!B4849:W5535,22,false)</f>
        <v>#N/A</v>
      </c>
      <c r="N4850" s="1" t="s">
        <v>32</v>
      </c>
      <c r="O4850" s="1" t="s">
        <v>33</v>
      </c>
      <c r="P4850" s="1" t="s">
        <v>173</v>
      </c>
      <c r="Q4850" s="1" t="s">
        <v>173</v>
      </c>
      <c r="R4850" s="1" t="s">
        <v>174</v>
      </c>
      <c r="S4850" s="1" t="s">
        <v>8242</v>
      </c>
      <c r="T4850" s="1">
        <v>1.00611351E8</v>
      </c>
      <c r="X4850" s="1" t="s">
        <v>2914</v>
      </c>
    </row>
    <row r="4851">
      <c r="A4851" s="1" t="s">
        <v>13574</v>
      </c>
      <c r="B4851" s="1" t="s">
        <v>13575</v>
      </c>
      <c r="C4851" s="1" t="s">
        <v>13576</v>
      </c>
      <c r="D4851" s="1" t="s">
        <v>51</v>
      </c>
      <c r="E4851" s="1" t="s">
        <v>29</v>
      </c>
      <c r="F4851" s="5">
        <v>70000.0</v>
      </c>
      <c r="G4851" s="1" t="s">
        <v>7016</v>
      </c>
      <c r="H4851" s="1" t="s">
        <v>13577</v>
      </c>
      <c r="I4851" s="1" t="s">
        <v>104</v>
      </c>
      <c r="K4851" s="1">
        <v>0.0</v>
      </c>
      <c r="L4851" s="1" t="s">
        <v>2602</v>
      </c>
      <c r="M4851" s="1" t="str">
        <f>VLOOKUP(L4851,'Copy of PMD Workday Constants -'!B4850:W5536,22,false)</f>
        <v>#N/A</v>
      </c>
      <c r="N4851" s="1" t="s">
        <v>32</v>
      </c>
      <c r="O4851" s="1" t="s">
        <v>33</v>
      </c>
      <c r="P4851" s="1" t="s">
        <v>173</v>
      </c>
      <c r="Q4851" s="1" t="s">
        <v>173</v>
      </c>
      <c r="R4851" s="1" t="s">
        <v>174</v>
      </c>
      <c r="S4851" s="1" t="s">
        <v>383</v>
      </c>
      <c r="T4851" s="1">
        <v>1.00611351E8</v>
      </c>
      <c r="W4851" s="1" t="s">
        <v>1303</v>
      </c>
      <c r="X4851" s="1" t="s">
        <v>2914</v>
      </c>
    </row>
    <row r="4852">
      <c r="A4852" s="1" t="s">
        <v>13578</v>
      </c>
      <c r="B4852" s="1" t="s">
        <v>13579</v>
      </c>
      <c r="C4852" s="1" t="s">
        <v>13580</v>
      </c>
      <c r="D4852" s="1" t="s">
        <v>51</v>
      </c>
      <c r="E4852" s="1" t="s">
        <v>29</v>
      </c>
      <c r="F4852" s="5">
        <v>70000.0</v>
      </c>
      <c r="G4852" s="1" t="s">
        <v>7016</v>
      </c>
      <c r="H4852" s="1" t="s">
        <v>131</v>
      </c>
      <c r="I4852" s="4">
        <v>44568.0</v>
      </c>
      <c r="K4852" s="1">
        <v>0.0</v>
      </c>
      <c r="L4852" s="1" t="s">
        <v>13581</v>
      </c>
      <c r="M4852" s="1" t="str">
        <f>VLOOKUP(L4852,'Copy of PMD Workday Constants -'!B4851:W5537,22,false)</f>
        <v>#N/A</v>
      </c>
      <c r="N4852" s="1" t="s">
        <v>32</v>
      </c>
      <c r="O4852" s="1" t="s">
        <v>33</v>
      </c>
      <c r="P4852" s="1" t="s">
        <v>222</v>
      </c>
      <c r="Q4852" s="1" t="s">
        <v>222</v>
      </c>
      <c r="R4852" s="1" t="s">
        <v>223</v>
      </c>
      <c r="T4852" s="1">
        <v>1.00652798E8</v>
      </c>
      <c r="W4852" s="1" t="s">
        <v>456</v>
      </c>
      <c r="X4852" s="1" t="s">
        <v>13357</v>
      </c>
    </row>
    <row r="4853">
      <c r="A4853" s="1" t="s">
        <v>13582</v>
      </c>
      <c r="B4853" s="1" t="s">
        <v>13583</v>
      </c>
      <c r="C4853" s="1" t="s">
        <v>13584</v>
      </c>
      <c r="D4853" s="1" t="s">
        <v>51</v>
      </c>
      <c r="E4853" s="1" t="s">
        <v>29</v>
      </c>
      <c r="F4853" s="5">
        <v>70000.0</v>
      </c>
      <c r="G4853" s="1" t="s">
        <v>7016</v>
      </c>
      <c r="H4853" s="4">
        <v>44809.0</v>
      </c>
      <c r="I4853" s="1" t="s">
        <v>2724</v>
      </c>
      <c r="K4853" s="1">
        <v>0.0</v>
      </c>
      <c r="L4853" s="1" t="s">
        <v>10207</v>
      </c>
      <c r="M4853" s="1" t="str">
        <f>VLOOKUP(L4853,'Copy of PMD Workday Constants -'!B4852:W5538,22,false)</f>
        <v>#N/A</v>
      </c>
      <c r="N4853" s="1" t="s">
        <v>32</v>
      </c>
      <c r="O4853" s="1" t="s">
        <v>33</v>
      </c>
      <c r="P4853" s="1" t="s">
        <v>222</v>
      </c>
      <c r="Q4853" s="1" t="s">
        <v>222</v>
      </c>
      <c r="R4853" s="1" t="s">
        <v>223</v>
      </c>
      <c r="T4853" s="1">
        <v>1.00612201E8</v>
      </c>
      <c r="W4853" s="1" t="s">
        <v>74</v>
      </c>
      <c r="X4853" s="1" t="s">
        <v>8450</v>
      </c>
    </row>
    <row r="4854">
      <c r="A4854" s="1" t="s">
        <v>13585</v>
      </c>
      <c r="B4854" s="1" t="s">
        <v>1703</v>
      </c>
      <c r="C4854" s="1" t="s">
        <v>13586</v>
      </c>
      <c r="D4854" s="1" t="s">
        <v>51</v>
      </c>
      <c r="E4854" s="1" t="s">
        <v>29</v>
      </c>
      <c r="F4854" s="5">
        <v>70000.0</v>
      </c>
      <c r="G4854" s="1" t="s">
        <v>7016</v>
      </c>
      <c r="H4854" s="1" t="s">
        <v>592</v>
      </c>
      <c r="I4854" s="1" t="s">
        <v>96</v>
      </c>
      <c r="K4854" s="1">
        <v>0.0</v>
      </c>
      <c r="L4854" s="1" t="s">
        <v>1486</v>
      </c>
      <c r="M4854" s="1" t="str">
        <f>VLOOKUP(L4854,'Copy of PMD Workday Constants -'!B4853:W5539,22,false)</f>
        <v>#N/A</v>
      </c>
      <c r="N4854" s="1" t="s">
        <v>32</v>
      </c>
      <c r="O4854" s="1" t="s">
        <v>33</v>
      </c>
      <c r="P4854" s="1" t="s">
        <v>82</v>
      </c>
      <c r="Q4854" s="1" t="s">
        <v>82</v>
      </c>
      <c r="R4854" s="1" t="s">
        <v>83</v>
      </c>
      <c r="S4854" s="1" t="s">
        <v>583</v>
      </c>
      <c r="T4854" s="1">
        <v>1.006324E8</v>
      </c>
      <c r="W4854" s="1" t="s">
        <v>456</v>
      </c>
      <c r="X4854" s="1" t="s">
        <v>1486</v>
      </c>
    </row>
    <row r="4855">
      <c r="A4855" s="1" t="s">
        <v>13587</v>
      </c>
      <c r="B4855" s="1" t="s">
        <v>923</v>
      </c>
      <c r="C4855" s="1" t="s">
        <v>13588</v>
      </c>
      <c r="D4855" s="1" t="s">
        <v>51</v>
      </c>
      <c r="E4855" s="1" t="s">
        <v>29</v>
      </c>
      <c r="F4855" s="5">
        <v>65000.0</v>
      </c>
      <c r="G4855" s="1" t="s">
        <v>7016</v>
      </c>
      <c r="H4855" s="4">
        <v>43990.0</v>
      </c>
      <c r="I4855" s="1" t="s">
        <v>152</v>
      </c>
      <c r="K4855" s="1">
        <v>0.0</v>
      </c>
      <c r="L4855" s="1" t="s">
        <v>1400</v>
      </c>
      <c r="M4855" s="1" t="str">
        <f>VLOOKUP(L4855,'Copy of PMD Workday Constants -'!B4854:W5540,22,false)</f>
        <v>#N/A</v>
      </c>
      <c r="N4855" s="1" t="s">
        <v>32</v>
      </c>
      <c r="O4855" s="1" t="s">
        <v>33</v>
      </c>
      <c r="P4855" s="1" t="s">
        <v>64</v>
      </c>
      <c r="Q4855" s="1" t="s">
        <v>64</v>
      </c>
      <c r="R4855" s="1" t="s">
        <v>65</v>
      </c>
      <c r="S4855" s="1" t="s">
        <v>66</v>
      </c>
      <c r="T4855" s="1">
        <v>1.0059033E8</v>
      </c>
      <c r="W4855" s="1" t="s">
        <v>308</v>
      </c>
      <c r="X4855" s="1" t="s">
        <v>1400</v>
      </c>
    </row>
    <row r="4856">
      <c r="A4856" s="1" t="s">
        <v>13589</v>
      </c>
      <c r="B4856" s="1" t="s">
        <v>11534</v>
      </c>
      <c r="C4856" s="1" t="s">
        <v>13590</v>
      </c>
      <c r="D4856" s="1" t="s">
        <v>51</v>
      </c>
      <c r="E4856" s="1" t="s">
        <v>29</v>
      </c>
      <c r="F4856" s="5">
        <v>65000.0</v>
      </c>
      <c r="G4856" s="1" t="s">
        <v>7016</v>
      </c>
      <c r="H4856" s="4">
        <v>44413.0</v>
      </c>
      <c r="I4856" s="1" t="s">
        <v>80</v>
      </c>
      <c r="K4856" s="1">
        <v>0.0</v>
      </c>
      <c r="L4856" s="1" t="s">
        <v>8928</v>
      </c>
      <c r="M4856" s="1" t="str">
        <f>VLOOKUP(L4856,'Copy of PMD Workday Constants -'!B4855:W5541,22,false)</f>
        <v>#N/A</v>
      </c>
      <c r="N4856" s="1" t="s">
        <v>32</v>
      </c>
      <c r="O4856" s="1" t="s">
        <v>33</v>
      </c>
      <c r="P4856" s="1" t="s">
        <v>222</v>
      </c>
      <c r="Q4856" s="1" t="s">
        <v>222</v>
      </c>
      <c r="R4856" s="1" t="s">
        <v>223</v>
      </c>
      <c r="S4856" s="1" t="s">
        <v>482</v>
      </c>
      <c r="T4856" s="1">
        <v>1.01000708E8</v>
      </c>
      <c r="W4856" s="1" t="s">
        <v>258</v>
      </c>
      <c r="X4856" s="1" t="s">
        <v>13591</v>
      </c>
    </row>
    <row r="4857">
      <c r="A4857" s="1" t="s">
        <v>13592</v>
      </c>
      <c r="B4857" s="1" t="s">
        <v>13593</v>
      </c>
      <c r="C4857" s="1" t="s">
        <v>13594</v>
      </c>
      <c r="D4857" s="1" t="s">
        <v>51</v>
      </c>
      <c r="E4857" s="1" t="s">
        <v>29</v>
      </c>
      <c r="F4857" s="5">
        <v>65000.0</v>
      </c>
      <c r="G4857" s="1" t="s">
        <v>7016</v>
      </c>
      <c r="H4857" s="4">
        <v>44657.0</v>
      </c>
      <c r="I4857" s="1" t="s">
        <v>104</v>
      </c>
      <c r="K4857" s="1">
        <v>0.0</v>
      </c>
      <c r="L4857" s="1" t="s">
        <v>4937</v>
      </c>
      <c r="M4857" s="1" t="str">
        <f>VLOOKUP(L4857,'Copy of PMD Workday Constants -'!B4856:W5542,22,false)</f>
        <v>#N/A</v>
      </c>
      <c r="N4857" s="1" t="s">
        <v>32</v>
      </c>
      <c r="O4857" s="1" t="s">
        <v>33</v>
      </c>
      <c r="P4857" s="1" t="s">
        <v>34</v>
      </c>
      <c r="Q4857" s="1" t="s">
        <v>34</v>
      </c>
      <c r="R4857" s="1" t="s">
        <v>35</v>
      </c>
      <c r="T4857" s="1">
        <v>1.00644939E8</v>
      </c>
      <c r="W4857" s="1" t="s">
        <v>74</v>
      </c>
      <c r="X4857" s="1" t="s">
        <v>3940</v>
      </c>
    </row>
    <row r="4858">
      <c r="A4858" s="1" t="s">
        <v>13595</v>
      </c>
      <c r="B4858" s="1" t="s">
        <v>13596</v>
      </c>
      <c r="C4858" s="1" t="s">
        <v>12019</v>
      </c>
      <c r="D4858" s="1" t="s">
        <v>103</v>
      </c>
      <c r="E4858" s="1" t="s">
        <v>29</v>
      </c>
      <c r="F4858" s="5">
        <v>65000.0</v>
      </c>
      <c r="G4858" s="1" t="s">
        <v>7016</v>
      </c>
      <c r="H4858" s="4">
        <v>44655.0</v>
      </c>
      <c r="I4858" s="1" t="s">
        <v>43</v>
      </c>
      <c r="K4858" s="1">
        <v>0.0</v>
      </c>
      <c r="L4858" s="1" t="s">
        <v>7656</v>
      </c>
      <c r="M4858" s="1" t="str">
        <f>VLOOKUP(L4858,'Copy of PMD Workday Constants -'!B4857:W5543,22,false)</f>
        <v>#N/A</v>
      </c>
      <c r="N4858" s="1" t="s">
        <v>32</v>
      </c>
      <c r="O4858" s="1" t="s">
        <v>33</v>
      </c>
      <c r="P4858" s="1" t="s">
        <v>222</v>
      </c>
      <c r="Q4858" s="1" t="s">
        <v>222</v>
      </c>
      <c r="R4858" s="1" t="s">
        <v>223</v>
      </c>
      <c r="S4858" s="1" t="s">
        <v>482</v>
      </c>
      <c r="T4858" s="1">
        <v>1.01154613E8</v>
      </c>
      <c r="W4858" s="1" t="s">
        <v>85</v>
      </c>
      <c r="X4858" s="1" t="s">
        <v>10097</v>
      </c>
    </row>
    <row r="4859">
      <c r="A4859" s="1" t="s">
        <v>13597</v>
      </c>
      <c r="B4859" s="1" t="s">
        <v>883</v>
      </c>
      <c r="C4859" s="1" t="s">
        <v>13598</v>
      </c>
      <c r="D4859" s="1" t="s">
        <v>28</v>
      </c>
      <c r="E4859" s="1" t="s">
        <v>29</v>
      </c>
      <c r="F4859" s="5">
        <v>65000.0</v>
      </c>
      <c r="G4859" s="1" t="s">
        <v>7016</v>
      </c>
      <c r="H4859" s="4">
        <v>44625.0</v>
      </c>
      <c r="I4859" s="4">
        <v>44689.0</v>
      </c>
      <c r="K4859" s="1">
        <v>0.0</v>
      </c>
      <c r="L4859" s="1" t="s">
        <v>3480</v>
      </c>
      <c r="M4859" s="1" t="str">
        <f>VLOOKUP(L4859,'Copy of PMD Workday Constants -'!B4858:W5544,22,false)</f>
        <v>#N/A</v>
      </c>
      <c r="N4859" s="1" t="s">
        <v>32</v>
      </c>
      <c r="O4859" s="1" t="s">
        <v>33</v>
      </c>
      <c r="P4859" s="1" t="s">
        <v>112</v>
      </c>
      <c r="Q4859" s="1" t="s">
        <v>112</v>
      </c>
      <c r="R4859" s="1" t="s">
        <v>113</v>
      </c>
      <c r="S4859" s="1" t="s">
        <v>307</v>
      </c>
      <c r="T4859" s="1">
        <v>1.00628223E8</v>
      </c>
      <c r="W4859" s="1" t="s">
        <v>47</v>
      </c>
      <c r="X4859" s="1" t="s">
        <v>3435</v>
      </c>
    </row>
    <row r="4860">
      <c r="A4860" s="1" t="s">
        <v>13599</v>
      </c>
      <c r="B4860" s="1" t="s">
        <v>13600</v>
      </c>
      <c r="C4860" s="1" t="s">
        <v>13601</v>
      </c>
      <c r="D4860" s="1" t="s">
        <v>51</v>
      </c>
      <c r="E4860" s="1" t="s">
        <v>29</v>
      </c>
      <c r="F4860" s="5">
        <v>65000.0</v>
      </c>
      <c r="G4860" s="1" t="s">
        <v>7016</v>
      </c>
      <c r="H4860" s="1" t="s">
        <v>375</v>
      </c>
      <c r="I4860" s="1" t="s">
        <v>96</v>
      </c>
      <c r="K4860" s="1">
        <v>0.0</v>
      </c>
      <c r="L4860" s="1" t="s">
        <v>1587</v>
      </c>
      <c r="M4860" s="1" t="str">
        <f>VLOOKUP(L4860,'Copy of PMD Workday Constants -'!B4859:W5545,22,false)</f>
        <v>#N/A</v>
      </c>
      <c r="N4860" s="1" t="s">
        <v>32</v>
      </c>
      <c r="O4860" s="1" t="s">
        <v>33</v>
      </c>
      <c r="P4860" s="1" t="s">
        <v>64</v>
      </c>
      <c r="Q4860" s="1" t="s">
        <v>64</v>
      </c>
      <c r="R4860" s="1" t="s">
        <v>65</v>
      </c>
      <c r="S4860" s="1" t="s">
        <v>1336</v>
      </c>
      <c r="T4860" s="1">
        <v>1.01141441E8</v>
      </c>
      <c r="W4860" s="1" t="s">
        <v>91</v>
      </c>
      <c r="X4860" s="1" t="s">
        <v>11003</v>
      </c>
    </row>
    <row r="4861">
      <c r="A4861" s="1" t="s">
        <v>13602</v>
      </c>
      <c r="B4861" s="1" t="s">
        <v>1546</v>
      </c>
      <c r="C4861" s="1" t="s">
        <v>13603</v>
      </c>
      <c r="D4861" s="1" t="s">
        <v>51</v>
      </c>
      <c r="E4861" s="1" t="s">
        <v>29</v>
      </c>
      <c r="F4861" s="5">
        <v>62000.0</v>
      </c>
      <c r="G4861" s="1" t="s">
        <v>7016</v>
      </c>
      <c r="H4861" s="4">
        <v>43536.0</v>
      </c>
      <c r="I4861" s="1" t="s">
        <v>104</v>
      </c>
      <c r="K4861" s="1">
        <v>0.0</v>
      </c>
      <c r="L4861" s="1" t="s">
        <v>2602</v>
      </c>
      <c r="M4861" s="1" t="str">
        <f>VLOOKUP(L4861,'Copy of PMD Workday Constants -'!B4860:W5546,22,false)</f>
        <v>#N/A</v>
      </c>
      <c r="N4861" s="1" t="s">
        <v>32</v>
      </c>
      <c r="O4861" s="1" t="s">
        <v>33</v>
      </c>
      <c r="P4861" s="1" t="s">
        <v>173</v>
      </c>
      <c r="Q4861" s="1" t="s">
        <v>173</v>
      </c>
      <c r="R4861" s="1" t="s">
        <v>174</v>
      </c>
      <c r="S4861" s="1" t="s">
        <v>383</v>
      </c>
      <c r="T4861" s="1">
        <v>1.00611351E8</v>
      </c>
      <c r="W4861" s="1" t="s">
        <v>1303</v>
      </c>
      <c r="X4861" s="1" t="s">
        <v>2914</v>
      </c>
    </row>
    <row r="4862">
      <c r="A4862" s="1" t="s">
        <v>13604</v>
      </c>
      <c r="B4862" s="1" t="s">
        <v>13605</v>
      </c>
      <c r="C4862" s="1" t="s">
        <v>13606</v>
      </c>
      <c r="D4862" s="1" t="s">
        <v>51</v>
      </c>
      <c r="E4862" s="1" t="s">
        <v>29</v>
      </c>
      <c r="F4862" s="5">
        <v>60000.0</v>
      </c>
      <c r="G4862" s="1" t="s">
        <v>7016</v>
      </c>
      <c r="H4862" s="4">
        <v>43901.0</v>
      </c>
      <c r="I4862" s="1" t="s">
        <v>661</v>
      </c>
      <c r="K4862" s="1">
        <v>0.0</v>
      </c>
      <c r="L4862" s="1" t="s">
        <v>8174</v>
      </c>
      <c r="M4862" s="1" t="str">
        <f>VLOOKUP(L4862,'Copy of PMD Workday Constants -'!B4861:W5547,22,false)</f>
        <v>#N/A</v>
      </c>
      <c r="N4862" s="1" t="s">
        <v>32</v>
      </c>
      <c r="O4862" s="1" t="s">
        <v>33</v>
      </c>
      <c r="P4862" s="1" t="s">
        <v>82</v>
      </c>
      <c r="Q4862" s="1" t="s">
        <v>82</v>
      </c>
      <c r="R4862" s="1" t="s">
        <v>83</v>
      </c>
      <c r="S4862" s="1" t="s">
        <v>180</v>
      </c>
      <c r="T4862" s="1">
        <v>1.00609615E8</v>
      </c>
      <c r="W4862" s="1" t="s">
        <v>85</v>
      </c>
      <c r="X4862" s="1" t="s">
        <v>5126</v>
      </c>
    </row>
    <row r="4863">
      <c r="A4863" s="1" t="s">
        <v>13607</v>
      </c>
      <c r="B4863" s="1" t="s">
        <v>13608</v>
      </c>
      <c r="C4863" s="1" t="s">
        <v>13609</v>
      </c>
      <c r="D4863" s="1" t="s">
        <v>51</v>
      </c>
      <c r="E4863" s="1" t="s">
        <v>29</v>
      </c>
      <c r="F4863" s="5">
        <v>60000.0</v>
      </c>
      <c r="G4863" s="1" t="s">
        <v>7016</v>
      </c>
      <c r="H4863" s="1" t="s">
        <v>1785</v>
      </c>
      <c r="I4863" s="1" t="s">
        <v>80</v>
      </c>
      <c r="K4863" s="1">
        <v>0.0</v>
      </c>
      <c r="L4863" s="1" t="s">
        <v>774</v>
      </c>
      <c r="M4863" s="1" t="str">
        <f>VLOOKUP(L4863,'Copy of PMD Workday Constants -'!B4862:W5548,22,false)</f>
        <v>#N/A</v>
      </c>
      <c r="N4863" s="1" t="s">
        <v>32</v>
      </c>
      <c r="O4863" s="1" t="s">
        <v>33</v>
      </c>
      <c r="P4863" s="1" t="s">
        <v>222</v>
      </c>
      <c r="Q4863" s="1" t="s">
        <v>222</v>
      </c>
      <c r="R4863" s="1" t="s">
        <v>223</v>
      </c>
      <c r="S4863" s="1" t="s">
        <v>482</v>
      </c>
      <c r="T4863" s="1">
        <v>1.0058798E8</v>
      </c>
      <c r="W4863" s="1" t="s">
        <v>4719</v>
      </c>
      <c r="X4863" s="1" t="s">
        <v>817</v>
      </c>
    </row>
    <row r="4864">
      <c r="A4864" s="1" t="s">
        <v>13610</v>
      </c>
      <c r="B4864" s="1" t="s">
        <v>13611</v>
      </c>
      <c r="C4864" s="1" t="s">
        <v>13612</v>
      </c>
      <c r="D4864" s="1" t="s">
        <v>79</v>
      </c>
      <c r="E4864" s="1" t="s">
        <v>29</v>
      </c>
      <c r="F4864" s="5">
        <v>60000.0</v>
      </c>
      <c r="G4864" s="1" t="s">
        <v>7016</v>
      </c>
      <c r="H4864" s="4">
        <v>44022.0</v>
      </c>
      <c r="I4864" s="1" t="s">
        <v>80</v>
      </c>
      <c r="K4864" s="1">
        <v>0.0</v>
      </c>
      <c r="L4864" s="1" t="s">
        <v>6578</v>
      </c>
      <c r="M4864" s="1" t="str">
        <f>VLOOKUP(L4864,'Copy of PMD Workday Constants -'!B4863:W5549,22,false)</f>
        <v>#N/A</v>
      </c>
      <c r="N4864" s="1" t="s">
        <v>32</v>
      </c>
      <c r="O4864" s="1" t="s">
        <v>33</v>
      </c>
      <c r="P4864" s="1" t="s">
        <v>222</v>
      </c>
      <c r="Q4864" s="1" t="s">
        <v>222</v>
      </c>
      <c r="R4864" s="1" t="s">
        <v>223</v>
      </c>
      <c r="S4864" s="1" t="s">
        <v>482</v>
      </c>
      <c r="T4864" s="1">
        <v>1.00597339E8</v>
      </c>
      <c r="W4864" s="1" t="s">
        <v>456</v>
      </c>
      <c r="X4864" s="1" t="s">
        <v>6579</v>
      </c>
    </row>
    <row r="4865">
      <c r="A4865" s="1" t="s">
        <v>13613</v>
      </c>
      <c r="B4865" s="1" t="s">
        <v>7446</v>
      </c>
      <c r="C4865" s="1" t="s">
        <v>13614</v>
      </c>
      <c r="D4865" s="1" t="s">
        <v>103</v>
      </c>
      <c r="E4865" s="1" t="s">
        <v>29</v>
      </c>
      <c r="F4865" s="5">
        <v>60000.0</v>
      </c>
      <c r="G4865" s="1" t="s">
        <v>7016</v>
      </c>
      <c r="H4865" s="4">
        <v>44481.0</v>
      </c>
      <c r="I4865" s="1" t="s">
        <v>302</v>
      </c>
      <c r="K4865" s="1">
        <v>0.0</v>
      </c>
      <c r="L4865" s="1" t="s">
        <v>1344</v>
      </c>
      <c r="M4865" s="1" t="str">
        <f>VLOOKUP(L4865,'Copy of PMD Workday Constants -'!B4864:W5550,22,false)</f>
        <v>#N/A</v>
      </c>
      <c r="N4865" s="1" t="s">
        <v>32</v>
      </c>
      <c r="O4865" s="1" t="s">
        <v>33</v>
      </c>
      <c r="P4865" s="1" t="s">
        <v>112</v>
      </c>
      <c r="Q4865" s="1" t="s">
        <v>112</v>
      </c>
      <c r="R4865" s="1" t="s">
        <v>113</v>
      </c>
      <c r="S4865" s="1" t="s">
        <v>134</v>
      </c>
      <c r="T4865" s="1">
        <v>1.0061941E8</v>
      </c>
      <c r="W4865" s="1" t="s">
        <v>74</v>
      </c>
      <c r="X4865" s="1" t="s">
        <v>7448</v>
      </c>
    </row>
    <row r="4866">
      <c r="A4866" s="1" t="s">
        <v>13615</v>
      </c>
      <c r="B4866" s="1" t="s">
        <v>13616</v>
      </c>
      <c r="C4866" s="1" t="s">
        <v>13617</v>
      </c>
      <c r="D4866" s="1" t="s">
        <v>103</v>
      </c>
      <c r="E4866" s="1" t="s">
        <v>29</v>
      </c>
      <c r="F4866" s="5">
        <v>60000.0</v>
      </c>
      <c r="G4866" s="1" t="s">
        <v>7016</v>
      </c>
      <c r="H4866" s="4">
        <v>44898.0</v>
      </c>
      <c r="I4866" s="1" t="s">
        <v>104</v>
      </c>
      <c r="K4866" s="1">
        <v>0.0</v>
      </c>
      <c r="L4866" s="1" t="s">
        <v>10207</v>
      </c>
      <c r="M4866" s="1" t="str">
        <f>VLOOKUP(L4866,'Copy of PMD Workday Constants -'!B4865:W5551,22,false)</f>
        <v>#N/A</v>
      </c>
      <c r="N4866" s="1" t="s">
        <v>32</v>
      </c>
      <c r="O4866" s="1" t="s">
        <v>33</v>
      </c>
      <c r="P4866" s="1" t="s">
        <v>222</v>
      </c>
      <c r="Q4866" s="1" t="s">
        <v>222</v>
      </c>
      <c r="R4866" s="1" t="s">
        <v>223</v>
      </c>
      <c r="S4866" s="1" t="s">
        <v>482</v>
      </c>
      <c r="T4866" s="1">
        <v>1.00612201E8</v>
      </c>
      <c r="W4866" s="1" t="s">
        <v>456</v>
      </c>
      <c r="X4866" s="1" t="s">
        <v>13186</v>
      </c>
    </row>
    <row r="4867">
      <c r="A4867" s="1" t="s">
        <v>13618</v>
      </c>
      <c r="B4867" s="1" t="s">
        <v>13619</v>
      </c>
      <c r="C4867" s="1" t="s">
        <v>13620</v>
      </c>
      <c r="D4867" s="1" t="s">
        <v>103</v>
      </c>
      <c r="E4867" s="1" t="s">
        <v>29</v>
      </c>
      <c r="F4867" s="5">
        <v>60000.0</v>
      </c>
      <c r="G4867" s="1" t="s">
        <v>7016</v>
      </c>
      <c r="H4867" s="1" t="s">
        <v>810</v>
      </c>
      <c r="I4867" s="1" t="s">
        <v>80</v>
      </c>
      <c r="K4867" s="1">
        <v>0.0</v>
      </c>
      <c r="L4867" s="1" t="s">
        <v>7664</v>
      </c>
      <c r="M4867" s="1" t="str">
        <f>VLOOKUP(L4867,'Copy of PMD Workday Constants -'!B4866:W5552,22,false)</f>
        <v>#N/A</v>
      </c>
      <c r="N4867" s="1" t="s">
        <v>32</v>
      </c>
      <c r="O4867" s="1" t="s">
        <v>33</v>
      </c>
      <c r="P4867" s="1" t="s">
        <v>222</v>
      </c>
      <c r="Q4867" s="1" t="s">
        <v>222</v>
      </c>
      <c r="R4867" s="1" t="s">
        <v>223</v>
      </c>
      <c r="S4867" s="1" t="s">
        <v>601</v>
      </c>
      <c r="T4867" s="1">
        <v>1.00882877E8</v>
      </c>
      <c r="W4867" s="1" t="s">
        <v>436</v>
      </c>
      <c r="X4867" s="1" t="s">
        <v>7664</v>
      </c>
    </row>
    <row r="4868">
      <c r="A4868" s="1" t="s">
        <v>13621</v>
      </c>
      <c r="B4868" s="1" t="s">
        <v>13622</v>
      </c>
      <c r="C4868" s="1" t="s">
        <v>13623</v>
      </c>
      <c r="D4868" s="1" t="s">
        <v>79</v>
      </c>
      <c r="E4868" s="1" t="s">
        <v>29</v>
      </c>
      <c r="F4868" s="5">
        <v>60000.0</v>
      </c>
      <c r="G4868" s="1" t="s">
        <v>7016</v>
      </c>
      <c r="H4868" s="1" t="s">
        <v>1785</v>
      </c>
      <c r="I4868" s="1" t="s">
        <v>1349</v>
      </c>
      <c r="K4868" s="1">
        <v>0.0</v>
      </c>
      <c r="L4868" s="1" t="s">
        <v>1461</v>
      </c>
      <c r="M4868" s="1" t="str">
        <f>VLOOKUP(L4868,'Copy of PMD Workday Constants -'!B4867:W5553,22,false)</f>
        <v>#N/A</v>
      </c>
      <c r="N4868" s="1" t="s">
        <v>32</v>
      </c>
      <c r="O4868" s="1" t="s">
        <v>33</v>
      </c>
      <c r="P4868" s="1" t="s">
        <v>54</v>
      </c>
      <c r="Q4868" s="1" t="s">
        <v>54</v>
      </c>
      <c r="R4868" s="1" t="s">
        <v>55</v>
      </c>
      <c r="S4868" s="1" t="s">
        <v>2055</v>
      </c>
      <c r="T4868" s="1">
        <v>1.00619007E8</v>
      </c>
      <c r="W4868" s="1" t="s">
        <v>947</v>
      </c>
      <c r="X4868" s="1" t="s">
        <v>13624</v>
      </c>
    </row>
    <row r="4869">
      <c r="A4869" s="1" t="s">
        <v>13625</v>
      </c>
      <c r="B4869" s="1" t="s">
        <v>7281</v>
      </c>
      <c r="C4869" s="1" t="s">
        <v>13626</v>
      </c>
      <c r="D4869" s="1" t="s">
        <v>103</v>
      </c>
      <c r="E4869" s="1" t="s">
        <v>29</v>
      </c>
      <c r="F4869" s="5">
        <v>60000.0</v>
      </c>
      <c r="G4869" s="1" t="s">
        <v>7016</v>
      </c>
      <c r="H4869" s="1" t="s">
        <v>509</v>
      </c>
      <c r="I4869" s="1" t="s">
        <v>1785</v>
      </c>
      <c r="K4869" s="1">
        <v>0.0</v>
      </c>
      <c r="L4869" s="1" t="s">
        <v>5205</v>
      </c>
      <c r="M4869" s="1" t="str">
        <f>VLOOKUP(L4869,'Copy of PMD Workday Constants -'!B4868:W5554,22,false)</f>
        <v>#N/A</v>
      </c>
      <c r="N4869" s="1" t="s">
        <v>32</v>
      </c>
      <c r="O4869" s="1" t="s">
        <v>33</v>
      </c>
      <c r="P4869" s="1" t="s">
        <v>222</v>
      </c>
      <c r="Q4869" s="1" t="s">
        <v>222</v>
      </c>
      <c r="R4869" s="1" t="s">
        <v>223</v>
      </c>
      <c r="S4869" s="1" t="s">
        <v>1336</v>
      </c>
      <c r="T4869" s="1">
        <v>1.00896447E8</v>
      </c>
      <c r="W4869" s="1" t="s">
        <v>577</v>
      </c>
      <c r="X4869" s="1" t="s">
        <v>13339</v>
      </c>
    </row>
    <row r="4870">
      <c r="A4870" s="1" t="s">
        <v>13627</v>
      </c>
      <c r="B4870" s="1" t="s">
        <v>863</v>
      </c>
      <c r="C4870" s="1" t="s">
        <v>13628</v>
      </c>
      <c r="D4870" s="1" t="s">
        <v>28</v>
      </c>
      <c r="E4870" s="1" t="s">
        <v>29</v>
      </c>
      <c r="F4870" s="5">
        <v>60000.0</v>
      </c>
      <c r="G4870" s="1" t="s">
        <v>7016</v>
      </c>
      <c r="H4870" s="1" t="s">
        <v>8514</v>
      </c>
      <c r="I4870" s="1" t="s">
        <v>302</v>
      </c>
      <c r="K4870" s="1">
        <v>0.0</v>
      </c>
      <c r="L4870" s="1" t="s">
        <v>9612</v>
      </c>
      <c r="M4870" s="1" t="str">
        <f>VLOOKUP(L4870,'Copy of PMD Workday Constants -'!B4869:W5555,22,false)</f>
        <v>#N/A</v>
      </c>
      <c r="N4870" s="1" t="s">
        <v>32</v>
      </c>
      <c r="O4870" s="1" t="s">
        <v>33</v>
      </c>
      <c r="P4870" s="1" t="s">
        <v>82</v>
      </c>
      <c r="Q4870" s="1" t="s">
        <v>82</v>
      </c>
      <c r="R4870" s="1" t="s">
        <v>83</v>
      </c>
      <c r="S4870" s="1" t="s">
        <v>153</v>
      </c>
      <c r="T4870" s="1">
        <v>1.0059101E8</v>
      </c>
      <c r="W4870" s="1" t="s">
        <v>85</v>
      </c>
      <c r="X4870" s="1" t="s">
        <v>2432</v>
      </c>
    </row>
    <row r="4871">
      <c r="A4871" s="1" t="s">
        <v>13629</v>
      </c>
      <c r="B4871" s="1" t="s">
        <v>13630</v>
      </c>
      <c r="C4871" s="1" t="s">
        <v>13631</v>
      </c>
      <c r="D4871" s="1" t="s">
        <v>28</v>
      </c>
      <c r="E4871" s="1" t="s">
        <v>29</v>
      </c>
      <c r="F4871" s="5">
        <v>60000.0</v>
      </c>
      <c r="G4871" s="1" t="s">
        <v>7016</v>
      </c>
      <c r="H4871" s="1" t="s">
        <v>330</v>
      </c>
      <c r="I4871" s="1" t="s">
        <v>43</v>
      </c>
      <c r="K4871" s="1">
        <v>0.0</v>
      </c>
      <c r="L4871" s="1" t="s">
        <v>4608</v>
      </c>
      <c r="M4871" s="1" t="str">
        <f>VLOOKUP(L4871,'Copy of PMD Workday Constants -'!B4870:W5556,22,false)</f>
        <v>#N/A</v>
      </c>
      <c r="N4871" s="1" t="s">
        <v>32</v>
      </c>
      <c r="O4871" s="1" t="s">
        <v>33</v>
      </c>
      <c r="P4871" s="1" t="s">
        <v>222</v>
      </c>
      <c r="Q4871" s="1" t="s">
        <v>222</v>
      </c>
      <c r="R4871" s="1" t="s">
        <v>223</v>
      </c>
      <c r="S4871" s="1" t="s">
        <v>482</v>
      </c>
      <c r="T4871" s="1">
        <v>1.00592715E8</v>
      </c>
      <c r="W4871" s="1" t="s">
        <v>436</v>
      </c>
      <c r="X4871" s="1" t="s">
        <v>4608</v>
      </c>
    </row>
    <row r="4872">
      <c r="A4872" s="1" t="s">
        <v>13632</v>
      </c>
      <c r="B4872" s="1" t="s">
        <v>7281</v>
      </c>
      <c r="C4872" s="1" t="s">
        <v>13633</v>
      </c>
      <c r="D4872" s="1" t="s">
        <v>103</v>
      </c>
      <c r="E4872" s="1" t="s">
        <v>29</v>
      </c>
      <c r="F4872" s="5">
        <v>60000.0</v>
      </c>
      <c r="G4872" s="1" t="s">
        <v>7016</v>
      </c>
      <c r="H4872" s="4">
        <v>44598.0</v>
      </c>
      <c r="I4872" s="1" t="s">
        <v>131</v>
      </c>
      <c r="K4872" s="1">
        <v>0.0</v>
      </c>
      <c r="L4872" s="1" t="s">
        <v>13634</v>
      </c>
      <c r="M4872" s="1" t="str">
        <f>VLOOKUP(L4872,'Copy of PMD Workday Constants -'!B4871:W5557,22,false)</f>
        <v>#N/A</v>
      </c>
      <c r="N4872" s="1" t="s">
        <v>32</v>
      </c>
      <c r="O4872" s="1" t="s">
        <v>33</v>
      </c>
      <c r="P4872" s="1" t="s">
        <v>222</v>
      </c>
      <c r="Q4872" s="1" t="s">
        <v>222</v>
      </c>
      <c r="R4872" s="1" t="s">
        <v>223</v>
      </c>
      <c r="T4872" s="1">
        <v>1.00582604E8</v>
      </c>
      <c r="W4872" s="1" t="s">
        <v>577</v>
      </c>
      <c r="X4872" s="1" t="s">
        <v>13635</v>
      </c>
    </row>
    <row r="4873">
      <c r="A4873" s="1" t="s">
        <v>13636</v>
      </c>
      <c r="B4873" s="1" t="s">
        <v>485</v>
      </c>
      <c r="C4873" s="1" t="s">
        <v>13637</v>
      </c>
      <c r="D4873" s="1" t="s">
        <v>103</v>
      </c>
      <c r="E4873" s="1" t="s">
        <v>29</v>
      </c>
      <c r="F4873" s="5">
        <v>60000.0</v>
      </c>
      <c r="G4873" s="1" t="s">
        <v>7016</v>
      </c>
      <c r="H4873" s="1" t="s">
        <v>556</v>
      </c>
      <c r="I4873" s="1" t="s">
        <v>732</v>
      </c>
      <c r="K4873" s="1">
        <v>0.0</v>
      </c>
      <c r="L4873" s="1" t="s">
        <v>11159</v>
      </c>
      <c r="M4873" s="1" t="str">
        <f>VLOOKUP(L4873,'Copy of PMD Workday Constants -'!B4872:W5558,22,false)</f>
        <v>#N/A</v>
      </c>
      <c r="N4873" s="1" t="s">
        <v>32</v>
      </c>
      <c r="O4873" s="1" t="s">
        <v>33</v>
      </c>
      <c r="P4873" s="1" t="s">
        <v>222</v>
      </c>
      <c r="Q4873" s="1" t="s">
        <v>222</v>
      </c>
      <c r="R4873" s="1" t="s">
        <v>223</v>
      </c>
      <c r="S4873" s="1" t="s">
        <v>646</v>
      </c>
      <c r="T4873" s="1">
        <v>1.00602248E8</v>
      </c>
      <c r="W4873" s="1" t="s">
        <v>947</v>
      </c>
      <c r="X4873" s="1" t="s">
        <v>13363</v>
      </c>
    </row>
    <row r="4874">
      <c r="A4874" s="1" t="s">
        <v>13638</v>
      </c>
      <c r="B4874" s="1" t="s">
        <v>3518</v>
      </c>
      <c r="C4874" s="1" t="s">
        <v>13639</v>
      </c>
      <c r="D4874" s="1" t="s">
        <v>103</v>
      </c>
      <c r="E4874" s="1" t="s">
        <v>29</v>
      </c>
      <c r="F4874" s="5">
        <v>60000.0</v>
      </c>
      <c r="G4874" s="1" t="s">
        <v>7016</v>
      </c>
      <c r="H4874" s="4">
        <v>44840.0</v>
      </c>
      <c r="I4874" s="1" t="s">
        <v>96</v>
      </c>
      <c r="K4874" s="1">
        <v>0.0</v>
      </c>
      <c r="L4874" s="1" t="s">
        <v>1916</v>
      </c>
      <c r="M4874" s="1" t="str">
        <f>VLOOKUP(L4874,'Copy of PMD Workday Constants -'!B4873:W5559,22,false)</f>
        <v>#N/A</v>
      </c>
      <c r="N4874" s="1" t="s">
        <v>32</v>
      </c>
      <c r="O4874" s="1" t="s">
        <v>33</v>
      </c>
      <c r="P4874" s="1" t="s">
        <v>222</v>
      </c>
      <c r="Q4874" s="1" t="s">
        <v>222</v>
      </c>
      <c r="R4874" s="1" t="s">
        <v>223</v>
      </c>
      <c r="S4874" s="1" t="s">
        <v>601</v>
      </c>
      <c r="T4874" s="1">
        <v>1.00955805E8</v>
      </c>
      <c r="W4874" s="1" t="s">
        <v>140</v>
      </c>
      <c r="X4874" s="1" t="s">
        <v>1916</v>
      </c>
    </row>
    <row r="4875">
      <c r="A4875" s="1" t="s">
        <v>13640</v>
      </c>
      <c r="B4875" s="1" t="s">
        <v>5237</v>
      </c>
      <c r="C4875" s="1" t="s">
        <v>13641</v>
      </c>
      <c r="D4875" s="1" t="s">
        <v>103</v>
      </c>
      <c r="E4875" s="1" t="s">
        <v>29</v>
      </c>
      <c r="F4875" s="5">
        <v>60000.0</v>
      </c>
      <c r="G4875" s="1" t="s">
        <v>7016</v>
      </c>
      <c r="H4875" s="1" t="s">
        <v>2241</v>
      </c>
      <c r="I4875" s="1" t="s">
        <v>80</v>
      </c>
      <c r="K4875" s="1">
        <v>0.0</v>
      </c>
      <c r="L4875" s="1" t="s">
        <v>4994</v>
      </c>
      <c r="M4875" s="1" t="str">
        <f>VLOOKUP(L4875,'Copy of PMD Workday Constants -'!B4874:W5560,22,false)</f>
        <v>#N/A</v>
      </c>
      <c r="N4875" s="1" t="s">
        <v>32</v>
      </c>
      <c r="O4875" s="1" t="s">
        <v>33</v>
      </c>
      <c r="P4875" s="1" t="s">
        <v>82</v>
      </c>
      <c r="Q4875" s="1" t="s">
        <v>82</v>
      </c>
      <c r="R4875" s="1" t="s">
        <v>83</v>
      </c>
      <c r="S4875" s="1" t="s">
        <v>180</v>
      </c>
      <c r="T4875" s="1">
        <v>1.00618376E8</v>
      </c>
      <c r="W4875" s="1" t="s">
        <v>85</v>
      </c>
      <c r="X4875" s="1" t="s">
        <v>4994</v>
      </c>
    </row>
    <row r="4876">
      <c r="A4876" s="1" t="s">
        <v>13642</v>
      </c>
      <c r="B4876" s="1" t="s">
        <v>13643</v>
      </c>
      <c r="C4876" s="1" t="s">
        <v>11346</v>
      </c>
      <c r="D4876" s="1" t="s">
        <v>103</v>
      </c>
      <c r="E4876" s="1" t="s">
        <v>29</v>
      </c>
      <c r="F4876" s="5">
        <v>60000.0</v>
      </c>
      <c r="G4876" s="1" t="s">
        <v>7016</v>
      </c>
      <c r="H4876" s="1" t="s">
        <v>170</v>
      </c>
      <c r="I4876" s="1" t="s">
        <v>810</v>
      </c>
      <c r="K4876" s="1">
        <v>0.0</v>
      </c>
      <c r="L4876" s="1" t="s">
        <v>11908</v>
      </c>
      <c r="M4876" s="1" t="str">
        <f>VLOOKUP(L4876,'Copy of PMD Workday Constants -'!B4875:W5561,22,false)</f>
        <v>#N/A</v>
      </c>
      <c r="N4876" s="1" t="s">
        <v>32</v>
      </c>
      <c r="O4876" s="1" t="s">
        <v>33</v>
      </c>
      <c r="P4876" s="1" t="s">
        <v>222</v>
      </c>
      <c r="Q4876" s="1" t="s">
        <v>222</v>
      </c>
      <c r="R4876" s="1" t="s">
        <v>223</v>
      </c>
      <c r="T4876" s="1">
        <v>1.00642273E8</v>
      </c>
      <c r="W4876" s="1" t="s">
        <v>258</v>
      </c>
      <c r="X4876" s="1" t="s">
        <v>10097</v>
      </c>
    </row>
    <row r="4877">
      <c r="A4877" s="1" t="s">
        <v>13644</v>
      </c>
      <c r="B4877" s="1" t="s">
        <v>13645</v>
      </c>
      <c r="C4877" s="1" t="s">
        <v>13646</v>
      </c>
      <c r="D4877" s="1" t="s">
        <v>51</v>
      </c>
      <c r="E4877" s="1" t="s">
        <v>29</v>
      </c>
      <c r="F4877" s="5">
        <v>60000.0</v>
      </c>
      <c r="G4877" s="1" t="s">
        <v>7016</v>
      </c>
      <c r="H4877" s="4">
        <v>44294.0</v>
      </c>
      <c r="I4877" s="1" t="s">
        <v>80</v>
      </c>
      <c r="K4877" s="1">
        <v>0.0</v>
      </c>
      <c r="L4877" s="1" t="s">
        <v>5558</v>
      </c>
      <c r="M4877" s="1" t="str">
        <f>VLOOKUP(L4877,'Copy of PMD Workday Constants -'!B4876:W5562,22,false)</f>
        <v>#N/A</v>
      </c>
      <c r="N4877" s="1" t="s">
        <v>32</v>
      </c>
      <c r="O4877" s="1" t="s">
        <v>33</v>
      </c>
      <c r="P4877" s="1" t="s">
        <v>222</v>
      </c>
      <c r="Q4877" s="1" t="s">
        <v>222</v>
      </c>
      <c r="R4877" s="1" t="s">
        <v>223</v>
      </c>
      <c r="S4877" s="1" t="s">
        <v>482</v>
      </c>
      <c r="T4877" s="1">
        <v>1.00652479E8</v>
      </c>
      <c r="W4877" s="1" t="s">
        <v>436</v>
      </c>
      <c r="X4877" s="1" t="s">
        <v>9490</v>
      </c>
    </row>
    <row r="4878">
      <c r="A4878" s="1" t="s">
        <v>13647</v>
      </c>
      <c r="B4878" s="1" t="s">
        <v>5554</v>
      </c>
      <c r="C4878" s="1" t="s">
        <v>13648</v>
      </c>
      <c r="D4878" s="1" t="s">
        <v>103</v>
      </c>
      <c r="E4878" s="1" t="s">
        <v>29</v>
      </c>
      <c r="F4878" s="5">
        <v>55645.8</v>
      </c>
      <c r="G4878" s="1" t="s">
        <v>7016</v>
      </c>
      <c r="H4878" s="4">
        <v>44596.0</v>
      </c>
      <c r="I4878" s="1" t="s">
        <v>810</v>
      </c>
      <c r="K4878" s="1">
        <v>0.0</v>
      </c>
      <c r="L4878" s="1" t="s">
        <v>3408</v>
      </c>
      <c r="M4878" s="1" t="str">
        <f>VLOOKUP(L4878,'Copy of PMD Workday Constants -'!B4877:W5563,22,false)</f>
        <v>#N/A</v>
      </c>
      <c r="N4878" s="1" t="s">
        <v>32</v>
      </c>
      <c r="O4878" s="1" t="s">
        <v>33</v>
      </c>
      <c r="P4878" s="1" t="s">
        <v>222</v>
      </c>
      <c r="Q4878" s="1" t="s">
        <v>222</v>
      </c>
      <c r="R4878" s="1" t="s">
        <v>223</v>
      </c>
      <c r="S4878" s="1" t="s">
        <v>482</v>
      </c>
      <c r="T4878" s="1">
        <v>1.0066189E8</v>
      </c>
      <c r="W4878" s="1" t="s">
        <v>2098</v>
      </c>
      <c r="X4878" s="1" t="s">
        <v>817</v>
      </c>
    </row>
    <row r="4879">
      <c r="A4879" s="1" t="s">
        <v>13649</v>
      </c>
      <c r="B4879" s="1" t="s">
        <v>450</v>
      </c>
      <c r="C4879" s="1" t="s">
        <v>13650</v>
      </c>
      <c r="D4879" s="1" t="s">
        <v>103</v>
      </c>
      <c r="E4879" s="1" t="s">
        <v>29</v>
      </c>
      <c r="F4879" s="5">
        <v>55508.38</v>
      </c>
      <c r="G4879" s="1" t="s">
        <v>7016</v>
      </c>
      <c r="H4879" s="4">
        <v>44567.0</v>
      </c>
      <c r="I4879" s="4">
        <v>44567.0</v>
      </c>
      <c r="K4879" s="1">
        <v>0.0</v>
      </c>
      <c r="L4879" s="1" t="s">
        <v>11915</v>
      </c>
      <c r="M4879" s="1" t="str">
        <f>VLOOKUP(L4879,'Copy of PMD Workday Constants -'!B4878:W5564,22,false)</f>
        <v>#N/A</v>
      </c>
      <c r="N4879" s="1" t="s">
        <v>32</v>
      </c>
      <c r="O4879" s="1" t="s">
        <v>33</v>
      </c>
      <c r="P4879" s="1" t="s">
        <v>112</v>
      </c>
      <c r="Q4879" s="1" t="s">
        <v>112</v>
      </c>
      <c r="R4879" s="1" t="s">
        <v>113</v>
      </c>
      <c r="T4879" s="1">
        <v>1.0065465E8</v>
      </c>
      <c r="W4879" s="1" t="s">
        <v>456</v>
      </c>
      <c r="X4879" s="1" t="s">
        <v>11915</v>
      </c>
    </row>
    <row r="4880">
      <c r="A4880" s="1" t="s">
        <v>13651</v>
      </c>
      <c r="B4880" s="1" t="s">
        <v>13652</v>
      </c>
      <c r="C4880" s="1" t="s">
        <v>13653</v>
      </c>
      <c r="D4880" s="1" t="s">
        <v>103</v>
      </c>
      <c r="E4880" s="1" t="s">
        <v>29</v>
      </c>
      <c r="F4880" s="5">
        <v>55176.57</v>
      </c>
      <c r="G4880" s="1" t="s">
        <v>7016</v>
      </c>
      <c r="H4880" s="4">
        <v>44389.0</v>
      </c>
      <c r="I4880" s="1" t="s">
        <v>80</v>
      </c>
      <c r="K4880" s="1">
        <v>0.0</v>
      </c>
      <c r="L4880" s="1" t="s">
        <v>7637</v>
      </c>
      <c r="M4880" s="1" t="str">
        <f>VLOOKUP(L4880,'Copy of PMD Workday Constants -'!B4879:W5565,22,false)</f>
        <v>#N/A</v>
      </c>
      <c r="N4880" s="1" t="s">
        <v>32</v>
      </c>
      <c r="O4880" s="1" t="s">
        <v>33</v>
      </c>
      <c r="P4880" s="1" t="s">
        <v>5253</v>
      </c>
      <c r="Q4880" s="1" t="s">
        <v>5253</v>
      </c>
      <c r="R4880" s="1" t="s">
        <v>35</v>
      </c>
      <c r="T4880" s="1">
        <v>1.00613849E8</v>
      </c>
      <c r="W4880" s="1" t="s">
        <v>115</v>
      </c>
      <c r="X4880" s="1" t="s">
        <v>5569</v>
      </c>
    </row>
    <row r="4881">
      <c r="A4881" s="1" t="s">
        <v>13654</v>
      </c>
      <c r="B4881" s="1" t="s">
        <v>6851</v>
      </c>
      <c r="C4881" s="1" t="s">
        <v>13655</v>
      </c>
      <c r="D4881" s="1" t="s">
        <v>79</v>
      </c>
      <c r="E4881" s="1" t="s">
        <v>29</v>
      </c>
      <c r="F4881" s="5">
        <v>55000.0</v>
      </c>
      <c r="G4881" s="1" t="s">
        <v>7016</v>
      </c>
      <c r="H4881" s="4">
        <v>44297.0</v>
      </c>
      <c r="I4881" s="1" t="s">
        <v>191</v>
      </c>
      <c r="K4881" s="1">
        <v>0.0</v>
      </c>
      <c r="L4881" s="1" t="s">
        <v>8869</v>
      </c>
      <c r="M4881" s="1" t="str">
        <f>VLOOKUP(L4881,'Copy of PMD Workday Constants -'!B4880:W5566,22,false)</f>
        <v>#N/A</v>
      </c>
      <c r="N4881" s="1" t="s">
        <v>32</v>
      </c>
      <c r="O4881" s="1" t="s">
        <v>33</v>
      </c>
      <c r="P4881" s="1" t="s">
        <v>222</v>
      </c>
      <c r="Q4881" s="1" t="s">
        <v>222</v>
      </c>
      <c r="R4881" s="1" t="s">
        <v>223</v>
      </c>
      <c r="S4881" s="1" t="s">
        <v>482</v>
      </c>
      <c r="T4881" s="1">
        <v>1.00616752E8</v>
      </c>
      <c r="W4881" s="1" t="s">
        <v>85</v>
      </c>
      <c r="X4881" s="1" t="s">
        <v>8869</v>
      </c>
    </row>
    <row r="4882">
      <c r="A4882" s="1" t="s">
        <v>13656</v>
      </c>
      <c r="B4882" s="1" t="s">
        <v>13657</v>
      </c>
      <c r="C4882" s="1" t="s">
        <v>13658</v>
      </c>
      <c r="D4882" s="1" t="s">
        <v>79</v>
      </c>
      <c r="E4882" s="1" t="s">
        <v>29</v>
      </c>
      <c r="F4882" s="5">
        <v>55000.0</v>
      </c>
      <c r="G4882" s="1" t="s">
        <v>7016</v>
      </c>
      <c r="H4882" s="4">
        <v>44625.0</v>
      </c>
      <c r="I4882" s="1" t="s">
        <v>80</v>
      </c>
      <c r="K4882" s="1">
        <v>0.0</v>
      </c>
      <c r="L4882" s="1" t="s">
        <v>8928</v>
      </c>
      <c r="M4882" s="1" t="str">
        <f>VLOOKUP(L4882,'Copy of PMD Workday Constants -'!B4881:W5567,22,false)</f>
        <v>#N/A</v>
      </c>
      <c r="N4882" s="1" t="s">
        <v>32</v>
      </c>
      <c r="O4882" s="1" t="s">
        <v>33</v>
      </c>
      <c r="P4882" s="1" t="s">
        <v>222</v>
      </c>
      <c r="Q4882" s="1" t="s">
        <v>222</v>
      </c>
      <c r="R4882" s="1" t="s">
        <v>223</v>
      </c>
      <c r="S4882" s="1" t="s">
        <v>482</v>
      </c>
      <c r="T4882" s="1">
        <v>1.01000708E8</v>
      </c>
      <c r="W4882" s="1" t="s">
        <v>436</v>
      </c>
      <c r="X4882" s="1" t="s">
        <v>13659</v>
      </c>
    </row>
    <row r="4883">
      <c r="A4883" s="1" t="s">
        <v>13660</v>
      </c>
      <c r="B4883" s="1" t="s">
        <v>610</v>
      </c>
      <c r="C4883" s="1" t="s">
        <v>13661</v>
      </c>
      <c r="D4883" s="1" t="s">
        <v>103</v>
      </c>
      <c r="E4883" s="1" t="s">
        <v>29</v>
      </c>
      <c r="F4883" s="5">
        <v>55000.0</v>
      </c>
      <c r="G4883" s="1" t="s">
        <v>7016</v>
      </c>
      <c r="H4883" s="4">
        <v>44748.0</v>
      </c>
      <c r="I4883" s="1" t="s">
        <v>80</v>
      </c>
      <c r="K4883" s="1">
        <v>0.0</v>
      </c>
      <c r="L4883" s="1" t="s">
        <v>6578</v>
      </c>
      <c r="M4883" s="1" t="str">
        <f>VLOOKUP(L4883,'Copy of PMD Workday Constants -'!B4882:W5568,22,false)</f>
        <v>#N/A</v>
      </c>
      <c r="N4883" s="1" t="s">
        <v>32</v>
      </c>
      <c r="O4883" s="1" t="s">
        <v>33</v>
      </c>
      <c r="P4883" s="1" t="s">
        <v>222</v>
      </c>
      <c r="Q4883" s="1" t="s">
        <v>222</v>
      </c>
      <c r="R4883" s="1" t="s">
        <v>223</v>
      </c>
      <c r="S4883" s="1" t="s">
        <v>482</v>
      </c>
      <c r="T4883" s="1">
        <v>1.00597339E8</v>
      </c>
      <c r="W4883" s="1" t="s">
        <v>258</v>
      </c>
      <c r="X4883" s="1" t="s">
        <v>13662</v>
      </c>
    </row>
    <row r="4884">
      <c r="A4884" s="1" t="s">
        <v>13663</v>
      </c>
      <c r="B4884" s="1" t="s">
        <v>13664</v>
      </c>
      <c r="C4884" s="1" t="s">
        <v>13665</v>
      </c>
      <c r="D4884" s="1" t="s">
        <v>103</v>
      </c>
      <c r="E4884" s="1" t="s">
        <v>29</v>
      </c>
      <c r="F4884" s="5">
        <v>55000.0</v>
      </c>
      <c r="G4884" s="1" t="s">
        <v>7016</v>
      </c>
      <c r="H4884" s="4">
        <v>44808.0</v>
      </c>
      <c r="I4884" s="1" t="s">
        <v>80</v>
      </c>
      <c r="K4884" s="1">
        <v>0.0</v>
      </c>
      <c r="L4884" s="1" t="s">
        <v>7847</v>
      </c>
      <c r="M4884" s="1" t="str">
        <f>VLOOKUP(L4884,'Copy of PMD Workday Constants -'!B4883:W5569,22,false)</f>
        <v>#N/A</v>
      </c>
      <c r="N4884" s="1" t="s">
        <v>32</v>
      </c>
      <c r="O4884" s="1" t="s">
        <v>33</v>
      </c>
      <c r="P4884" s="1" t="s">
        <v>5253</v>
      </c>
      <c r="Q4884" s="1" t="s">
        <v>5253</v>
      </c>
      <c r="R4884" s="1" t="s">
        <v>113</v>
      </c>
      <c r="T4884" s="1">
        <v>1.0065052E8</v>
      </c>
      <c r="X4884" s="1" t="s">
        <v>5569</v>
      </c>
    </row>
    <row r="4885">
      <c r="A4885" s="1" t="s">
        <v>13666</v>
      </c>
      <c r="B4885" s="1" t="s">
        <v>1103</v>
      </c>
      <c r="C4885" s="1" t="s">
        <v>13667</v>
      </c>
      <c r="D4885" s="1" t="s">
        <v>51</v>
      </c>
      <c r="E4885" s="1" t="s">
        <v>29</v>
      </c>
      <c r="F4885" s="5">
        <v>54000.0</v>
      </c>
      <c r="G4885" s="1" t="s">
        <v>7016</v>
      </c>
      <c r="H4885" s="1" t="s">
        <v>587</v>
      </c>
      <c r="I4885" s="1" t="s">
        <v>152</v>
      </c>
      <c r="K4885" s="1">
        <v>0.0</v>
      </c>
      <c r="L4885" s="1" t="s">
        <v>2343</v>
      </c>
      <c r="M4885" s="1" t="str">
        <f>VLOOKUP(L4885,'Copy of PMD Workday Constants -'!B4884:W5570,22,false)</f>
        <v>#N/A</v>
      </c>
      <c r="N4885" s="1" t="s">
        <v>32</v>
      </c>
      <c r="O4885" s="1" t="s">
        <v>33</v>
      </c>
      <c r="P4885" s="1" t="s">
        <v>222</v>
      </c>
      <c r="Q4885" s="1" t="s">
        <v>222</v>
      </c>
      <c r="R4885" s="1" t="s">
        <v>223</v>
      </c>
      <c r="S4885" s="1" t="s">
        <v>646</v>
      </c>
      <c r="T4885" s="1">
        <v>1.00619128E8</v>
      </c>
      <c r="W4885" s="1" t="s">
        <v>47</v>
      </c>
      <c r="X4885" s="1" t="s">
        <v>8273</v>
      </c>
    </row>
    <row r="4886">
      <c r="A4886" s="1" t="s">
        <v>13668</v>
      </c>
      <c r="B4886" s="1" t="s">
        <v>1025</v>
      </c>
      <c r="C4886" s="1" t="s">
        <v>13669</v>
      </c>
      <c r="D4886" s="1" t="s">
        <v>51</v>
      </c>
      <c r="E4886" s="1" t="s">
        <v>29</v>
      </c>
      <c r="F4886" s="5">
        <v>54000.0</v>
      </c>
      <c r="G4886" s="1" t="s">
        <v>7016</v>
      </c>
      <c r="H4886" s="1" t="s">
        <v>587</v>
      </c>
      <c r="I4886" s="1" t="s">
        <v>152</v>
      </c>
      <c r="K4886" s="1">
        <v>0.0</v>
      </c>
      <c r="L4886" s="1" t="s">
        <v>2343</v>
      </c>
      <c r="M4886" s="1" t="str">
        <f>VLOOKUP(L4886,'Copy of PMD Workday Constants -'!B4885:W5571,22,false)</f>
        <v>#N/A</v>
      </c>
      <c r="N4886" s="1" t="s">
        <v>32</v>
      </c>
      <c r="O4886" s="1" t="s">
        <v>33</v>
      </c>
      <c r="P4886" s="1" t="s">
        <v>222</v>
      </c>
      <c r="Q4886" s="1" t="s">
        <v>222</v>
      </c>
      <c r="R4886" s="1" t="s">
        <v>223</v>
      </c>
      <c r="S4886" s="1" t="s">
        <v>646</v>
      </c>
      <c r="T4886" s="1">
        <v>1.00619128E8</v>
      </c>
      <c r="W4886" s="1" t="s">
        <v>47</v>
      </c>
      <c r="X4886" s="1" t="s">
        <v>8273</v>
      </c>
    </row>
    <row r="4887">
      <c r="A4887" s="1" t="s">
        <v>13670</v>
      </c>
      <c r="B4887" s="1" t="s">
        <v>13671</v>
      </c>
      <c r="C4887" s="1" t="s">
        <v>13672</v>
      </c>
      <c r="D4887" s="1" t="s">
        <v>51</v>
      </c>
      <c r="E4887" s="1" t="s">
        <v>29</v>
      </c>
      <c r="F4887" s="5">
        <v>54000.0</v>
      </c>
      <c r="G4887" s="1" t="s">
        <v>7016</v>
      </c>
      <c r="H4887" s="1" t="s">
        <v>1785</v>
      </c>
      <c r="I4887" s="1" t="s">
        <v>80</v>
      </c>
      <c r="K4887" s="1">
        <v>0.0</v>
      </c>
      <c r="L4887" s="1" t="s">
        <v>4217</v>
      </c>
      <c r="M4887" s="1" t="str">
        <f>VLOOKUP(L4887,'Copy of PMD Workday Constants -'!B4886:W5572,22,false)</f>
        <v>#N/A</v>
      </c>
      <c r="N4887" s="1" t="s">
        <v>32</v>
      </c>
      <c r="O4887" s="1" t="s">
        <v>33</v>
      </c>
      <c r="P4887" s="1" t="s">
        <v>222</v>
      </c>
      <c r="Q4887" s="1" t="s">
        <v>222</v>
      </c>
      <c r="R4887" s="1" t="s">
        <v>223</v>
      </c>
      <c r="S4887" s="1" t="s">
        <v>482</v>
      </c>
      <c r="T4887" s="1">
        <v>1.0065605E8</v>
      </c>
      <c r="W4887" s="1" t="s">
        <v>140</v>
      </c>
      <c r="X4887" s="1" t="s">
        <v>817</v>
      </c>
    </row>
    <row r="4888">
      <c r="A4888" s="1" t="s">
        <v>13673</v>
      </c>
      <c r="B4888" s="1" t="s">
        <v>7896</v>
      </c>
      <c r="C4888" s="1" t="s">
        <v>13674</v>
      </c>
      <c r="D4888" s="1" t="s">
        <v>103</v>
      </c>
      <c r="E4888" s="1" t="s">
        <v>29</v>
      </c>
      <c r="F4888" s="5">
        <v>54000.0</v>
      </c>
      <c r="G4888" s="1" t="s">
        <v>7016</v>
      </c>
      <c r="H4888" s="4">
        <v>44777.0</v>
      </c>
      <c r="I4888" s="1" t="s">
        <v>104</v>
      </c>
      <c r="K4888" s="1">
        <v>0.0</v>
      </c>
      <c r="L4888" s="1" t="s">
        <v>11159</v>
      </c>
      <c r="M4888" s="1" t="str">
        <f>VLOOKUP(L4888,'Copy of PMD Workday Constants -'!B4887:W5573,22,false)</f>
        <v>#N/A</v>
      </c>
      <c r="N4888" s="1" t="s">
        <v>32</v>
      </c>
      <c r="O4888" s="1" t="s">
        <v>33</v>
      </c>
      <c r="P4888" s="1" t="s">
        <v>222</v>
      </c>
      <c r="Q4888" s="1" t="s">
        <v>222</v>
      </c>
      <c r="R4888" s="1" t="s">
        <v>223</v>
      </c>
      <c r="S4888" s="1" t="s">
        <v>482</v>
      </c>
      <c r="T4888" s="1">
        <v>1.00602248E8</v>
      </c>
      <c r="W4888" s="1" t="s">
        <v>74</v>
      </c>
      <c r="X4888" s="1" t="s">
        <v>12989</v>
      </c>
    </row>
    <row r="4889">
      <c r="A4889" s="1" t="s">
        <v>13675</v>
      </c>
      <c r="B4889" s="1" t="s">
        <v>13676</v>
      </c>
      <c r="C4889" s="1" t="s">
        <v>13677</v>
      </c>
      <c r="D4889" s="1" t="s">
        <v>103</v>
      </c>
      <c r="E4889" s="1" t="s">
        <v>29</v>
      </c>
      <c r="F4889" s="5">
        <v>53000.0</v>
      </c>
      <c r="G4889" s="1" t="s">
        <v>7016</v>
      </c>
      <c r="H4889" s="4">
        <v>44625.0</v>
      </c>
      <c r="I4889" s="1" t="s">
        <v>1281</v>
      </c>
      <c r="K4889" s="1">
        <v>0.0</v>
      </c>
      <c r="L4889" s="1" t="s">
        <v>8928</v>
      </c>
      <c r="M4889" s="1" t="str">
        <f>VLOOKUP(L4889,'Copy of PMD Workday Constants -'!B4888:W5574,22,false)</f>
        <v>#N/A</v>
      </c>
      <c r="N4889" s="1" t="s">
        <v>32</v>
      </c>
      <c r="O4889" s="1" t="s">
        <v>33</v>
      </c>
      <c r="P4889" s="1" t="s">
        <v>222</v>
      </c>
      <c r="Q4889" s="1" t="s">
        <v>222</v>
      </c>
      <c r="R4889" s="1" t="s">
        <v>223</v>
      </c>
      <c r="S4889" s="1" t="s">
        <v>482</v>
      </c>
      <c r="T4889" s="1">
        <v>1.01000708E8</v>
      </c>
      <c r="U4889" s="1" t="s">
        <v>13678</v>
      </c>
      <c r="V4889" s="1" t="s">
        <v>346</v>
      </c>
      <c r="W4889" s="1" t="s">
        <v>258</v>
      </c>
      <c r="X4889" s="1" t="s">
        <v>13591</v>
      </c>
    </row>
    <row r="4890">
      <c r="A4890" s="1" t="s">
        <v>13679</v>
      </c>
      <c r="B4890" s="1" t="s">
        <v>8379</v>
      </c>
      <c r="C4890" s="1" t="s">
        <v>13680</v>
      </c>
      <c r="D4890" s="1" t="s">
        <v>103</v>
      </c>
      <c r="E4890" s="1" t="s">
        <v>29</v>
      </c>
      <c r="F4890" s="5">
        <v>53000.0</v>
      </c>
      <c r="G4890" s="1" t="s">
        <v>7016</v>
      </c>
      <c r="H4890" s="4">
        <v>44806.0</v>
      </c>
      <c r="I4890" s="1" t="s">
        <v>1281</v>
      </c>
      <c r="K4890" s="1">
        <v>0.0</v>
      </c>
      <c r="L4890" s="1" t="s">
        <v>10207</v>
      </c>
      <c r="M4890" s="1" t="str">
        <f>VLOOKUP(L4890,'Copy of PMD Workday Constants -'!B4889:W5575,22,false)</f>
        <v>#N/A</v>
      </c>
      <c r="N4890" s="1" t="s">
        <v>32</v>
      </c>
      <c r="O4890" s="1" t="s">
        <v>33</v>
      </c>
      <c r="P4890" s="1" t="s">
        <v>222</v>
      </c>
      <c r="Q4890" s="1" t="s">
        <v>222</v>
      </c>
      <c r="R4890" s="1" t="s">
        <v>223</v>
      </c>
      <c r="S4890" s="1" t="s">
        <v>482</v>
      </c>
      <c r="T4890" s="1">
        <v>1.00612201E8</v>
      </c>
      <c r="W4890" s="1" t="s">
        <v>287</v>
      </c>
      <c r="X4890" s="1" t="s">
        <v>4700</v>
      </c>
    </row>
    <row r="4891">
      <c r="A4891" s="1" t="s">
        <v>13681</v>
      </c>
      <c r="B4891" s="1" t="s">
        <v>13682</v>
      </c>
      <c r="C4891" s="1" t="s">
        <v>13683</v>
      </c>
      <c r="D4891" s="1" t="s">
        <v>103</v>
      </c>
      <c r="E4891" s="1" t="s">
        <v>29</v>
      </c>
      <c r="F4891" s="5">
        <v>52000.0</v>
      </c>
      <c r="G4891" s="1" t="s">
        <v>7016</v>
      </c>
      <c r="H4891" s="1" t="s">
        <v>13370</v>
      </c>
      <c r="I4891" s="1" t="s">
        <v>104</v>
      </c>
      <c r="K4891" s="1">
        <v>0.0</v>
      </c>
      <c r="L4891" s="1" t="s">
        <v>2602</v>
      </c>
      <c r="M4891" s="1" t="str">
        <f>VLOOKUP(L4891,'Copy of PMD Workday Constants -'!B4890:W5576,22,false)</f>
        <v>#N/A</v>
      </c>
      <c r="N4891" s="1" t="s">
        <v>32</v>
      </c>
      <c r="O4891" s="1" t="s">
        <v>33</v>
      </c>
      <c r="P4891" s="1" t="s">
        <v>173</v>
      </c>
      <c r="Q4891" s="1" t="s">
        <v>173</v>
      </c>
      <c r="R4891" s="1" t="s">
        <v>174</v>
      </c>
      <c r="S4891" s="1" t="s">
        <v>383</v>
      </c>
      <c r="T4891" s="1">
        <v>1.00611351E8</v>
      </c>
      <c r="W4891" s="1" t="s">
        <v>1303</v>
      </c>
      <c r="X4891" s="1" t="s">
        <v>2914</v>
      </c>
    </row>
    <row r="4892">
      <c r="A4892" s="1" t="s">
        <v>13684</v>
      </c>
      <c r="B4892" s="1" t="s">
        <v>13685</v>
      </c>
      <c r="C4892" s="1" t="s">
        <v>13686</v>
      </c>
      <c r="D4892" s="1" t="s">
        <v>79</v>
      </c>
      <c r="E4892" s="1" t="s">
        <v>29</v>
      </c>
      <c r="F4892" s="5">
        <v>50400.0</v>
      </c>
      <c r="G4892" s="1" t="s">
        <v>7016</v>
      </c>
      <c r="H4892" s="1" t="s">
        <v>2484</v>
      </c>
      <c r="I4892" s="1" t="s">
        <v>132</v>
      </c>
      <c r="K4892" s="1">
        <v>0.0</v>
      </c>
      <c r="L4892" s="1" t="s">
        <v>13331</v>
      </c>
      <c r="M4892" s="1" t="str">
        <f>VLOOKUP(L4892,'Copy of PMD Workday Constants -'!B4891:W5577,22,false)</f>
        <v>#N/A</v>
      </c>
      <c r="N4892" s="1" t="s">
        <v>32</v>
      </c>
      <c r="O4892" s="1" t="s">
        <v>33</v>
      </c>
      <c r="P4892" s="1" t="s">
        <v>222</v>
      </c>
      <c r="Q4892" s="1" t="s">
        <v>222</v>
      </c>
      <c r="R4892" s="1" t="s">
        <v>223</v>
      </c>
      <c r="S4892" s="1" t="s">
        <v>482</v>
      </c>
      <c r="T4892" s="1">
        <v>1.00660529E8</v>
      </c>
      <c r="W4892" s="1" t="s">
        <v>56</v>
      </c>
      <c r="X4892" s="1" t="s">
        <v>13687</v>
      </c>
    </row>
    <row r="4893">
      <c r="A4893" s="1" t="s">
        <v>13688</v>
      </c>
      <c r="B4893" s="1" t="s">
        <v>8291</v>
      </c>
      <c r="C4893" s="1" t="s">
        <v>13689</v>
      </c>
      <c r="D4893" s="1" t="s">
        <v>51</v>
      </c>
      <c r="E4893" s="1" t="s">
        <v>29</v>
      </c>
      <c r="F4893" s="5">
        <v>50160.51</v>
      </c>
      <c r="G4893" s="1" t="s">
        <v>7016</v>
      </c>
      <c r="H4893" s="4">
        <v>44324.0</v>
      </c>
      <c r="I4893" s="1" t="s">
        <v>264</v>
      </c>
      <c r="K4893" s="1">
        <v>0.0</v>
      </c>
      <c r="L4893" s="1" t="s">
        <v>7637</v>
      </c>
      <c r="M4893" s="1" t="str">
        <f>VLOOKUP(L4893,'Copy of PMD Workday Constants -'!B4892:W5578,22,false)</f>
        <v>#N/A</v>
      </c>
      <c r="N4893" s="1" t="s">
        <v>32</v>
      </c>
      <c r="O4893" s="1" t="s">
        <v>33</v>
      </c>
      <c r="P4893" s="1" t="s">
        <v>5253</v>
      </c>
      <c r="Q4893" s="1" t="s">
        <v>5253</v>
      </c>
      <c r="R4893" s="1" t="s">
        <v>35</v>
      </c>
      <c r="S4893" s="1" t="s">
        <v>307</v>
      </c>
      <c r="T4893" s="1">
        <v>1.00613849E8</v>
      </c>
      <c r="W4893" s="1" t="s">
        <v>436</v>
      </c>
      <c r="X4893" s="1" t="s">
        <v>13690</v>
      </c>
    </row>
    <row r="4894">
      <c r="A4894" s="1" t="s">
        <v>13691</v>
      </c>
      <c r="B4894" s="1" t="s">
        <v>13692</v>
      </c>
      <c r="C4894" s="1" t="s">
        <v>13693</v>
      </c>
      <c r="D4894" s="1" t="s">
        <v>28</v>
      </c>
      <c r="E4894" s="1" t="s">
        <v>29</v>
      </c>
      <c r="F4894" s="5">
        <v>50160.51</v>
      </c>
      <c r="G4894" s="1" t="s">
        <v>7016</v>
      </c>
      <c r="H4894" s="4">
        <v>44867.0</v>
      </c>
      <c r="I4894" s="1" t="s">
        <v>1281</v>
      </c>
      <c r="K4894" s="1">
        <v>0.0</v>
      </c>
      <c r="L4894" s="1" t="s">
        <v>8293</v>
      </c>
      <c r="M4894" s="1" t="str">
        <f>VLOOKUP(L4894,'Copy of PMD Workday Constants -'!B4893:W5579,22,false)</f>
        <v>#N/A</v>
      </c>
      <c r="N4894" s="1" t="s">
        <v>32</v>
      </c>
      <c r="O4894" s="1" t="s">
        <v>33</v>
      </c>
      <c r="P4894" s="1" t="s">
        <v>5253</v>
      </c>
      <c r="Q4894" s="1" t="s">
        <v>5253</v>
      </c>
      <c r="R4894" s="1" t="s">
        <v>65</v>
      </c>
      <c r="S4894" s="1" t="s">
        <v>1336</v>
      </c>
      <c r="T4894" s="1">
        <v>1.00591676E8</v>
      </c>
      <c r="W4894" s="1" t="s">
        <v>115</v>
      </c>
      <c r="X4894" s="1" t="s">
        <v>13694</v>
      </c>
    </row>
    <row r="4895">
      <c r="A4895" s="1" t="s">
        <v>13695</v>
      </c>
      <c r="B4895" s="1" t="s">
        <v>7881</v>
      </c>
      <c r="C4895" s="1" t="s">
        <v>13696</v>
      </c>
      <c r="D4895" s="1" t="s">
        <v>28</v>
      </c>
      <c r="E4895" s="1" t="s">
        <v>29</v>
      </c>
      <c r="F4895" s="5">
        <v>50160.51</v>
      </c>
      <c r="G4895" s="1" t="s">
        <v>7016</v>
      </c>
      <c r="H4895" s="4">
        <v>44653.0</v>
      </c>
      <c r="I4895" s="1" t="s">
        <v>661</v>
      </c>
      <c r="K4895" s="1">
        <v>0.0</v>
      </c>
      <c r="L4895" s="1" t="s">
        <v>5568</v>
      </c>
      <c r="M4895" s="1" t="str">
        <f>VLOOKUP(L4895,'Copy of PMD Workday Constants -'!B4894:W5580,22,false)</f>
        <v>#N/A</v>
      </c>
      <c r="N4895" s="1" t="s">
        <v>32</v>
      </c>
      <c r="O4895" s="1" t="s">
        <v>33</v>
      </c>
      <c r="P4895" s="1" t="s">
        <v>5253</v>
      </c>
      <c r="Q4895" s="1" t="s">
        <v>5253</v>
      </c>
      <c r="R4895" s="1" t="s">
        <v>65</v>
      </c>
      <c r="T4895" s="1">
        <v>1.00591095E8</v>
      </c>
      <c r="W4895" s="1" t="s">
        <v>147</v>
      </c>
      <c r="X4895" s="1" t="s">
        <v>7638</v>
      </c>
    </row>
    <row r="4896">
      <c r="A4896" s="1" t="s">
        <v>13697</v>
      </c>
      <c r="B4896" s="1" t="s">
        <v>863</v>
      </c>
      <c r="C4896" s="1" t="s">
        <v>13698</v>
      </c>
      <c r="D4896" s="1" t="s">
        <v>51</v>
      </c>
      <c r="E4896" s="1" t="s">
        <v>29</v>
      </c>
      <c r="F4896" s="5">
        <v>50000.0</v>
      </c>
      <c r="G4896" s="1" t="s">
        <v>7016</v>
      </c>
      <c r="H4896" s="4">
        <v>44297.0</v>
      </c>
      <c r="I4896" s="1" t="s">
        <v>104</v>
      </c>
      <c r="K4896" s="1">
        <v>0.0</v>
      </c>
      <c r="L4896" s="1" t="s">
        <v>1534</v>
      </c>
      <c r="M4896" s="1" t="str">
        <f>VLOOKUP(L4896,'Copy of PMD Workday Constants -'!B4895:W5581,22,false)</f>
        <v>#N/A</v>
      </c>
      <c r="N4896" s="1" t="s">
        <v>32</v>
      </c>
      <c r="O4896" s="1" t="s">
        <v>33</v>
      </c>
      <c r="P4896" s="1" t="s">
        <v>82</v>
      </c>
      <c r="Q4896" s="1" t="s">
        <v>82</v>
      </c>
      <c r="R4896" s="1" t="s">
        <v>83</v>
      </c>
      <c r="S4896" s="1" t="s">
        <v>84</v>
      </c>
      <c r="T4896" s="1">
        <v>1.00618842E8</v>
      </c>
      <c r="W4896" s="1" t="s">
        <v>85</v>
      </c>
      <c r="X4896" s="1" t="s">
        <v>1534</v>
      </c>
    </row>
    <row r="4897">
      <c r="A4897" s="1" t="s">
        <v>13699</v>
      </c>
      <c r="B4897" s="1" t="s">
        <v>13700</v>
      </c>
      <c r="C4897" s="1" t="s">
        <v>13701</v>
      </c>
      <c r="D4897" s="1" t="s">
        <v>103</v>
      </c>
      <c r="E4897" s="1" t="s">
        <v>29</v>
      </c>
      <c r="F4897" s="5">
        <v>50000.0</v>
      </c>
      <c r="G4897" s="1" t="s">
        <v>7016</v>
      </c>
      <c r="H4897" s="1" t="s">
        <v>170</v>
      </c>
      <c r="I4897" s="1" t="s">
        <v>810</v>
      </c>
      <c r="K4897" s="1">
        <v>0.0</v>
      </c>
      <c r="L4897" s="1" t="s">
        <v>2013</v>
      </c>
      <c r="M4897" s="1" t="str">
        <f>VLOOKUP(L4897,'Copy of PMD Workday Constants -'!B4896:W5582,22,false)</f>
        <v>#N/A</v>
      </c>
      <c r="N4897" s="1" t="s">
        <v>32</v>
      </c>
      <c r="O4897" s="1" t="s">
        <v>33</v>
      </c>
      <c r="P4897" s="1" t="s">
        <v>222</v>
      </c>
      <c r="Q4897" s="1" t="s">
        <v>222</v>
      </c>
      <c r="R4897" s="1" t="s">
        <v>223</v>
      </c>
      <c r="S4897" s="1" t="s">
        <v>482</v>
      </c>
      <c r="T4897" s="1">
        <v>1.00596618E8</v>
      </c>
      <c r="W4897" s="1" t="s">
        <v>140</v>
      </c>
      <c r="X4897" s="1" t="s">
        <v>2014</v>
      </c>
    </row>
    <row r="4898">
      <c r="A4898" s="1" t="s">
        <v>13702</v>
      </c>
      <c r="B4898" s="1" t="s">
        <v>13703</v>
      </c>
      <c r="C4898" s="1" t="s">
        <v>13704</v>
      </c>
      <c r="D4898" s="1" t="s">
        <v>51</v>
      </c>
      <c r="E4898" s="1" t="s">
        <v>29</v>
      </c>
      <c r="F4898" s="5">
        <v>50000.0</v>
      </c>
      <c r="G4898" s="1" t="s">
        <v>7016</v>
      </c>
      <c r="H4898" s="1" t="s">
        <v>1245</v>
      </c>
      <c r="I4898" s="1" t="s">
        <v>80</v>
      </c>
      <c r="K4898" s="1">
        <v>0.0</v>
      </c>
      <c r="L4898" s="1" t="s">
        <v>10207</v>
      </c>
      <c r="M4898" s="1" t="str">
        <f>VLOOKUP(L4898,'Copy of PMD Workday Constants -'!B4897:W5583,22,false)</f>
        <v>#N/A</v>
      </c>
      <c r="N4898" s="1" t="s">
        <v>32</v>
      </c>
      <c r="O4898" s="1" t="s">
        <v>33</v>
      </c>
      <c r="P4898" s="1" t="s">
        <v>222</v>
      </c>
      <c r="Q4898" s="1" t="s">
        <v>222</v>
      </c>
      <c r="R4898" s="1" t="s">
        <v>223</v>
      </c>
      <c r="S4898" s="1" t="s">
        <v>482</v>
      </c>
      <c r="T4898" s="1">
        <v>1.00612201E8</v>
      </c>
      <c r="W4898" s="1" t="s">
        <v>140</v>
      </c>
      <c r="X4898" s="1" t="s">
        <v>12829</v>
      </c>
    </row>
    <row r="4899">
      <c r="A4899" s="1" t="s">
        <v>13705</v>
      </c>
      <c r="B4899" s="1" t="s">
        <v>2254</v>
      </c>
      <c r="C4899" s="1" t="s">
        <v>13706</v>
      </c>
      <c r="D4899" s="1" t="s">
        <v>28</v>
      </c>
      <c r="E4899" s="1" t="s">
        <v>29</v>
      </c>
      <c r="F4899" s="5">
        <v>50000.0</v>
      </c>
      <c r="G4899" s="1" t="s">
        <v>7016</v>
      </c>
      <c r="H4899" s="4">
        <v>44839.0</v>
      </c>
      <c r="I4899" s="1" t="s">
        <v>732</v>
      </c>
      <c r="K4899" s="1">
        <v>0.0</v>
      </c>
      <c r="L4899" s="1" t="s">
        <v>7227</v>
      </c>
      <c r="M4899" s="1" t="str">
        <f>VLOOKUP(L4899,'Copy of PMD Workday Constants -'!B4898:W5584,22,false)</f>
        <v>#N/A</v>
      </c>
      <c r="N4899" s="1" t="s">
        <v>32</v>
      </c>
      <c r="O4899" s="1" t="s">
        <v>33</v>
      </c>
      <c r="P4899" s="1" t="s">
        <v>222</v>
      </c>
      <c r="Q4899" s="1" t="s">
        <v>222</v>
      </c>
      <c r="R4899" s="1" t="s">
        <v>223</v>
      </c>
      <c r="T4899" s="1">
        <v>1.01120172E8</v>
      </c>
      <c r="W4899" s="1" t="s">
        <v>456</v>
      </c>
      <c r="X4899" s="1" t="s">
        <v>7227</v>
      </c>
    </row>
    <row r="4900">
      <c r="A4900" s="1" t="s">
        <v>13707</v>
      </c>
      <c r="B4900" s="1" t="s">
        <v>13708</v>
      </c>
      <c r="C4900" s="1" t="s">
        <v>13709</v>
      </c>
      <c r="D4900" s="1" t="s">
        <v>28</v>
      </c>
      <c r="E4900" s="1" t="s">
        <v>29</v>
      </c>
      <c r="F4900" s="5">
        <v>50000.0</v>
      </c>
      <c r="G4900" s="1" t="s">
        <v>7016</v>
      </c>
      <c r="H4900" s="1" t="s">
        <v>2290</v>
      </c>
      <c r="I4900" s="1" t="s">
        <v>132</v>
      </c>
      <c r="K4900" s="1">
        <v>0.0</v>
      </c>
      <c r="L4900" s="1" t="s">
        <v>3137</v>
      </c>
      <c r="M4900" s="1" t="str">
        <f>VLOOKUP(L4900,'Copy of PMD Workday Constants -'!B4899:W5585,22,false)</f>
        <v>#N/A</v>
      </c>
      <c r="N4900" s="1" t="s">
        <v>32</v>
      </c>
      <c r="O4900" s="1" t="s">
        <v>33</v>
      </c>
      <c r="P4900" s="1" t="s">
        <v>82</v>
      </c>
      <c r="Q4900" s="1" t="s">
        <v>82</v>
      </c>
      <c r="R4900" s="1" t="s">
        <v>83</v>
      </c>
      <c r="S4900" s="1" t="s">
        <v>180</v>
      </c>
      <c r="T4900" s="1">
        <v>1.00586452E8</v>
      </c>
      <c r="W4900" s="1" t="s">
        <v>85</v>
      </c>
      <c r="X4900" s="1" t="s">
        <v>11699</v>
      </c>
    </row>
    <row r="4901">
      <c r="A4901" s="1" t="s">
        <v>13710</v>
      </c>
      <c r="B4901" s="1" t="s">
        <v>13711</v>
      </c>
      <c r="C4901" s="1" t="s">
        <v>13712</v>
      </c>
      <c r="D4901" s="1" t="s">
        <v>28</v>
      </c>
      <c r="E4901" s="1" t="s">
        <v>29</v>
      </c>
      <c r="F4901" s="5">
        <v>50000.0</v>
      </c>
      <c r="G4901" s="1" t="s">
        <v>7016</v>
      </c>
      <c r="H4901" s="1" t="s">
        <v>460</v>
      </c>
      <c r="I4901" s="1" t="s">
        <v>8093</v>
      </c>
      <c r="K4901" s="1">
        <v>0.0</v>
      </c>
      <c r="L4901" s="1" t="s">
        <v>956</v>
      </c>
      <c r="M4901" s="1" t="str">
        <f>VLOOKUP(L4901,'Copy of PMD Workday Constants -'!B4900:W5586,22,false)</f>
        <v>#N/A</v>
      </c>
      <c r="N4901" s="1" t="s">
        <v>32</v>
      </c>
      <c r="O4901" s="1" t="s">
        <v>33</v>
      </c>
      <c r="P4901" s="1" t="s">
        <v>173</v>
      </c>
      <c r="Q4901" s="1" t="s">
        <v>173</v>
      </c>
      <c r="R4901" s="1" t="s">
        <v>174</v>
      </c>
      <c r="S4901" s="1" t="s">
        <v>612</v>
      </c>
      <c r="T4901" s="1">
        <v>1.00623421E8</v>
      </c>
      <c r="W4901" s="1" t="s">
        <v>533</v>
      </c>
      <c r="X4901" s="1" t="s">
        <v>4696</v>
      </c>
    </row>
    <row r="4902">
      <c r="A4902" s="1" t="s">
        <v>13713</v>
      </c>
      <c r="B4902" s="1" t="s">
        <v>4642</v>
      </c>
      <c r="C4902" s="1" t="s">
        <v>13714</v>
      </c>
      <c r="D4902" s="1" t="s">
        <v>103</v>
      </c>
      <c r="E4902" s="1" t="s">
        <v>29</v>
      </c>
      <c r="F4902" s="5">
        <v>50000.0</v>
      </c>
      <c r="G4902" s="1" t="s">
        <v>7016</v>
      </c>
      <c r="H4902" s="1" t="s">
        <v>727</v>
      </c>
      <c r="I4902" s="1" t="s">
        <v>941</v>
      </c>
      <c r="J4902" s="6">
        <v>44267.07916666667</v>
      </c>
      <c r="K4902" s="1">
        <v>0.0</v>
      </c>
      <c r="L4902" s="1" t="s">
        <v>2417</v>
      </c>
      <c r="M4902" s="1" t="str">
        <f>VLOOKUP(L4902,'Copy of PMD Workday Constants -'!B4901:W5587,22,false)</f>
        <v>#N/A</v>
      </c>
      <c r="N4902" s="1" t="s">
        <v>32</v>
      </c>
      <c r="O4902" s="1" t="s">
        <v>33</v>
      </c>
      <c r="P4902" s="1" t="s">
        <v>34</v>
      </c>
      <c r="Q4902" s="1" t="s">
        <v>34</v>
      </c>
      <c r="R4902" s="1" t="s">
        <v>35</v>
      </c>
      <c r="S4902" s="1" t="s">
        <v>1336</v>
      </c>
      <c r="T4902" s="1">
        <v>1.00642238E8</v>
      </c>
      <c r="W4902" s="1" t="s">
        <v>56</v>
      </c>
      <c r="X4902" s="1" t="s">
        <v>4392</v>
      </c>
    </row>
    <row r="4903">
      <c r="A4903" s="1" t="s">
        <v>13715</v>
      </c>
      <c r="B4903" s="1" t="s">
        <v>4294</v>
      </c>
      <c r="C4903" s="1" t="s">
        <v>13716</v>
      </c>
      <c r="D4903" s="1" t="s">
        <v>51</v>
      </c>
      <c r="E4903" s="1" t="s">
        <v>29</v>
      </c>
      <c r="F4903" s="5">
        <v>50000.0</v>
      </c>
      <c r="G4903" s="1" t="s">
        <v>7016</v>
      </c>
      <c r="H4903" s="4">
        <v>44503.0</v>
      </c>
      <c r="I4903" s="1" t="s">
        <v>295</v>
      </c>
      <c r="K4903" s="1">
        <v>0.0</v>
      </c>
      <c r="L4903" s="1" t="s">
        <v>1023</v>
      </c>
      <c r="M4903" s="1" t="str">
        <f>VLOOKUP(L4903,'Copy of PMD Workday Constants -'!B4902:W5588,22,false)</f>
        <v>#N/A</v>
      </c>
      <c r="N4903" s="1" t="s">
        <v>32</v>
      </c>
      <c r="O4903" s="1" t="s">
        <v>33</v>
      </c>
      <c r="P4903" s="1" t="s">
        <v>82</v>
      </c>
      <c r="Q4903" s="1" t="s">
        <v>82</v>
      </c>
      <c r="R4903" s="1" t="s">
        <v>83</v>
      </c>
      <c r="S4903" s="1" t="s">
        <v>84</v>
      </c>
      <c r="T4903" s="1">
        <v>1.00619899E8</v>
      </c>
      <c r="W4903" s="1" t="s">
        <v>85</v>
      </c>
      <c r="X4903" s="1" t="s">
        <v>7862</v>
      </c>
    </row>
    <row r="4904">
      <c r="A4904" s="1" t="s">
        <v>13717</v>
      </c>
      <c r="B4904" s="1" t="s">
        <v>13718</v>
      </c>
      <c r="C4904" s="1" t="s">
        <v>13719</v>
      </c>
      <c r="D4904" s="1" t="s">
        <v>28</v>
      </c>
      <c r="E4904" s="1" t="s">
        <v>29</v>
      </c>
      <c r="F4904" s="5">
        <v>50000.0</v>
      </c>
      <c r="G4904" s="1" t="s">
        <v>7016</v>
      </c>
      <c r="H4904" s="4">
        <v>43902.0</v>
      </c>
      <c r="I4904" s="1" t="s">
        <v>227</v>
      </c>
      <c r="K4904" s="1">
        <v>0.0</v>
      </c>
      <c r="L4904" s="1" t="s">
        <v>13720</v>
      </c>
      <c r="M4904" s="1" t="str">
        <f>VLOOKUP(L4904,'Copy of PMD Workday Constants -'!B4903:W5589,22,false)</f>
        <v>#N/A</v>
      </c>
      <c r="N4904" s="1" t="s">
        <v>32</v>
      </c>
      <c r="O4904" s="1" t="s">
        <v>33</v>
      </c>
      <c r="P4904" s="1" t="s">
        <v>64</v>
      </c>
      <c r="Q4904" s="1" t="s">
        <v>64</v>
      </c>
      <c r="R4904" s="1" t="s">
        <v>65</v>
      </c>
      <c r="T4904" s="1">
        <v>1.00650501E8</v>
      </c>
      <c r="W4904" s="1" t="s">
        <v>85</v>
      </c>
      <c r="X4904" s="1" t="s">
        <v>916</v>
      </c>
    </row>
    <row r="4905">
      <c r="A4905" s="1" t="s">
        <v>13721</v>
      </c>
      <c r="B4905" s="1" t="s">
        <v>10634</v>
      </c>
      <c r="C4905" s="1" t="s">
        <v>13722</v>
      </c>
      <c r="D4905" s="1" t="s">
        <v>103</v>
      </c>
      <c r="E4905" s="1" t="s">
        <v>29</v>
      </c>
      <c r="F4905" s="5">
        <v>50000.0</v>
      </c>
      <c r="G4905" s="1" t="s">
        <v>7016</v>
      </c>
      <c r="H4905" s="4">
        <v>44258.0</v>
      </c>
      <c r="I4905" s="1" t="s">
        <v>80</v>
      </c>
      <c r="K4905" s="1">
        <v>0.0</v>
      </c>
      <c r="L4905" s="1" t="s">
        <v>4608</v>
      </c>
      <c r="M4905" s="1" t="str">
        <f>VLOOKUP(L4905,'Copy of PMD Workday Constants -'!B4904:W5590,22,false)</f>
        <v>#N/A</v>
      </c>
      <c r="N4905" s="1" t="s">
        <v>32</v>
      </c>
      <c r="O4905" s="1" t="s">
        <v>33</v>
      </c>
      <c r="P4905" s="1" t="s">
        <v>222</v>
      </c>
      <c r="Q4905" s="1" t="s">
        <v>222</v>
      </c>
      <c r="R4905" s="1" t="s">
        <v>223</v>
      </c>
      <c r="S4905" s="1" t="s">
        <v>482</v>
      </c>
      <c r="T4905" s="1">
        <v>1.00592715E8</v>
      </c>
      <c r="W4905" s="1" t="s">
        <v>115</v>
      </c>
      <c r="X4905" s="1" t="s">
        <v>13723</v>
      </c>
    </row>
    <row r="4906">
      <c r="A4906" s="1" t="s">
        <v>13724</v>
      </c>
      <c r="B4906" s="1" t="s">
        <v>3040</v>
      </c>
      <c r="C4906" s="1" t="s">
        <v>13725</v>
      </c>
      <c r="D4906" s="1" t="s">
        <v>28</v>
      </c>
      <c r="E4906" s="1" t="s">
        <v>29</v>
      </c>
      <c r="F4906" s="5">
        <v>50000.0</v>
      </c>
      <c r="G4906" s="1" t="s">
        <v>7016</v>
      </c>
      <c r="H4906" s="1" t="s">
        <v>131</v>
      </c>
      <c r="I4906" s="1" t="s">
        <v>302</v>
      </c>
      <c r="K4906" s="1">
        <v>0.0</v>
      </c>
      <c r="L4906" s="1" t="s">
        <v>7276</v>
      </c>
      <c r="M4906" s="1" t="str">
        <f>VLOOKUP(L4906,'Copy of PMD Workday Constants -'!B4905:W5591,22,false)</f>
        <v>#N/A</v>
      </c>
      <c r="N4906" s="1" t="s">
        <v>32</v>
      </c>
      <c r="O4906" s="1" t="s">
        <v>33</v>
      </c>
      <c r="P4906" s="1" t="s">
        <v>64</v>
      </c>
      <c r="Q4906" s="1" t="s">
        <v>64</v>
      </c>
      <c r="R4906" s="1" t="s">
        <v>65</v>
      </c>
      <c r="S4906" s="1" t="s">
        <v>9125</v>
      </c>
      <c r="T4906" s="1">
        <v>1.00587219E8</v>
      </c>
      <c r="W4906" s="1" t="s">
        <v>308</v>
      </c>
      <c r="X4906" s="1" t="s">
        <v>11202</v>
      </c>
    </row>
    <row r="4907">
      <c r="A4907" s="1" t="s">
        <v>13726</v>
      </c>
      <c r="B4907" s="1" t="s">
        <v>13727</v>
      </c>
      <c r="C4907" s="1" t="s">
        <v>13728</v>
      </c>
      <c r="D4907" s="1" t="s">
        <v>51</v>
      </c>
      <c r="E4907" s="1" t="s">
        <v>29</v>
      </c>
      <c r="F4907" s="5">
        <v>50000.0</v>
      </c>
      <c r="G4907" s="1" t="s">
        <v>7016</v>
      </c>
      <c r="H4907" s="4">
        <v>44836.0</v>
      </c>
      <c r="I4907" s="1" t="s">
        <v>13729</v>
      </c>
      <c r="K4907" s="1">
        <v>0.0</v>
      </c>
      <c r="L4907" s="1" t="s">
        <v>3727</v>
      </c>
      <c r="M4907" s="1" t="str">
        <f>VLOOKUP(L4907,'Copy of PMD Workday Constants -'!B4906:W5592,22,false)</f>
        <v>#N/A</v>
      </c>
      <c r="N4907" s="1" t="s">
        <v>32</v>
      </c>
      <c r="O4907" s="1" t="s">
        <v>33</v>
      </c>
      <c r="P4907" s="1" t="s">
        <v>222</v>
      </c>
      <c r="Q4907" s="1" t="s">
        <v>222</v>
      </c>
      <c r="R4907" s="1" t="s">
        <v>223</v>
      </c>
      <c r="S4907" s="1" t="s">
        <v>482</v>
      </c>
      <c r="T4907" s="1">
        <v>1.00611158E8</v>
      </c>
      <c r="X4907" s="1" t="s">
        <v>13730</v>
      </c>
    </row>
    <row r="4908">
      <c r="A4908" s="1" t="s">
        <v>13731</v>
      </c>
      <c r="B4908" s="1" t="s">
        <v>13732</v>
      </c>
      <c r="C4908" s="1" t="s">
        <v>13733</v>
      </c>
      <c r="D4908" s="1" t="s">
        <v>103</v>
      </c>
      <c r="E4908" s="1" t="s">
        <v>29</v>
      </c>
      <c r="F4908" s="5">
        <v>50000.0</v>
      </c>
      <c r="G4908" s="1" t="s">
        <v>7016</v>
      </c>
      <c r="H4908" s="4">
        <v>44777.0</v>
      </c>
      <c r="I4908" s="1" t="s">
        <v>865</v>
      </c>
      <c r="K4908" s="1">
        <v>0.0</v>
      </c>
      <c r="L4908" s="1" t="s">
        <v>11577</v>
      </c>
      <c r="M4908" s="1" t="str">
        <f>VLOOKUP(L4908,'Copy of PMD Workday Constants -'!B4907:W5593,22,false)</f>
        <v>#N/A</v>
      </c>
      <c r="N4908" s="1" t="s">
        <v>32</v>
      </c>
      <c r="O4908" s="1" t="s">
        <v>33</v>
      </c>
      <c r="P4908" s="1" t="s">
        <v>222</v>
      </c>
      <c r="Q4908" s="1" t="s">
        <v>222</v>
      </c>
      <c r="R4908" s="1" t="s">
        <v>223</v>
      </c>
      <c r="S4908" s="1" t="s">
        <v>482</v>
      </c>
      <c r="T4908" s="1">
        <v>1.00626837E8</v>
      </c>
      <c r="W4908" s="1" t="s">
        <v>140</v>
      </c>
      <c r="X4908" s="1" t="s">
        <v>11577</v>
      </c>
    </row>
    <row r="4909">
      <c r="A4909" s="1" t="s">
        <v>13734</v>
      </c>
      <c r="B4909" s="1" t="s">
        <v>143</v>
      </c>
      <c r="C4909" s="1" t="s">
        <v>13735</v>
      </c>
      <c r="D4909" s="1" t="s">
        <v>51</v>
      </c>
      <c r="E4909" s="1" t="s">
        <v>29</v>
      </c>
      <c r="F4909" s="5">
        <v>50000.0</v>
      </c>
      <c r="G4909" s="1" t="s">
        <v>7016</v>
      </c>
      <c r="H4909" s="1" t="s">
        <v>1245</v>
      </c>
      <c r="I4909" s="1" t="s">
        <v>302</v>
      </c>
      <c r="K4909" s="1">
        <v>0.0</v>
      </c>
      <c r="L4909" s="1" t="s">
        <v>3727</v>
      </c>
      <c r="M4909" s="1" t="str">
        <f>VLOOKUP(L4909,'Copy of PMD Workday Constants -'!B4908:W5594,22,false)</f>
        <v>#N/A</v>
      </c>
      <c r="N4909" s="1" t="s">
        <v>32</v>
      </c>
      <c r="O4909" s="1" t="s">
        <v>33</v>
      </c>
      <c r="P4909" s="1" t="s">
        <v>222</v>
      </c>
      <c r="Q4909" s="1" t="s">
        <v>222</v>
      </c>
      <c r="R4909" s="1" t="s">
        <v>223</v>
      </c>
      <c r="S4909" s="1" t="s">
        <v>482</v>
      </c>
      <c r="T4909" s="1">
        <v>1.00611158E8</v>
      </c>
      <c r="W4909" s="1" t="s">
        <v>147</v>
      </c>
      <c r="X4909" s="1" t="s">
        <v>13736</v>
      </c>
    </row>
    <row r="4910">
      <c r="A4910" s="1" t="s">
        <v>13737</v>
      </c>
      <c r="B4910" s="1" t="s">
        <v>489</v>
      </c>
      <c r="C4910" s="1" t="s">
        <v>13738</v>
      </c>
      <c r="D4910" s="1" t="s">
        <v>28</v>
      </c>
      <c r="E4910" s="1" t="s">
        <v>29</v>
      </c>
      <c r="F4910" s="5">
        <v>50000.0</v>
      </c>
      <c r="G4910" s="1" t="s">
        <v>7016</v>
      </c>
      <c r="H4910" s="4">
        <v>44625.0</v>
      </c>
      <c r="I4910" s="1" t="s">
        <v>302</v>
      </c>
      <c r="K4910" s="1">
        <v>0.0</v>
      </c>
      <c r="L4910" s="1" t="s">
        <v>4699</v>
      </c>
      <c r="M4910" s="1" t="str">
        <f>VLOOKUP(L4910,'Copy of PMD Workday Constants -'!B4909:W5595,22,false)</f>
        <v>#N/A</v>
      </c>
      <c r="N4910" s="1" t="s">
        <v>32</v>
      </c>
      <c r="O4910" s="1" t="s">
        <v>33</v>
      </c>
      <c r="P4910" s="1" t="s">
        <v>222</v>
      </c>
      <c r="Q4910" s="1" t="s">
        <v>222</v>
      </c>
      <c r="R4910" s="1" t="s">
        <v>223</v>
      </c>
      <c r="S4910" s="1" t="s">
        <v>646</v>
      </c>
      <c r="T4910" s="1">
        <v>1.00986592E8</v>
      </c>
      <c r="W4910" s="1" t="s">
        <v>493</v>
      </c>
      <c r="X4910" s="1" t="s">
        <v>7550</v>
      </c>
    </row>
    <row r="4911">
      <c r="A4911" s="1" t="s">
        <v>13739</v>
      </c>
      <c r="B4911" s="1" t="s">
        <v>368</v>
      </c>
      <c r="C4911" s="1" t="s">
        <v>13740</v>
      </c>
      <c r="D4911" s="1" t="s">
        <v>28</v>
      </c>
      <c r="E4911" s="1" t="s">
        <v>29</v>
      </c>
      <c r="F4911" s="5">
        <v>50000.0</v>
      </c>
      <c r="G4911" s="1" t="s">
        <v>7016</v>
      </c>
      <c r="H4911" s="1" t="s">
        <v>1842</v>
      </c>
      <c r="I4911" s="1" t="s">
        <v>43</v>
      </c>
      <c r="K4911" s="1">
        <v>0.0</v>
      </c>
      <c r="L4911" s="1" t="s">
        <v>2991</v>
      </c>
      <c r="M4911" s="1" t="str">
        <f>VLOOKUP(L4911,'Copy of PMD Workday Constants -'!B4910:W5596,22,false)</f>
        <v>#N/A</v>
      </c>
      <c r="N4911" s="1" t="s">
        <v>32</v>
      </c>
      <c r="O4911" s="1" t="s">
        <v>33</v>
      </c>
      <c r="P4911" s="1" t="s">
        <v>210</v>
      </c>
      <c r="Q4911" s="1" t="s">
        <v>210</v>
      </c>
      <c r="R4911" s="1" t="s">
        <v>211</v>
      </c>
      <c r="T4911" s="1">
        <v>1.00647935E8</v>
      </c>
      <c r="W4911" s="1" t="s">
        <v>258</v>
      </c>
      <c r="X4911" s="1" t="s">
        <v>2991</v>
      </c>
    </row>
    <row r="4912">
      <c r="A4912" s="1" t="s">
        <v>13741</v>
      </c>
      <c r="B4912" s="1" t="s">
        <v>1047</v>
      </c>
      <c r="C4912" s="1" t="s">
        <v>13742</v>
      </c>
      <c r="D4912" s="1" t="s">
        <v>28</v>
      </c>
      <c r="E4912" s="1" t="s">
        <v>29</v>
      </c>
      <c r="F4912" s="5">
        <v>50000.0</v>
      </c>
      <c r="G4912" s="1" t="s">
        <v>7016</v>
      </c>
      <c r="H4912" s="1" t="s">
        <v>124</v>
      </c>
      <c r="I4912" s="1" t="s">
        <v>661</v>
      </c>
      <c r="K4912" s="1">
        <v>0.0</v>
      </c>
      <c r="L4912" s="1" t="s">
        <v>1049</v>
      </c>
      <c r="M4912" s="1" t="str">
        <f>VLOOKUP(L4912,'Copy of PMD Workday Constants -'!B4911:W5597,22,false)</f>
        <v>#N/A</v>
      </c>
      <c r="N4912" s="1" t="s">
        <v>32</v>
      </c>
      <c r="O4912" s="1" t="s">
        <v>33</v>
      </c>
      <c r="P4912" s="1" t="s">
        <v>210</v>
      </c>
      <c r="Q4912" s="1" t="s">
        <v>210</v>
      </c>
      <c r="R4912" s="1" t="s">
        <v>211</v>
      </c>
      <c r="S4912" s="1" t="s">
        <v>297</v>
      </c>
      <c r="T4912" s="1">
        <v>1.00650344E8</v>
      </c>
      <c r="W4912" s="1" t="s">
        <v>258</v>
      </c>
      <c r="X4912" s="1" t="s">
        <v>2399</v>
      </c>
    </row>
    <row r="4913">
      <c r="A4913" s="1" t="s">
        <v>13743</v>
      </c>
      <c r="B4913" s="1" t="s">
        <v>430</v>
      </c>
      <c r="C4913" s="1" t="s">
        <v>13744</v>
      </c>
      <c r="D4913" s="1" t="s">
        <v>28</v>
      </c>
      <c r="E4913" s="1" t="s">
        <v>29</v>
      </c>
      <c r="F4913" s="5">
        <v>50000.0</v>
      </c>
      <c r="G4913" s="1" t="s">
        <v>7016</v>
      </c>
      <c r="H4913" s="1" t="s">
        <v>1849</v>
      </c>
      <c r="I4913" s="1" t="s">
        <v>191</v>
      </c>
      <c r="K4913" s="1">
        <v>0.0</v>
      </c>
      <c r="L4913" s="1" t="s">
        <v>3137</v>
      </c>
      <c r="M4913" s="1" t="str">
        <f>VLOOKUP(L4913,'Copy of PMD Workday Constants -'!B4912:W5598,22,false)</f>
        <v>#N/A</v>
      </c>
      <c r="N4913" s="1" t="s">
        <v>32</v>
      </c>
      <c r="O4913" s="1" t="s">
        <v>33</v>
      </c>
      <c r="P4913" s="1" t="s">
        <v>82</v>
      </c>
      <c r="Q4913" s="1" t="s">
        <v>82</v>
      </c>
      <c r="R4913" s="1" t="s">
        <v>83</v>
      </c>
      <c r="S4913" s="1" t="s">
        <v>229</v>
      </c>
      <c r="T4913" s="1">
        <v>1.00586452E8</v>
      </c>
      <c r="W4913" s="1" t="s">
        <v>85</v>
      </c>
      <c r="X4913" s="1" t="s">
        <v>7862</v>
      </c>
    </row>
    <row r="4914">
      <c r="A4914" s="1" t="s">
        <v>13745</v>
      </c>
      <c r="B4914" s="1" t="s">
        <v>4721</v>
      </c>
      <c r="C4914" s="1" t="s">
        <v>13746</v>
      </c>
      <c r="D4914" s="1" t="s">
        <v>51</v>
      </c>
      <c r="E4914" s="1" t="s">
        <v>29</v>
      </c>
      <c r="F4914" s="5">
        <v>50000.0</v>
      </c>
      <c r="G4914" s="1" t="s">
        <v>7016</v>
      </c>
      <c r="H4914" s="4">
        <v>44717.0</v>
      </c>
      <c r="I4914" s="4">
        <v>44626.0</v>
      </c>
      <c r="K4914" s="1">
        <v>0.0</v>
      </c>
      <c r="L4914" s="1" t="s">
        <v>2081</v>
      </c>
      <c r="M4914" s="1" t="str">
        <f>VLOOKUP(L4914,'Copy of PMD Workday Constants -'!B4913:W5599,22,false)</f>
        <v>#N/A</v>
      </c>
      <c r="N4914" s="1" t="s">
        <v>32</v>
      </c>
      <c r="O4914" s="1" t="s">
        <v>33</v>
      </c>
      <c r="P4914" s="1" t="s">
        <v>34</v>
      </c>
      <c r="Q4914" s="1" t="s">
        <v>34</v>
      </c>
      <c r="R4914" s="1" t="s">
        <v>35</v>
      </c>
      <c r="T4914" s="1">
        <v>1.01215106E8</v>
      </c>
      <c r="W4914" s="1" t="s">
        <v>436</v>
      </c>
      <c r="X4914" s="1" t="s">
        <v>2081</v>
      </c>
    </row>
    <row r="4915">
      <c r="A4915" s="1" t="s">
        <v>13747</v>
      </c>
      <c r="B4915" s="1" t="s">
        <v>7535</v>
      </c>
      <c r="C4915" s="1" t="s">
        <v>13748</v>
      </c>
      <c r="D4915" s="1" t="s">
        <v>28</v>
      </c>
      <c r="E4915" s="1" t="s">
        <v>29</v>
      </c>
      <c r="F4915" s="5">
        <v>50000.0</v>
      </c>
      <c r="G4915" s="1" t="s">
        <v>7016</v>
      </c>
      <c r="H4915" s="1" t="s">
        <v>698</v>
      </c>
      <c r="I4915" s="1" t="s">
        <v>1349</v>
      </c>
      <c r="K4915" s="1">
        <v>0.0</v>
      </c>
      <c r="L4915" s="1" t="s">
        <v>4438</v>
      </c>
      <c r="M4915" s="1" t="str">
        <f>VLOOKUP(L4915,'Copy of PMD Workday Constants -'!B4914:W5600,22,false)</f>
        <v>#N/A</v>
      </c>
      <c r="N4915" s="1" t="s">
        <v>32</v>
      </c>
      <c r="O4915" s="1" t="s">
        <v>33</v>
      </c>
      <c r="P4915" s="1" t="s">
        <v>34</v>
      </c>
      <c r="Q4915" s="1" t="s">
        <v>34</v>
      </c>
      <c r="R4915" s="1" t="s">
        <v>35</v>
      </c>
      <c r="T4915" s="1">
        <v>1.01088701E8</v>
      </c>
      <c r="W4915" s="1" t="s">
        <v>74</v>
      </c>
      <c r="X4915" s="1" t="s">
        <v>4438</v>
      </c>
    </row>
    <row r="4916">
      <c r="A4916" s="1" t="s">
        <v>13749</v>
      </c>
      <c r="B4916" s="1" t="s">
        <v>13750</v>
      </c>
      <c r="C4916" s="1" t="s">
        <v>8931</v>
      </c>
      <c r="D4916" s="1" t="s">
        <v>51</v>
      </c>
      <c r="E4916" s="1" t="s">
        <v>29</v>
      </c>
      <c r="F4916" s="5">
        <v>50000.0</v>
      </c>
      <c r="G4916" s="1" t="s">
        <v>7016</v>
      </c>
      <c r="H4916" s="1" t="s">
        <v>810</v>
      </c>
      <c r="I4916" s="4">
        <v>44630.0</v>
      </c>
      <c r="K4916" s="1">
        <v>0.0</v>
      </c>
      <c r="L4916" s="1" t="s">
        <v>1417</v>
      </c>
      <c r="M4916" s="1" t="str">
        <f>VLOOKUP(L4916,'Copy of PMD Workday Constants -'!B4915:W5601,22,false)</f>
        <v>#N/A</v>
      </c>
      <c r="N4916" s="1" t="s">
        <v>32</v>
      </c>
      <c r="O4916" s="1" t="s">
        <v>33</v>
      </c>
      <c r="P4916" s="1" t="s">
        <v>64</v>
      </c>
      <c r="Q4916" s="1" t="s">
        <v>64</v>
      </c>
      <c r="R4916" s="1" t="s">
        <v>65</v>
      </c>
      <c r="S4916" s="1" t="s">
        <v>1336</v>
      </c>
      <c r="T4916" s="1">
        <v>1.00599107E8</v>
      </c>
      <c r="X4916" s="1" t="s">
        <v>9824</v>
      </c>
    </row>
    <row r="4917">
      <c r="A4917" s="1" t="s">
        <v>13751</v>
      </c>
      <c r="B4917" s="1" t="s">
        <v>637</v>
      </c>
      <c r="C4917" s="1" t="s">
        <v>13752</v>
      </c>
      <c r="D4917" s="1" t="s">
        <v>28</v>
      </c>
      <c r="E4917" s="1" t="s">
        <v>29</v>
      </c>
      <c r="F4917" s="5">
        <v>50000.0</v>
      </c>
      <c r="G4917" s="1" t="s">
        <v>7016</v>
      </c>
      <c r="H4917" s="1" t="s">
        <v>5294</v>
      </c>
      <c r="I4917" s="1" t="s">
        <v>526</v>
      </c>
      <c r="K4917" s="1">
        <v>0.0</v>
      </c>
      <c r="L4917" s="1" t="s">
        <v>4924</v>
      </c>
      <c r="M4917" s="1" t="str">
        <f>VLOOKUP(L4917,'Copy of PMD Workday Constants -'!B4916:W5602,22,false)</f>
        <v>#N/A</v>
      </c>
      <c r="N4917" s="1" t="s">
        <v>32</v>
      </c>
      <c r="O4917" s="1" t="s">
        <v>33</v>
      </c>
      <c r="P4917" s="1" t="s">
        <v>210</v>
      </c>
      <c r="Q4917" s="1" t="s">
        <v>210</v>
      </c>
      <c r="R4917" s="1" t="s">
        <v>211</v>
      </c>
      <c r="S4917" s="1" t="s">
        <v>212</v>
      </c>
      <c r="T4917" s="1">
        <v>1.00634482E8</v>
      </c>
      <c r="W4917" s="1" t="s">
        <v>56</v>
      </c>
      <c r="X4917" s="1" t="s">
        <v>13753</v>
      </c>
    </row>
    <row r="4918">
      <c r="A4918" s="1" t="s">
        <v>13754</v>
      </c>
      <c r="B4918" s="1" t="s">
        <v>13755</v>
      </c>
      <c r="C4918" s="1" t="s">
        <v>13756</v>
      </c>
      <c r="D4918" s="1" t="s">
        <v>28</v>
      </c>
      <c r="E4918" s="1" t="s">
        <v>29</v>
      </c>
      <c r="F4918" s="5">
        <v>50000.0</v>
      </c>
      <c r="G4918" s="1" t="s">
        <v>7016</v>
      </c>
      <c r="H4918" s="1" t="s">
        <v>698</v>
      </c>
      <c r="I4918" s="1" t="s">
        <v>526</v>
      </c>
      <c r="K4918" s="1">
        <v>0.0</v>
      </c>
      <c r="L4918" s="1" t="s">
        <v>4438</v>
      </c>
      <c r="M4918" s="1" t="str">
        <f>VLOOKUP(L4918,'Copy of PMD Workday Constants -'!B4917:W5603,22,false)</f>
        <v>#N/A</v>
      </c>
      <c r="N4918" s="1" t="s">
        <v>32</v>
      </c>
      <c r="O4918" s="1" t="s">
        <v>33</v>
      </c>
      <c r="P4918" s="1" t="s">
        <v>34</v>
      </c>
      <c r="Q4918" s="1" t="s">
        <v>34</v>
      </c>
      <c r="R4918" s="1" t="s">
        <v>35</v>
      </c>
      <c r="T4918" s="1">
        <v>1.01088701E8</v>
      </c>
      <c r="W4918" s="1" t="s">
        <v>250</v>
      </c>
      <c r="X4918" s="1" t="s">
        <v>4438</v>
      </c>
    </row>
    <row r="4919">
      <c r="A4919" s="1" t="s">
        <v>13757</v>
      </c>
      <c r="B4919" s="1" t="s">
        <v>1319</v>
      </c>
      <c r="C4919" s="1" t="s">
        <v>13758</v>
      </c>
      <c r="D4919" s="1" t="s">
        <v>51</v>
      </c>
      <c r="E4919" s="1" t="s">
        <v>29</v>
      </c>
      <c r="F4919" s="5">
        <v>50000.0</v>
      </c>
      <c r="G4919" s="1" t="s">
        <v>7016</v>
      </c>
      <c r="H4919" s="4">
        <v>44777.0</v>
      </c>
      <c r="I4919" s="1" t="s">
        <v>104</v>
      </c>
      <c r="K4919" s="1">
        <v>0.0</v>
      </c>
      <c r="L4919" s="1" t="s">
        <v>1249</v>
      </c>
      <c r="M4919" s="1" t="str">
        <f>VLOOKUP(L4919,'Copy of PMD Workday Constants -'!B4918:W5604,22,false)</f>
        <v>#N/A</v>
      </c>
      <c r="N4919" s="1" t="s">
        <v>32</v>
      </c>
      <c r="O4919" s="1" t="s">
        <v>33</v>
      </c>
      <c r="P4919" s="1" t="s">
        <v>222</v>
      </c>
      <c r="Q4919" s="1" t="s">
        <v>222</v>
      </c>
      <c r="R4919" s="1" t="s">
        <v>223</v>
      </c>
      <c r="S4919" s="1" t="s">
        <v>646</v>
      </c>
      <c r="T4919" s="1">
        <v>1.00609871E8</v>
      </c>
      <c r="W4919" s="1" t="s">
        <v>436</v>
      </c>
      <c r="X4919" s="1" t="s">
        <v>10615</v>
      </c>
    </row>
    <row r="4920">
      <c r="A4920" s="1" t="s">
        <v>13759</v>
      </c>
      <c r="B4920" s="1" t="s">
        <v>5470</v>
      </c>
      <c r="C4920" s="1" t="s">
        <v>13760</v>
      </c>
      <c r="D4920" s="1" t="s">
        <v>51</v>
      </c>
      <c r="E4920" s="1" t="s">
        <v>29</v>
      </c>
      <c r="F4920" s="5">
        <v>50000.0</v>
      </c>
      <c r="G4920" s="1" t="s">
        <v>7016</v>
      </c>
      <c r="H4920" s="1" t="s">
        <v>698</v>
      </c>
      <c r="I4920" s="1" t="s">
        <v>1349</v>
      </c>
      <c r="K4920" s="1">
        <v>0.0</v>
      </c>
      <c r="L4920" s="1" t="s">
        <v>4438</v>
      </c>
      <c r="M4920" s="1" t="str">
        <f>VLOOKUP(L4920,'Copy of PMD Workday Constants -'!B4919:W5605,22,false)</f>
        <v>#N/A</v>
      </c>
      <c r="N4920" s="1" t="s">
        <v>32</v>
      </c>
      <c r="O4920" s="1" t="s">
        <v>33</v>
      </c>
      <c r="P4920" s="1" t="s">
        <v>34</v>
      </c>
      <c r="Q4920" s="1" t="s">
        <v>34</v>
      </c>
      <c r="R4920" s="1" t="s">
        <v>35</v>
      </c>
      <c r="T4920" s="1">
        <v>1.01088701E8</v>
      </c>
      <c r="W4920" s="1" t="s">
        <v>74</v>
      </c>
      <c r="X4920" s="1" t="s">
        <v>4438</v>
      </c>
    </row>
    <row r="4921">
      <c r="A4921" s="1" t="s">
        <v>13761</v>
      </c>
      <c r="B4921" s="1" t="s">
        <v>12955</v>
      </c>
      <c r="C4921" s="1" t="s">
        <v>13762</v>
      </c>
      <c r="D4921" s="1" t="s">
        <v>103</v>
      </c>
      <c r="E4921" s="1" t="s">
        <v>29</v>
      </c>
      <c r="F4921" s="5">
        <v>50000.0</v>
      </c>
      <c r="G4921" s="1" t="s">
        <v>7016</v>
      </c>
      <c r="H4921" s="4">
        <v>44748.0</v>
      </c>
      <c r="I4921" s="1" t="s">
        <v>104</v>
      </c>
      <c r="K4921" s="1">
        <v>0.0</v>
      </c>
      <c r="L4921" s="1" t="s">
        <v>13763</v>
      </c>
      <c r="M4921" s="1" t="str">
        <f>VLOOKUP(L4921,'Copy of PMD Workday Constants -'!B4920:W5606,22,false)</f>
        <v>#N/A</v>
      </c>
      <c r="N4921" s="1" t="s">
        <v>32</v>
      </c>
      <c r="O4921" s="1" t="s">
        <v>33</v>
      </c>
      <c r="P4921" s="1" t="s">
        <v>82</v>
      </c>
      <c r="Q4921" s="1" t="s">
        <v>82</v>
      </c>
      <c r="R4921" s="1" t="s">
        <v>83</v>
      </c>
      <c r="T4921" s="1">
        <v>1.01248391E8</v>
      </c>
      <c r="W4921" s="1" t="s">
        <v>74</v>
      </c>
      <c r="X4921" s="1" t="s">
        <v>13764</v>
      </c>
    </row>
    <row r="4922">
      <c r="A4922" s="1" t="s">
        <v>13765</v>
      </c>
      <c r="B4922" s="1" t="s">
        <v>3650</v>
      </c>
      <c r="C4922" s="1" t="s">
        <v>13766</v>
      </c>
      <c r="D4922" s="1" t="s">
        <v>51</v>
      </c>
      <c r="E4922" s="1" t="s">
        <v>29</v>
      </c>
      <c r="F4922" s="5">
        <v>50000.0</v>
      </c>
      <c r="G4922" s="1" t="s">
        <v>7016</v>
      </c>
      <c r="H4922" s="1" t="s">
        <v>1444</v>
      </c>
      <c r="I4922" s="1" t="s">
        <v>80</v>
      </c>
      <c r="K4922" s="1">
        <v>0.0</v>
      </c>
      <c r="L4922" s="1" t="s">
        <v>11329</v>
      </c>
      <c r="M4922" s="1" t="str">
        <f>VLOOKUP(L4922,'Copy of PMD Workday Constants -'!B4921:W5607,22,false)</f>
        <v>#N/A</v>
      </c>
      <c r="N4922" s="1" t="s">
        <v>32</v>
      </c>
      <c r="O4922" s="1" t="s">
        <v>33</v>
      </c>
      <c r="P4922" s="1" t="s">
        <v>173</v>
      </c>
      <c r="Q4922" s="1" t="s">
        <v>173</v>
      </c>
      <c r="R4922" s="1" t="s">
        <v>174</v>
      </c>
      <c r="S4922" s="1" t="s">
        <v>98</v>
      </c>
      <c r="T4922" s="1">
        <v>1.01056026E8</v>
      </c>
      <c r="W4922" s="1" t="s">
        <v>56</v>
      </c>
      <c r="X4922" s="1" t="s">
        <v>10823</v>
      </c>
    </row>
    <row r="4923">
      <c r="A4923" s="1" t="s">
        <v>13767</v>
      </c>
      <c r="B4923" s="1" t="s">
        <v>13768</v>
      </c>
      <c r="C4923" s="1" t="s">
        <v>13769</v>
      </c>
      <c r="D4923" s="1" t="s">
        <v>28</v>
      </c>
      <c r="E4923" s="1" t="s">
        <v>29</v>
      </c>
      <c r="F4923" s="5">
        <v>50000.0</v>
      </c>
      <c r="G4923" s="1" t="s">
        <v>7016</v>
      </c>
      <c r="H4923" s="1" t="s">
        <v>1287</v>
      </c>
      <c r="I4923" s="1" t="s">
        <v>132</v>
      </c>
      <c r="K4923" s="1">
        <v>0.0</v>
      </c>
      <c r="L4923" s="1" t="s">
        <v>3137</v>
      </c>
      <c r="M4923" s="1" t="str">
        <f>VLOOKUP(L4923,'Copy of PMD Workday Constants -'!B4922:W5608,22,false)</f>
        <v>#N/A</v>
      </c>
      <c r="N4923" s="1" t="s">
        <v>32</v>
      </c>
      <c r="O4923" s="1" t="s">
        <v>33</v>
      </c>
      <c r="P4923" s="1" t="s">
        <v>82</v>
      </c>
      <c r="Q4923" s="1" t="s">
        <v>82</v>
      </c>
      <c r="R4923" s="1" t="s">
        <v>83</v>
      </c>
      <c r="S4923" s="1" t="s">
        <v>180</v>
      </c>
      <c r="T4923" s="1">
        <v>1.00586452E8</v>
      </c>
      <c r="X4923" s="1" t="s">
        <v>11699</v>
      </c>
    </row>
    <row r="4924">
      <c r="A4924" s="1" t="s">
        <v>13770</v>
      </c>
      <c r="B4924" s="1" t="s">
        <v>1589</v>
      </c>
      <c r="C4924" s="1" t="s">
        <v>13771</v>
      </c>
      <c r="D4924" s="1" t="s">
        <v>51</v>
      </c>
      <c r="E4924" s="1" t="s">
        <v>29</v>
      </c>
      <c r="F4924" s="5">
        <v>50000.0</v>
      </c>
      <c r="G4924" s="1" t="s">
        <v>7016</v>
      </c>
      <c r="H4924" s="4">
        <v>44387.0</v>
      </c>
      <c r="I4924" s="1" t="s">
        <v>152</v>
      </c>
      <c r="K4924" s="1">
        <v>0.0</v>
      </c>
      <c r="L4924" s="1" t="s">
        <v>270</v>
      </c>
      <c r="M4924" s="1" t="str">
        <f>VLOOKUP(L4924,'Copy of PMD Workday Constants -'!B4923:W5609,22,false)</f>
        <v>#N/A</v>
      </c>
      <c r="N4924" s="1" t="s">
        <v>32</v>
      </c>
      <c r="O4924" s="1" t="s">
        <v>33</v>
      </c>
      <c r="P4924" s="1" t="s">
        <v>34</v>
      </c>
      <c r="Q4924" s="1" t="s">
        <v>34</v>
      </c>
      <c r="R4924" s="1" t="s">
        <v>35</v>
      </c>
      <c r="S4924" s="1" t="s">
        <v>383</v>
      </c>
      <c r="T4924" s="1">
        <v>1.00597826E8</v>
      </c>
      <c r="W4924" s="1" t="s">
        <v>140</v>
      </c>
      <c r="X4924" s="1" t="s">
        <v>4823</v>
      </c>
    </row>
    <row r="4925">
      <c r="A4925" s="1" t="s">
        <v>13772</v>
      </c>
      <c r="B4925" s="1" t="s">
        <v>2785</v>
      </c>
      <c r="C4925" s="1" t="s">
        <v>13773</v>
      </c>
      <c r="D4925" s="1" t="s">
        <v>28</v>
      </c>
      <c r="E4925" s="1" t="s">
        <v>29</v>
      </c>
      <c r="F4925" s="5">
        <v>50000.0</v>
      </c>
      <c r="G4925" s="1" t="s">
        <v>7016</v>
      </c>
      <c r="H4925" s="1" t="s">
        <v>8538</v>
      </c>
      <c r="I4925" s="1" t="s">
        <v>191</v>
      </c>
      <c r="K4925" s="1">
        <v>0.0</v>
      </c>
      <c r="L4925" s="1" t="s">
        <v>2788</v>
      </c>
      <c r="M4925" s="1" t="str">
        <f>VLOOKUP(L4925,'Copy of PMD Workday Constants -'!B4924:W5610,22,false)</f>
        <v>#N/A</v>
      </c>
      <c r="N4925" s="1" t="s">
        <v>32</v>
      </c>
      <c r="O4925" s="1" t="s">
        <v>33</v>
      </c>
      <c r="P4925" s="1" t="s">
        <v>54</v>
      </c>
      <c r="Q4925" s="1" t="s">
        <v>54</v>
      </c>
      <c r="R4925" s="1" t="s">
        <v>55</v>
      </c>
      <c r="S4925" s="1" t="s">
        <v>180</v>
      </c>
      <c r="T4925" s="1">
        <v>1.0059132E8</v>
      </c>
      <c r="W4925" s="1" t="s">
        <v>85</v>
      </c>
      <c r="X4925" s="1" t="s">
        <v>7862</v>
      </c>
    </row>
    <row r="4926">
      <c r="A4926" s="1" t="s">
        <v>13774</v>
      </c>
      <c r="B4926" s="1" t="s">
        <v>11409</v>
      </c>
      <c r="C4926" s="1" t="s">
        <v>13775</v>
      </c>
      <c r="D4926" s="1" t="s">
        <v>28</v>
      </c>
      <c r="E4926" s="1" t="s">
        <v>29</v>
      </c>
      <c r="F4926" s="5">
        <v>50000.0</v>
      </c>
      <c r="G4926" s="1" t="s">
        <v>7016</v>
      </c>
      <c r="H4926" s="4">
        <v>44717.0</v>
      </c>
      <c r="I4926" s="1" t="s">
        <v>732</v>
      </c>
      <c r="K4926" s="1">
        <v>0.0</v>
      </c>
      <c r="L4926" s="1" t="s">
        <v>4392</v>
      </c>
      <c r="M4926" s="1" t="str">
        <f>VLOOKUP(L4926,'Copy of PMD Workday Constants -'!B4925:W5611,22,false)</f>
        <v>#N/A</v>
      </c>
      <c r="N4926" s="1" t="s">
        <v>32</v>
      </c>
      <c r="O4926" s="1" t="s">
        <v>33</v>
      </c>
      <c r="P4926" s="1" t="s">
        <v>34</v>
      </c>
      <c r="Q4926" s="1" t="s">
        <v>34</v>
      </c>
      <c r="R4926" s="1" t="s">
        <v>35</v>
      </c>
      <c r="S4926" s="1" t="s">
        <v>1336</v>
      </c>
      <c r="T4926" s="1">
        <v>1.00648847E8</v>
      </c>
      <c r="X4926" s="1" t="s">
        <v>4392</v>
      </c>
    </row>
    <row r="4927">
      <c r="A4927" s="1" t="s">
        <v>13776</v>
      </c>
      <c r="B4927" s="1" t="s">
        <v>521</v>
      </c>
      <c r="C4927" s="1" t="s">
        <v>13777</v>
      </c>
      <c r="D4927" s="1" t="s">
        <v>103</v>
      </c>
      <c r="E4927" s="1" t="s">
        <v>29</v>
      </c>
      <c r="F4927" s="5">
        <v>50000.0</v>
      </c>
      <c r="G4927" s="1" t="s">
        <v>7016</v>
      </c>
      <c r="H4927" s="1" t="s">
        <v>2069</v>
      </c>
      <c r="I4927" s="1" t="s">
        <v>80</v>
      </c>
      <c r="K4927" s="1">
        <v>0.0</v>
      </c>
      <c r="L4927" s="1" t="s">
        <v>7062</v>
      </c>
      <c r="M4927" s="1" t="str">
        <f>VLOOKUP(L4927,'Copy of PMD Workday Constants -'!B4926:W5612,22,false)</f>
        <v>#N/A</v>
      </c>
      <c r="N4927" s="1" t="s">
        <v>32</v>
      </c>
      <c r="O4927" s="1" t="s">
        <v>33</v>
      </c>
      <c r="P4927" s="1" t="s">
        <v>222</v>
      </c>
      <c r="Q4927" s="1" t="s">
        <v>222</v>
      </c>
      <c r="R4927" s="1" t="s">
        <v>223</v>
      </c>
      <c r="S4927" s="1" t="s">
        <v>482</v>
      </c>
      <c r="T4927" s="1">
        <v>1.00614969E8</v>
      </c>
      <c r="W4927" s="1" t="s">
        <v>85</v>
      </c>
      <c r="X4927" s="1" t="s">
        <v>2086</v>
      </c>
    </row>
    <row r="4928">
      <c r="A4928" s="1" t="s">
        <v>13778</v>
      </c>
      <c r="B4928" s="1" t="s">
        <v>3542</v>
      </c>
      <c r="C4928" s="1" t="s">
        <v>13779</v>
      </c>
      <c r="D4928" s="1" t="s">
        <v>103</v>
      </c>
      <c r="E4928" s="1" t="s">
        <v>29</v>
      </c>
      <c r="F4928" s="5">
        <v>50000.0</v>
      </c>
      <c r="G4928" s="1" t="s">
        <v>7016</v>
      </c>
      <c r="H4928" s="4">
        <v>44839.0</v>
      </c>
      <c r="I4928" s="1" t="s">
        <v>104</v>
      </c>
      <c r="K4928" s="1">
        <v>0.0</v>
      </c>
      <c r="L4928" s="1" t="s">
        <v>4051</v>
      </c>
      <c r="M4928" s="1" t="str">
        <f>VLOOKUP(L4928,'Copy of PMD Workday Constants -'!B4927:W5613,22,false)</f>
        <v>#N/A</v>
      </c>
      <c r="N4928" s="1" t="s">
        <v>32</v>
      </c>
      <c r="O4928" s="1" t="s">
        <v>33</v>
      </c>
      <c r="P4928" s="1" t="s">
        <v>112</v>
      </c>
      <c r="Q4928" s="1" t="s">
        <v>112</v>
      </c>
      <c r="R4928" s="1" t="s">
        <v>113</v>
      </c>
      <c r="S4928" s="1" t="s">
        <v>307</v>
      </c>
      <c r="T4928" s="1">
        <v>1.00694651E8</v>
      </c>
      <c r="W4928" s="1" t="s">
        <v>947</v>
      </c>
      <c r="X4928" s="1" t="s">
        <v>8273</v>
      </c>
    </row>
    <row r="4929">
      <c r="A4929" s="1" t="s">
        <v>13780</v>
      </c>
      <c r="B4929" s="1" t="s">
        <v>993</v>
      </c>
      <c r="C4929" s="1" t="s">
        <v>13781</v>
      </c>
      <c r="D4929" s="1" t="s">
        <v>51</v>
      </c>
      <c r="E4929" s="1" t="s">
        <v>29</v>
      </c>
      <c r="F4929" s="5">
        <v>50000.0</v>
      </c>
      <c r="G4929" s="1" t="s">
        <v>7016</v>
      </c>
      <c r="H4929" s="1" t="s">
        <v>466</v>
      </c>
      <c r="I4929" s="1" t="s">
        <v>80</v>
      </c>
      <c r="K4929" s="1">
        <v>0.0</v>
      </c>
      <c r="L4929" s="1" t="s">
        <v>4634</v>
      </c>
      <c r="M4929" s="1" t="str">
        <f>VLOOKUP(L4929,'Copy of PMD Workday Constants -'!B4928:W5614,22,false)</f>
        <v>#N/A</v>
      </c>
      <c r="N4929" s="1" t="s">
        <v>32</v>
      </c>
      <c r="O4929" s="1" t="s">
        <v>33</v>
      </c>
      <c r="P4929" s="1" t="s">
        <v>112</v>
      </c>
      <c r="Q4929" s="1" t="s">
        <v>112</v>
      </c>
      <c r="R4929" s="1" t="s">
        <v>113</v>
      </c>
      <c r="S4929" s="1" t="s">
        <v>134</v>
      </c>
      <c r="T4929" s="1">
        <v>1.00585718E8</v>
      </c>
      <c r="W4929" s="1" t="s">
        <v>74</v>
      </c>
      <c r="X4929" s="1" t="s">
        <v>4804</v>
      </c>
    </row>
    <row r="4930">
      <c r="A4930" s="1" t="s">
        <v>13782</v>
      </c>
      <c r="B4930" s="1" t="s">
        <v>13783</v>
      </c>
      <c r="C4930" s="1" t="s">
        <v>13784</v>
      </c>
      <c r="D4930" s="1" t="s">
        <v>28</v>
      </c>
      <c r="E4930" s="1" t="s">
        <v>29</v>
      </c>
      <c r="F4930" s="5">
        <v>50000.0</v>
      </c>
      <c r="G4930" s="1" t="s">
        <v>7016</v>
      </c>
      <c r="H4930" s="1" t="s">
        <v>4650</v>
      </c>
      <c r="I4930" s="1" t="s">
        <v>302</v>
      </c>
      <c r="K4930" s="1">
        <v>0.0</v>
      </c>
      <c r="L4930" s="1" t="s">
        <v>13785</v>
      </c>
      <c r="M4930" s="1" t="str">
        <f>VLOOKUP(L4930,'Copy of PMD Workday Constants -'!B4929:W5615,22,false)</f>
        <v>#N/A</v>
      </c>
      <c r="N4930" s="1" t="s">
        <v>32</v>
      </c>
      <c r="O4930" s="1" t="s">
        <v>33</v>
      </c>
      <c r="P4930" s="1" t="s">
        <v>210</v>
      </c>
      <c r="Q4930" s="1" t="s">
        <v>210</v>
      </c>
      <c r="R4930" s="1" t="s">
        <v>211</v>
      </c>
      <c r="S4930" s="1" t="s">
        <v>212</v>
      </c>
      <c r="T4930" s="1">
        <v>1.00659011E8</v>
      </c>
      <c r="W4930" s="1" t="s">
        <v>56</v>
      </c>
      <c r="X4930" s="1" t="s">
        <v>10615</v>
      </c>
    </row>
    <row r="4931">
      <c r="A4931" s="1" t="s">
        <v>13786</v>
      </c>
      <c r="B4931" s="1" t="s">
        <v>13787</v>
      </c>
      <c r="C4931" s="1" t="s">
        <v>13788</v>
      </c>
      <c r="D4931" s="1" t="s">
        <v>28</v>
      </c>
      <c r="E4931" s="1" t="s">
        <v>29</v>
      </c>
      <c r="F4931" s="5">
        <v>50000.0</v>
      </c>
      <c r="G4931" s="1" t="s">
        <v>7016</v>
      </c>
      <c r="H4931" s="4">
        <v>44652.0</v>
      </c>
      <c r="I4931" s="1" t="s">
        <v>152</v>
      </c>
      <c r="K4931" s="1">
        <v>0.0</v>
      </c>
      <c r="L4931" s="1" t="s">
        <v>5392</v>
      </c>
      <c r="M4931" s="1" t="str">
        <f>VLOOKUP(L4931,'Copy of PMD Workday Constants -'!B4930:W5616,22,false)</f>
        <v>#N/A</v>
      </c>
      <c r="N4931" s="1" t="s">
        <v>32</v>
      </c>
      <c r="O4931" s="1" t="s">
        <v>33</v>
      </c>
      <c r="P4931" s="1" t="s">
        <v>173</v>
      </c>
      <c r="Q4931" s="1" t="s">
        <v>173</v>
      </c>
      <c r="R4931" s="1" t="s">
        <v>174</v>
      </c>
      <c r="T4931" s="1">
        <v>1.01138319E8</v>
      </c>
      <c r="W4931" s="1" t="s">
        <v>85</v>
      </c>
      <c r="X4931" s="1" t="s">
        <v>5392</v>
      </c>
    </row>
    <row r="4932">
      <c r="A4932" s="1" t="s">
        <v>13789</v>
      </c>
      <c r="B4932" s="1" t="s">
        <v>289</v>
      </c>
      <c r="C4932" s="1" t="s">
        <v>13790</v>
      </c>
      <c r="D4932" s="1" t="s">
        <v>28</v>
      </c>
      <c r="E4932" s="1" t="s">
        <v>29</v>
      </c>
      <c r="F4932" s="5">
        <v>50000.0</v>
      </c>
      <c r="G4932" s="1" t="s">
        <v>7016</v>
      </c>
      <c r="H4932" s="4">
        <v>44777.0</v>
      </c>
      <c r="I4932" s="4">
        <v>44569.0</v>
      </c>
      <c r="K4932" s="1">
        <v>0.0</v>
      </c>
      <c r="L4932" s="1" t="s">
        <v>4240</v>
      </c>
      <c r="M4932" s="1" t="str">
        <f>VLOOKUP(L4932,'Copy of PMD Workday Constants -'!B4931:W5617,22,false)</f>
        <v>#N/A</v>
      </c>
      <c r="N4932" s="1" t="s">
        <v>32</v>
      </c>
      <c r="O4932" s="1" t="s">
        <v>33</v>
      </c>
      <c r="P4932" s="1" t="s">
        <v>210</v>
      </c>
      <c r="Q4932" s="1" t="s">
        <v>210</v>
      </c>
      <c r="R4932" s="1" t="s">
        <v>211</v>
      </c>
      <c r="T4932" s="1">
        <v>1.00625459E8</v>
      </c>
      <c r="W4932" s="1" t="s">
        <v>74</v>
      </c>
      <c r="X4932" s="1" t="s">
        <v>852</v>
      </c>
    </row>
    <row r="4933">
      <c r="A4933" s="1" t="s">
        <v>13791</v>
      </c>
      <c r="B4933" s="1" t="s">
        <v>4817</v>
      </c>
      <c r="C4933" s="1" t="s">
        <v>13792</v>
      </c>
      <c r="D4933" s="1" t="s">
        <v>103</v>
      </c>
      <c r="E4933" s="1" t="s">
        <v>29</v>
      </c>
      <c r="F4933" s="5">
        <v>50000.0</v>
      </c>
      <c r="G4933" s="1" t="s">
        <v>7016</v>
      </c>
      <c r="H4933" s="4">
        <v>44230.0</v>
      </c>
      <c r="I4933" s="1" t="s">
        <v>302</v>
      </c>
      <c r="K4933" s="1">
        <v>0.0</v>
      </c>
      <c r="L4933" s="1" t="s">
        <v>866</v>
      </c>
      <c r="M4933" s="1" t="str">
        <f>VLOOKUP(L4933,'Copy of PMD Workday Constants -'!B4932:W5618,22,false)</f>
        <v>#N/A</v>
      </c>
      <c r="N4933" s="1" t="s">
        <v>32</v>
      </c>
      <c r="O4933" s="1" t="s">
        <v>33</v>
      </c>
      <c r="P4933" s="1" t="s">
        <v>82</v>
      </c>
      <c r="Q4933" s="1" t="s">
        <v>82</v>
      </c>
      <c r="R4933" s="1" t="s">
        <v>83</v>
      </c>
      <c r="S4933" s="1" t="s">
        <v>13793</v>
      </c>
      <c r="T4933" s="1">
        <v>1.00941744E8</v>
      </c>
      <c r="W4933" s="1" t="s">
        <v>85</v>
      </c>
      <c r="X4933" s="1" t="s">
        <v>7862</v>
      </c>
    </row>
    <row r="4934">
      <c r="A4934" s="1" t="s">
        <v>13794</v>
      </c>
      <c r="B4934" s="1" t="s">
        <v>804</v>
      </c>
      <c r="C4934" s="1" t="s">
        <v>13795</v>
      </c>
      <c r="D4934" s="1" t="s">
        <v>28</v>
      </c>
      <c r="E4934" s="1" t="s">
        <v>29</v>
      </c>
      <c r="F4934" s="5">
        <v>50000.0</v>
      </c>
      <c r="G4934" s="1" t="s">
        <v>7016</v>
      </c>
      <c r="H4934" s="1" t="s">
        <v>681</v>
      </c>
      <c r="I4934" s="1" t="s">
        <v>132</v>
      </c>
      <c r="K4934" s="1">
        <v>0.0</v>
      </c>
      <c r="L4934" s="1" t="s">
        <v>557</v>
      </c>
      <c r="M4934" s="1" t="str">
        <f>VLOOKUP(L4934,'Copy of PMD Workday Constants -'!B4933:W5619,22,false)</f>
        <v>#N/A</v>
      </c>
      <c r="N4934" s="1" t="s">
        <v>32</v>
      </c>
      <c r="O4934" s="1" t="s">
        <v>33</v>
      </c>
      <c r="P4934" s="1" t="s">
        <v>173</v>
      </c>
      <c r="Q4934" s="1" t="s">
        <v>173</v>
      </c>
      <c r="R4934" s="1" t="s">
        <v>174</v>
      </c>
      <c r="S4934" s="1" t="s">
        <v>2055</v>
      </c>
      <c r="T4934" s="1">
        <v>1.00700761E8</v>
      </c>
      <c r="W4934" s="1" t="s">
        <v>147</v>
      </c>
      <c r="X4934" s="1" t="s">
        <v>557</v>
      </c>
    </row>
    <row r="4935">
      <c r="A4935" s="1" t="s">
        <v>13796</v>
      </c>
      <c r="B4935" s="1" t="s">
        <v>2263</v>
      </c>
      <c r="C4935" s="1" t="s">
        <v>13797</v>
      </c>
      <c r="D4935" s="1" t="s">
        <v>28</v>
      </c>
      <c r="E4935" s="1" t="s">
        <v>29</v>
      </c>
      <c r="F4935" s="5">
        <v>50000.0</v>
      </c>
      <c r="G4935" s="1" t="s">
        <v>7016</v>
      </c>
      <c r="H4935" s="1" t="s">
        <v>3755</v>
      </c>
      <c r="I4935" s="1" t="s">
        <v>43</v>
      </c>
      <c r="K4935" s="1">
        <v>0.0</v>
      </c>
      <c r="L4935" s="1" t="s">
        <v>11159</v>
      </c>
      <c r="M4935" s="1" t="str">
        <f>VLOOKUP(L4935,'Copy of PMD Workday Constants -'!B4934:W5620,22,false)</f>
        <v>#N/A</v>
      </c>
      <c r="N4935" s="1" t="s">
        <v>32</v>
      </c>
      <c r="O4935" s="1" t="s">
        <v>33</v>
      </c>
      <c r="P4935" s="1" t="s">
        <v>222</v>
      </c>
      <c r="Q4935" s="1" t="s">
        <v>222</v>
      </c>
      <c r="R4935" s="1" t="s">
        <v>223</v>
      </c>
      <c r="S4935" s="1" t="s">
        <v>482</v>
      </c>
      <c r="T4935" s="1">
        <v>1.00602248E8</v>
      </c>
      <c r="W4935" s="1" t="s">
        <v>577</v>
      </c>
      <c r="X4935" s="1" t="s">
        <v>12989</v>
      </c>
    </row>
    <row r="4936">
      <c r="A4936" s="1" t="s">
        <v>13798</v>
      </c>
      <c r="B4936" s="1" t="s">
        <v>13799</v>
      </c>
      <c r="C4936" s="1" t="s">
        <v>13800</v>
      </c>
      <c r="D4936" s="1" t="s">
        <v>51</v>
      </c>
      <c r="E4936" s="1" t="s">
        <v>29</v>
      </c>
      <c r="F4936" s="5">
        <v>50000.0</v>
      </c>
      <c r="G4936" s="1" t="s">
        <v>7016</v>
      </c>
      <c r="H4936" s="1" t="s">
        <v>375</v>
      </c>
      <c r="I4936" s="1" t="s">
        <v>166</v>
      </c>
      <c r="K4936" s="1">
        <v>0.0</v>
      </c>
      <c r="L4936" s="1" t="s">
        <v>3727</v>
      </c>
      <c r="M4936" s="1" t="str">
        <f>VLOOKUP(L4936,'Copy of PMD Workday Constants -'!B4935:W5621,22,false)</f>
        <v>#N/A</v>
      </c>
      <c r="N4936" s="1" t="s">
        <v>32</v>
      </c>
      <c r="O4936" s="1" t="s">
        <v>33</v>
      </c>
      <c r="P4936" s="1" t="s">
        <v>222</v>
      </c>
      <c r="Q4936" s="1" t="s">
        <v>222</v>
      </c>
      <c r="R4936" s="1" t="s">
        <v>223</v>
      </c>
      <c r="S4936" s="1" t="s">
        <v>482</v>
      </c>
      <c r="T4936" s="1">
        <v>1.00611158E8</v>
      </c>
      <c r="W4936" s="1" t="s">
        <v>1801</v>
      </c>
      <c r="X4936" s="1" t="s">
        <v>3727</v>
      </c>
    </row>
    <row r="4937">
      <c r="A4937" s="1" t="s">
        <v>13801</v>
      </c>
      <c r="B4937" s="1" t="s">
        <v>637</v>
      </c>
      <c r="C4937" s="1" t="s">
        <v>13802</v>
      </c>
      <c r="D4937" s="1" t="s">
        <v>51</v>
      </c>
      <c r="E4937" s="1" t="s">
        <v>29</v>
      </c>
      <c r="F4937" s="5">
        <v>50000.0</v>
      </c>
      <c r="G4937" s="1" t="s">
        <v>7016</v>
      </c>
      <c r="H4937" s="1" t="s">
        <v>6337</v>
      </c>
      <c r="I4937" s="1" t="s">
        <v>80</v>
      </c>
      <c r="J4937" s="1" t="s">
        <v>13803</v>
      </c>
      <c r="K4937" s="1">
        <v>0.0</v>
      </c>
      <c r="L4937" s="1" t="s">
        <v>4924</v>
      </c>
      <c r="M4937" s="1" t="str">
        <f>VLOOKUP(L4937,'Copy of PMD Workday Constants -'!B4936:W5622,22,false)</f>
        <v>#N/A</v>
      </c>
      <c r="N4937" s="1" t="s">
        <v>32</v>
      </c>
      <c r="O4937" s="1" t="s">
        <v>33</v>
      </c>
      <c r="P4937" s="1" t="s">
        <v>210</v>
      </c>
      <c r="Q4937" s="1" t="s">
        <v>210</v>
      </c>
      <c r="R4937" s="1" t="s">
        <v>211</v>
      </c>
      <c r="S4937" s="1" t="s">
        <v>540</v>
      </c>
      <c r="T4937" s="1">
        <v>1.00634482E8</v>
      </c>
      <c r="W4937" s="1" t="s">
        <v>56</v>
      </c>
      <c r="X4937" s="1" t="s">
        <v>11046</v>
      </c>
    </row>
    <row r="4938">
      <c r="A4938" s="1" t="s">
        <v>13804</v>
      </c>
      <c r="B4938" s="1" t="s">
        <v>13805</v>
      </c>
      <c r="C4938" s="1" t="s">
        <v>13806</v>
      </c>
      <c r="D4938" s="1" t="s">
        <v>28</v>
      </c>
      <c r="E4938" s="1" t="s">
        <v>29</v>
      </c>
      <c r="F4938" s="5">
        <v>50000.0</v>
      </c>
      <c r="G4938" s="1" t="s">
        <v>7016</v>
      </c>
      <c r="H4938" s="4">
        <v>44682.0</v>
      </c>
      <c r="I4938" s="1" t="s">
        <v>80</v>
      </c>
      <c r="K4938" s="1">
        <v>0.0</v>
      </c>
      <c r="L4938" s="1" t="s">
        <v>10851</v>
      </c>
      <c r="M4938" s="1" t="str">
        <f>VLOOKUP(L4938,'Copy of PMD Workday Constants -'!B4937:W5623,22,false)</f>
        <v>#N/A</v>
      </c>
      <c r="N4938" s="1" t="s">
        <v>32</v>
      </c>
      <c r="O4938" s="1" t="s">
        <v>33</v>
      </c>
      <c r="P4938" s="1" t="s">
        <v>222</v>
      </c>
      <c r="Q4938" s="1" t="s">
        <v>222</v>
      </c>
      <c r="R4938" s="1" t="s">
        <v>223</v>
      </c>
      <c r="S4938" s="1" t="s">
        <v>482</v>
      </c>
      <c r="T4938" s="1">
        <v>1.00592873E8</v>
      </c>
      <c r="W4938" s="1" t="s">
        <v>115</v>
      </c>
      <c r="X4938" s="1" t="s">
        <v>10851</v>
      </c>
    </row>
    <row r="4939">
      <c r="A4939" s="1" t="s">
        <v>13807</v>
      </c>
      <c r="B4939" s="1" t="s">
        <v>3267</v>
      </c>
      <c r="C4939" s="1" t="s">
        <v>13808</v>
      </c>
      <c r="D4939" s="1" t="s">
        <v>51</v>
      </c>
      <c r="E4939" s="1" t="s">
        <v>29</v>
      </c>
      <c r="F4939" s="5">
        <v>50000.0</v>
      </c>
      <c r="G4939" s="1" t="s">
        <v>7016</v>
      </c>
      <c r="H4939" s="4">
        <v>44480.0</v>
      </c>
      <c r="I4939" s="1" t="s">
        <v>152</v>
      </c>
      <c r="K4939" s="1">
        <v>0.0</v>
      </c>
      <c r="L4939" s="1" t="s">
        <v>1790</v>
      </c>
      <c r="M4939" s="1" t="str">
        <f>VLOOKUP(L4939,'Copy of PMD Workday Constants -'!B4938:W5624,22,false)</f>
        <v>#N/A</v>
      </c>
      <c r="N4939" s="1" t="s">
        <v>32</v>
      </c>
      <c r="O4939" s="1" t="s">
        <v>33</v>
      </c>
      <c r="P4939" s="1" t="s">
        <v>222</v>
      </c>
      <c r="Q4939" s="1" t="s">
        <v>222</v>
      </c>
      <c r="R4939" s="1" t="s">
        <v>223</v>
      </c>
      <c r="S4939" s="1" t="s">
        <v>601</v>
      </c>
      <c r="T4939" s="1">
        <v>1.00645232E8</v>
      </c>
      <c r="W4939" s="1" t="s">
        <v>258</v>
      </c>
      <c r="X4939" s="1" t="s">
        <v>2399</v>
      </c>
    </row>
    <row r="4940">
      <c r="A4940" s="1" t="s">
        <v>13809</v>
      </c>
      <c r="B4940" s="1" t="s">
        <v>1144</v>
      </c>
      <c r="C4940" s="1" t="s">
        <v>13810</v>
      </c>
      <c r="D4940" s="1" t="s">
        <v>103</v>
      </c>
      <c r="E4940" s="1" t="s">
        <v>29</v>
      </c>
      <c r="F4940" s="5">
        <v>50000.0</v>
      </c>
      <c r="G4940" s="1" t="s">
        <v>7016</v>
      </c>
      <c r="H4940" s="4">
        <v>44234.0</v>
      </c>
      <c r="I4940" s="1" t="s">
        <v>80</v>
      </c>
      <c r="K4940" s="1">
        <v>0.0</v>
      </c>
      <c r="L4940" s="1" t="s">
        <v>2136</v>
      </c>
      <c r="M4940" s="1" t="str">
        <f>VLOOKUP(L4940,'Copy of PMD Workday Constants -'!B4939:W5625,22,false)</f>
        <v>#N/A</v>
      </c>
      <c r="N4940" s="1" t="s">
        <v>32</v>
      </c>
      <c r="O4940" s="1" t="s">
        <v>33</v>
      </c>
      <c r="P4940" s="1" t="s">
        <v>34</v>
      </c>
      <c r="Q4940" s="1" t="s">
        <v>34</v>
      </c>
      <c r="R4940" s="1" t="s">
        <v>35</v>
      </c>
      <c r="S4940" s="1" t="s">
        <v>36</v>
      </c>
      <c r="T4940" s="1">
        <v>1.00610903E8</v>
      </c>
      <c r="W4940" s="1" t="s">
        <v>37</v>
      </c>
      <c r="X4940" s="1" t="s">
        <v>2136</v>
      </c>
    </row>
    <row r="4941">
      <c r="A4941" s="1" t="s">
        <v>13811</v>
      </c>
      <c r="B4941" s="1" t="s">
        <v>1132</v>
      </c>
      <c r="C4941" s="1" t="s">
        <v>13812</v>
      </c>
      <c r="D4941" s="1" t="s">
        <v>51</v>
      </c>
      <c r="E4941" s="1" t="s">
        <v>29</v>
      </c>
      <c r="F4941" s="5">
        <v>50000.0</v>
      </c>
      <c r="G4941" s="1" t="s">
        <v>7016</v>
      </c>
      <c r="H4941" s="4">
        <v>44836.0</v>
      </c>
      <c r="I4941" s="1" t="s">
        <v>526</v>
      </c>
      <c r="K4941" s="1">
        <v>0.0</v>
      </c>
      <c r="L4941" s="1" t="s">
        <v>2122</v>
      </c>
      <c r="M4941" s="1" t="str">
        <f>VLOOKUP(L4941,'Copy of PMD Workday Constants -'!B4940:W5626,22,false)</f>
        <v>#N/A</v>
      </c>
      <c r="N4941" s="1" t="s">
        <v>32</v>
      </c>
      <c r="O4941" s="1" t="s">
        <v>33</v>
      </c>
      <c r="P4941" s="1" t="s">
        <v>54</v>
      </c>
      <c r="Q4941" s="1" t="s">
        <v>54</v>
      </c>
      <c r="R4941" s="1" t="s">
        <v>55</v>
      </c>
      <c r="T4941" s="1">
        <v>1.00645538E8</v>
      </c>
      <c r="W4941" s="1" t="s">
        <v>56</v>
      </c>
      <c r="X4941" s="1" t="s">
        <v>13813</v>
      </c>
    </row>
    <row r="4942">
      <c r="A4942" s="1" t="s">
        <v>13814</v>
      </c>
      <c r="B4942" s="1" t="s">
        <v>2694</v>
      </c>
      <c r="C4942" s="1" t="s">
        <v>13815</v>
      </c>
      <c r="D4942" s="1" t="s">
        <v>28</v>
      </c>
      <c r="E4942" s="1" t="s">
        <v>29</v>
      </c>
      <c r="F4942" s="5">
        <v>50000.0</v>
      </c>
      <c r="G4942" s="1" t="s">
        <v>7016</v>
      </c>
      <c r="H4942" s="4">
        <v>44116.0</v>
      </c>
      <c r="I4942" s="1" t="s">
        <v>302</v>
      </c>
      <c r="K4942" s="1">
        <v>0.0</v>
      </c>
      <c r="L4942" s="1" t="s">
        <v>938</v>
      </c>
      <c r="M4942" s="1" t="str">
        <f>VLOOKUP(L4942,'Copy of PMD Workday Constants -'!B4941:W5627,22,false)</f>
        <v>#N/A</v>
      </c>
      <c r="N4942" s="1" t="s">
        <v>32</v>
      </c>
      <c r="O4942" s="1" t="s">
        <v>33</v>
      </c>
      <c r="P4942" s="1" t="s">
        <v>82</v>
      </c>
      <c r="Q4942" s="1" t="s">
        <v>82</v>
      </c>
      <c r="R4942" s="1" t="s">
        <v>83</v>
      </c>
      <c r="S4942" s="1" t="s">
        <v>13816</v>
      </c>
      <c r="T4942" s="1">
        <v>1.00653499E8</v>
      </c>
      <c r="W4942" s="1" t="s">
        <v>85</v>
      </c>
      <c r="X4942" s="1" t="s">
        <v>13817</v>
      </c>
    </row>
    <row r="4943">
      <c r="A4943" s="1" t="s">
        <v>13818</v>
      </c>
      <c r="B4943" s="1" t="s">
        <v>573</v>
      </c>
      <c r="C4943" s="1" t="s">
        <v>13819</v>
      </c>
      <c r="D4943" s="1" t="s">
        <v>28</v>
      </c>
      <c r="E4943" s="1" t="s">
        <v>29</v>
      </c>
      <c r="F4943" s="5">
        <v>50000.0</v>
      </c>
      <c r="G4943" s="1" t="s">
        <v>7016</v>
      </c>
      <c r="H4943" s="4">
        <v>44626.0</v>
      </c>
      <c r="I4943" s="1" t="s">
        <v>132</v>
      </c>
      <c r="K4943" s="1">
        <v>0.0</v>
      </c>
      <c r="L4943" s="1" t="s">
        <v>1770</v>
      </c>
      <c r="M4943" s="1" t="str">
        <f>VLOOKUP(L4943,'Copy of PMD Workday Constants -'!B4942:W5628,22,false)</f>
        <v>#N/A</v>
      </c>
      <c r="N4943" s="1" t="s">
        <v>32</v>
      </c>
      <c r="O4943" s="1" t="s">
        <v>33</v>
      </c>
      <c r="P4943" s="1" t="s">
        <v>210</v>
      </c>
      <c r="Q4943" s="1" t="s">
        <v>210</v>
      </c>
      <c r="R4943" s="1" t="s">
        <v>211</v>
      </c>
      <c r="T4943" s="1">
        <v>1.00593918E8</v>
      </c>
      <c r="W4943" s="1" t="s">
        <v>56</v>
      </c>
      <c r="X4943" s="1" t="s">
        <v>1314</v>
      </c>
    </row>
    <row r="4944">
      <c r="A4944" s="1" t="s">
        <v>13820</v>
      </c>
      <c r="B4944" s="1" t="s">
        <v>13821</v>
      </c>
      <c r="C4944" s="1" t="s">
        <v>13822</v>
      </c>
      <c r="D4944" s="1" t="s">
        <v>28</v>
      </c>
      <c r="E4944" s="1" t="s">
        <v>29</v>
      </c>
      <c r="F4944" s="5">
        <v>50000.0</v>
      </c>
      <c r="G4944" s="1" t="s">
        <v>7016</v>
      </c>
      <c r="H4944" s="4">
        <v>44564.0</v>
      </c>
      <c r="I4944" s="1" t="s">
        <v>302</v>
      </c>
      <c r="K4944" s="1">
        <v>0.0</v>
      </c>
      <c r="L4944" s="1" t="s">
        <v>3137</v>
      </c>
      <c r="M4944" s="1" t="str">
        <f>VLOOKUP(L4944,'Copy of PMD Workday Constants -'!B4943:W5629,22,false)</f>
        <v>#N/A</v>
      </c>
      <c r="N4944" s="1" t="s">
        <v>32</v>
      </c>
      <c r="O4944" s="1" t="s">
        <v>33</v>
      </c>
      <c r="P4944" s="1" t="s">
        <v>82</v>
      </c>
      <c r="Q4944" s="1" t="s">
        <v>82</v>
      </c>
      <c r="R4944" s="1" t="s">
        <v>83</v>
      </c>
      <c r="S4944" s="1" t="s">
        <v>180</v>
      </c>
      <c r="T4944" s="1">
        <v>1.00586452E8</v>
      </c>
      <c r="W4944" s="1" t="s">
        <v>85</v>
      </c>
      <c r="X4944" s="1" t="s">
        <v>11699</v>
      </c>
    </row>
    <row r="4945">
      <c r="A4945" s="1" t="s">
        <v>13823</v>
      </c>
      <c r="B4945" s="1" t="s">
        <v>485</v>
      </c>
      <c r="C4945" s="1" t="s">
        <v>13824</v>
      </c>
      <c r="D4945" s="1" t="s">
        <v>28</v>
      </c>
      <c r="E4945" s="1" t="s">
        <v>29</v>
      </c>
      <c r="F4945" s="5">
        <v>50000.0</v>
      </c>
      <c r="G4945" s="1" t="s">
        <v>7016</v>
      </c>
      <c r="H4945" s="1" t="s">
        <v>592</v>
      </c>
      <c r="I4945" s="1" t="s">
        <v>152</v>
      </c>
      <c r="K4945" s="1">
        <v>0.0</v>
      </c>
      <c r="L4945" s="1" t="s">
        <v>2174</v>
      </c>
      <c r="M4945" s="1" t="str">
        <f>VLOOKUP(L4945,'Copy of PMD Workday Constants -'!B4944:W5630,22,false)</f>
        <v>#N/A</v>
      </c>
      <c r="N4945" s="1" t="s">
        <v>32</v>
      </c>
      <c r="O4945" s="1" t="s">
        <v>33</v>
      </c>
      <c r="P4945" s="1" t="s">
        <v>112</v>
      </c>
      <c r="Q4945" s="1" t="s">
        <v>112</v>
      </c>
      <c r="R4945" s="1" t="s">
        <v>113</v>
      </c>
      <c r="S4945" s="1" t="s">
        <v>134</v>
      </c>
      <c r="T4945" s="1">
        <v>1.00631322E8</v>
      </c>
      <c r="W4945" s="1" t="s">
        <v>577</v>
      </c>
      <c r="X4945" s="1" t="s">
        <v>6521</v>
      </c>
    </row>
    <row r="4946">
      <c r="A4946" s="1" t="s">
        <v>13825</v>
      </c>
      <c r="B4946" s="1" t="s">
        <v>573</v>
      </c>
      <c r="C4946" s="1" t="s">
        <v>13826</v>
      </c>
      <c r="D4946" s="1" t="s">
        <v>28</v>
      </c>
      <c r="E4946" s="1" t="s">
        <v>29</v>
      </c>
      <c r="F4946" s="5">
        <v>50000.0</v>
      </c>
      <c r="G4946" s="1" t="s">
        <v>7016</v>
      </c>
      <c r="H4946" s="4">
        <v>44806.0</v>
      </c>
      <c r="I4946" s="1" t="s">
        <v>302</v>
      </c>
      <c r="K4946" s="1">
        <v>0.0</v>
      </c>
      <c r="L4946" s="1" t="s">
        <v>11159</v>
      </c>
      <c r="M4946" s="1" t="str">
        <f>VLOOKUP(L4946,'Copy of PMD Workday Constants -'!B4945:W5631,22,false)</f>
        <v>#N/A</v>
      </c>
      <c r="N4946" s="1" t="s">
        <v>32</v>
      </c>
      <c r="O4946" s="1" t="s">
        <v>33</v>
      </c>
      <c r="P4946" s="1" t="s">
        <v>222</v>
      </c>
      <c r="Q4946" s="1" t="s">
        <v>222</v>
      </c>
      <c r="R4946" s="1" t="s">
        <v>223</v>
      </c>
      <c r="S4946" s="1" t="s">
        <v>601</v>
      </c>
      <c r="T4946" s="1">
        <v>1.00602248E8</v>
      </c>
      <c r="W4946" s="1" t="s">
        <v>147</v>
      </c>
      <c r="X4946" s="1" t="s">
        <v>8273</v>
      </c>
    </row>
    <row r="4947">
      <c r="A4947" s="1" t="s">
        <v>13827</v>
      </c>
      <c r="B4947" s="1" t="s">
        <v>2263</v>
      </c>
      <c r="C4947" s="1" t="s">
        <v>13828</v>
      </c>
      <c r="D4947" s="1" t="s">
        <v>28</v>
      </c>
      <c r="E4947" s="1" t="s">
        <v>29</v>
      </c>
      <c r="F4947" s="5">
        <v>50000.0</v>
      </c>
      <c r="G4947" s="1" t="s">
        <v>7016</v>
      </c>
      <c r="H4947" s="1" t="s">
        <v>1485</v>
      </c>
      <c r="I4947" s="1" t="s">
        <v>313</v>
      </c>
      <c r="K4947" s="1">
        <v>0.0</v>
      </c>
      <c r="L4947" s="1" t="s">
        <v>5257</v>
      </c>
      <c r="M4947" s="1" t="str">
        <f>VLOOKUP(L4947,'Copy of PMD Workday Constants -'!B4946:W5632,22,false)</f>
        <v>#N/A</v>
      </c>
      <c r="N4947" s="1" t="s">
        <v>32</v>
      </c>
      <c r="O4947" s="1" t="s">
        <v>33</v>
      </c>
      <c r="P4947" s="1" t="s">
        <v>210</v>
      </c>
      <c r="Q4947" s="1" t="s">
        <v>210</v>
      </c>
      <c r="R4947" s="1" t="s">
        <v>211</v>
      </c>
      <c r="S4947" s="1" t="s">
        <v>1313</v>
      </c>
      <c r="T4947" s="1">
        <v>1.00657831E8</v>
      </c>
      <c r="W4947" s="1" t="s">
        <v>577</v>
      </c>
      <c r="X4947" s="1" t="s">
        <v>1511</v>
      </c>
    </row>
    <row r="4948">
      <c r="A4948" s="1" t="s">
        <v>13829</v>
      </c>
      <c r="B4948" s="1" t="s">
        <v>12633</v>
      </c>
      <c r="C4948" s="1" t="s">
        <v>13830</v>
      </c>
      <c r="D4948" s="1" t="s">
        <v>103</v>
      </c>
      <c r="E4948" s="1" t="s">
        <v>29</v>
      </c>
      <c r="F4948" s="5">
        <v>50000.0</v>
      </c>
      <c r="G4948" s="1" t="s">
        <v>7016</v>
      </c>
      <c r="H4948" s="1" t="s">
        <v>1245</v>
      </c>
      <c r="I4948" s="1" t="s">
        <v>80</v>
      </c>
      <c r="K4948" s="1">
        <v>0.0</v>
      </c>
      <c r="L4948" s="1" t="s">
        <v>6578</v>
      </c>
      <c r="M4948" s="1" t="str">
        <f>VLOOKUP(L4948,'Copy of PMD Workday Constants -'!B4947:W5633,22,false)</f>
        <v>#N/A</v>
      </c>
      <c r="N4948" s="1" t="s">
        <v>32</v>
      </c>
      <c r="O4948" s="1" t="s">
        <v>33</v>
      </c>
      <c r="P4948" s="1" t="s">
        <v>222</v>
      </c>
      <c r="Q4948" s="1" t="s">
        <v>222</v>
      </c>
      <c r="R4948" s="1" t="s">
        <v>223</v>
      </c>
      <c r="S4948" s="1" t="s">
        <v>482</v>
      </c>
      <c r="T4948" s="1">
        <v>1.00597339E8</v>
      </c>
      <c r="X4948" s="1" t="s">
        <v>13831</v>
      </c>
    </row>
    <row r="4949">
      <c r="A4949" s="1" t="s">
        <v>13832</v>
      </c>
      <c r="B4949" s="1" t="s">
        <v>561</v>
      </c>
      <c r="C4949" s="1" t="s">
        <v>13833</v>
      </c>
      <c r="D4949" s="1" t="s">
        <v>28</v>
      </c>
      <c r="E4949" s="1" t="s">
        <v>29</v>
      </c>
      <c r="F4949" s="5">
        <v>50000.0</v>
      </c>
      <c r="G4949" s="1" t="s">
        <v>7016</v>
      </c>
      <c r="H4949" s="4">
        <v>44298.0</v>
      </c>
      <c r="I4949" s="1" t="s">
        <v>732</v>
      </c>
      <c r="K4949" s="1">
        <v>0.0</v>
      </c>
      <c r="L4949" s="1" t="s">
        <v>564</v>
      </c>
      <c r="M4949" s="1" t="str">
        <f>VLOOKUP(L4949,'Copy of PMD Workday Constants -'!B4948:W5634,22,false)</f>
        <v>#N/A</v>
      </c>
      <c r="N4949" s="1" t="s">
        <v>32</v>
      </c>
      <c r="O4949" s="1" t="s">
        <v>33</v>
      </c>
      <c r="P4949" s="1" t="s">
        <v>112</v>
      </c>
      <c r="Q4949" s="1" t="s">
        <v>112</v>
      </c>
      <c r="R4949" s="1" t="s">
        <v>113</v>
      </c>
      <c r="S4949" s="1" t="s">
        <v>204</v>
      </c>
      <c r="T4949" s="1">
        <v>1.005886E8</v>
      </c>
      <c r="W4949" s="1" t="s">
        <v>37</v>
      </c>
      <c r="X4949" s="1" t="s">
        <v>1815</v>
      </c>
    </row>
    <row r="4950">
      <c r="A4950" s="1" t="s">
        <v>13834</v>
      </c>
      <c r="B4950" s="1" t="s">
        <v>4935</v>
      </c>
      <c r="C4950" s="1" t="s">
        <v>13835</v>
      </c>
      <c r="D4950" s="1" t="s">
        <v>51</v>
      </c>
      <c r="E4950" s="1" t="s">
        <v>29</v>
      </c>
      <c r="F4950" s="5">
        <v>50000.0</v>
      </c>
      <c r="G4950" s="1" t="s">
        <v>7016</v>
      </c>
      <c r="H4950" s="1" t="s">
        <v>42</v>
      </c>
      <c r="I4950" s="1" t="s">
        <v>301</v>
      </c>
      <c r="K4950" s="1">
        <v>0.0</v>
      </c>
      <c r="L4950" s="1" t="s">
        <v>2093</v>
      </c>
      <c r="M4950" s="1" t="str">
        <f>VLOOKUP(L4950,'Copy of PMD Workday Constants -'!B4949:W5635,22,false)</f>
        <v>#N/A</v>
      </c>
      <c r="N4950" s="1" t="s">
        <v>32</v>
      </c>
      <c r="O4950" s="1" t="s">
        <v>33</v>
      </c>
      <c r="P4950" s="1" t="s">
        <v>222</v>
      </c>
      <c r="Q4950" s="1" t="s">
        <v>222</v>
      </c>
      <c r="R4950" s="1" t="s">
        <v>223</v>
      </c>
      <c r="S4950" s="1" t="s">
        <v>646</v>
      </c>
      <c r="T4950" s="1">
        <v>1.00612055E8</v>
      </c>
      <c r="W4950" s="1" t="s">
        <v>147</v>
      </c>
      <c r="X4950" s="1" t="s">
        <v>2093</v>
      </c>
    </row>
    <row r="4951">
      <c r="A4951" s="1" t="s">
        <v>13836</v>
      </c>
      <c r="B4951" s="1" t="s">
        <v>13837</v>
      </c>
      <c r="C4951" s="1" t="s">
        <v>13838</v>
      </c>
      <c r="D4951" s="1" t="s">
        <v>28</v>
      </c>
      <c r="E4951" s="1" t="s">
        <v>29</v>
      </c>
      <c r="F4951" s="5">
        <v>50000.0</v>
      </c>
      <c r="G4951" s="1" t="s">
        <v>7016</v>
      </c>
      <c r="H4951" s="4">
        <v>44597.0</v>
      </c>
      <c r="I4951" s="1" t="s">
        <v>217</v>
      </c>
      <c r="K4951" s="1">
        <v>0.0</v>
      </c>
      <c r="L4951" s="1" t="s">
        <v>3137</v>
      </c>
      <c r="M4951" s="1" t="str">
        <f>VLOOKUP(L4951,'Copy of PMD Workday Constants -'!B4950:W5636,22,false)</f>
        <v>#N/A</v>
      </c>
      <c r="N4951" s="1" t="s">
        <v>32</v>
      </c>
      <c r="O4951" s="1" t="s">
        <v>33</v>
      </c>
      <c r="P4951" s="1" t="s">
        <v>82</v>
      </c>
      <c r="Q4951" s="1" t="s">
        <v>82</v>
      </c>
      <c r="R4951" s="1" t="s">
        <v>83</v>
      </c>
      <c r="S4951" s="1" t="s">
        <v>180</v>
      </c>
      <c r="T4951" s="1">
        <v>1.00586452E8</v>
      </c>
      <c r="W4951" s="1" t="s">
        <v>85</v>
      </c>
      <c r="X4951" s="1" t="s">
        <v>11699</v>
      </c>
    </row>
    <row r="4952">
      <c r="A4952" s="1" t="s">
        <v>13839</v>
      </c>
      <c r="B4952" s="1" t="s">
        <v>11644</v>
      </c>
      <c r="C4952" s="1" t="s">
        <v>13840</v>
      </c>
      <c r="D4952" s="1" t="s">
        <v>51</v>
      </c>
      <c r="E4952" s="1" t="s">
        <v>29</v>
      </c>
      <c r="F4952" s="5">
        <v>50000.0</v>
      </c>
      <c r="G4952" s="1" t="s">
        <v>7016</v>
      </c>
      <c r="H4952" s="4">
        <v>44621.0</v>
      </c>
      <c r="I4952" s="1" t="s">
        <v>43</v>
      </c>
      <c r="K4952" s="1">
        <v>0.0</v>
      </c>
      <c r="L4952" s="1" t="s">
        <v>3728</v>
      </c>
      <c r="M4952" s="1" t="str">
        <f>VLOOKUP(L4952,'Copy of PMD Workday Constants -'!B4951:W5637,22,false)</f>
        <v>#N/A</v>
      </c>
      <c r="N4952" s="1" t="s">
        <v>32</v>
      </c>
      <c r="O4952" s="1" t="s">
        <v>33</v>
      </c>
      <c r="P4952" s="1" t="s">
        <v>222</v>
      </c>
      <c r="Q4952" s="1" t="s">
        <v>222</v>
      </c>
      <c r="R4952" s="1" t="s">
        <v>223</v>
      </c>
      <c r="S4952" s="1" t="s">
        <v>482</v>
      </c>
      <c r="T4952" s="1">
        <v>1.00638965E8</v>
      </c>
      <c r="W4952" s="1" t="s">
        <v>947</v>
      </c>
      <c r="X4952" s="1" t="s">
        <v>13841</v>
      </c>
    </row>
    <row r="4953">
      <c r="A4953" s="1" t="s">
        <v>13842</v>
      </c>
      <c r="B4953" s="1" t="s">
        <v>6404</v>
      </c>
      <c r="C4953" s="1" t="s">
        <v>13843</v>
      </c>
      <c r="D4953" s="1" t="s">
        <v>28</v>
      </c>
      <c r="E4953" s="1" t="s">
        <v>29</v>
      </c>
      <c r="F4953" s="5">
        <v>50000.0</v>
      </c>
      <c r="G4953" s="1" t="s">
        <v>7016</v>
      </c>
      <c r="H4953" s="4">
        <v>44622.0</v>
      </c>
      <c r="I4953" s="1" t="s">
        <v>152</v>
      </c>
      <c r="K4953" s="1">
        <v>0.0</v>
      </c>
      <c r="L4953" s="1" t="s">
        <v>3499</v>
      </c>
      <c r="M4953" s="1" t="str">
        <f>VLOOKUP(L4953,'Copy of PMD Workday Constants -'!B4952:W5638,22,false)</f>
        <v>#N/A</v>
      </c>
      <c r="N4953" s="1" t="s">
        <v>32</v>
      </c>
      <c r="O4953" s="1" t="s">
        <v>33</v>
      </c>
      <c r="P4953" s="1" t="s">
        <v>222</v>
      </c>
      <c r="Q4953" s="1" t="s">
        <v>222</v>
      </c>
      <c r="R4953" s="1" t="s">
        <v>223</v>
      </c>
      <c r="S4953" s="1" t="s">
        <v>646</v>
      </c>
      <c r="T4953" s="1">
        <v>1.00662113E8</v>
      </c>
      <c r="W4953" s="1" t="s">
        <v>456</v>
      </c>
      <c r="X4953" s="1" t="s">
        <v>7862</v>
      </c>
    </row>
    <row r="4954">
      <c r="A4954" s="1" t="s">
        <v>13844</v>
      </c>
      <c r="B4954" s="1" t="s">
        <v>6404</v>
      </c>
      <c r="C4954" s="1" t="s">
        <v>13845</v>
      </c>
      <c r="D4954" s="1" t="s">
        <v>28</v>
      </c>
      <c r="E4954" s="1" t="s">
        <v>29</v>
      </c>
      <c r="F4954" s="5">
        <v>50000.0</v>
      </c>
      <c r="G4954" s="1" t="s">
        <v>7016</v>
      </c>
      <c r="H4954" s="4">
        <v>44622.0</v>
      </c>
      <c r="I4954" s="1" t="s">
        <v>302</v>
      </c>
      <c r="K4954" s="1">
        <v>0.0</v>
      </c>
      <c r="L4954" s="1" t="s">
        <v>3499</v>
      </c>
      <c r="M4954" s="1" t="str">
        <f>VLOOKUP(L4954,'Copy of PMD Workday Constants -'!B4953:W5639,22,false)</f>
        <v>#N/A</v>
      </c>
      <c r="N4954" s="1" t="s">
        <v>32</v>
      </c>
      <c r="O4954" s="1" t="s">
        <v>33</v>
      </c>
      <c r="P4954" s="1" t="s">
        <v>222</v>
      </c>
      <c r="Q4954" s="1" t="s">
        <v>222</v>
      </c>
      <c r="R4954" s="1" t="s">
        <v>223</v>
      </c>
      <c r="S4954" s="1" t="s">
        <v>646</v>
      </c>
      <c r="T4954" s="1">
        <v>1.00662113E8</v>
      </c>
      <c r="W4954" s="1" t="s">
        <v>456</v>
      </c>
      <c r="X4954" s="1" t="s">
        <v>7862</v>
      </c>
    </row>
    <row r="4955">
      <c r="A4955" s="1" t="s">
        <v>13846</v>
      </c>
      <c r="B4955" s="1" t="s">
        <v>13847</v>
      </c>
      <c r="C4955" s="1" t="s">
        <v>13848</v>
      </c>
      <c r="D4955" s="1" t="s">
        <v>103</v>
      </c>
      <c r="E4955" s="1" t="s">
        <v>29</v>
      </c>
      <c r="F4955" s="5">
        <v>50000.0</v>
      </c>
      <c r="G4955" s="1" t="s">
        <v>7016</v>
      </c>
      <c r="H4955" s="4">
        <v>44899.0</v>
      </c>
      <c r="I4955" s="1" t="s">
        <v>43</v>
      </c>
      <c r="K4955" s="1">
        <v>0.0</v>
      </c>
      <c r="L4955" s="1" t="s">
        <v>13849</v>
      </c>
      <c r="M4955" s="1" t="str">
        <f>VLOOKUP(L4955,'Copy of PMD Workday Constants -'!B4954:W5640,22,false)</f>
        <v>#N/A</v>
      </c>
      <c r="N4955" s="1" t="s">
        <v>32</v>
      </c>
      <c r="O4955" s="1" t="s">
        <v>33</v>
      </c>
      <c r="P4955" s="1" t="s">
        <v>222</v>
      </c>
      <c r="Q4955" s="1" t="s">
        <v>222</v>
      </c>
      <c r="R4955" s="1" t="s">
        <v>223</v>
      </c>
      <c r="T4955" s="1">
        <v>1.00623235E8</v>
      </c>
      <c r="W4955" s="1" t="s">
        <v>140</v>
      </c>
      <c r="X4955" s="1" t="s">
        <v>13850</v>
      </c>
    </row>
    <row r="4956">
      <c r="A4956" s="1" t="s">
        <v>13851</v>
      </c>
      <c r="B4956" s="1" t="s">
        <v>13852</v>
      </c>
      <c r="C4956" s="1" t="s">
        <v>13853</v>
      </c>
      <c r="D4956" s="1" t="s">
        <v>28</v>
      </c>
      <c r="E4956" s="1" t="s">
        <v>29</v>
      </c>
      <c r="F4956" s="5">
        <v>50000.0</v>
      </c>
      <c r="G4956" s="1" t="s">
        <v>7016</v>
      </c>
      <c r="H4956" s="1" t="s">
        <v>2365</v>
      </c>
      <c r="I4956" s="1" t="s">
        <v>152</v>
      </c>
      <c r="K4956" s="1">
        <v>0.0</v>
      </c>
      <c r="L4956" s="1" t="s">
        <v>3137</v>
      </c>
      <c r="M4956" s="1" t="str">
        <f>VLOOKUP(L4956,'Copy of PMD Workday Constants -'!B4955:W5641,22,false)</f>
        <v>#N/A</v>
      </c>
      <c r="N4956" s="1" t="s">
        <v>32</v>
      </c>
      <c r="O4956" s="1" t="s">
        <v>33</v>
      </c>
      <c r="P4956" s="1" t="s">
        <v>82</v>
      </c>
      <c r="Q4956" s="1" t="s">
        <v>82</v>
      </c>
      <c r="R4956" s="1" t="s">
        <v>83</v>
      </c>
      <c r="S4956" s="1" t="s">
        <v>180</v>
      </c>
      <c r="T4956" s="1">
        <v>1.00586452E8</v>
      </c>
      <c r="W4956" s="1" t="s">
        <v>85</v>
      </c>
      <c r="X4956" s="1" t="s">
        <v>11699</v>
      </c>
    </row>
    <row r="4957">
      <c r="A4957" s="1" t="s">
        <v>13854</v>
      </c>
      <c r="B4957" s="1" t="s">
        <v>3478</v>
      </c>
      <c r="C4957" s="1" t="s">
        <v>13855</v>
      </c>
      <c r="D4957" s="1" t="s">
        <v>28</v>
      </c>
      <c r="E4957" s="1" t="s">
        <v>29</v>
      </c>
      <c r="F4957" s="5">
        <v>50000.0</v>
      </c>
      <c r="G4957" s="1" t="s">
        <v>7016</v>
      </c>
      <c r="H4957" s="1" t="s">
        <v>785</v>
      </c>
      <c r="I4957" s="1" t="s">
        <v>104</v>
      </c>
      <c r="K4957" s="1">
        <v>0.0</v>
      </c>
      <c r="L4957" s="1" t="s">
        <v>1396</v>
      </c>
      <c r="M4957" s="1" t="str">
        <f>VLOOKUP(L4957,'Copy of PMD Workday Constants -'!B4956:W5642,22,false)</f>
        <v>#N/A</v>
      </c>
      <c r="N4957" s="1" t="s">
        <v>32</v>
      </c>
      <c r="O4957" s="1" t="s">
        <v>33</v>
      </c>
      <c r="P4957" s="1" t="s">
        <v>222</v>
      </c>
      <c r="Q4957" s="1" t="s">
        <v>222</v>
      </c>
      <c r="R4957" s="1" t="s">
        <v>223</v>
      </c>
      <c r="S4957" s="1" t="s">
        <v>601</v>
      </c>
      <c r="T4957" s="1">
        <v>1.00609118E8</v>
      </c>
      <c r="W4957" s="1" t="s">
        <v>947</v>
      </c>
      <c r="X4957" s="1" t="s">
        <v>1418</v>
      </c>
    </row>
    <row r="4958">
      <c r="A4958" s="1" t="s">
        <v>13856</v>
      </c>
      <c r="B4958" s="1" t="s">
        <v>3478</v>
      </c>
      <c r="C4958" s="1" t="s">
        <v>13857</v>
      </c>
      <c r="D4958" s="1" t="s">
        <v>28</v>
      </c>
      <c r="E4958" s="1" t="s">
        <v>29</v>
      </c>
      <c r="F4958" s="5">
        <v>50000.0</v>
      </c>
      <c r="G4958" s="1" t="s">
        <v>7016</v>
      </c>
      <c r="H4958" s="1" t="s">
        <v>785</v>
      </c>
      <c r="I4958" s="1" t="s">
        <v>80</v>
      </c>
      <c r="K4958" s="1">
        <v>0.0</v>
      </c>
      <c r="L4958" s="1" t="s">
        <v>3948</v>
      </c>
      <c r="M4958" s="1" t="str">
        <f>VLOOKUP(L4958,'Copy of PMD Workday Constants -'!B4957:W5643,22,false)</f>
        <v>#N/A</v>
      </c>
      <c r="N4958" s="1" t="s">
        <v>32</v>
      </c>
      <c r="O4958" s="1" t="s">
        <v>33</v>
      </c>
      <c r="P4958" s="1" t="s">
        <v>112</v>
      </c>
      <c r="Q4958" s="1" t="s">
        <v>112</v>
      </c>
      <c r="R4958" s="1" t="s">
        <v>113</v>
      </c>
      <c r="T4958" s="1">
        <v>1.00627224E8</v>
      </c>
      <c r="W4958" s="1" t="s">
        <v>947</v>
      </c>
      <c r="X4958" s="1" t="s">
        <v>1418</v>
      </c>
    </row>
    <row r="4959">
      <c r="A4959" s="1" t="s">
        <v>13858</v>
      </c>
      <c r="B4959" s="1" t="s">
        <v>3478</v>
      </c>
      <c r="C4959" s="1" t="s">
        <v>13859</v>
      </c>
      <c r="D4959" s="1" t="s">
        <v>28</v>
      </c>
      <c r="E4959" s="1" t="s">
        <v>29</v>
      </c>
      <c r="F4959" s="5">
        <v>50000.0</v>
      </c>
      <c r="G4959" s="1" t="s">
        <v>7016</v>
      </c>
      <c r="H4959" s="1" t="s">
        <v>545</v>
      </c>
      <c r="I4959" s="1" t="s">
        <v>132</v>
      </c>
      <c r="K4959" s="1">
        <v>0.0</v>
      </c>
      <c r="L4959" s="1" t="s">
        <v>1396</v>
      </c>
      <c r="M4959" s="1" t="str">
        <f>VLOOKUP(L4959,'Copy of PMD Workday Constants -'!B4958:W5644,22,false)</f>
        <v>#N/A</v>
      </c>
      <c r="N4959" s="1" t="s">
        <v>32</v>
      </c>
      <c r="O4959" s="1" t="s">
        <v>33</v>
      </c>
      <c r="P4959" s="1" t="s">
        <v>222</v>
      </c>
      <c r="Q4959" s="1" t="s">
        <v>222</v>
      </c>
      <c r="R4959" s="1" t="s">
        <v>223</v>
      </c>
      <c r="S4959" s="1" t="s">
        <v>601</v>
      </c>
      <c r="T4959" s="1">
        <v>1.00609118E8</v>
      </c>
      <c r="W4959" s="1" t="s">
        <v>947</v>
      </c>
      <c r="X4959" s="1" t="s">
        <v>1418</v>
      </c>
    </row>
    <row r="4960">
      <c r="A4960" s="1" t="s">
        <v>13860</v>
      </c>
      <c r="B4960" s="1" t="s">
        <v>13861</v>
      </c>
      <c r="C4960" s="1" t="s">
        <v>13862</v>
      </c>
      <c r="D4960" s="1" t="s">
        <v>103</v>
      </c>
      <c r="E4960" s="1" t="s">
        <v>29</v>
      </c>
      <c r="F4960" s="5">
        <v>50000.0</v>
      </c>
      <c r="G4960" s="1" t="s">
        <v>7016</v>
      </c>
      <c r="H4960" s="1" t="s">
        <v>52</v>
      </c>
      <c r="I4960" s="1" t="s">
        <v>80</v>
      </c>
      <c r="K4960" s="1">
        <v>0.0</v>
      </c>
      <c r="L4960" s="1" t="s">
        <v>6578</v>
      </c>
      <c r="M4960" s="1" t="str">
        <f>VLOOKUP(L4960,'Copy of PMD Workday Constants -'!B4959:W5645,22,false)</f>
        <v>#N/A</v>
      </c>
      <c r="N4960" s="1" t="s">
        <v>32</v>
      </c>
      <c r="O4960" s="1" t="s">
        <v>33</v>
      </c>
      <c r="P4960" s="1" t="s">
        <v>222</v>
      </c>
      <c r="Q4960" s="1" t="s">
        <v>222</v>
      </c>
      <c r="R4960" s="1" t="s">
        <v>223</v>
      </c>
      <c r="S4960" s="1" t="s">
        <v>482</v>
      </c>
      <c r="T4960" s="1">
        <v>1.00597339E8</v>
      </c>
      <c r="W4960" s="1" t="s">
        <v>250</v>
      </c>
      <c r="X4960" s="1" t="s">
        <v>11706</v>
      </c>
    </row>
    <row r="4961">
      <c r="A4961" s="1" t="s">
        <v>13863</v>
      </c>
      <c r="B4961" s="1" t="s">
        <v>7511</v>
      </c>
      <c r="C4961" s="1" t="s">
        <v>13864</v>
      </c>
      <c r="D4961" s="1" t="s">
        <v>28</v>
      </c>
      <c r="E4961" s="1" t="s">
        <v>29</v>
      </c>
      <c r="F4961" s="5">
        <v>50000.0</v>
      </c>
      <c r="G4961" s="1" t="s">
        <v>7016</v>
      </c>
      <c r="H4961" s="1" t="s">
        <v>3028</v>
      </c>
      <c r="I4961" s="4">
        <v>44569.0</v>
      </c>
      <c r="K4961" s="1">
        <v>0.0</v>
      </c>
      <c r="L4961" s="1" t="s">
        <v>2097</v>
      </c>
      <c r="M4961" s="1" t="str">
        <f>VLOOKUP(L4961,'Copy of PMD Workday Constants -'!B4960:W5646,22,false)</f>
        <v>#N/A</v>
      </c>
      <c r="N4961" s="1" t="s">
        <v>32</v>
      </c>
      <c r="O4961" s="1" t="s">
        <v>33</v>
      </c>
      <c r="P4961" s="1" t="s">
        <v>82</v>
      </c>
      <c r="Q4961" s="1" t="s">
        <v>82</v>
      </c>
      <c r="R4961" s="1" t="s">
        <v>83</v>
      </c>
      <c r="S4961" s="1" t="s">
        <v>180</v>
      </c>
      <c r="T4961" s="1">
        <v>1.00619607E8</v>
      </c>
      <c r="W4961" s="1" t="s">
        <v>2098</v>
      </c>
      <c r="X4961" s="1" t="s">
        <v>2097</v>
      </c>
    </row>
    <row r="4962">
      <c r="A4962" s="1" t="s">
        <v>13865</v>
      </c>
      <c r="B4962" s="1" t="s">
        <v>13866</v>
      </c>
      <c r="C4962" s="1" t="s">
        <v>13867</v>
      </c>
      <c r="D4962" s="1" t="s">
        <v>79</v>
      </c>
      <c r="E4962" s="1" t="s">
        <v>29</v>
      </c>
      <c r="F4962" s="5">
        <v>50000.0</v>
      </c>
      <c r="G4962" s="1" t="s">
        <v>7016</v>
      </c>
      <c r="H4962" s="4">
        <v>44598.0</v>
      </c>
      <c r="I4962" s="1" t="s">
        <v>152</v>
      </c>
      <c r="K4962" s="1">
        <v>0.0</v>
      </c>
      <c r="L4962" s="1" t="s">
        <v>13763</v>
      </c>
      <c r="M4962" s="1" t="str">
        <f>VLOOKUP(L4962,'Copy of PMD Workday Constants -'!B4961:W5647,22,false)</f>
        <v>#N/A</v>
      </c>
      <c r="N4962" s="1" t="s">
        <v>32</v>
      </c>
      <c r="O4962" s="1" t="s">
        <v>33</v>
      </c>
      <c r="P4962" s="1" t="s">
        <v>82</v>
      </c>
      <c r="Q4962" s="1" t="s">
        <v>82</v>
      </c>
      <c r="R4962" s="1" t="s">
        <v>83</v>
      </c>
      <c r="T4962" s="1">
        <v>1.01248391E8</v>
      </c>
      <c r="W4962" s="1" t="s">
        <v>74</v>
      </c>
      <c r="X4962" s="1" t="s">
        <v>13764</v>
      </c>
    </row>
    <row r="4963">
      <c r="A4963" s="1" t="s">
        <v>13868</v>
      </c>
      <c r="B4963" s="1" t="s">
        <v>772</v>
      </c>
      <c r="C4963" s="1" t="s">
        <v>13869</v>
      </c>
      <c r="D4963" s="1" t="s">
        <v>103</v>
      </c>
      <c r="E4963" s="1" t="s">
        <v>29</v>
      </c>
      <c r="F4963" s="5">
        <v>50000.0</v>
      </c>
      <c r="G4963" s="1" t="s">
        <v>7016</v>
      </c>
      <c r="H4963" s="1" t="s">
        <v>3755</v>
      </c>
      <c r="I4963" s="1" t="s">
        <v>104</v>
      </c>
      <c r="K4963" s="1">
        <v>0.0</v>
      </c>
      <c r="L4963" s="1" t="s">
        <v>774</v>
      </c>
      <c r="M4963" s="1" t="str">
        <f>VLOOKUP(L4963,'Copy of PMD Workday Constants -'!B4962:W5648,22,false)</f>
        <v>#N/A</v>
      </c>
      <c r="N4963" s="1" t="s">
        <v>32</v>
      </c>
      <c r="O4963" s="1" t="s">
        <v>33</v>
      </c>
      <c r="P4963" s="1" t="s">
        <v>222</v>
      </c>
      <c r="Q4963" s="1" t="s">
        <v>222</v>
      </c>
      <c r="R4963" s="1" t="s">
        <v>223</v>
      </c>
      <c r="S4963" s="1" t="s">
        <v>482</v>
      </c>
      <c r="T4963" s="1">
        <v>1.0058798E8</v>
      </c>
      <c r="W4963" s="1" t="s">
        <v>37</v>
      </c>
      <c r="X4963" s="1" t="s">
        <v>774</v>
      </c>
    </row>
    <row r="4964">
      <c r="A4964" s="1" t="s">
        <v>13870</v>
      </c>
      <c r="B4964" s="1" t="s">
        <v>4797</v>
      </c>
      <c r="C4964" s="1" t="s">
        <v>13871</v>
      </c>
      <c r="D4964" s="1" t="s">
        <v>51</v>
      </c>
      <c r="E4964" s="1" t="s">
        <v>29</v>
      </c>
      <c r="F4964" s="5">
        <v>50000.0</v>
      </c>
      <c r="G4964" s="1" t="s">
        <v>7016</v>
      </c>
      <c r="H4964" s="4">
        <v>44597.0</v>
      </c>
      <c r="I4964" s="1" t="s">
        <v>302</v>
      </c>
      <c r="K4964" s="1">
        <v>0.0</v>
      </c>
      <c r="L4964" s="1" t="s">
        <v>198</v>
      </c>
      <c r="M4964" s="1" t="str">
        <f>VLOOKUP(L4964,'Copy of PMD Workday Constants -'!B4963:W5649,22,false)</f>
        <v>#N/A</v>
      </c>
      <c r="N4964" s="1" t="s">
        <v>32</v>
      </c>
      <c r="O4964" s="1" t="s">
        <v>33</v>
      </c>
      <c r="P4964" s="1" t="s">
        <v>82</v>
      </c>
      <c r="Q4964" s="1" t="s">
        <v>82</v>
      </c>
      <c r="R4964" s="1" t="s">
        <v>83</v>
      </c>
      <c r="S4964" s="1" t="s">
        <v>180</v>
      </c>
      <c r="T4964" s="1">
        <v>1.00590896E8</v>
      </c>
      <c r="W4964" s="1" t="s">
        <v>2098</v>
      </c>
      <c r="X4964" s="1" t="s">
        <v>3087</v>
      </c>
    </row>
    <row r="4965">
      <c r="A4965" s="1" t="s">
        <v>13872</v>
      </c>
      <c r="B4965" s="1" t="s">
        <v>5840</v>
      </c>
      <c r="C4965" s="1" t="s">
        <v>13873</v>
      </c>
      <c r="D4965" s="1" t="s">
        <v>28</v>
      </c>
      <c r="E4965" s="1" t="s">
        <v>29</v>
      </c>
      <c r="F4965" s="5">
        <v>50000.0</v>
      </c>
      <c r="G4965" s="1" t="s">
        <v>7016</v>
      </c>
      <c r="H4965" s="1" t="s">
        <v>1436</v>
      </c>
      <c r="I4965" s="1" t="s">
        <v>732</v>
      </c>
      <c r="K4965" s="1">
        <v>0.0</v>
      </c>
      <c r="L4965" s="1" t="s">
        <v>5313</v>
      </c>
      <c r="M4965" s="1" t="str">
        <f>VLOOKUP(L4965,'Copy of PMD Workday Constants -'!B4964:W5650,22,false)</f>
        <v>#N/A</v>
      </c>
      <c r="N4965" s="1" t="s">
        <v>32</v>
      </c>
      <c r="O4965" s="1" t="s">
        <v>33</v>
      </c>
      <c r="P4965" s="1" t="s">
        <v>64</v>
      </c>
      <c r="Q4965" s="1" t="s">
        <v>64</v>
      </c>
      <c r="R4965" s="1" t="s">
        <v>65</v>
      </c>
      <c r="S4965" s="1" t="s">
        <v>1496</v>
      </c>
      <c r="T4965" s="1">
        <v>1.00910509E8</v>
      </c>
      <c r="W4965" s="1" t="s">
        <v>258</v>
      </c>
      <c r="X4965" s="1" t="s">
        <v>5313</v>
      </c>
    </row>
    <row r="4966">
      <c r="A4966" s="1" t="s">
        <v>13874</v>
      </c>
      <c r="B4966" s="1" t="s">
        <v>6446</v>
      </c>
      <c r="C4966" s="1" t="s">
        <v>13875</v>
      </c>
      <c r="D4966" s="1" t="s">
        <v>28</v>
      </c>
      <c r="E4966" s="1" t="s">
        <v>29</v>
      </c>
      <c r="F4966" s="5">
        <v>50000.0</v>
      </c>
      <c r="G4966" s="1" t="s">
        <v>7016</v>
      </c>
      <c r="H4966" s="1" t="s">
        <v>42</v>
      </c>
      <c r="I4966" s="1" t="s">
        <v>302</v>
      </c>
      <c r="K4966" s="1">
        <v>0.0</v>
      </c>
      <c r="L4966" s="1" t="s">
        <v>1249</v>
      </c>
      <c r="M4966" s="1" t="str">
        <f>VLOOKUP(L4966,'Copy of PMD Workday Constants -'!B4965:W5651,22,false)</f>
        <v>#N/A</v>
      </c>
      <c r="N4966" s="1" t="s">
        <v>32</v>
      </c>
      <c r="O4966" s="1" t="s">
        <v>33</v>
      </c>
      <c r="P4966" s="1" t="s">
        <v>222</v>
      </c>
      <c r="Q4966" s="1" t="s">
        <v>222</v>
      </c>
      <c r="R4966" s="1" t="s">
        <v>223</v>
      </c>
      <c r="S4966" s="1" t="s">
        <v>646</v>
      </c>
      <c r="T4966" s="1">
        <v>1.00609871E8</v>
      </c>
      <c r="W4966" s="1" t="s">
        <v>258</v>
      </c>
      <c r="X4966" s="1" t="s">
        <v>1511</v>
      </c>
    </row>
    <row r="4967">
      <c r="A4967" s="1" t="s">
        <v>13876</v>
      </c>
      <c r="B4967" s="1" t="s">
        <v>3529</v>
      </c>
      <c r="C4967" s="1" t="s">
        <v>13877</v>
      </c>
      <c r="D4967" s="1" t="s">
        <v>79</v>
      </c>
      <c r="E4967" s="1" t="s">
        <v>29</v>
      </c>
      <c r="F4967" s="5">
        <v>50000.0</v>
      </c>
      <c r="G4967" s="1" t="s">
        <v>7016</v>
      </c>
      <c r="H4967" s="1" t="s">
        <v>3028</v>
      </c>
      <c r="I4967" s="1" t="s">
        <v>80</v>
      </c>
      <c r="K4967" s="1">
        <v>0.0</v>
      </c>
      <c r="L4967" s="1" t="s">
        <v>1335</v>
      </c>
      <c r="M4967" s="1" t="str">
        <f>VLOOKUP(L4967,'Copy of PMD Workday Constants -'!B4966:W5652,22,false)</f>
        <v>#N/A</v>
      </c>
      <c r="N4967" s="1" t="s">
        <v>32</v>
      </c>
      <c r="O4967" s="1" t="s">
        <v>33</v>
      </c>
      <c r="P4967" s="1" t="s">
        <v>210</v>
      </c>
      <c r="Q4967" s="1" t="s">
        <v>210</v>
      </c>
      <c r="R4967" s="1" t="s">
        <v>211</v>
      </c>
      <c r="S4967" s="1" t="s">
        <v>297</v>
      </c>
      <c r="T4967" s="1">
        <v>1.00594397E8</v>
      </c>
      <c r="W4967" s="1" t="s">
        <v>258</v>
      </c>
      <c r="X4967" s="1" t="s">
        <v>13878</v>
      </c>
    </row>
    <row r="4968">
      <c r="A4968" s="1" t="s">
        <v>13879</v>
      </c>
      <c r="B4968" s="1" t="s">
        <v>1546</v>
      </c>
      <c r="C4968" s="1" t="s">
        <v>13880</v>
      </c>
      <c r="D4968" s="1" t="s">
        <v>28</v>
      </c>
      <c r="E4968" s="1" t="s">
        <v>29</v>
      </c>
      <c r="F4968" s="5">
        <v>50000.0</v>
      </c>
      <c r="G4968" s="1" t="s">
        <v>7016</v>
      </c>
      <c r="H4968" s="1" t="s">
        <v>699</v>
      </c>
      <c r="I4968" s="1" t="s">
        <v>302</v>
      </c>
      <c r="K4968" s="1">
        <v>0.0</v>
      </c>
      <c r="L4968" s="1" t="s">
        <v>1549</v>
      </c>
      <c r="M4968" s="1" t="str">
        <f>VLOOKUP(L4968,'Copy of PMD Workday Constants -'!B4967:W5653,22,false)</f>
        <v>#N/A</v>
      </c>
      <c r="N4968" s="1" t="s">
        <v>32</v>
      </c>
      <c r="O4968" s="1" t="s">
        <v>33</v>
      </c>
      <c r="P4968" s="1" t="s">
        <v>173</v>
      </c>
      <c r="Q4968" s="1" t="s">
        <v>173</v>
      </c>
      <c r="R4968" s="1" t="s">
        <v>174</v>
      </c>
      <c r="T4968" s="1">
        <v>1.00646908E8</v>
      </c>
      <c r="W4968" s="1" t="s">
        <v>1303</v>
      </c>
      <c r="X4968" s="1" t="s">
        <v>1511</v>
      </c>
    </row>
    <row r="4969">
      <c r="A4969" s="1" t="s">
        <v>13881</v>
      </c>
      <c r="B4969" s="1" t="s">
        <v>973</v>
      </c>
      <c r="C4969" s="1" t="s">
        <v>13882</v>
      </c>
      <c r="D4969" s="1" t="s">
        <v>28</v>
      </c>
      <c r="E4969" s="1" t="s">
        <v>29</v>
      </c>
      <c r="F4969" s="5">
        <v>50000.0</v>
      </c>
      <c r="G4969" s="1" t="s">
        <v>7016</v>
      </c>
      <c r="H4969" s="4">
        <v>44626.0</v>
      </c>
      <c r="I4969" s="1" t="s">
        <v>166</v>
      </c>
      <c r="K4969" s="1">
        <v>0.0</v>
      </c>
      <c r="L4969" s="1" t="s">
        <v>2762</v>
      </c>
      <c r="M4969" s="1" t="str">
        <f>VLOOKUP(L4969,'Copy of PMD Workday Constants -'!B4968:W5654,22,false)</f>
        <v>#N/A</v>
      </c>
      <c r="N4969" s="1" t="s">
        <v>32</v>
      </c>
      <c r="O4969" s="1" t="s">
        <v>33</v>
      </c>
      <c r="P4969" s="1" t="s">
        <v>82</v>
      </c>
      <c r="Q4969" s="1" t="s">
        <v>82</v>
      </c>
      <c r="R4969" s="1" t="s">
        <v>83</v>
      </c>
      <c r="T4969" s="1">
        <v>1.00637221E8</v>
      </c>
      <c r="W4969" s="1" t="s">
        <v>456</v>
      </c>
      <c r="X4969" s="1" t="s">
        <v>977</v>
      </c>
    </row>
    <row r="4970">
      <c r="A4970" s="1" t="s">
        <v>13883</v>
      </c>
      <c r="B4970" s="1" t="s">
        <v>11776</v>
      </c>
      <c r="C4970" s="1" t="s">
        <v>13884</v>
      </c>
      <c r="D4970" s="1" t="s">
        <v>79</v>
      </c>
      <c r="E4970" s="1" t="s">
        <v>29</v>
      </c>
      <c r="F4970" s="5">
        <v>50000.0</v>
      </c>
      <c r="G4970" s="1" t="s">
        <v>7016</v>
      </c>
      <c r="H4970" s="1" t="s">
        <v>1287</v>
      </c>
      <c r="I4970" s="1" t="s">
        <v>80</v>
      </c>
      <c r="K4970" s="1">
        <v>0.0</v>
      </c>
      <c r="L4970" s="1" t="s">
        <v>5558</v>
      </c>
      <c r="M4970" s="1" t="str">
        <f>VLOOKUP(L4970,'Copy of PMD Workday Constants -'!B4969:W5655,22,false)</f>
        <v>#N/A</v>
      </c>
      <c r="N4970" s="1" t="s">
        <v>32</v>
      </c>
      <c r="O4970" s="1" t="s">
        <v>33</v>
      </c>
      <c r="P4970" s="1" t="s">
        <v>222</v>
      </c>
      <c r="Q4970" s="1" t="s">
        <v>222</v>
      </c>
      <c r="R4970" s="1" t="s">
        <v>223</v>
      </c>
      <c r="S4970" s="1" t="s">
        <v>482</v>
      </c>
      <c r="T4970" s="1">
        <v>1.00652479E8</v>
      </c>
      <c r="W4970" s="1" t="s">
        <v>258</v>
      </c>
      <c r="X4970" s="1" t="s">
        <v>12103</v>
      </c>
    </row>
    <row r="4971">
      <c r="A4971" s="1" t="s">
        <v>13885</v>
      </c>
      <c r="B4971" s="1" t="s">
        <v>13886</v>
      </c>
      <c r="C4971" s="1" t="s">
        <v>13887</v>
      </c>
      <c r="D4971" s="1" t="s">
        <v>51</v>
      </c>
      <c r="E4971" s="1" t="s">
        <v>29</v>
      </c>
      <c r="F4971" s="5">
        <v>50000.0</v>
      </c>
      <c r="G4971" s="1" t="s">
        <v>7016</v>
      </c>
      <c r="H4971" s="1" t="s">
        <v>5674</v>
      </c>
      <c r="I4971" s="1" t="s">
        <v>80</v>
      </c>
      <c r="K4971" s="1">
        <v>0.0</v>
      </c>
      <c r="L4971" s="1" t="s">
        <v>8193</v>
      </c>
      <c r="M4971" s="1" t="str">
        <f>VLOOKUP(L4971,'Copy of PMD Workday Constants -'!B4970:W5656,22,false)</f>
        <v>#N/A</v>
      </c>
      <c r="N4971" s="1" t="s">
        <v>32</v>
      </c>
      <c r="O4971" s="1" t="s">
        <v>33</v>
      </c>
      <c r="P4971" s="1" t="s">
        <v>222</v>
      </c>
      <c r="Q4971" s="1" t="s">
        <v>222</v>
      </c>
      <c r="R4971" s="1" t="s">
        <v>223</v>
      </c>
      <c r="S4971" s="1" t="s">
        <v>482</v>
      </c>
      <c r="T4971" s="1">
        <v>1.00589357E8</v>
      </c>
      <c r="W4971" s="1" t="s">
        <v>47</v>
      </c>
      <c r="X4971" s="1" t="s">
        <v>8193</v>
      </c>
    </row>
    <row r="4972">
      <c r="A4972" s="1" t="s">
        <v>13888</v>
      </c>
      <c r="B4972" s="1" t="s">
        <v>610</v>
      </c>
      <c r="C4972" s="1" t="s">
        <v>13889</v>
      </c>
      <c r="D4972" s="1" t="s">
        <v>51</v>
      </c>
      <c r="E4972" s="1" t="s">
        <v>29</v>
      </c>
      <c r="F4972" s="5">
        <v>50000.0</v>
      </c>
      <c r="G4972" s="1" t="s">
        <v>7016</v>
      </c>
      <c r="H4972" s="1" t="s">
        <v>592</v>
      </c>
      <c r="I4972" s="1" t="s">
        <v>152</v>
      </c>
      <c r="K4972" s="1">
        <v>0.0</v>
      </c>
      <c r="L4972" s="1" t="s">
        <v>2174</v>
      </c>
      <c r="M4972" s="1" t="str">
        <f>VLOOKUP(L4972,'Copy of PMD Workday Constants -'!B4971:W5657,22,false)</f>
        <v>#N/A</v>
      </c>
      <c r="N4972" s="1" t="s">
        <v>32</v>
      </c>
      <c r="O4972" s="1" t="s">
        <v>33</v>
      </c>
      <c r="P4972" s="1" t="s">
        <v>112</v>
      </c>
      <c r="Q4972" s="1" t="s">
        <v>112</v>
      </c>
      <c r="R4972" s="1" t="s">
        <v>113</v>
      </c>
      <c r="S4972" s="1" t="s">
        <v>114</v>
      </c>
      <c r="T4972" s="1">
        <v>1.00631322E8</v>
      </c>
      <c r="W4972" s="1" t="s">
        <v>147</v>
      </c>
      <c r="X4972" s="1" t="s">
        <v>6521</v>
      </c>
    </row>
    <row r="4973">
      <c r="A4973" s="1" t="s">
        <v>13890</v>
      </c>
      <c r="B4973" s="1" t="s">
        <v>13891</v>
      </c>
      <c r="C4973" s="1" t="s">
        <v>13892</v>
      </c>
      <c r="D4973" s="1" t="s">
        <v>79</v>
      </c>
      <c r="E4973" s="1" t="s">
        <v>29</v>
      </c>
      <c r="F4973" s="5">
        <v>50000.0</v>
      </c>
      <c r="G4973" s="1" t="s">
        <v>7016</v>
      </c>
      <c r="H4973" s="1" t="s">
        <v>3574</v>
      </c>
      <c r="I4973" s="4">
        <v>44718.0</v>
      </c>
      <c r="K4973" s="1">
        <v>0.0</v>
      </c>
      <c r="L4973" s="1" t="s">
        <v>3948</v>
      </c>
      <c r="M4973" s="1" t="str">
        <f>VLOOKUP(L4973,'Copy of PMD Workday Constants -'!B4972:W5658,22,false)</f>
        <v>#N/A</v>
      </c>
      <c r="N4973" s="1" t="s">
        <v>32</v>
      </c>
      <c r="O4973" s="1" t="s">
        <v>33</v>
      </c>
      <c r="P4973" s="1" t="s">
        <v>112</v>
      </c>
      <c r="Q4973" s="1" t="s">
        <v>112</v>
      </c>
      <c r="R4973" s="1" t="s">
        <v>113</v>
      </c>
      <c r="S4973" s="1" t="s">
        <v>114</v>
      </c>
      <c r="T4973" s="1">
        <v>1.00627224E8</v>
      </c>
      <c r="W4973" s="1" t="s">
        <v>1303</v>
      </c>
      <c r="X4973" s="1" t="s">
        <v>13893</v>
      </c>
    </row>
    <row r="4974">
      <c r="A4974" s="1" t="s">
        <v>13894</v>
      </c>
      <c r="B4974" s="1" t="s">
        <v>13895</v>
      </c>
      <c r="C4974" s="1" t="s">
        <v>13896</v>
      </c>
      <c r="D4974" s="1" t="s">
        <v>103</v>
      </c>
      <c r="E4974" s="1" t="s">
        <v>29</v>
      </c>
      <c r="F4974" s="5">
        <v>50000.0</v>
      </c>
      <c r="G4974" s="1" t="s">
        <v>7016</v>
      </c>
      <c r="H4974" s="1" t="s">
        <v>699</v>
      </c>
      <c r="I4974" s="1" t="s">
        <v>96</v>
      </c>
      <c r="K4974" s="1">
        <v>0.0</v>
      </c>
      <c r="L4974" s="1" t="s">
        <v>6578</v>
      </c>
      <c r="M4974" s="1" t="str">
        <f>VLOOKUP(L4974,'Copy of PMD Workday Constants -'!B4973:W5659,22,false)</f>
        <v>#N/A</v>
      </c>
      <c r="N4974" s="1" t="s">
        <v>32</v>
      </c>
      <c r="O4974" s="1" t="s">
        <v>33</v>
      </c>
      <c r="P4974" s="1" t="s">
        <v>222</v>
      </c>
      <c r="Q4974" s="1" t="s">
        <v>222</v>
      </c>
      <c r="R4974" s="1" t="s">
        <v>223</v>
      </c>
      <c r="S4974" s="1" t="s">
        <v>482</v>
      </c>
      <c r="T4974" s="1">
        <v>1.00597339E8</v>
      </c>
      <c r="W4974" s="1" t="s">
        <v>258</v>
      </c>
      <c r="X4974" s="1" t="s">
        <v>6579</v>
      </c>
    </row>
    <row r="4975">
      <c r="A4975" s="1" t="s">
        <v>13897</v>
      </c>
      <c r="B4975" s="1" t="s">
        <v>13898</v>
      </c>
      <c r="C4975" s="1" t="s">
        <v>13899</v>
      </c>
      <c r="D4975" s="1" t="s">
        <v>51</v>
      </c>
      <c r="E4975" s="1" t="s">
        <v>29</v>
      </c>
      <c r="F4975" s="5">
        <v>50000.0</v>
      </c>
      <c r="G4975" s="1" t="s">
        <v>7016</v>
      </c>
      <c r="H4975" s="1" t="s">
        <v>2365</v>
      </c>
      <c r="I4975" s="1" t="s">
        <v>302</v>
      </c>
      <c r="K4975" s="1">
        <v>0.0</v>
      </c>
      <c r="L4975" s="1" t="s">
        <v>3137</v>
      </c>
      <c r="M4975" s="1" t="str">
        <f>VLOOKUP(L4975,'Copy of PMD Workday Constants -'!B4974:W5660,22,false)</f>
        <v>#N/A</v>
      </c>
      <c r="N4975" s="1" t="s">
        <v>32</v>
      </c>
      <c r="O4975" s="1" t="s">
        <v>33</v>
      </c>
      <c r="P4975" s="1" t="s">
        <v>82</v>
      </c>
      <c r="Q4975" s="1" t="s">
        <v>82</v>
      </c>
      <c r="R4975" s="1" t="s">
        <v>83</v>
      </c>
      <c r="S4975" s="1" t="s">
        <v>180</v>
      </c>
      <c r="T4975" s="1">
        <v>1.00586452E8</v>
      </c>
      <c r="W4975" s="1" t="s">
        <v>85</v>
      </c>
      <c r="X4975" s="1" t="s">
        <v>11699</v>
      </c>
    </row>
    <row r="4976">
      <c r="A4976" s="1" t="s">
        <v>13900</v>
      </c>
      <c r="B4976" s="1" t="s">
        <v>13901</v>
      </c>
      <c r="C4976" s="1" t="s">
        <v>13902</v>
      </c>
      <c r="D4976" s="1" t="s">
        <v>103</v>
      </c>
      <c r="E4976" s="1" t="s">
        <v>29</v>
      </c>
      <c r="F4976" s="5">
        <v>50000.0</v>
      </c>
      <c r="G4976" s="1" t="s">
        <v>7016</v>
      </c>
      <c r="H4976" s="1" t="s">
        <v>1842</v>
      </c>
      <c r="I4976" s="1" t="s">
        <v>810</v>
      </c>
      <c r="K4976" s="1">
        <v>0.0</v>
      </c>
      <c r="L4976" s="1" t="s">
        <v>2013</v>
      </c>
      <c r="M4976" s="1" t="str">
        <f>VLOOKUP(L4976,'Copy of PMD Workday Constants -'!B4975:W5661,22,false)</f>
        <v>#N/A</v>
      </c>
      <c r="N4976" s="1" t="s">
        <v>32</v>
      </c>
      <c r="O4976" s="1" t="s">
        <v>33</v>
      </c>
      <c r="P4976" s="1" t="s">
        <v>222</v>
      </c>
      <c r="Q4976" s="1" t="s">
        <v>222</v>
      </c>
      <c r="R4976" s="1" t="s">
        <v>223</v>
      </c>
      <c r="S4976" s="1" t="s">
        <v>482</v>
      </c>
      <c r="T4976" s="1">
        <v>1.00596618E8</v>
      </c>
      <c r="W4976" s="1" t="s">
        <v>74</v>
      </c>
      <c r="X4976" s="1" t="s">
        <v>2014</v>
      </c>
    </row>
    <row r="4977">
      <c r="A4977" s="1" t="s">
        <v>13903</v>
      </c>
      <c r="B4977" s="1" t="s">
        <v>772</v>
      </c>
      <c r="C4977" s="1" t="s">
        <v>13904</v>
      </c>
      <c r="D4977" s="1" t="s">
        <v>28</v>
      </c>
      <c r="E4977" s="1" t="s">
        <v>29</v>
      </c>
      <c r="F4977" s="5">
        <v>50000.0</v>
      </c>
      <c r="G4977" s="1" t="s">
        <v>7016</v>
      </c>
      <c r="H4977" s="1" t="s">
        <v>952</v>
      </c>
      <c r="I4977" s="1" t="s">
        <v>80</v>
      </c>
      <c r="K4977" s="1">
        <v>0.0</v>
      </c>
      <c r="L4977" s="1" t="s">
        <v>774</v>
      </c>
      <c r="M4977" s="1" t="str">
        <f>VLOOKUP(L4977,'Copy of PMD Workday Constants -'!B4976:W5662,22,false)</f>
        <v>#N/A</v>
      </c>
      <c r="N4977" s="1" t="s">
        <v>32</v>
      </c>
      <c r="O4977" s="1" t="s">
        <v>33</v>
      </c>
      <c r="P4977" s="1" t="s">
        <v>222</v>
      </c>
      <c r="Q4977" s="1" t="s">
        <v>222</v>
      </c>
      <c r="R4977" s="1" t="s">
        <v>223</v>
      </c>
      <c r="S4977" s="1" t="s">
        <v>482</v>
      </c>
      <c r="T4977" s="1">
        <v>1.0058798E8</v>
      </c>
      <c r="W4977" s="1" t="s">
        <v>37</v>
      </c>
      <c r="X4977" s="1" t="s">
        <v>774</v>
      </c>
    </row>
    <row r="4978">
      <c r="A4978" s="1" t="s">
        <v>13905</v>
      </c>
      <c r="B4978" s="1" t="s">
        <v>3885</v>
      </c>
      <c r="C4978" s="1" t="s">
        <v>13906</v>
      </c>
      <c r="D4978" s="1" t="s">
        <v>28</v>
      </c>
      <c r="E4978" s="1" t="s">
        <v>29</v>
      </c>
      <c r="F4978" s="5">
        <v>50000.0</v>
      </c>
      <c r="G4978" s="1" t="s">
        <v>7016</v>
      </c>
      <c r="H4978" s="4">
        <v>44869.0</v>
      </c>
      <c r="I4978" s="1" t="s">
        <v>132</v>
      </c>
      <c r="K4978" s="1">
        <v>0.0</v>
      </c>
      <c r="L4978" s="1" t="s">
        <v>532</v>
      </c>
      <c r="M4978" s="1" t="str">
        <f>VLOOKUP(L4978,'Copy of PMD Workday Constants -'!B4977:W5663,22,false)</f>
        <v>#N/A</v>
      </c>
      <c r="N4978" s="1" t="s">
        <v>32</v>
      </c>
      <c r="O4978" s="1" t="s">
        <v>33</v>
      </c>
      <c r="P4978" s="1" t="s">
        <v>112</v>
      </c>
      <c r="Q4978" s="1" t="s">
        <v>112</v>
      </c>
      <c r="R4978" s="1" t="s">
        <v>113</v>
      </c>
      <c r="S4978" s="1" t="s">
        <v>126</v>
      </c>
      <c r="T4978" s="1">
        <v>1.00646702E8</v>
      </c>
      <c r="W4978" s="1" t="s">
        <v>533</v>
      </c>
      <c r="X4978" s="1" t="s">
        <v>1193</v>
      </c>
    </row>
    <row r="4979">
      <c r="A4979" s="1" t="s">
        <v>13907</v>
      </c>
      <c r="B4979" s="1" t="s">
        <v>10713</v>
      </c>
      <c r="C4979" s="1" t="s">
        <v>13908</v>
      </c>
      <c r="D4979" s="1" t="s">
        <v>28</v>
      </c>
      <c r="E4979" s="1" t="s">
        <v>29</v>
      </c>
      <c r="F4979" s="5">
        <v>50000.0</v>
      </c>
      <c r="G4979" s="1" t="s">
        <v>7016</v>
      </c>
      <c r="H4979" s="1" t="s">
        <v>1161</v>
      </c>
      <c r="I4979" s="1" t="s">
        <v>152</v>
      </c>
      <c r="K4979" s="1">
        <v>0.0</v>
      </c>
      <c r="L4979" s="1" t="s">
        <v>7718</v>
      </c>
      <c r="M4979" s="1" t="str">
        <f>VLOOKUP(L4979,'Copy of PMD Workday Constants -'!B4978:W5664,22,false)</f>
        <v>#N/A</v>
      </c>
      <c r="N4979" s="1" t="s">
        <v>32</v>
      </c>
      <c r="O4979" s="1" t="s">
        <v>33</v>
      </c>
      <c r="P4979" s="1" t="s">
        <v>112</v>
      </c>
      <c r="Q4979" s="1" t="s">
        <v>112</v>
      </c>
      <c r="R4979" s="1" t="s">
        <v>113</v>
      </c>
      <c r="S4979" s="1" t="s">
        <v>134</v>
      </c>
      <c r="T4979" s="1">
        <v>1.00625107E8</v>
      </c>
      <c r="W4979" s="1" t="s">
        <v>74</v>
      </c>
      <c r="X4979" s="1" t="s">
        <v>977</v>
      </c>
    </row>
    <row r="4980">
      <c r="A4980" s="1" t="s">
        <v>13909</v>
      </c>
      <c r="B4980" s="1" t="s">
        <v>13910</v>
      </c>
      <c r="C4980" s="1" t="s">
        <v>13911</v>
      </c>
      <c r="D4980" s="1" t="s">
        <v>28</v>
      </c>
      <c r="E4980" s="1" t="s">
        <v>29</v>
      </c>
      <c r="F4980" s="5">
        <v>50000.0</v>
      </c>
      <c r="G4980" s="1" t="s">
        <v>7016</v>
      </c>
      <c r="H4980" s="4">
        <v>44870.0</v>
      </c>
      <c r="I4980" s="1" t="s">
        <v>302</v>
      </c>
      <c r="K4980" s="1">
        <v>0.0</v>
      </c>
      <c r="L4980" s="1" t="s">
        <v>11159</v>
      </c>
      <c r="M4980" s="1" t="str">
        <f>VLOOKUP(L4980,'Copy of PMD Workday Constants -'!B4979:W5665,22,false)</f>
        <v>#N/A</v>
      </c>
      <c r="N4980" s="1" t="s">
        <v>32</v>
      </c>
      <c r="O4980" s="1" t="s">
        <v>33</v>
      </c>
      <c r="P4980" s="1" t="s">
        <v>222</v>
      </c>
      <c r="Q4980" s="1" t="s">
        <v>222</v>
      </c>
      <c r="R4980" s="1" t="s">
        <v>223</v>
      </c>
      <c r="S4980" s="1" t="s">
        <v>601</v>
      </c>
      <c r="T4980" s="1">
        <v>1.00602248E8</v>
      </c>
      <c r="W4980" s="1" t="s">
        <v>287</v>
      </c>
      <c r="X4980" s="1" t="s">
        <v>10678</v>
      </c>
    </row>
    <row r="4981">
      <c r="A4981" s="1" t="s">
        <v>13912</v>
      </c>
      <c r="B4981" s="1" t="s">
        <v>993</v>
      </c>
      <c r="C4981" s="1" t="s">
        <v>13913</v>
      </c>
      <c r="D4981" s="1" t="s">
        <v>28</v>
      </c>
      <c r="E4981" s="1" t="s">
        <v>29</v>
      </c>
      <c r="F4981" s="5">
        <v>50000.0</v>
      </c>
      <c r="G4981" s="1" t="s">
        <v>7016</v>
      </c>
      <c r="H4981" s="1" t="s">
        <v>592</v>
      </c>
      <c r="I4981" s="1" t="s">
        <v>80</v>
      </c>
      <c r="K4981" s="1">
        <v>0.0</v>
      </c>
      <c r="L4981" s="1" t="s">
        <v>4634</v>
      </c>
      <c r="M4981" s="1" t="str">
        <f>VLOOKUP(L4981,'Copy of PMD Workday Constants -'!B4980:W5666,22,false)</f>
        <v>#N/A</v>
      </c>
      <c r="N4981" s="1" t="s">
        <v>32</v>
      </c>
      <c r="O4981" s="1" t="s">
        <v>33</v>
      </c>
      <c r="P4981" s="1" t="s">
        <v>112</v>
      </c>
      <c r="Q4981" s="1" t="s">
        <v>112</v>
      </c>
      <c r="R4981" s="1" t="s">
        <v>113</v>
      </c>
      <c r="S4981" s="1" t="s">
        <v>134</v>
      </c>
      <c r="T4981" s="1">
        <v>1.00585718E8</v>
      </c>
      <c r="W4981" s="1" t="s">
        <v>74</v>
      </c>
      <c r="X4981" s="1" t="s">
        <v>10333</v>
      </c>
    </row>
    <row r="4982">
      <c r="A4982" s="1" t="s">
        <v>13914</v>
      </c>
      <c r="B4982" s="1" t="s">
        <v>747</v>
      </c>
      <c r="C4982" s="1" t="s">
        <v>13915</v>
      </c>
      <c r="D4982" s="1" t="s">
        <v>51</v>
      </c>
      <c r="E4982" s="1" t="s">
        <v>29</v>
      </c>
      <c r="F4982" s="5">
        <v>50000.0</v>
      </c>
      <c r="G4982" s="1" t="s">
        <v>7016</v>
      </c>
      <c r="H4982" s="1" t="s">
        <v>681</v>
      </c>
      <c r="I4982" s="1" t="s">
        <v>302</v>
      </c>
      <c r="K4982" s="1">
        <v>0.0</v>
      </c>
      <c r="L4982" s="1" t="s">
        <v>12883</v>
      </c>
      <c r="M4982" s="1" t="str">
        <f>VLOOKUP(L4982,'Copy of PMD Workday Constants -'!B4981:W5667,22,false)</f>
        <v>#N/A</v>
      </c>
      <c r="N4982" s="1" t="s">
        <v>32</v>
      </c>
      <c r="O4982" s="1" t="s">
        <v>33</v>
      </c>
      <c r="P4982" s="1" t="s">
        <v>173</v>
      </c>
      <c r="Q4982" s="1" t="s">
        <v>173</v>
      </c>
      <c r="R4982" s="1" t="s">
        <v>174</v>
      </c>
      <c r="T4982" s="1">
        <v>1.00640093E8</v>
      </c>
      <c r="W4982" s="1" t="s">
        <v>37</v>
      </c>
      <c r="X4982" s="1" t="s">
        <v>1511</v>
      </c>
    </row>
    <row r="4983">
      <c r="A4983" s="1" t="s">
        <v>13916</v>
      </c>
      <c r="B4983" s="1" t="s">
        <v>13917</v>
      </c>
      <c r="C4983" s="1" t="s">
        <v>13918</v>
      </c>
      <c r="D4983" s="1" t="s">
        <v>51</v>
      </c>
      <c r="E4983" s="1" t="s">
        <v>29</v>
      </c>
      <c r="F4983" s="5">
        <v>50000.0</v>
      </c>
      <c r="G4983" s="1" t="s">
        <v>7016</v>
      </c>
      <c r="H4983" s="1" t="s">
        <v>6768</v>
      </c>
      <c r="I4983" s="1" t="s">
        <v>302</v>
      </c>
      <c r="K4983" s="1">
        <v>0.0</v>
      </c>
      <c r="L4983" s="1" t="s">
        <v>11159</v>
      </c>
      <c r="M4983" s="1" t="str">
        <f>VLOOKUP(L4983,'Copy of PMD Workday Constants -'!B4982:W5668,22,false)</f>
        <v>#N/A</v>
      </c>
      <c r="N4983" s="1" t="s">
        <v>32</v>
      </c>
      <c r="O4983" s="1" t="s">
        <v>33</v>
      </c>
      <c r="P4983" s="1" t="s">
        <v>222</v>
      </c>
      <c r="Q4983" s="1" t="s">
        <v>222</v>
      </c>
      <c r="R4983" s="1" t="s">
        <v>223</v>
      </c>
      <c r="S4983" s="1" t="s">
        <v>482</v>
      </c>
      <c r="T4983" s="1">
        <v>1.00602248E8</v>
      </c>
      <c r="W4983" s="1" t="s">
        <v>115</v>
      </c>
      <c r="X4983" s="1" t="s">
        <v>12065</v>
      </c>
    </row>
    <row r="4984">
      <c r="A4984" s="1" t="s">
        <v>13919</v>
      </c>
      <c r="B4984" s="1" t="s">
        <v>4968</v>
      </c>
      <c r="C4984" s="1" t="s">
        <v>13920</v>
      </c>
      <c r="D4984" s="1" t="s">
        <v>28</v>
      </c>
      <c r="E4984" s="1" t="s">
        <v>29</v>
      </c>
      <c r="F4984" s="5">
        <v>50000.0</v>
      </c>
      <c r="G4984" s="1" t="s">
        <v>7016</v>
      </c>
      <c r="H4984" s="1" t="s">
        <v>686</v>
      </c>
      <c r="I4984" s="1" t="s">
        <v>302</v>
      </c>
      <c r="K4984" s="1">
        <v>0.0</v>
      </c>
      <c r="L4984" s="1" t="s">
        <v>2630</v>
      </c>
      <c r="M4984" s="1" t="str">
        <f>VLOOKUP(L4984,'Copy of PMD Workday Constants -'!B4983:W5669,22,false)</f>
        <v>#N/A</v>
      </c>
      <c r="N4984" s="1" t="s">
        <v>32</v>
      </c>
      <c r="O4984" s="1" t="s">
        <v>33</v>
      </c>
      <c r="P4984" s="1" t="s">
        <v>34</v>
      </c>
      <c r="Q4984" s="1" t="s">
        <v>34</v>
      </c>
      <c r="R4984" s="1" t="s">
        <v>35</v>
      </c>
      <c r="S4984" s="1" t="s">
        <v>1166</v>
      </c>
      <c r="T4984" s="1">
        <v>1.00606975E8</v>
      </c>
      <c r="W4984" s="1" t="s">
        <v>456</v>
      </c>
      <c r="X4984" s="1" t="s">
        <v>7862</v>
      </c>
    </row>
    <row r="4985">
      <c r="A4985" s="1" t="s">
        <v>13921</v>
      </c>
      <c r="B4985" s="1" t="s">
        <v>615</v>
      </c>
      <c r="C4985" s="1" t="s">
        <v>13922</v>
      </c>
      <c r="D4985" s="1" t="s">
        <v>28</v>
      </c>
      <c r="E4985" s="1" t="s">
        <v>29</v>
      </c>
      <c r="F4985" s="5">
        <v>50000.0</v>
      </c>
      <c r="G4985" s="1" t="s">
        <v>7016</v>
      </c>
      <c r="H4985" s="1" t="s">
        <v>2054</v>
      </c>
      <c r="I4985" s="1" t="s">
        <v>810</v>
      </c>
      <c r="K4985" s="1">
        <v>0.0</v>
      </c>
      <c r="L4985" s="1" t="s">
        <v>618</v>
      </c>
      <c r="M4985" s="1" t="str">
        <f>VLOOKUP(L4985,'Copy of PMD Workday Constants -'!B4984:W5670,22,false)</f>
        <v>#N/A</v>
      </c>
      <c r="N4985" s="1" t="s">
        <v>32</v>
      </c>
      <c r="O4985" s="1" t="s">
        <v>33</v>
      </c>
      <c r="P4985" s="1" t="s">
        <v>173</v>
      </c>
      <c r="Q4985" s="1" t="s">
        <v>173</v>
      </c>
      <c r="R4985" s="1" t="s">
        <v>174</v>
      </c>
      <c r="T4985" s="1">
        <v>1.00591141E8</v>
      </c>
      <c r="W4985" s="1" t="s">
        <v>74</v>
      </c>
      <c r="X4985" s="1" t="s">
        <v>5288</v>
      </c>
    </row>
    <row r="4986">
      <c r="A4986" s="1" t="s">
        <v>13923</v>
      </c>
      <c r="B4986" s="1" t="s">
        <v>8544</v>
      </c>
      <c r="C4986" s="1" t="s">
        <v>13924</v>
      </c>
      <c r="D4986" s="1" t="s">
        <v>51</v>
      </c>
      <c r="E4986" s="1" t="s">
        <v>29</v>
      </c>
      <c r="F4986" s="5">
        <v>50000.0</v>
      </c>
      <c r="G4986" s="1" t="s">
        <v>7016</v>
      </c>
      <c r="H4986" s="1" t="s">
        <v>1330</v>
      </c>
      <c r="I4986" s="1" t="s">
        <v>526</v>
      </c>
      <c r="K4986" s="1">
        <v>0.0</v>
      </c>
      <c r="L4986" s="1" t="s">
        <v>4051</v>
      </c>
      <c r="M4986" s="1" t="str">
        <f>VLOOKUP(L4986,'Copy of PMD Workday Constants -'!B4985:W5671,22,false)</f>
        <v>#N/A</v>
      </c>
      <c r="N4986" s="1" t="s">
        <v>32</v>
      </c>
      <c r="O4986" s="1" t="s">
        <v>33</v>
      </c>
      <c r="P4986" s="1" t="s">
        <v>112</v>
      </c>
      <c r="Q4986" s="1" t="s">
        <v>112</v>
      </c>
      <c r="R4986" s="1" t="s">
        <v>113</v>
      </c>
      <c r="S4986" s="1" t="s">
        <v>307</v>
      </c>
      <c r="T4986" s="1">
        <v>1.00694651E8</v>
      </c>
      <c r="W4986" s="1" t="s">
        <v>947</v>
      </c>
      <c r="X4986" s="1" t="s">
        <v>13925</v>
      </c>
    </row>
    <row r="4987">
      <c r="A4987" s="1" t="s">
        <v>13926</v>
      </c>
      <c r="B4987" s="1" t="s">
        <v>13927</v>
      </c>
      <c r="C4987" s="1" t="s">
        <v>13928</v>
      </c>
      <c r="D4987" s="1" t="s">
        <v>28</v>
      </c>
      <c r="E4987" s="1" t="s">
        <v>29</v>
      </c>
      <c r="F4987" s="5">
        <v>50000.0</v>
      </c>
      <c r="G4987" s="1" t="s">
        <v>7016</v>
      </c>
      <c r="H4987" s="1" t="s">
        <v>1708</v>
      </c>
      <c r="I4987" s="1" t="s">
        <v>2485</v>
      </c>
      <c r="K4987" s="1">
        <v>0.0</v>
      </c>
      <c r="L4987" s="1" t="s">
        <v>111</v>
      </c>
      <c r="M4987" s="1" t="str">
        <f>VLOOKUP(L4987,'Copy of PMD Workday Constants -'!B4986:W5672,22,false)</f>
        <v>#N/A</v>
      </c>
      <c r="N4987" s="1" t="s">
        <v>32</v>
      </c>
      <c r="O4987" s="1" t="s">
        <v>33</v>
      </c>
      <c r="P4987" s="1" t="s">
        <v>112</v>
      </c>
      <c r="Q4987" s="1" t="s">
        <v>112</v>
      </c>
      <c r="R4987" s="1" t="s">
        <v>113</v>
      </c>
      <c r="S4987" s="1" t="s">
        <v>13929</v>
      </c>
      <c r="T4987" s="1">
        <v>1.00596941E8</v>
      </c>
      <c r="W4987" s="1" t="s">
        <v>37</v>
      </c>
      <c r="X4987" s="1" t="s">
        <v>111</v>
      </c>
    </row>
    <row r="4988">
      <c r="A4988" s="1" t="s">
        <v>13930</v>
      </c>
      <c r="B4988" s="1" t="s">
        <v>642</v>
      </c>
      <c r="C4988" s="1" t="s">
        <v>13931</v>
      </c>
      <c r="D4988" s="1" t="s">
        <v>103</v>
      </c>
      <c r="E4988" s="1" t="s">
        <v>29</v>
      </c>
      <c r="F4988" s="5">
        <v>50000.0</v>
      </c>
      <c r="G4988" s="1" t="s">
        <v>7016</v>
      </c>
      <c r="H4988" s="4">
        <v>44385.0</v>
      </c>
      <c r="I4988" s="1" t="s">
        <v>302</v>
      </c>
      <c r="K4988" s="1">
        <v>0.0</v>
      </c>
      <c r="L4988" s="1" t="s">
        <v>4045</v>
      </c>
      <c r="M4988" s="1" t="str">
        <f>VLOOKUP(L4988,'Copy of PMD Workday Constants -'!B4987:W5673,22,false)</f>
        <v>#N/A</v>
      </c>
      <c r="N4988" s="1" t="s">
        <v>32</v>
      </c>
      <c r="O4988" s="1" t="s">
        <v>33</v>
      </c>
      <c r="P4988" s="1" t="s">
        <v>64</v>
      </c>
      <c r="Q4988" s="1" t="s">
        <v>64</v>
      </c>
      <c r="R4988" s="1" t="s">
        <v>65</v>
      </c>
      <c r="T4988" s="1">
        <v>1.00655236E8</v>
      </c>
      <c r="W4988" s="1" t="s">
        <v>56</v>
      </c>
      <c r="X4988" s="1" t="s">
        <v>10615</v>
      </c>
    </row>
    <row r="4989">
      <c r="A4989" s="1" t="s">
        <v>13932</v>
      </c>
      <c r="B4989" s="1" t="s">
        <v>13933</v>
      </c>
      <c r="C4989" s="1" t="s">
        <v>13934</v>
      </c>
      <c r="D4989" s="1" t="s">
        <v>28</v>
      </c>
      <c r="E4989" s="1" t="s">
        <v>29</v>
      </c>
      <c r="F4989" s="5">
        <v>50000.0</v>
      </c>
      <c r="G4989" s="1" t="s">
        <v>7016</v>
      </c>
      <c r="H4989" s="4">
        <v>44352.0</v>
      </c>
      <c r="I4989" s="1" t="s">
        <v>302</v>
      </c>
      <c r="K4989" s="1">
        <v>0.0</v>
      </c>
      <c r="L4989" s="1" t="s">
        <v>2540</v>
      </c>
      <c r="M4989" s="1" t="str">
        <f>VLOOKUP(L4989,'Copy of PMD Workday Constants -'!B4988:W5674,22,false)</f>
        <v>#N/A</v>
      </c>
      <c r="N4989" s="1" t="s">
        <v>32</v>
      </c>
      <c r="O4989" s="1" t="s">
        <v>33</v>
      </c>
      <c r="P4989" s="1" t="s">
        <v>222</v>
      </c>
      <c r="Q4989" s="1" t="s">
        <v>222</v>
      </c>
      <c r="R4989" s="1" t="s">
        <v>223</v>
      </c>
      <c r="S4989" s="1" t="s">
        <v>134</v>
      </c>
      <c r="T4989" s="1">
        <v>1.00599268E8</v>
      </c>
      <c r="W4989" s="1" t="s">
        <v>115</v>
      </c>
      <c r="X4989" s="1" t="s">
        <v>7550</v>
      </c>
    </row>
    <row r="4990">
      <c r="A4990" s="1" t="s">
        <v>13935</v>
      </c>
      <c r="B4990" s="1" t="s">
        <v>13375</v>
      </c>
      <c r="C4990" s="1" t="s">
        <v>13936</v>
      </c>
      <c r="D4990" s="1" t="s">
        <v>28</v>
      </c>
      <c r="E4990" s="1" t="s">
        <v>29</v>
      </c>
      <c r="F4990" s="5">
        <v>50000.0</v>
      </c>
      <c r="G4990" s="1" t="s">
        <v>7016</v>
      </c>
      <c r="H4990" s="1" t="s">
        <v>5610</v>
      </c>
      <c r="I4990" s="1" t="s">
        <v>43</v>
      </c>
      <c r="K4990" s="1">
        <v>0.0</v>
      </c>
      <c r="L4990" s="1" t="s">
        <v>2655</v>
      </c>
      <c r="M4990" s="1" t="str">
        <f>VLOOKUP(L4990,'Copy of PMD Workday Constants -'!B4989:W5675,22,false)</f>
        <v>#N/A</v>
      </c>
      <c r="N4990" s="1" t="s">
        <v>32</v>
      </c>
      <c r="O4990" s="1" t="s">
        <v>33</v>
      </c>
      <c r="P4990" s="1" t="s">
        <v>210</v>
      </c>
      <c r="Q4990" s="1" t="s">
        <v>210</v>
      </c>
      <c r="R4990" s="1" t="s">
        <v>211</v>
      </c>
      <c r="S4990" s="1" t="s">
        <v>1313</v>
      </c>
      <c r="T4990" s="1">
        <v>1.0062606E8</v>
      </c>
      <c r="W4990" s="1" t="s">
        <v>436</v>
      </c>
      <c r="X4990" s="1" t="s">
        <v>2655</v>
      </c>
    </row>
    <row r="4991">
      <c r="A4991" s="1" t="s">
        <v>13937</v>
      </c>
      <c r="B4991" s="1" t="s">
        <v>13938</v>
      </c>
      <c r="C4991" s="1" t="s">
        <v>13939</v>
      </c>
      <c r="D4991" s="1" t="s">
        <v>28</v>
      </c>
      <c r="E4991" s="1" t="s">
        <v>29</v>
      </c>
      <c r="F4991" s="5">
        <v>50000.0</v>
      </c>
      <c r="G4991" s="1" t="s">
        <v>7016</v>
      </c>
      <c r="H4991" s="1" t="s">
        <v>1330</v>
      </c>
      <c r="I4991" s="1" t="s">
        <v>302</v>
      </c>
      <c r="K4991" s="1">
        <v>0.0</v>
      </c>
      <c r="L4991" s="1" t="s">
        <v>2122</v>
      </c>
      <c r="M4991" s="1" t="str">
        <f>VLOOKUP(L4991,'Copy of PMD Workday Constants -'!B4990:W5676,22,false)</f>
        <v>#N/A</v>
      </c>
      <c r="N4991" s="1" t="s">
        <v>32</v>
      </c>
      <c r="O4991" s="1" t="s">
        <v>33</v>
      </c>
      <c r="P4991" s="1" t="s">
        <v>54</v>
      </c>
      <c r="Q4991" s="1" t="s">
        <v>54</v>
      </c>
      <c r="R4991" s="1" t="s">
        <v>55</v>
      </c>
      <c r="T4991" s="1">
        <v>1.00645538E8</v>
      </c>
      <c r="W4991" s="1" t="s">
        <v>250</v>
      </c>
      <c r="X4991" s="1" t="s">
        <v>1511</v>
      </c>
    </row>
    <row r="4992">
      <c r="A4992" s="1" t="s">
        <v>13940</v>
      </c>
      <c r="B4992" s="1" t="s">
        <v>304</v>
      </c>
      <c r="C4992" s="1" t="s">
        <v>13941</v>
      </c>
      <c r="D4992" s="1" t="s">
        <v>28</v>
      </c>
      <c r="E4992" s="1" t="s">
        <v>29</v>
      </c>
      <c r="F4992" s="5">
        <v>50000.0</v>
      </c>
      <c r="G4992" s="1" t="s">
        <v>7016</v>
      </c>
      <c r="H4992" s="1" t="s">
        <v>785</v>
      </c>
      <c r="I4992" s="1" t="s">
        <v>43</v>
      </c>
      <c r="K4992" s="1">
        <v>0.0</v>
      </c>
      <c r="L4992" s="1" t="s">
        <v>44</v>
      </c>
      <c r="M4992" s="1" t="str">
        <f>VLOOKUP(L4992,'Copy of PMD Workday Constants -'!B4991:W5677,22,false)</f>
        <v>#N/A</v>
      </c>
      <c r="N4992" s="1" t="s">
        <v>32</v>
      </c>
      <c r="O4992" s="1" t="s">
        <v>33</v>
      </c>
      <c r="P4992" s="1" t="s">
        <v>34</v>
      </c>
      <c r="Q4992" s="1" t="s">
        <v>34</v>
      </c>
      <c r="R4992" s="1" t="s">
        <v>35</v>
      </c>
      <c r="S4992" s="1" t="s">
        <v>1336</v>
      </c>
      <c r="T4992" s="1">
        <v>1.00587944E8</v>
      </c>
      <c r="W4992" s="1" t="s">
        <v>308</v>
      </c>
      <c r="X4992" s="1" t="s">
        <v>1193</v>
      </c>
    </row>
    <row r="4993">
      <c r="A4993" s="1" t="s">
        <v>13942</v>
      </c>
      <c r="B4993" s="1" t="s">
        <v>8731</v>
      </c>
      <c r="C4993" s="1" t="s">
        <v>13943</v>
      </c>
      <c r="D4993" s="1" t="s">
        <v>28</v>
      </c>
      <c r="E4993" s="1" t="s">
        <v>29</v>
      </c>
      <c r="F4993" s="5">
        <v>50000.0</v>
      </c>
      <c r="G4993" s="1" t="s">
        <v>7016</v>
      </c>
      <c r="H4993" s="1" t="s">
        <v>1330</v>
      </c>
      <c r="I4993" s="1" t="s">
        <v>302</v>
      </c>
      <c r="K4993" s="1">
        <v>0.0</v>
      </c>
      <c r="L4993" s="1" t="s">
        <v>2122</v>
      </c>
      <c r="M4993" s="1" t="str">
        <f>VLOOKUP(L4993,'Copy of PMD Workday Constants -'!B4992:W5678,22,false)</f>
        <v>#N/A</v>
      </c>
      <c r="N4993" s="1" t="s">
        <v>32</v>
      </c>
      <c r="O4993" s="1" t="s">
        <v>33</v>
      </c>
      <c r="P4993" s="1" t="s">
        <v>54</v>
      </c>
      <c r="Q4993" s="1" t="s">
        <v>54</v>
      </c>
      <c r="R4993" s="1" t="s">
        <v>55</v>
      </c>
      <c r="T4993" s="1">
        <v>1.00645538E8</v>
      </c>
      <c r="W4993" s="1" t="s">
        <v>436</v>
      </c>
      <c r="X4993" s="1" t="s">
        <v>1511</v>
      </c>
    </row>
    <row r="4994">
      <c r="A4994" s="1" t="s">
        <v>13944</v>
      </c>
      <c r="B4994" s="1" t="s">
        <v>13945</v>
      </c>
      <c r="C4994" s="1" t="s">
        <v>13946</v>
      </c>
      <c r="D4994" s="1" t="s">
        <v>28</v>
      </c>
      <c r="E4994" s="1" t="s">
        <v>29</v>
      </c>
      <c r="F4994" s="5">
        <v>50000.0</v>
      </c>
      <c r="G4994" s="1" t="s">
        <v>7016</v>
      </c>
      <c r="H4994" s="1" t="s">
        <v>3308</v>
      </c>
      <c r="I4994" s="1" t="s">
        <v>13489</v>
      </c>
      <c r="K4994" s="1">
        <v>0.0</v>
      </c>
      <c r="L4994" s="1" t="s">
        <v>198</v>
      </c>
      <c r="M4994" s="1" t="str">
        <f>VLOOKUP(L4994,'Copy of PMD Workday Constants -'!B4993:W5679,22,false)</f>
        <v>#N/A</v>
      </c>
      <c r="N4994" s="1" t="s">
        <v>32</v>
      </c>
      <c r="O4994" s="1" t="s">
        <v>33</v>
      </c>
      <c r="P4994" s="1" t="s">
        <v>82</v>
      </c>
      <c r="Q4994" s="1" t="s">
        <v>82</v>
      </c>
      <c r="R4994" s="1" t="s">
        <v>83</v>
      </c>
      <c r="S4994" s="1" t="s">
        <v>180</v>
      </c>
      <c r="T4994" s="1">
        <v>1.00590896E8</v>
      </c>
      <c r="W4994" s="1" t="s">
        <v>85</v>
      </c>
      <c r="X4994" s="1" t="s">
        <v>7862</v>
      </c>
    </row>
    <row r="4995">
      <c r="A4995" s="1" t="s">
        <v>13947</v>
      </c>
      <c r="B4995" s="1" t="s">
        <v>13579</v>
      </c>
      <c r="C4995" s="1" t="s">
        <v>13948</v>
      </c>
      <c r="D4995" s="1" t="s">
        <v>103</v>
      </c>
      <c r="E4995" s="1" t="s">
        <v>29</v>
      </c>
      <c r="F4995" s="5">
        <v>50000.0</v>
      </c>
      <c r="G4995" s="1" t="s">
        <v>7016</v>
      </c>
      <c r="H4995" s="4">
        <v>44598.0</v>
      </c>
      <c r="I4995" s="4">
        <v>44626.0</v>
      </c>
      <c r="K4995" s="1">
        <v>0.0</v>
      </c>
      <c r="L4995" s="1" t="s">
        <v>13949</v>
      </c>
      <c r="M4995" s="1" t="str">
        <f>VLOOKUP(L4995,'Copy of PMD Workday Constants -'!B4994:W5680,22,false)</f>
        <v>#N/A</v>
      </c>
      <c r="N4995" s="1" t="s">
        <v>32</v>
      </c>
      <c r="O4995" s="1" t="s">
        <v>33</v>
      </c>
      <c r="P4995" s="1" t="s">
        <v>54</v>
      </c>
      <c r="Q4995" s="1" t="s">
        <v>54</v>
      </c>
      <c r="R4995" s="1" t="s">
        <v>55</v>
      </c>
      <c r="T4995" s="1">
        <v>1.00619604E8</v>
      </c>
      <c r="W4995" s="1" t="s">
        <v>436</v>
      </c>
      <c r="X4995" s="1" t="s">
        <v>13950</v>
      </c>
    </row>
    <row r="4996">
      <c r="A4996" s="1" t="s">
        <v>13951</v>
      </c>
      <c r="B4996" s="1" t="s">
        <v>11388</v>
      </c>
      <c r="C4996" s="1" t="s">
        <v>13952</v>
      </c>
      <c r="D4996" s="1" t="s">
        <v>51</v>
      </c>
      <c r="E4996" s="1" t="s">
        <v>29</v>
      </c>
      <c r="F4996" s="5">
        <v>50000.0</v>
      </c>
      <c r="G4996" s="1" t="s">
        <v>7016</v>
      </c>
      <c r="H4996" s="4">
        <v>44535.0</v>
      </c>
      <c r="I4996" s="1" t="s">
        <v>43</v>
      </c>
      <c r="K4996" s="1">
        <v>0.0</v>
      </c>
      <c r="L4996" s="1" t="s">
        <v>3727</v>
      </c>
      <c r="M4996" s="1" t="str">
        <f>VLOOKUP(L4996,'Copy of PMD Workday Constants -'!B4995:W5681,22,false)</f>
        <v>#N/A</v>
      </c>
      <c r="N4996" s="1" t="s">
        <v>32</v>
      </c>
      <c r="O4996" s="1" t="s">
        <v>33</v>
      </c>
      <c r="P4996" s="1" t="s">
        <v>222</v>
      </c>
      <c r="Q4996" s="1" t="s">
        <v>222</v>
      </c>
      <c r="R4996" s="1" t="s">
        <v>223</v>
      </c>
      <c r="S4996" s="1" t="s">
        <v>482</v>
      </c>
      <c r="T4996" s="1">
        <v>1.00611158E8</v>
      </c>
      <c r="W4996" s="1" t="s">
        <v>147</v>
      </c>
      <c r="X4996" s="1" t="s">
        <v>3728</v>
      </c>
    </row>
    <row r="4997">
      <c r="A4997" s="1" t="s">
        <v>13953</v>
      </c>
      <c r="B4997" s="1" t="s">
        <v>5413</v>
      </c>
      <c r="C4997" s="1" t="s">
        <v>13954</v>
      </c>
      <c r="D4997" s="1" t="s">
        <v>28</v>
      </c>
      <c r="E4997" s="1" t="s">
        <v>29</v>
      </c>
      <c r="F4997" s="5">
        <v>50000.0</v>
      </c>
      <c r="G4997" s="1" t="s">
        <v>7016</v>
      </c>
      <c r="H4997" s="1" t="s">
        <v>3034</v>
      </c>
      <c r="I4997" s="1" t="s">
        <v>810</v>
      </c>
      <c r="K4997" s="1">
        <v>0.0</v>
      </c>
      <c r="L4997" s="1" t="s">
        <v>5415</v>
      </c>
      <c r="M4997" s="1" t="str">
        <f>VLOOKUP(L4997,'Copy of PMD Workday Constants -'!B4996:W5682,22,false)</f>
        <v>#N/A</v>
      </c>
      <c r="N4997" s="1" t="s">
        <v>32</v>
      </c>
      <c r="O4997" s="1" t="s">
        <v>33</v>
      </c>
      <c r="P4997" s="1" t="s">
        <v>222</v>
      </c>
      <c r="Q4997" s="1" t="s">
        <v>222</v>
      </c>
      <c r="R4997" s="1" t="s">
        <v>223</v>
      </c>
      <c r="S4997" s="1" t="s">
        <v>601</v>
      </c>
      <c r="T4997" s="1">
        <v>1.00933537E8</v>
      </c>
      <c r="W4997" s="1" t="s">
        <v>456</v>
      </c>
      <c r="X4997" s="1" t="s">
        <v>13955</v>
      </c>
    </row>
    <row r="4998">
      <c r="A4998" s="1" t="s">
        <v>13956</v>
      </c>
      <c r="B4998" s="1" t="s">
        <v>70</v>
      </c>
      <c r="C4998" s="1" t="s">
        <v>13957</v>
      </c>
      <c r="D4998" s="1" t="s">
        <v>28</v>
      </c>
      <c r="E4998" s="1" t="s">
        <v>29</v>
      </c>
      <c r="F4998" s="5">
        <v>50000.0</v>
      </c>
      <c r="G4998" s="1" t="s">
        <v>7016</v>
      </c>
      <c r="H4998" s="1" t="s">
        <v>5591</v>
      </c>
      <c r="I4998" s="1" t="s">
        <v>302</v>
      </c>
      <c r="K4998" s="1">
        <v>0.0</v>
      </c>
      <c r="L4998" s="1" t="s">
        <v>1823</v>
      </c>
      <c r="M4998" s="1" t="str">
        <f>VLOOKUP(L4998,'Copy of PMD Workday Constants -'!B4997:W5683,22,false)</f>
        <v>#N/A</v>
      </c>
      <c r="N4998" s="1" t="s">
        <v>32</v>
      </c>
      <c r="O4998" s="1" t="s">
        <v>33</v>
      </c>
      <c r="P4998" s="1" t="s">
        <v>222</v>
      </c>
      <c r="Q4998" s="1" t="s">
        <v>222</v>
      </c>
      <c r="R4998" s="1" t="s">
        <v>223</v>
      </c>
      <c r="S4998" s="1" t="s">
        <v>601</v>
      </c>
      <c r="T4998" s="1">
        <v>1.0064195E8</v>
      </c>
      <c r="W4998" s="1" t="s">
        <v>74</v>
      </c>
      <c r="X4998" s="1" t="s">
        <v>10615</v>
      </c>
    </row>
    <row r="4999">
      <c r="A4999" s="1" t="s">
        <v>13958</v>
      </c>
      <c r="B4999" s="1" t="s">
        <v>3889</v>
      </c>
      <c r="C4999" s="1" t="s">
        <v>13959</v>
      </c>
      <c r="D4999" s="1" t="s">
        <v>28</v>
      </c>
      <c r="E4999" s="1" t="s">
        <v>29</v>
      </c>
      <c r="F4999" s="5">
        <v>50000.0</v>
      </c>
      <c r="G4999" s="1" t="s">
        <v>7016</v>
      </c>
      <c r="H4999" s="1" t="s">
        <v>2365</v>
      </c>
      <c r="I4999" s="1" t="s">
        <v>43</v>
      </c>
      <c r="K4999" s="1">
        <v>0.0</v>
      </c>
      <c r="L4999" s="1" t="s">
        <v>3891</v>
      </c>
      <c r="M4999" s="1" t="str">
        <f>VLOOKUP(L4999,'Copy of PMD Workday Constants -'!B4998:W5684,22,false)</f>
        <v>#N/A</v>
      </c>
      <c r="N4999" s="1" t="s">
        <v>32</v>
      </c>
      <c r="O4999" s="1" t="s">
        <v>33</v>
      </c>
      <c r="P4999" s="1" t="s">
        <v>112</v>
      </c>
      <c r="Q4999" s="1" t="s">
        <v>112</v>
      </c>
      <c r="R4999" s="1" t="s">
        <v>113</v>
      </c>
      <c r="S4999" s="1" t="s">
        <v>8439</v>
      </c>
      <c r="T4999" s="1">
        <v>1.00589299E8</v>
      </c>
      <c r="W4999" s="1" t="s">
        <v>140</v>
      </c>
      <c r="X4999" s="1" t="s">
        <v>1418</v>
      </c>
    </row>
    <row r="5000">
      <c r="A5000" s="1" t="s">
        <v>13960</v>
      </c>
      <c r="B5000" s="1" t="s">
        <v>143</v>
      </c>
      <c r="C5000" s="1" t="s">
        <v>13961</v>
      </c>
      <c r="D5000" s="1" t="s">
        <v>103</v>
      </c>
      <c r="E5000" s="1" t="s">
        <v>29</v>
      </c>
      <c r="F5000" s="5">
        <v>50000.0</v>
      </c>
      <c r="G5000" s="1" t="s">
        <v>7016</v>
      </c>
      <c r="H5000" s="1" t="s">
        <v>4084</v>
      </c>
      <c r="I5000" s="1" t="s">
        <v>302</v>
      </c>
      <c r="K5000" s="1">
        <v>0.0</v>
      </c>
      <c r="L5000" s="1" t="s">
        <v>3727</v>
      </c>
      <c r="M5000" s="1" t="str">
        <f>VLOOKUP(L5000,'Copy of PMD Workday Constants -'!B4999:W5685,22,false)</f>
        <v>#N/A</v>
      </c>
      <c r="N5000" s="1" t="s">
        <v>32</v>
      </c>
      <c r="O5000" s="1" t="s">
        <v>33</v>
      </c>
      <c r="P5000" s="1" t="s">
        <v>222</v>
      </c>
      <c r="Q5000" s="1" t="s">
        <v>222</v>
      </c>
      <c r="R5000" s="1" t="s">
        <v>223</v>
      </c>
      <c r="S5000" s="1" t="s">
        <v>482</v>
      </c>
      <c r="T5000" s="1">
        <v>1.00611158E8</v>
      </c>
      <c r="W5000" s="1" t="s">
        <v>147</v>
      </c>
      <c r="X5000" s="1" t="s">
        <v>3727</v>
      </c>
    </row>
    <row r="5001">
      <c r="A5001" s="1" t="s">
        <v>13962</v>
      </c>
      <c r="B5001" s="1" t="s">
        <v>1589</v>
      </c>
      <c r="C5001" s="1" t="s">
        <v>13963</v>
      </c>
      <c r="D5001" s="1" t="s">
        <v>79</v>
      </c>
      <c r="E5001" s="1" t="s">
        <v>29</v>
      </c>
      <c r="F5001" s="5">
        <v>50000.0</v>
      </c>
      <c r="G5001" s="1" t="s">
        <v>7016</v>
      </c>
      <c r="H5001" s="1" t="s">
        <v>1134</v>
      </c>
      <c r="I5001" s="1" t="s">
        <v>526</v>
      </c>
      <c r="K5001" s="1">
        <v>0.0</v>
      </c>
      <c r="L5001" s="1" t="s">
        <v>5078</v>
      </c>
      <c r="M5001" s="1" t="str">
        <f>VLOOKUP(L5001,'Copy of PMD Workday Constants -'!B5000:W5686,22,false)</f>
        <v>#N/A</v>
      </c>
      <c r="N5001" s="1" t="s">
        <v>32</v>
      </c>
      <c r="O5001" s="1" t="s">
        <v>33</v>
      </c>
      <c r="P5001" s="1" t="s">
        <v>34</v>
      </c>
      <c r="Q5001" s="1" t="s">
        <v>34</v>
      </c>
      <c r="R5001" s="1" t="s">
        <v>35</v>
      </c>
      <c r="T5001" s="1">
        <v>1.00658994E8</v>
      </c>
      <c r="W5001" s="1" t="s">
        <v>140</v>
      </c>
      <c r="X5001" s="1" t="s">
        <v>5078</v>
      </c>
    </row>
    <row r="5002">
      <c r="A5002" s="1" t="s">
        <v>13964</v>
      </c>
      <c r="B5002" s="1" t="s">
        <v>11876</v>
      </c>
      <c r="C5002" s="1" t="s">
        <v>13965</v>
      </c>
      <c r="D5002" s="1" t="s">
        <v>103</v>
      </c>
      <c r="E5002" s="1" t="s">
        <v>29</v>
      </c>
      <c r="F5002" s="5">
        <v>50000.0</v>
      </c>
      <c r="G5002" s="1" t="s">
        <v>7016</v>
      </c>
      <c r="H5002" s="1" t="s">
        <v>842</v>
      </c>
      <c r="I5002" s="1" t="s">
        <v>80</v>
      </c>
      <c r="K5002" s="1">
        <v>0.0</v>
      </c>
      <c r="L5002" s="1" t="s">
        <v>10851</v>
      </c>
      <c r="M5002" s="1" t="str">
        <f>VLOOKUP(L5002,'Copy of PMD Workday Constants -'!B5001:W5687,22,false)</f>
        <v>#N/A</v>
      </c>
      <c r="N5002" s="1" t="s">
        <v>32</v>
      </c>
      <c r="O5002" s="1" t="s">
        <v>33</v>
      </c>
      <c r="P5002" s="1" t="s">
        <v>222</v>
      </c>
      <c r="Q5002" s="1" t="s">
        <v>222</v>
      </c>
      <c r="R5002" s="1" t="s">
        <v>223</v>
      </c>
      <c r="S5002" s="1" t="s">
        <v>482</v>
      </c>
      <c r="T5002" s="1">
        <v>1.00592873E8</v>
      </c>
      <c r="W5002" s="1" t="s">
        <v>115</v>
      </c>
      <c r="X5002" s="1" t="s">
        <v>4218</v>
      </c>
    </row>
    <row r="5003">
      <c r="A5003" s="1" t="s">
        <v>13966</v>
      </c>
      <c r="B5003" s="1" t="s">
        <v>129</v>
      </c>
      <c r="C5003" s="1" t="s">
        <v>13967</v>
      </c>
      <c r="D5003" s="1" t="s">
        <v>103</v>
      </c>
      <c r="E5003" s="1" t="s">
        <v>29</v>
      </c>
      <c r="F5003" s="5">
        <v>50000.0</v>
      </c>
      <c r="G5003" s="1" t="s">
        <v>7016</v>
      </c>
      <c r="H5003" s="4">
        <v>44318.0</v>
      </c>
      <c r="I5003" s="1" t="s">
        <v>132</v>
      </c>
      <c r="K5003" s="1">
        <v>0.0</v>
      </c>
      <c r="L5003" s="1" t="s">
        <v>2086</v>
      </c>
      <c r="M5003" s="1" t="str">
        <f>VLOOKUP(L5003,'Copy of PMD Workday Constants -'!B5002:W5688,22,false)</f>
        <v>#N/A</v>
      </c>
      <c r="N5003" s="1" t="s">
        <v>32</v>
      </c>
      <c r="O5003" s="1" t="s">
        <v>33</v>
      </c>
      <c r="P5003" s="1" t="s">
        <v>82</v>
      </c>
      <c r="Q5003" s="1" t="s">
        <v>82</v>
      </c>
      <c r="R5003" s="1" t="s">
        <v>83</v>
      </c>
      <c r="S5003" s="1" t="s">
        <v>84</v>
      </c>
      <c r="T5003" s="1">
        <v>1.0061233E8</v>
      </c>
      <c r="W5003" s="1" t="s">
        <v>74</v>
      </c>
      <c r="X5003" s="1" t="s">
        <v>13968</v>
      </c>
    </row>
    <row r="5004">
      <c r="A5004" s="1" t="s">
        <v>13969</v>
      </c>
      <c r="B5004" s="1" t="s">
        <v>13970</v>
      </c>
      <c r="C5004" s="1" t="s">
        <v>13971</v>
      </c>
      <c r="D5004" s="1" t="s">
        <v>51</v>
      </c>
      <c r="E5004" s="1" t="s">
        <v>29</v>
      </c>
      <c r="F5004" s="5">
        <v>50000.0</v>
      </c>
      <c r="G5004" s="1" t="s">
        <v>7016</v>
      </c>
      <c r="H5004" s="1" t="s">
        <v>13972</v>
      </c>
      <c r="I5004" s="4">
        <v>44571.0</v>
      </c>
      <c r="K5004" s="1">
        <v>0.0</v>
      </c>
      <c r="L5004" s="1" t="s">
        <v>3727</v>
      </c>
      <c r="M5004" s="1" t="str">
        <f>VLOOKUP(L5004,'Copy of PMD Workday Constants -'!B5003:W5689,22,false)</f>
        <v>#N/A</v>
      </c>
      <c r="N5004" s="1" t="s">
        <v>32</v>
      </c>
      <c r="O5004" s="1" t="s">
        <v>33</v>
      </c>
      <c r="P5004" s="1" t="s">
        <v>222</v>
      </c>
      <c r="Q5004" s="1" t="s">
        <v>222</v>
      </c>
      <c r="R5004" s="1" t="s">
        <v>223</v>
      </c>
      <c r="S5004" s="1" t="s">
        <v>482</v>
      </c>
      <c r="T5004" s="1">
        <v>1.00611158E8</v>
      </c>
      <c r="W5004" s="1" t="s">
        <v>2098</v>
      </c>
      <c r="X5004" s="1" t="s">
        <v>10777</v>
      </c>
    </row>
    <row r="5005">
      <c r="A5005" s="1" t="s">
        <v>13973</v>
      </c>
      <c r="B5005" s="1" t="s">
        <v>13974</v>
      </c>
      <c r="C5005" s="1" t="s">
        <v>13975</v>
      </c>
      <c r="D5005" s="1" t="s">
        <v>28</v>
      </c>
      <c r="E5005" s="1" t="s">
        <v>29</v>
      </c>
      <c r="F5005" s="5">
        <v>50000.0</v>
      </c>
      <c r="G5005" s="1" t="s">
        <v>7016</v>
      </c>
      <c r="H5005" s="1" t="s">
        <v>322</v>
      </c>
      <c r="I5005" s="1" t="s">
        <v>1223</v>
      </c>
      <c r="K5005" s="1">
        <v>0.0</v>
      </c>
      <c r="L5005" s="1" t="s">
        <v>238</v>
      </c>
      <c r="M5005" s="1" t="str">
        <f>VLOOKUP(L5005,'Copy of PMD Workday Constants -'!B5004:W5690,22,false)</f>
        <v>#N/A</v>
      </c>
      <c r="N5005" s="1" t="s">
        <v>32</v>
      </c>
      <c r="O5005" s="1" t="s">
        <v>33</v>
      </c>
      <c r="P5005" s="1" t="s">
        <v>112</v>
      </c>
      <c r="Q5005" s="1" t="s">
        <v>112</v>
      </c>
      <c r="R5005" s="1" t="s">
        <v>113</v>
      </c>
      <c r="S5005" s="1" t="s">
        <v>153</v>
      </c>
      <c r="T5005" s="1">
        <v>1.00658519E8</v>
      </c>
      <c r="W5005" s="1" t="s">
        <v>308</v>
      </c>
      <c r="X5005" s="1" t="s">
        <v>1193</v>
      </c>
    </row>
    <row r="5006">
      <c r="A5006" s="1" t="s">
        <v>13976</v>
      </c>
      <c r="B5006" s="1" t="s">
        <v>13977</v>
      </c>
      <c r="C5006" s="1" t="s">
        <v>13978</v>
      </c>
      <c r="D5006" s="1" t="s">
        <v>28</v>
      </c>
      <c r="E5006" s="1" t="s">
        <v>29</v>
      </c>
      <c r="F5006" s="5">
        <v>50000.0</v>
      </c>
      <c r="G5006" s="1" t="s">
        <v>7016</v>
      </c>
      <c r="H5006" s="4">
        <v>44413.0</v>
      </c>
      <c r="I5006" s="1" t="s">
        <v>302</v>
      </c>
      <c r="K5006" s="1">
        <v>0.0</v>
      </c>
      <c r="L5006" s="1" t="s">
        <v>1790</v>
      </c>
      <c r="M5006" s="1" t="str">
        <f>VLOOKUP(L5006,'Copy of PMD Workday Constants -'!B5005:W5691,22,false)</f>
        <v>#N/A</v>
      </c>
      <c r="N5006" s="1" t="s">
        <v>32</v>
      </c>
      <c r="O5006" s="1" t="s">
        <v>33</v>
      </c>
      <c r="P5006" s="1" t="s">
        <v>222</v>
      </c>
      <c r="Q5006" s="1" t="s">
        <v>222</v>
      </c>
      <c r="R5006" s="1" t="s">
        <v>223</v>
      </c>
      <c r="S5006" s="1" t="s">
        <v>601</v>
      </c>
      <c r="T5006" s="1">
        <v>1.00645232E8</v>
      </c>
      <c r="W5006" s="1" t="s">
        <v>85</v>
      </c>
      <c r="X5006" s="1" t="s">
        <v>10615</v>
      </c>
    </row>
    <row r="5007">
      <c r="A5007" s="1" t="s">
        <v>13979</v>
      </c>
      <c r="B5007" s="1" t="s">
        <v>804</v>
      </c>
      <c r="C5007" s="1" t="s">
        <v>13980</v>
      </c>
      <c r="D5007" s="1" t="s">
        <v>28</v>
      </c>
      <c r="E5007" s="1" t="s">
        <v>29</v>
      </c>
      <c r="F5007" s="5">
        <v>50000.0</v>
      </c>
      <c r="G5007" s="1" t="s">
        <v>7016</v>
      </c>
      <c r="H5007" s="4">
        <v>44382.0</v>
      </c>
      <c r="I5007" s="1" t="s">
        <v>132</v>
      </c>
      <c r="K5007" s="1">
        <v>0.0</v>
      </c>
      <c r="L5007" s="1" t="s">
        <v>557</v>
      </c>
      <c r="M5007" s="1" t="str">
        <f>VLOOKUP(L5007,'Copy of PMD Workday Constants -'!B5006:W5692,22,false)</f>
        <v>#N/A</v>
      </c>
      <c r="N5007" s="1" t="s">
        <v>32</v>
      </c>
      <c r="O5007" s="1" t="s">
        <v>33</v>
      </c>
      <c r="P5007" s="1" t="s">
        <v>173</v>
      </c>
      <c r="Q5007" s="1" t="s">
        <v>173</v>
      </c>
      <c r="R5007" s="1" t="s">
        <v>174</v>
      </c>
      <c r="S5007" s="1" t="s">
        <v>612</v>
      </c>
      <c r="T5007" s="1">
        <v>1.00700761E8</v>
      </c>
      <c r="W5007" s="1" t="s">
        <v>147</v>
      </c>
      <c r="X5007" s="1" t="s">
        <v>7540</v>
      </c>
    </row>
    <row r="5008">
      <c r="A5008" s="1" t="s">
        <v>13981</v>
      </c>
      <c r="B5008" s="1" t="s">
        <v>12372</v>
      </c>
      <c r="C5008" s="1" t="s">
        <v>13982</v>
      </c>
      <c r="D5008" s="1" t="s">
        <v>28</v>
      </c>
      <c r="E5008" s="1" t="s">
        <v>29</v>
      </c>
      <c r="F5008" s="5">
        <v>50000.0</v>
      </c>
      <c r="G5008" s="1" t="s">
        <v>7016</v>
      </c>
      <c r="H5008" s="1" t="s">
        <v>5094</v>
      </c>
      <c r="I5008" s="1" t="s">
        <v>104</v>
      </c>
      <c r="K5008" s="1">
        <v>0.0</v>
      </c>
      <c r="L5008" s="1" t="s">
        <v>5790</v>
      </c>
      <c r="M5008" s="1" t="str">
        <f>VLOOKUP(L5008,'Copy of PMD Workday Constants -'!B5007:W5693,22,false)</f>
        <v>#N/A</v>
      </c>
      <c r="N5008" s="1" t="s">
        <v>32</v>
      </c>
      <c r="O5008" s="1" t="s">
        <v>33</v>
      </c>
      <c r="P5008" s="1" t="s">
        <v>82</v>
      </c>
      <c r="Q5008" s="1" t="s">
        <v>82</v>
      </c>
      <c r="R5008" s="1" t="s">
        <v>83</v>
      </c>
      <c r="S5008" s="1" t="s">
        <v>180</v>
      </c>
      <c r="T5008" s="1">
        <v>1.00634752E8</v>
      </c>
      <c r="W5008" s="1" t="s">
        <v>85</v>
      </c>
      <c r="X5008" s="1" t="s">
        <v>935</v>
      </c>
    </row>
    <row r="5009">
      <c r="A5009" s="1" t="s">
        <v>13983</v>
      </c>
      <c r="B5009" s="1" t="s">
        <v>485</v>
      </c>
      <c r="C5009" s="1" t="s">
        <v>13984</v>
      </c>
      <c r="D5009" s="1" t="s">
        <v>28</v>
      </c>
      <c r="E5009" s="1" t="s">
        <v>29</v>
      </c>
      <c r="F5009" s="5">
        <v>50000.0</v>
      </c>
      <c r="G5009" s="1" t="s">
        <v>7016</v>
      </c>
      <c r="H5009" s="1" t="s">
        <v>545</v>
      </c>
      <c r="I5009" s="1" t="s">
        <v>132</v>
      </c>
      <c r="K5009" s="1">
        <v>0.0</v>
      </c>
      <c r="L5009" s="1" t="s">
        <v>5161</v>
      </c>
      <c r="M5009" s="1" t="str">
        <f>VLOOKUP(L5009,'Copy of PMD Workday Constants -'!B5008:W5694,22,false)</f>
        <v>#N/A</v>
      </c>
      <c r="N5009" s="1" t="s">
        <v>32</v>
      </c>
      <c r="O5009" s="1" t="s">
        <v>33</v>
      </c>
      <c r="P5009" s="1" t="s">
        <v>112</v>
      </c>
      <c r="Q5009" s="1" t="s">
        <v>112</v>
      </c>
      <c r="R5009" s="1" t="s">
        <v>113</v>
      </c>
      <c r="S5009" s="1" t="s">
        <v>114</v>
      </c>
      <c r="T5009" s="1">
        <v>1.00591654E8</v>
      </c>
      <c r="W5009" s="1" t="s">
        <v>140</v>
      </c>
      <c r="X5009" s="1" t="s">
        <v>7216</v>
      </c>
    </row>
    <row r="5010">
      <c r="A5010" s="1" t="s">
        <v>13985</v>
      </c>
      <c r="B5010" s="1" t="s">
        <v>13986</v>
      </c>
      <c r="C5010" s="1" t="s">
        <v>13987</v>
      </c>
      <c r="D5010" s="1" t="s">
        <v>103</v>
      </c>
      <c r="E5010" s="1" t="s">
        <v>29</v>
      </c>
      <c r="F5010" s="5">
        <v>50000.0</v>
      </c>
      <c r="G5010" s="1" t="s">
        <v>7016</v>
      </c>
      <c r="H5010" s="4">
        <v>44810.0</v>
      </c>
      <c r="I5010" s="1" t="s">
        <v>248</v>
      </c>
      <c r="K5010" s="1">
        <v>0.0</v>
      </c>
      <c r="L5010" s="1" t="s">
        <v>11577</v>
      </c>
      <c r="M5010" s="1" t="str">
        <f>VLOOKUP(L5010,'Copy of PMD Workday Constants -'!B5009:W5695,22,false)</f>
        <v>#N/A</v>
      </c>
      <c r="N5010" s="1" t="s">
        <v>32</v>
      </c>
      <c r="O5010" s="1" t="s">
        <v>33</v>
      </c>
      <c r="P5010" s="1" t="s">
        <v>222</v>
      </c>
      <c r="Q5010" s="1" t="s">
        <v>222</v>
      </c>
      <c r="R5010" s="1" t="s">
        <v>223</v>
      </c>
      <c r="S5010" s="1" t="s">
        <v>482</v>
      </c>
      <c r="T5010" s="1">
        <v>1.00626837E8</v>
      </c>
      <c r="W5010" s="1" t="s">
        <v>456</v>
      </c>
      <c r="X5010" s="1" t="s">
        <v>11706</v>
      </c>
    </row>
    <row r="5011">
      <c r="A5011" s="1" t="s">
        <v>13988</v>
      </c>
      <c r="B5011" s="1" t="s">
        <v>751</v>
      </c>
      <c r="C5011" s="1" t="s">
        <v>13989</v>
      </c>
      <c r="D5011" s="1" t="s">
        <v>51</v>
      </c>
      <c r="E5011" s="1" t="s">
        <v>29</v>
      </c>
      <c r="F5011" s="5">
        <v>50000.0</v>
      </c>
      <c r="G5011" s="1" t="s">
        <v>7016</v>
      </c>
      <c r="H5011" s="1" t="s">
        <v>545</v>
      </c>
      <c r="I5011" s="1" t="s">
        <v>191</v>
      </c>
      <c r="K5011" s="1">
        <v>0.0</v>
      </c>
      <c r="L5011" s="1" t="s">
        <v>6503</v>
      </c>
      <c r="M5011" s="1" t="str">
        <f>VLOOKUP(L5011,'Copy of PMD Workday Constants -'!B5010:W5696,22,false)</f>
        <v>#N/A</v>
      </c>
      <c r="N5011" s="1" t="s">
        <v>32</v>
      </c>
      <c r="O5011" s="1" t="s">
        <v>33</v>
      </c>
      <c r="P5011" s="1" t="s">
        <v>82</v>
      </c>
      <c r="Q5011" s="1" t="s">
        <v>82</v>
      </c>
      <c r="R5011" s="1" t="s">
        <v>83</v>
      </c>
      <c r="S5011" s="1" t="s">
        <v>180</v>
      </c>
      <c r="T5011" s="1">
        <v>1.00593964E8</v>
      </c>
      <c r="W5011" s="1" t="s">
        <v>85</v>
      </c>
      <c r="X5011" s="1" t="s">
        <v>7862</v>
      </c>
    </row>
    <row r="5012">
      <c r="A5012" s="1" t="s">
        <v>13990</v>
      </c>
      <c r="B5012" s="1" t="s">
        <v>12372</v>
      </c>
      <c r="C5012" s="1" t="s">
        <v>13991</v>
      </c>
      <c r="D5012" s="1" t="s">
        <v>28</v>
      </c>
      <c r="E5012" s="1" t="s">
        <v>29</v>
      </c>
      <c r="F5012" s="5">
        <v>50000.0</v>
      </c>
      <c r="G5012" s="1" t="s">
        <v>7016</v>
      </c>
      <c r="H5012" s="1" t="s">
        <v>1681</v>
      </c>
      <c r="I5012" s="1" t="s">
        <v>302</v>
      </c>
      <c r="K5012" s="1">
        <v>0.0</v>
      </c>
      <c r="L5012" s="1" t="s">
        <v>5790</v>
      </c>
      <c r="M5012" s="1" t="str">
        <f>VLOOKUP(L5012,'Copy of PMD Workday Constants -'!B5011:W5697,22,false)</f>
        <v>#N/A</v>
      </c>
      <c r="N5012" s="1" t="s">
        <v>32</v>
      </c>
      <c r="O5012" s="1" t="s">
        <v>33</v>
      </c>
      <c r="P5012" s="1" t="s">
        <v>82</v>
      </c>
      <c r="Q5012" s="1" t="s">
        <v>82</v>
      </c>
      <c r="R5012" s="1" t="s">
        <v>83</v>
      </c>
      <c r="S5012" s="1" t="s">
        <v>180</v>
      </c>
      <c r="T5012" s="1">
        <v>1.00634752E8</v>
      </c>
      <c r="W5012" s="1" t="s">
        <v>85</v>
      </c>
      <c r="X5012" s="1" t="s">
        <v>13817</v>
      </c>
    </row>
    <row r="5013">
      <c r="A5013" s="1" t="s">
        <v>13992</v>
      </c>
      <c r="B5013" s="1" t="s">
        <v>13718</v>
      </c>
      <c r="C5013" s="1" t="s">
        <v>13993</v>
      </c>
      <c r="D5013" s="1" t="s">
        <v>28</v>
      </c>
      <c r="E5013" s="1" t="s">
        <v>29</v>
      </c>
      <c r="F5013" s="5">
        <v>50000.0</v>
      </c>
      <c r="G5013" s="1" t="s">
        <v>7016</v>
      </c>
      <c r="H5013" s="1" t="s">
        <v>1681</v>
      </c>
      <c r="I5013" s="1" t="s">
        <v>104</v>
      </c>
      <c r="K5013" s="1">
        <v>0.0</v>
      </c>
      <c r="L5013" s="1" t="s">
        <v>13720</v>
      </c>
      <c r="M5013" s="1" t="str">
        <f>VLOOKUP(L5013,'Copy of PMD Workday Constants -'!B5012:W5698,22,false)</f>
        <v>#N/A</v>
      </c>
      <c r="N5013" s="1" t="s">
        <v>32</v>
      </c>
      <c r="O5013" s="1" t="s">
        <v>33</v>
      </c>
      <c r="P5013" s="1" t="s">
        <v>64</v>
      </c>
      <c r="Q5013" s="1" t="s">
        <v>64</v>
      </c>
      <c r="R5013" s="1" t="s">
        <v>65</v>
      </c>
      <c r="S5013" s="1" t="s">
        <v>13793</v>
      </c>
      <c r="T5013" s="1">
        <v>1.00650501E8</v>
      </c>
      <c r="W5013" s="1" t="s">
        <v>85</v>
      </c>
      <c r="X5013" s="1" t="s">
        <v>7862</v>
      </c>
    </row>
    <row r="5014">
      <c r="A5014" s="1" t="s">
        <v>13994</v>
      </c>
      <c r="B5014" s="1" t="s">
        <v>673</v>
      </c>
      <c r="C5014" s="1" t="s">
        <v>13995</v>
      </c>
      <c r="D5014" s="1" t="s">
        <v>28</v>
      </c>
      <c r="E5014" s="1" t="s">
        <v>29</v>
      </c>
      <c r="F5014" s="5">
        <v>50000.0</v>
      </c>
      <c r="G5014" s="1" t="s">
        <v>7016</v>
      </c>
      <c r="H5014" s="1" t="s">
        <v>7957</v>
      </c>
      <c r="I5014" s="1" t="s">
        <v>1281</v>
      </c>
      <c r="K5014" s="1">
        <v>0.0</v>
      </c>
      <c r="L5014" s="1" t="s">
        <v>5199</v>
      </c>
      <c r="M5014" s="1" t="str">
        <f>VLOOKUP(L5014,'Copy of PMD Workday Constants -'!B5013:W5699,22,false)</f>
        <v>#N/A</v>
      </c>
      <c r="N5014" s="1" t="s">
        <v>32</v>
      </c>
      <c r="O5014" s="1" t="s">
        <v>33</v>
      </c>
      <c r="P5014" s="1" t="s">
        <v>173</v>
      </c>
      <c r="Q5014" s="1" t="s">
        <v>173</v>
      </c>
      <c r="R5014" s="1" t="s">
        <v>174</v>
      </c>
      <c r="S5014" s="1" t="s">
        <v>90</v>
      </c>
      <c r="T5014" s="1">
        <v>1.00659846E8</v>
      </c>
      <c r="W5014" s="1" t="s">
        <v>47</v>
      </c>
      <c r="X5014" s="1" t="s">
        <v>675</v>
      </c>
    </row>
    <row r="5015">
      <c r="A5015" s="1" t="s">
        <v>13996</v>
      </c>
      <c r="B5015" s="1" t="s">
        <v>6417</v>
      </c>
      <c r="C5015" s="1" t="s">
        <v>13997</v>
      </c>
      <c r="D5015" s="1" t="s">
        <v>28</v>
      </c>
      <c r="E5015" s="1" t="s">
        <v>29</v>
      </c>
      <c r="F5015" s="5">
        <v>50000.0</v>
      </c>
      <c r="G5015" s="1" t="s">
        <v>7016</v>
      </c>
      <c r="H5015" s="1" t="s">
        <v>1082</v>
      </c>
      <c r="I5015" s="1" t="s">
        <v>302</v>
      </c>
      <c r="K5015" s="1">
        <v>0.0</v>
      </c>
      <c r="L5015" s="1" t="s">
        <v>517</v>
      </c>
      <c r="M5015" s="1" t="str">
        <f>VLOOKUP(L5015,'Copy of PMD Workday Constants -'!B5014:W5700,22,false)</f>
        <v>#N/A</v>
      </c>
      <c r="N5015" s="1" t="s">
        <v>32</v>
      </c>
      <c r="O5015" s="1" t="s">
        <v>33</v>
      </c>
      <c r="P5015" s="1" t="s">
        <v>64</v>
      </c>
      <c r="Q5015" s="1" t="s">
        <v>64</v>
      </c>
      <c r="R5015" s="1" t="s">
        <v>65</v>
      </c>
      <c r="S5015" s="1" t="s">
        <v>13793</v>
      </c>
      <c r="T5015" s="1">
        <v>1.01001596E8</v>
      </c>
      <c r="W5015" s="1" t="s">
        <v>85</v>
      </c>
      <c r="X5015" s="1" t="s">
        <v>13817</v>
      </c>
    </row>
    <row r="5016">
      <c r="A5016" s="1" t="s">
        <v>13998</v>
      </c>
      <c r="B5016" s="1" t="s">
        <v>4606</v>
      </c>
      <c r="C5016" s="1" t="s">
        <v>13999</v>
      </c>
      <c r="D5016" s="1" t="s">
        <v>103</v>
      </c>
      <c r="E5016" s="1" t="s">
        <v>29</v>
      </c>
      <c r="F5016" s="5">
        <v>50000.0</v>
      </c>
      <c r="G5016" s="1" t="s">
        <v>7016</v>
      </c>
      <c r="H5016" s="4">
        <v>44381.0</v>
      </c>
      <c r="I5016" s="1" t="s">
        <v>80</v>
      </c>
      <c r="K5016" s="1">
        <v>0.0</v>
      </c>
      <c r="L5016" s="1" t="s">
        <v>4608</v>
      </c>
      <c r="M5016" s="1" t="str">
        <f>VLOOKUP(L5016,'Copy of PMD Workday Constants -'!B5015:W5701,22,false)</f>
        <v>#N/A</v>
      </c>
      <c r="N5016" s="1" t="s">
        <v>32</v>
      </c>
      <c r="O5016" s="1" t="s">
        <v>33</v>
      </c>
      <c r="P5016" s="1" t="s">
        <v>222</v>
      </c>
      <c r="Q5016" s="1" t="s">
        <v>222</v>
      </c>
      <c r="R5016" s="1" t="s">
        <v>223</v>
      </c>
      <c r="S5016" s="1" t="s">
        <v>482</v>
      </c>
      <c r="T5016" s="1">
        <v>1.00592715E8</v>
      </c>
      <c r="W5016" s="1" t="s">
        <v>115</v>
      </c>
      <c r="X5016" s="1" t="s">
        <v>12452</v>
      </c>
    </row>
    <row r="5017">
      <c r="A5017" s="1" t="s">
        <v>14000</v>
      </c>
      <c r="B5017" s="1" t="s">
        <v>14001</v>
      </c>
      <c r="C5017" s="1" t="s">
        <v>14002</v>
      </c>
      <c r="D5017" s="1" t="s">
        <v>51</v>
      </c>
      <c r="E5017" s="1" t="s">
        <v>29</v>
      </c>
      <c r="F5017" s="5">
        <v>50000.0</v>
      </c>
      <c r="G5017" s="1" t="s">
        <v>7016</v>
      </c>
      <c r="H5017" s="4">
        <v>44146.0</v>
      </c>
      <c r="I5017" s="1" t="s">
        <v>191</v>
      </c>
      <c r="K5017" s="1">
        <v>0.0</v>
      </c>
      <c r="L5017" s="1" t="s">
        <v>5558</v>
      </c>
      <c r="M5017" s="1" t="str">
        <f>VLOOKUP(L5017,'Copy of PMD Workday Constants -'!B5016:W5702,22,false)</f>
        <v>#N/A</v>
      </c>
      <c r="N5017" s="1" t="s">
        <v>32</v>
      </c>
      <c r="O5017" s="1" t="s">
        <v>33</v>
      </c>
      <c r="P5017" s="1" t="s">
        <v>222</v>
      </c>
      <c r="Q5017" s="1" t="s">
        <v>222</v>
      </c>
      <c r="R5017" s="1" t="s">
        <v>223</v>
      </c>
      <c r="S5017" s="1" t="s">
        <v>482</v>
      </c>
      <c r="T5017" s="1">
        <v>1.00652479E8</v>
      </c>
      <c r="W5017" s="1" t="s">
        <v>37</v>
      </c>
      <c r="X5017" s="1" t="s">
        <v>14003</v>
      </c>
    </row>
    <row r="5018">
      <c r="A5018" s="1" t="s">
        <v>14004</v>
      </c>
      <c r="B5018" s="1" t="s">
        <v>14005</v>
      </c>
      <c r="C5018" s="1" t="s">
        <v>14006</v>
      </c>
      <c r="D5018" s="1" t="s">
        <v>28</v>
      </c>
      <c r="E5018" s="1" t="s">
        <v>29</v>
      </c>
      <c r="F5018" s="5">
        <v>50000.0</v>
      </c>
      <c r="G5018" s="1" t="s">
        <v>7016</v>
      </c>
      <c r="H5018" s="1" t="s">
        <v>1455</v>
      </c>
      <c r="I5018" s="1" t="s">
        <v>80</v>
      </c>
      <c r="K5018" s="1">
        <v>0.0</v>
      </c>
      <c r="L5018" s="1" t="s">
        <v>4365</v>
      </c>
      <c r="M5018" s="1" t="str">
        <f>VLOOKUP(L5018,'Copy of PMD Workday Constants -'!B5017:W5703,22,false)</f>
        <v>#N/A</v>
      </c>
      <c r="N5018" s="1" t="s">
        <v>32</v>
      </c>
      <c r="O5018" s="1" t="s">
        <v>33</v>
      </c>
      <c r="P5018" s="1" t="s">
        <v>173</v>
      </c>
      <c r="Q5018" s="1" t="s">
        <v>173</v>
      </c>
      <c r="R5018" s="1" t="s">
        <v>174</v>
      </c>
      <c r="S5018" s="1" t="s">
        <v>492</v>
      </c>
      <c r="T5018" s="1">
        <v>1.0066064E8</v>
      </c>
      <c r="W5018" s="1" t="s">
        <v>947</v>
      </c>
      <c r="X5018" s="1" t="s">
        <v>12392</v>
      </c>
    </row>
    <row r="5019">
      <c r="A5019" s="1" t="s">
        <v>14007</v>
      </c>
      <c r="B5019" s="1" t="s">
        <v>7446</v>
      </c>
      <c r="C5019" s="1" t="s">
        <v>14008</v>
      </c>
      <c r="D5019" s="1" t="s">
        <v>28</v>
      </c>
      <c r="E5019" s="1" t="s">
        <v>29</v>
      </c>
      <c r="F5019" s="5">
        <v>50000.0</v>
      </c>
      <c r="G5019" s="1" t="s">
        <v>7016</v>
      </c>
      <c r="H5019" s="1" t="s">
        <v>5581</v>
      </c>
      <c r="I5019" s="1" t="s">
        <v>661</v>
      </c>
      <c r="K5019" s="1">
        <v>0.0</v>
      </c>
      <c r="L5019" s="1" t="s">
        <v>1344</v>
      </c>
      <c r="M5019" s="1" t="str">
        <f>VLOOKUP(L5019,'Copy of PMD Workday Constants -'!B5018:W5704,22,false)</f>
        <v>#N/A</v>
      </c>
      <c r="N5019" s="1" t="s">
        <v>32</v>
      </c>
      <c r="O5019" s="1" t="s">
        <v>33</v>
      </c>
      <c r="P5019" s="1" t="s">
        <v>112</v>
      </c>
      <c r="Q5019" s="1" t="s">
        <v>112</v>
      </c>
      <c r="R5019" s="1" t="s">
        <v>113</v>
      </c>
      <c r="S5019" s="1" t="s">
        <v>646</v>
      </c>
      <c r="T5019" s="1">
        <v>1.0061941E8</v>
      </c>
      <c r="W5019" s="1" t="s">
        <v>74</v>
      </c>
      <c r="X5019" s="1" t="s">
        <v>7448</v>
      </c>
    </row>
    <row r="5020">
      <c r="A5020" s="1" t="s">
        <v>14009</v>
      </c>
      <c r="B5020" s="1" t="s">
        <v>7446</v>
      </c>
      <c r="C5020" s="1" t="s">
        <v>14010</v>
      </c>
      <c r="D5020" s="1" t="s">
        <v>28</v>
      </c>
      <c r="E5020" s="1" t="s">
        <v>29</v>
      </c>
      <c r="F5020" s="5">
        <v>50000.0</v>
      </c>
      <c r="G5020" s="1" t="s">
        <v>7016</v>
      </c>
      <c r="H5020" s="1" t="s">
        <v>5581</v>
      </c>
      <c r="I5020" s="1" t="s">
        <v>661</v>
      </c>
      <c r="K5020" s="1">
        <v>0.0</v>
      </c>
      <c r="L5020" s="1" t="s">
        <v>1344</v>
      </c>
      <c r="M5020" s="1" t="str">
        <f>VLOOKUP(L5020,'Copy of PMD Workday Constants -'!B5019:W5705,22,false)</f>
        <v>#N/A</v>
      </c>
      <c r="N5020" s="1" t="s">
        <v>32</v>
      </c>
      <c r="O5020" s="1" t="s">
        <v>33</v>
      </c>
      <c r="P5020" s="1" t="s">
        <v>112</v>
      </c>
      <c r="Q5020" s="1" t="s">
        <v>112</v>
      </c>
      <c r="R5020" s="1" t="s">
        <v>113</v>
      </c>
      <c r="S5020" s="1" t="s">
        <v>540</v>
      </c>
      <c r="T5020" s="1">
        <v>1.0061941E8</v>
      </c>
      <c r="W5020" s="1" t="s">
        <v>74</v>
      </c>
      <c r="X5020" s="1" t="s">
        <v>7448</v>
      </c>
    </row>
    <row r="5021">
      <c r="A5021" s="1" t="s">
        <v>14011</v>
      </c>
      <c r="B5021" s="1" t="s">
        <v>1586</v>
      </c>
      <c r="C5021" s="1" t="s">
        <v>14012</v>
      </c>
      <c r="D5021" s="1" t="s">
        <v>28</v>
      </c>
      <c r="E5021" s="1" t="s">
        <v>29</v>
      </c>
      <c r="F5021" s="5">
        <v>50000.0</v>
      </c>
      <c r="G5021" s="1" t="s">
        <v>7016</v>
      </c>
      <c r="H5021" s="1" t="s">
        <v>4650</v>
      </c>
      <c r="I5021" s="1" t="s">
        <v>152</v>
      </c>
      <c r="K5021" s="1">
        <v>0.0</v>
      </c>
      <c r="L5021" s="1" t="s">
        <v>588</v>
      </c>
      <c r="M5021" s="1" t="str">
        <f>VLOOKUP(L5021,'Copy of PMD Workday Constants -'!B5020:W5706,22,false)</f>
        <v>#N/A</v>
      </c>
      <c r="N5021" s="1" t="s">
        <v>32</v>
      </c>
      <c r="O5021" s="1" t="s">
        <v>33</v>
      </c>
      <c r="P5021" s="1" t="s">
        <v>34</v>
      </c>
      <c r="Q5021" s="1" t="s">
        <v>34</v>
      </c>
      <c r="R5021" s="1" t="s">
        <v>35</v>
      </c>
      <c r="T5021" s="1">
        <v>1.00609607E8</v>
      </c>
      <c r="W5021" s="1" t="s">
        <v>91</v>
      </c>
      <c r="X5021" s="1" t="s">
        <v>8273</v>
      </c>
    </row>
    <row r="5022">
      <c r="A5022" s="1" t="s">
        <v>14013</v>
      </c>
      <c r="B5022" s="1" t="s">
        <v>2254</v>
      </c>
      <c r="C5022" s="1" t="s">
        <v>14014</v>
      </c>
      <c r="D5022" s="1" t="s">
        <v>28</v>
      </c>
      <c r="E5022" s="1" t="s">
        <v>29</v>
      </c>
      <c r="F5022" s="5">
        <v>50000.0</v>
      </c>
      <c r="G5022" s="1" t="s">
        <v>7016</v>
      </c>
      <c r="H5022" s="4">
        <v>44257.0</v>
      </c>
      <c r="I5022" s="1" t="s">
        <v>313</v>
      </c>
      <c r="K5022" s="1">
        <v>0.0</v>
      </c>
      <c r="L5022" s="1" t="s">
        <v>3674</v>
      </c>
      <c r="M5022" s="1" t="str">
        <f>VLOOKUP(L5022,'Copy of PMD Workday Constants -'!B5021:W5707,22,false)</f>
        <v>#N/A</v>
      </c>
      <c r="N5022" s="1" t="s">
        <v>32</v>
      </c>
      <c r="O5022" s="1" t="s">
        <v>33</v>
      </c>
      <c r="P5022" s="1" t="s">
        <v>173</v>
      </c>
      <c r="Q5022" s="1" t="s">
        <v>173</v>
      </c>
      <c r="R5022" s="1" t="s">
        <v>174</v>
      </c>
      <c r="T5022" s="1">
        <v>1.0058537E8</v>
      </c>
      <c r="W5022" s="1" t="s">
        <v>456</v>
      </c>
      <c r="X5022" s="1" t="s">
        <v>7862</v>
      </c>
    </row>
    <row r="5023">
      <c r="A5023" s="1" t="s">
        <v>14015</v>
      </c>
      <c r="B5023" s="1" t="s">
        <v>1387</v>
      </c>
      <c r="C5023" s="1" t="s">
        <v>14016</v>
      </c>
      <c r="D5023" s="1" t="s">
        <v>51</v>
      </c>
      <c r="E5023" s="1" t="s">
        <v>29</v>
      </c>
      <c r="F5023" s="5">
        <v>50000.0</v>
      </c>
      <c r="G5023" s="1" t="s">
        <v>7016</v>
      </c>
      <c r="H5023" s="4">
        <v>44326.0</v>
      </c>
      <c r="I5023" s="1" t="s">
        <v>302</v>
      </c>
      <c r="K5023" s="1">
        <v>0.0</v>
      </c>
      <c r="L5023" s="1" t="s">
        <v>1389</v>
      </c>
      <c r="M5023" s="1" t="str">
        <f>VLOOKUP(L5023,'Copy of PMD Workday Constants -'!B5022:W5708,22,false)</f>
        <v>#N/A</v>
      </c>
      <c r="N5023" s="1" t="s">
        <v>32</v>
      </c>
      <c r="O5023" s="1" t="s">
        <v>33</v>
      </c>
      <c r="P5023" s="1" t="s">
        <v>64</v>
      </c>
      <c r="Q5023" s="1" t="s">
        <v>64</v>
      </c>
      <c r="R5023" s="1" t="s">
        <v>65</v>
      </c>
      <c r="T5023" s="1">
        <v>1.00610014E8</v>
      </c>
      <c r="V5023" s="1" t="s">
        <v>422</v>
      </c>
      <c r="W5023" s="1" t="s">
        <v>91</v>
      </c>
      <c r="X5023" s="1" t="s">
        <v>1511</v>
      </c>
    </row>
    <row r="5024">
      <c r="A5024" s="1" t="s">
        <v>14017</v>
      </c>
      <c r="B5024" s="1" t="s">
        <v>14018</v>
      </c>
      <c r="C5024" s="1" t="s">
        <v>14019</v>
      </c>
      <c r="D5024" s="1" t="s">
        <v>51</v>
      </c>
      <c r="E5024" s="1" t="s">
        <v>29</v>
      </c>
      <c r="F5024" s="5">
        <v>50000.0</v>
      </c>
      <c r="G5024" s="1" t="s">
        <v>7016</v>
      </c>
      <c r="H5024" s="4">
        <v>44807.0</v>
      </c>
      <c r="I5024" s="1" t="s">
        <v>248</v>
      </c>
      <c r="K5024" s="1">
        <v>0.0</v>
      </c>
      <c r="L5024" s="1" t="s">
        <v>2417</v>
      </c>
      <c r="M5024" s="1" t="str">
        <f>VLOOKUP(L5024,'Copy of PMD Workday Constants -'!B5023:W5709,22,false)</f>
        <v>#N/A</v>
      </c>
      <c r="N5024" s="1" t="s">
        <v>32</v>
      </c>
      <c r="O5024" s="1" t="s">
        <v>33</v>
      </c>
      <c r="P5024" s="1" t="s">
        <v>34</v>
      </c>
      <c r="Q5024" s="1" t="s">
        <v>34</v>
      </c>
      <c r="R5024" s="1" t="s">
        <v>35</v>
      </c>
      <c r="T5024" s="1">
        <v>1.00642238E8</v>
      </c>
      <c r="W5024" s="1" t="s">
        <v>1801</v>
      </c>
      <c r="X5024" s="1" t="s">
        <v>14020</v>
      </c>
    </row>
    <row r="5025">
      <c r="A5025" s="1" t="s">
        <v>14021</v>
      </c>
      <c r="B5025" s="1" t="s">
        <v>219</v>
      </c>
      <c r="C5025" s="1" t="s">
        <v>14022</v>
      </c>
      <c r="D5025" s="1" t="s">
        <v>51</v>
      </c>
      <c r="E5025" s="1" t="s">
        <v>29</v>
      </c>
      <c r="F5025" s="5">
        <v>50000.0</v>
      </c>
      <c r="G5025" s="1" t="s">
        <v>7016</v>
      </c>
      <c r="H5025" s="1" t="s">
        <v>131</v>
      </c>
      <c r="I5025" s="1" t="s">
        <v>302</v>
      </c>
      <c r="K5025" s="1">
        <v>0.0</v>
      </c>
      <c r="L5025" s="1" t="s">
        <v>2771</v>
      </c>
      <c r="M5025" s="1" t="str">
        <f>VLOOKUP(L5025,'Copy of PMD Workday Constants -'!B5024:W5710,22,false)</f>
        <v>#N/A</v>
      </c>
      <c r="N5025" s="1" t="s">
        <v>32</v>
      </c>
      <c r="O5025" s="1" t="s">
        <v>33</v>
      </c>
      <c r="P5025" s="1" t="s">
        <v>222</v>
      </c>
      <c r="Q5025" s="1" t="s">
        <v>222</v>
      </c>
      <c r="R5025" s="1" t="s">
        <v>223</v>
      </c>
      <c r="S5025" s="1" t="s">
        <v>646</v>
      </c>
      <c r="T5025" s="1">
        <v>1.00641939E8</v>
      </c>
      <c r="W5025" s="1" t="s">
        <v>91</v>
      </c>
      <c r="X5025" s="1" t="s">
        <v>1511</v>
      </c>
    </row>
    <row r="5026">
      <c r="A5026" s="1" t="s">
        <v>14023</v>
      </c>
      <c r="B5026" s="1" t="s">
        <v>993</v>
      </c>
      <c r="C5026" s="1" t="s">
        <v>14024</v>
      </c>
      <c r="D5026" s="1" t="s">
        <v>28</v>
      </c>
      <c r="E5026" s="1" t="s">
        <v>29</v>
      </c>
      <c r="F5026" s="5">
        <v>50000.0</v>
      </c>
      <c r="G5026" s="1" t="s">
        <v>7016</v>
      </c>
      <c r="H5026" s="1" t="s">
        <v>810</v>
      </c>
      <c r="I5026" s="1" t="s">
        <v>302</v>
      </c>
      <c r="K5026" s="1">
        <v>0.0</v>
      </c>
      <c r="L5026" s="1" t="s">
        <v>2540</v>
      </c>
      <c r="M5026" s="1" t="str">
        <f>VLOOKUP(L5026,'Copy of PMD Workday Constants -'!B5025:W5711,22,false)</f>
        <v>#N/A</v>
      </c>
      <c r="N5026" s="1" t="s">
        <v>32</v>
      </c>
      <c r="O5026" s="1" t="s">
        <v>33</v>
      </c>
      <c r="P5026" s="1" t="s">
        <v>222</v>
      </c>
      <c r="Q5026" s="1" t="s">
        <v>222</v>
      </c>
      <c r="R5026" s="1" t="s">
        <v>223</v>
      </c>
      <c r="S5026" s="1" t="s">
        <v>601</v>
      </c>
      <c r="T5026" s="1">
        <v>1.00599268E8</v>
      </c>
      <c r="W5026" s="1" t="s">
        <v>74</v>
      </c>
      <c r="X5026" s="1" t="s">
        <v>10615</v>
      </c>
    </row>
    <row r="5027">
      <c r="A5027" s="1" t="s">
        <v>14025</v>
      </c>
      <c r="B5027" s="1" t="s">
        <v>6152</v>
      </c>
      <c r="C5027" s="1" t="s">
        <v>14026</v>
      </c>
      <c r="D5027" s="1" t="s">
        <v>28</v>
      </c>
      <c r="E5027" s="1" t="s">
        <v>29</v>
      </c>
      <c r="F5027" s="5">
        <v>50000.0</v>
      </c>
      <c r="G5027" s="1" t="s">
        <v>7016</v>
      </c>
      <c r="H5027" s="1" t="s">
        <v>7921</v>
      </c>
      <c r="I5027" s="1" t="s">
        <v>80</v>
      </c>
      <c r="K5027" s="1">
        <v>0.0</v>
      </c>
      <c r="L5027" s="1" t="s">
        <v>2086</v>
      </c>
      <c r="M5027" s="1" t="str">
        <f>VLOOKUP(L5027,'Copy of PMD Workday Constants -'!B5026:W5712,22,false)</f>
        <v>#N/A</v>
      </c>
      <c r="N5027" s="1" t="s">
        <v>32</v>
      </c>
      <c r="O5027" s="1" t="s">
        <v>33</v>
      </c>
      <c r="P5027" s="1" t="s">
        <v>82</v>
      </c>
      <c r="Q5027" s="1" t="s">
        <v>82</v>
      </c>
      <c r="R5027" s="1" t="s">
        <v>83</v>
      </c>
      <c r="S5027" s="1" t="s">
        <v>1336</v>
      </c>
      <c r="T5027" s="1">
        <v>1.0061233E8</v>
      </c>
      <c r="W5027" s="1" t="s">
        <v>85</v>
      </c>
      <c r="X5027" s="1" t="s">
        <v>2086</v>
      </c>
    </row>
    <row r="5028">
      <c r="A5028" s="1" t="s">
        <v>14027</v>
      </c>
      <c r="B5028" s="1" t="s">
        <v>2554</v>
      </c>
      <c r="C5028" s="1" t="s">
        <v>14028</v>
      </c>
      <c r="D5028" s="1" t="s">
        <v>28</v>
      </c>
      <c r="E5028" s="1" t="s">
        <v>29</v>
      </c>
      <c r="F5028" s="5">
        <v>50000.0</v>
      </c>
      <c r="G5028" s="1" t="s">
        <v>7016</v>
      </c>
      <c r="H5028" s="1" t="s">
        <v>870</v>
      </c>
      <c r="I5028" s="1" t="s">
        <v>152</v>
      </c>
      <c r="K5028" s="1">
        <v>0.0</v>
      </c>
      <c r="L5028" s="1" t="s">
        <v>1505</v>
      </c>
      <c r="M5028" s="1" t="str">
        <f>VLOOKUP(L5028,'Copy of PMD Workday Constants -'!B5027:W5713,22,false)</f>
        <v>#N/A</v>
      </c>
      <c r="N5028" s="1" t="s">
        <v>32</v>
      </c>
      <c r="O5028" s="1" t="s">
        <v>33</v>
      </c>
      <c r="P5028" s="1" t="s">
        <v>112</v>
      </c>
      <c r="Q5028" s="1" t="s">
        <v>112</v>
      </c>
      <c r="R5028" s="1" t="s">
        <v>113</v>
      </c>
      <c r="S5028" s="1" t="s">
        <v>84</v>
      </c>
      <c r="T5028" s="1">
        <v>1.00651554E8</v>
      </c>
      <c r="W5028" s="1" t="s">
        <v>85</v>
      </c>
      <c r="X5028" s="1" t="s">
        <v>7858</v>
      </c>
    </row>
    <row r="5029">
      <c r="A5029" s="1" t="s">
        <v>14029</v>
      </c>
      <c r="B5029" s="1" t="s">
        <v>14030</v>
      </c>
      <c r="C5029" s="1" t="s">
        <v>14031</v>
      </c>
      <c r="D5029" s="1" t="s">
        <v>28</v>
      </c>
      <c r="E5029" s="1" t="s">
        <v>29</v>
      </c>
      <c r="F5029" s="5">
        <v>50000.0</v>
      </c>
      <c r="G5029" s="1" t="s">
        <v>7016</v>
      </c>
      <c r="H5029" s="1" t="s">
        <v>4650</v>
      </c>
      <c r="I5029" s="1" t="s">
        <v>302</v>
      </c>
      <c r="K5029" s="1">
        <v>0.0</v>
      </c>
      <c r="L5029" s="1" t="s">
        <v>4228</v>
      </c>
      <c r="M5029" s="1" t="str">
        <f>VLOOKUP(L5029,'Copy of PMD Workday Constants -'!B5028:W5714,22,false)</f>
        <v>#N/A</v>
      </c>
      <c r="N5029" s="1" t="s">
        <v>32</v>
      </c>
      <c r="O5029" s="1" t="s">
        <v>33</v>
      </c>
      <c r="P5029" s="1" t="s">
        <v>64</v>
      </c>
      <c r="Q5029" s="1" t="s">
        <v>64</v>
      </c>
      <c r="R5029" s="1" t="s">
        <v>65</v>
      </c>
      <c r="S5029" s="1" t="s">
        <v>66</v>
      </c>
      <c r="T5029" s="1">
        <v>1.00651638E8</v>
      </c>
      <c r="W5029" s="1" t="s">
        <v>91</v>
      </c>
      <c r="X5029" s="1" t="s">
        <v>1511</v>
      </c>
    </row>
    <row r="5030">
      <c r="A5030" s="1" t="s">
        <v>14032</v>
      </c>
      <c r="B5030" s="1" t="s">
        <v>117</v>
      </c>
      <c r="C5030" s="1" t="s">
        <v>14033</v>
      </c>
      <c r="D5030" s="1" t="s">
        <v>51</v>
      </c>
      <c r="E5030" s="1" t="s">
        <v>29</v>
      </c>
      <c r="F5030" s="5">
        <v>50000.0</v>
      </c>
      <c r="G5030" s="1" t="s">
        <v>7016</v>
      </c>
      <c r="H5030" s="1" t="s">
        <v>14034</v>
      </c>
      <c r="I5030" s="1" t="s">
        <v>80</v>
      </c>
      <c r="K5030" s="1">
        <v>0.0</v>
      </c>
      <c r="L5030" s="1" t="s">
        <v>3333</v>
      </c>
      <c r="M5030" s="1" t="str">
        <f>VLOOKUP(L5030,'Copy of PMD Workday Constants -'!B5029:W5715,22,false)</f>
        <v>#N/A</v>
      </c>
      <c r="N5030" s="1" t="s">
        <v>32</v>
      </c>
      <c r="O5030" s="1" t="s">
        <v>33</v>
      </c>
      <c r="P5030" s="1" t="s">
        <v>210</v>
      </c>
      <c r="Q5030" s="1" t="s">
        <v>210</v>
      </c>
      <c r="R5030" s="1" t="s">
        <v>211</v>
      </c>
      <c r="S5030" s="1" t="s">
        <v>212</v>
      </c>
      <c r="T5030" s="1">
        <v>1.00636461E8</v>
      </c>
      <c r="W5030" s="1" t="s">
        <v>56</v>
      </c>
      <c r="X5030" s="1" t="s">
        <v>3333</v>
      </c>
    </row>
    <row r="5031">
      <c r="A5031" s="1" t="s">
        <v>14035</v>
      </c>
      <c r="B5031" s="1" t="s">
        <v>14036</v>
      </c>
      <c r="C5031" s="1" t="s">
        <v>14037</v>
      </c>
      <c r="D5031" s="1" t="s">
        <v>103</v>
      </c>
      <c r="E5031" s="1" t="s">
        <v>29</v>
      </c>
      <c r="F5031" s="5">
        <v>50000.0</v>
      </c>
      <c r="G5031" s="1" t="s">
        <v>7016</v>
      </c>
      <c r="H5031" s="4">
        <v>44598.0</v>
      </c>
      <c r="I5031" s="1" t="s">
        <v>80</v>
      </c>
      <c r="K5031" s="1">
        <v>0.0</v>
      </c>
      <c r="L5031" s="1" t="s">
        <v>5558</v>
      </c>
      <c r="M5031" s="1" t="str">
        <f>VLOOKUP(L5031,'Copy of PMD Workday Constants -'!B5030:W5716,22,false)</f>
        <v>#N/A</v>
      </c>
      <c r="N5031" s="1" t="s">
        <v>32</v>
      </c>
      <c r="O5031" s="1" t="s">
        <v>33</v>
      </c>
      <c r="P5031" s="1" t="s">
        <v>222</v>
      </c>
      <c r="Q5031" s="1" t="s">
        <v>222</v>
      </c>
      <c r="R5031" s="1" t="s">
        <v>223</v>
      </c>
      <c r="S5031" s="1" t="s">
        <v>482</v>
      </c>
      <c r="T5031" s="1">
        <v>1.00652479E8</v>
      </c>
      <c r="W5031" s="1" t="s">
        <v>258</v>
      </c>
      <c r="X5031" s="1" t="s">
        <v>6579</v>
      </c>
    </row>
    <row r="5032">
      <c r="A5032" s="1" t="s">
        <v>14038</v>
      </c>
      <c r="B5032" s="1" t="s">
        <v>5577</v>
      </c>
      <c r="C5032" s="1" t="s">
        <v>14039</v>
      </c>
      <c r="D5032" s="1" t="s">
        <v>28</v>
      </c>
      <c r="E5032" s="1" t="s">
        <v>29</v>
      </c>
      <c r="F5032" s="5">
        <v>50000.0</v>
      </c>
      <c r="G5032" s="1" t="s">
        <v>7016</v>
      </c>
      <c r="H5032" s="4">
        <v>44540.0</v>
      </c>
      <c r="I5032" s="1" t="s">
        <v>302</v>
      </c>
      <c r="K5032" s="1">
        <v>0.0</v>
      </c>
      <c r="L5032" s="1" t="s">
        <v>1023</v>
      </c>
      <c r="M5032" s="1" t="str">
        <f>VLOOKUP(L5032,'Copy of PMD Workday Constants -'!B5031:W5717,22,false)</f>
        <v>#N/A</v>
      </c>
      <c r="N5032" s="1" t="s">
        <v>32</v>
      </c>
      <c r="O5032" s="1" t="s">
        <v>33</v>
      </c>
      <c r="P5032" s="1" t="s">
        <v>82</v>
      </c>
      <c r="Q5032" s="1" t="s">
        <v>82</v>
      </c>
      <c r="R5032" s="1" t="s">
        <v>83</v>
      </c>
      <c r="S5032" s="1" t="s">
        <v>84</v>
      </c>
      <c r="T5032" s="1">
        <v>1.00619899E8</v>
      </c>
      <c r="W5032" s="1" t="s">
        <v>85</v>
      </c>
      <c r="X5032" s="1" t="s">
        <v>7862</v>
      </c>
    </row>
    <row r="5033">
      <c r="A5033" s="1" t="s">
        <v>14040</v>
      </c>
      <c r="B5033" s="1" t="s">
        <v>3478</v>
      </c>
      <c r="C5033" s="1" t="s">
        <v>14041</v>
      </c>
      <c r="D5033" s="1" t="s">
        <v>28</v>
      </c>
      <c r="E5033" s="1" t="s">
        <v>29</v>
      </c>
      <c r="F5033" s="5">
        <v>50000.0</v>
      </c>
      <c r="G5033" s="1" t="s">
        <v>7016</v>
      </c>
      <c r="H5033" s="1" t="s">
        <v>283</v>
      </c>
      <c r="I5033" s="1" t="s">
        <v>80</v>
      </c>
      <c r="K5033" s="1">
        <v>0.0</v>
      </c>
      <c r="L5033" s="1" t="s">
        <v>836</v>
      </c>
      <c r="M5033" s="1" t="str">
        <f>VLOOKUP(L5033,'Copy of PMD Workday Constants -'!B5032:W5718,22,false)</f>
        <v>#N/A</v>
      </c>
      <c r="N5033" s="1" t="s">
        <v>32</v>
      </c>
      <c r="O5033" s="1" t="s">
        <v>33</v>
      </c>
      <c r="P5033" s="1" t="s">
        <v>173</v>
      </c>
      <c r="Q5033" s="1" t="s">
        <v>173</v>
      </c>
      <c r="R5033" s="1" t="s">
        <v>174</v>
      </c>
      <c r="T5033" s="1">
        <v>1.00648457E8</v>
      </c>
      <c r="W5033" s="1" t="s">
        <v>947</v>
      </c>
      <c r="X5033" s="1" t="s">
        <v>1418</v>
      </c>
    </row>
    <row r="5034">
      <c r="A5034" s="1" t="s">
        <v>14042</v>
      </c>
      <c r="B5034" s="1" t="s">
        <v>4279</v>
      </c>
      <c r="C5034" s="1" t="s">
        <v>14043</v>
      </c>
      <c r="D5034" s="1" t="s">
        <v>103</v>
      </c>
      <c r="E5034" s="1" t="s">
        <v>29</v>
      </c>
      <c r="F5034" s="5">
        <v>50000.0</v>
      </c>
      <c r="G5034" s="1" t="s">
        <v>7016</v>
      </c>
      <c r="H5034" s="1" t="s">
        <v>1765</v>
      </c>
      <c r="I5034" s="1" t="s">
        <v>810</v>
      </c>
      <c r="K5034" s="1">
        <v>0.0</v>
      </c>
      <c r="L5034" s="1" t="s">
        <v>2013</v>
      </c>
      <c r="M5034" s="1" t="str">
        <f>VLOOKUP(L5034,'Copy of PMD Workday Constants -'!B5033:W5719,22,false)</f>
        <v>#N/A</v>
      </c>
      <c r="N5034" s="1" t="s">
        <v>32</v>
      </c>
      <c r="O5034" s="1" t="s">
        <v>33</v>
      </c>
      <c r="P5034" s="1" t="s">
        <v>222</v>
      </c>
      <c r="Q5034" s="1" t="s">
        <v>222</v>
      </c>
      <c r="R5034" s="1" t="s">
        <v>223</v>
      </c>
      <c r="S5034" s="1" t="s">
        <v>482</v>
      </c>
      <c r="T5034" s="1">
        <v>1.00596618E8</v>
      </c>
      <c r="W5034" s="1" t="s">
        <v>74</v>
      </c>
      <c r="X5034" s="1" t="s">
        <v>11863</v>
      </c>
    </row>
    <row r="5035">
      <c r="A5035" s="1" t="s">
        <v>14044</v>
      </c>
      <c r="B5035" s="1" t="s">
        <v>77</v>
      </c>
      <c r="C5035" s="1" t="s">
        <v>14045</v>
      </c>
      <c r="D5035" s="1" t="s">
        <v>28</v>
      </c>
      <c r="E5035" s="1" t="s">
        <v>29</v>
      </c>
      <c r="F5035" s="5">
        <v>50000.0</v>
      </c>
      <c r="G5035" s="1" t="s">
        <v>7016</v>
      </c>
      <c r="H5035" s="4">
        <v>44563.0</v>
      </c>
      <c r="I5035" s="1" t="s">
        <v>191</v>
      </c>
      <c r="K5035" s="1">
        <v>0.0</v>
      </c>
      <c r="L5035" s="1" t="s">
        <v>2556</v>
      </c>
      <c r="M5035" s="1" t="str">
        <f>VLOOKUP(L5035,'Copy of PMD Workday Constants -'!B5034:W5720,22,false)</f>
        <v>#N/A</v>
      </c>
      <c r="N5035" s="1" t="s">
        <v>32</v>
      </c>
      <c r="O5035" s="1" t="s">
        <v>33</v>
      </c>
      <c r="P5035" s="1" t="s">
        <v>82</v>
      </c>
      <c r="Q5035" s="1" t="s">
        <v>82</v>
      </c>
      <c r="R5035" s="1" t="s">
        <v>83</v>
      </c>
      <c r="S5035" s="1" t="s">
        <v>84</v>
      </c>
      <c r="T5035" s="1">
        <v>1.01082364E8</v>
      </c>
      <c r="W5035" s="1" t="s">
        <v>85</v>
      </c>
      <c r="X5035" s="1" t="s">
        <v>9312</v>
      </c>
    </row>
    <row r="5036">
      <c r="A5036" s="1" t="s">
        <v>14046</v>
      </c>
      <c r="B5036" s="1" t="s">
        <v>6417</v>
      </c>
      <c r="C5036" s="1" t="s">
        <v>14047</v>
      </c>
      <c r="D5036" s="1" t="s">
        <v>28</v>
      </c>
      <c r="E5036" s="1" t="s">
        <v>29</v>
      </c>
      <c r="F5036" s="5">
        <v>50000.0</v>
      </c>
      <c r="G5036" s="1" t="s">
        <v>7016</v>
      </c>
      <c r="H5036" s="1" t="s">
        <v>1919</v>
      </c>
      <c r="I5036" s="1" t="s">
        <v>302</v>
      </c>
      <c r="K5036" s="1">
        <v>0.0</v>
      </c>
      <c r="L5036" s="1" t="s">
        <v>517</v>
      </c>
      <c r="M5036" s="1" t="str">
        <f>VLOOKUP(L5036,'Copy of PMD Workday Constants -'!B5035:W5721,22,false)</f>
        <v>#N/A</v>
      </c>
      <c r="N5036" s="1" t="s">
        <v>32</v>
      </c>
      <c r="O5036" s="1" t="s">
        <v>33</v>
      </c>
      <c r="P5036" s="1" t="s">
        <v>64</v>
      </c>
      <c r="Q5036" s="1" t="s">
        <v>64</v>
      </c>
      <c r="R5036" s="1" t="s">
        <v>65</v>
      </c>
      <c r="S5036" s="1" t="s">
        <v>229</v>
      </c>
      <c r="T5036" s="1">
        <v>1.01001596E8</v>
      </c>
      <c r="W5036" s="1" t="s">
        <v>85</v>
      </c>
      <c r="X5036" s="1" t="s">
        <v>935</v>
      </c>
    </row>
    <row r="5037">
      <c r="A5037" s="1" t="s">
        <v>14048</v>
      </c>
      <c r="B5037" s="1" t="s">
        <v>14049</v>
      </c>
      <c r="C5037" s="1" t="s">
        <v>14050</v>
      </c>
      <c r="D5037" s="1" t="s">
        <v>103</v>
      </c>
      <c r="E5037" s="1" t="s">
        <v>29</v>
      </c>
      <c r="F5037" s="5">
        <v>50000.0</v>
      </c>
      <c r="G5037" s="1" t="s">
        <v>7016</v>
      </c>
      <c r="H5037" s="1" t="s">
        <v>1134</v>
      </c>
      <c r="I5037" s="1" t="s">
        <v>810</v>
      </c>
      <c r="K5037" s="1">
        <v>0.0</v>
      </c>
      <c r="L5037" s="1" t="s">
        <v>11159</v>
      </c>
      <c r="M5037" s="1" t="str">
        <f>VLOOKUP(L5037,'Copy of PMD Workday Constants -'!B5036:W5722,22,false)</f>
        <v>#N/A</v>
      </c>
      <c r="N5037" s="1" t="s">
        <v>32</v>
      </c>
      <c r="O5037" s="1" t="s">
        <v>33</v>
      </c>
      <c r="P5037" s="1" t="s">
        <v>222</v>
      </c>
      <c r="Q5037" s="1" t="s">
        <v>222</v>
      </c>
      <c r="R5037" s="1" t="s">
        <v>223</v>
      </c>
      <c r="S5037" s="1" t="s">
        <v>601</v>
      </c>
      <c r="T5037" s="1">
        <v>1.00602248E8</v>
      </c>
      <c r="W5037" s="1" t="s">
        <v>436</v>
      </c>
      <c r="X5037" s="1" t="s">
        <v>11160</v>
      </c>
    </row>
    <row r="5038">
      <c r="A5038" s="1" t="s">
        <v>14051</v>
      </c>
      <c r="B5038" s="1" t="s">
        <v>13496</v>
      </c>
      <c r="C5038" s="1" t="s">
        <v>14052</v>
      </c>
      <c r="D5038" s="1" t="s">
        <v>28</v>
      </c>
      <c r="E5038" s="1" t="s">
        <v>29</v>
      </c>
      <c r="F5038" s="5">
        <v>50000.0</v>
      </c>
      <c r="G5038" s="1" t="s">
        <v>7016</v>
      </c>
      <c r="H5038" s="1" t="s">
        <v>14053</v>
      </c>
      <c r="I5038" s="1" t="s">
        <v>191</v>
      </c>
      <c r="K5038" s="1">
        <v>0.0</v>
      </c>
      <c r="L5038" s="1" t="s">
        <v>7570</v>
      </c>
      <c r="M5038" s="1" t="str">
        <f>VLOOKUP(L5038,'Copy of PMD Workday Constants -'!B5037:W5723,22,false)</f>
        <v>#N/A</v>
      </c>
      <c r="N5038" s="1" t="s">
        <v>32</v>
      </c>
      <c r="O5038" s="1" t="s">
        <v>33</v>
      </c>
      <c r="P5038" s="1" t="s">
        <v>82</v>
      </c>
      <c r="Q5038" s="1" t="s">
        <v>82</v>
      </c>
      <c r="R5038" s="1" t="s">
        <v>83</v>
      </c>
      <c r="S5038" s="1" t="s">
        <v>601</v>
      </c>
      <c r="T5038" s="1">
        <v>1.00611377E8</v>
      </c>
      <c r="W5038" s="1" t="s">
        <v>456</v>
      </c>
      <c r="X5038" s="1" t="s">
        <v>7862</v>
      </c>
    </row>
    <row r="5039">
      <c r="A5039" s="1" t="s">
        <v>14054</v>
      </c>
      <c r="B5039" s="1" t="s">
        <v>9873</v>
      </c>
      <c r="C5039" s="1" t="s">
        <v>14055</v>
      </c>
      <c r="D5039" s="1" t="s">
        <v>28</v>
      </c>
      <c r="E5039" s="1" t="s">
        <v>29</v>
      </c>
      <c r="F5039" s="5">
        <v>50000.0</v>
      </c>
      <c r="G5039" s="1" t="s">
        <v>7016</v>
      </c>
      <c r="H5039" s="1" t="s">
        <v>2822</v>
      </c>
      <c r="I5039" s="1" t="s">
        <v>132</v>
      </c>
      <c r="K5039" s="1">
        <v>0.0</v>
      </c>
      <c r="L5039" s="1" t="s">
        <v>5404</v>
      </c>
      <c r="M5039" s="1" t="str">
        <f>VLOOKUP(L5039,'Copy of PMD Workday Constants -'!B5038:W5724,22,false)</f>
        <v>#N/A</v>
      </c>
      <c r="N5039" s="1" t="s">
        <v>32</v>
      </c>
      <c r="O5039" s="1" t="s">
        <v>33</v>
      </c>
      <c r="P5039" s="1" t="s">
        <v>64</v>
      </c>
      <c r="Q5039" s="1" t="s">
        <v>64</v>
      </c>
      <c r="R5039" s="1" t="s">
        <v>65</v>
      </c>
      <c r="T5039" s="1">
        <v>1.00650453E8</v>
      </c>
      <c r="W5039" s="1" t="s">
        <v>56</v>
      </c>
      <c r="X5039" s="1" t="s">
        <v>2399</v>
      </c>
    </row>
    <row r="5040">
      <c r="A5040" s="1" t="s">
        <v>14056</v>
      </c>
      <c r="B5040" s="1" t="s">
        <v>1624</v>
      </c>
      <c r="C5040" s="1" t="s">
        <v>14057</v>
      </c>
      <c r="D5040" s="1" t="s">
        <v>28</v>
      </c>
      <c r="E5040" s="1" t="s">
        <v>29</v>
      </c>
      <c r="F5040" s="5">
        <v>50000.0</v>
      </c>
      <c r="G5040" s="1" t="s">
        <v>7016</v>
      </c>
      <c r="H5040" s="4">
        <v>44239.0</v>
      </c>
      <c r="I5040" s="1" t="s">
        <v>302</v>
      </c>
      <c r="K5040" s="1">
        <v>0.0</v>
      </c>
      <c r="L5040" s="1" t="s">
        <v>5087</v>
      </c>
      <c r="M5040" s="1" t="str">
        <f>VLOOKUP(L5040,'Copy of PMD Workday Constants -'!B5039:W5725,22,false)</f>
        <v>#N/A</v>
      </c>
      <c r="N5040" s="1" t="s">
        <v>32</v>
      </c>
      <c r="O5040" s="1" t="s">
        <v>33</v>
      </c>
      <c r="P5040" s="1" t="s">
        <v>64</v>
      </c>
      <c r="Q5040" s="1" t="s">
        <v>64</v>
      </c>
      <c r="R5040" s="1" t="s">
        <v>65</v>
      </c>
      <c r="S5040" s="1" t="s">
        <v>1166</v>
      </c>
      <c r="T5040" s="1">
        <v>1.00610826E8</v>
      </c>
      <c r="W5040" s="1" t="s">
        <v>456</v>
      </c>
      <c r="X5040" s="1" t="s">
        <v>7862</v>
      </c>
    </row>
    <row r="5041">
      <c r="A5041" s="1" t="s">
        <v>14058</v>
      </c>
      <c r="B5041" s="1" t="s">
        <v>993</v>
      </c>
      <c r="C5041" s="1" t="s">
        <v>14059</v>
      </c>
      <c r="D5041" s="1" t="s">
        <v>28</v>
      </c>
      <c r="E5041" s="1" t="s">
        <v>29</v>
      </c>
      <c r="F5041" s="5">
        <v>50000.0</v>
      </c>
      <c r="G5041" s="1" t="s">
        <v>7016</v>
      </c>
      <c r="H5041" s="1" t="s">
        <v>5928</v>
      </c>
      <c r="I5041" s="1" t="s">
        <v>166</v>
      </c>
      <c r="K5041" s="1">
        <v>0.0</v>
      </c>
      <c r="L5041" s="1" t="s">
        <v>4634</v>
      </c>
      <c r="M5041" s="1" t="str">
        <f>VLOOKUP(L5041,'Copy of PMD Workday Constants -'!B5040:W5726,22,false)</f>
        <v>#N/A</v>
      </c>
      <c r="N5041" s="1" t="s">
        <v>32</v>
      </c>
      <c r="O5041" s="1" t="s">
        <v>33</v>
      </c>
      <c r="P5041" s="1" t="s">
        <v>112</v>
      </c>
      <c r="Q5041" s="1" t="s">
        <v>112</v>
      </c>
      <c r="R5041" s="1" t="s">
        <v>113</v>
      </c>
      <c r="S5041" s="1" t="s">
        <v>134</v>
      </c>
      <c r="T5041" s="1">
        <v>1.00585718E8</v>
      </c>
      <c r="W5041" s="1" t="s">
        <v>74</v>
      </c>
      <c r="X5041" s="1" t="s">
        <v>3639</v>
      </c>
    </row>
    <row r="5042">
      <c r="A5042" s="1" t="s">
        <v>14060</v>
      </c>
      <c r="B5042" s="1" t="s">
        <v>993</v>
      </c>
      <c r="C5042" s="1" t="s">
        <v>14061</v>
      </c>
      <c r="D5042" s="1" t="s">
        <v>28</v>
      </c>
      <c r="E5042" s="1" t="s">
        <v>29</v>
      </c>
      <c r="F5042" s="5">
        <v>50000.0</v>
      </c>
      <c r="G5042" s="1" t="s">
        <v>7016</v>
      </c>
      <c r="H5042" s="1" t="s">
        <v>5928</v>
      </c>
      <c r="I5042" s="1" t="s">
        <v>80</v>
      </c>
      <c r="K5042" s="1">
        <v>0.0</v>
      </c>
      <c r="L5042" s="1" t="s">
        <v>4634</v>
      </c>
      <c r="M5042" s="1" t="str">
        <f>VLOOKUP(L5042,'Copy of PMD Workday Constants -'!B5041:W5727,22,false)</f>
        <v>#N/A</v>
      </c>
      <c r="N5042" s="1" t="s">
        <v>32</v>
      </c>
      <c r="O5042" s="1" t="s">
        <v>33</v>
      </c>
      <c r="P5042" s="1" t="s">
        <v>112</v>
      </c>
      <c r="Q5042" s="1" t="s">
        <v>112</v>
      </c>
      <c r="R5042" s="1" t="s">
        <v>113</v>
      </c>
      <c r="S5042" s="1" t="s">
        <v>134</v>
      </c>
      <c r="T5042" s="1">
        <v>1.00585718E8</v>
      </c>
      <c r="W5042" s="1" t="s">
        <v>74</v>
      </c>
      <c r="X5042" s="1" t="s">
        <v>3639</v>
      </c>
    </row>
    <row r="5043">
      <c r="A5043" s="1" t="s">
        <v>14062</v>
      </c>
      <c r="B5043" s="1" t="s">
        <v>14063</v>
      </c>
      <c r="C5043" s="1" t="s">
        <v>14064</v>
      </c>
      <c r="D5043" s="1" t="s">
        <v>103</v>
      </c>
      <c r="E5043" s="1" t="s">
        <v>29</v>
      </c>
      <c r="F5043" s="5">
        <v>50000.0</v>
      </c>
      <c r="G5043" s="1" t="s">
        <v>7016</v>
      </c>
      <c r="H5043" s="1" t="s">
        <v>1134</v>
      </c>
      <c r="I5043" s="4">
        <v>44840.0</v>
      </c>
      <c r="K5043" s="1">
        <v>0.0</v>
      </c>
      <c r="L5043" s="1" t="s">
        <v>11577</v>
      </c>
      <c r="M5043" s="1" t="str">
        <f>VLOOKUP(L5043,'Copy of PMD Workday Constants -'!B5042:W5728,22,false)</f>
        <v>#N/A</v>
      </c>
      <c r="N5043" s="1" t="s">
        <v>32</v>
      </c>
      <c r="O5043" s="1" t="s">
        <v>33</v>
      </c>
      <c r="P5043" s="1" t="s">
        <v>222</v>
      </c>
      <c r="Q5043" s="1" t="s">
        <v>222</v>
      </c>
      <c r="R5043" s="1" t="s">
        <v>223</v>
      </c>
      <c r="T5043" s="1">
        <v>1.00626837E8</v>
      </c>
      <c r="W5043" s="1" t="s">
        <v>74</v>
      </c>
      <c r="X5043" s="1" t="s">
        <v>12119</v>
      </c>
    </row>
    <row r="5044">
      <c r="A5044" s="1" t="s">
        <v>14065</v>
      </c>
      <c r="B5044" s="1" t="s">
        <v>14066</v>
      </c>
      <c r="C5044" s="1" t="s">
        <v>13481</v>
      </c>
      <c r="D5044" s="1" t="s">
        <v>103</v>
      </c>
      <c r="E5044" s="1" t="s">
        <v>29</v>
      </c>
      <c r="F5044" s="5">
        <v>50000.0</v>
      </c>
      <c r="G5044" s="1" t="s">
        <v>7016</v>
      </c>
      <c r="H5044" s="1" t="s">
        <v>1245</v>
      </c>
      <c r="I5044" s="1" t="s">
        <v>80</v>
      </c>
      <c r="K5044" s="1">
        <v>0.0</v>
      </c>
      <c r="L5044" s="1" t="s">
        <v>3408</v>
      </c>
      <c r="M5044" s="1" t="str">
        <f>VLOOKUP(L5044,'Copy of PMD Workday Constants -'!B5043:W5729,22,false)</f>
        <v>#N/A</v>
      </c>
      <c r="N5044" s="1" t="s">
        <v>32</v>
      </c>
      <c r="O5044" s="1" t="s">
        <v>33</v>
      </c>
      <c r="P5044" s="1" t="s">
        <v>222</v>
      </c>
      <c r="Q5044" s="1" t="s">
        <v>222</v>
      </c>
      <c r="R5044" s="1" t="s">
        <v>223</v>
      </c>
      <c r="S5044" s="1" t="s">
        <v>482</v>
      </c>
      <c r="T5044" s="1">
        <v>1.0066189E8</v>
      </c>
      <c r="W5044" s="1" t="s">
        <v>74</v>
      </c>
      <c r="X5044" s="1" t="s">
        <v>10781</v>
      </c>
    </row>
    <row r="5045">
      <c r="A5045" s="1" t="s">
        <v>14067</v>
      </c>
      <c r="B5045" s="1" t="s">
        <v>13755</v>
      </c>
      <c r="C5045" s="1" t="s">
        <v>14068</v>
      </c>
      <c r="D5045" s="1" t="s">
        <v>51</v>
      </c>
      <c r="E5045" s="1" t="s">
        <v>29</v>
      </c>
      <c r="F5045" s="5">
        <v>50000.0</v>
      </c>
      <c r="G5045" s="1" t="s">
        <v>7016</v>
      </c>
      <c r="H5045" s="1" t="s">
        <v>1765</v>
      </c>
      <c r="I5045" s="1" t="s">
        <v>810</v>
      </c>
      <c r="K5045" s="1">
        <v>0.0</v>
      </c>
      <c r="L5045" s="1" t="s">
        <v>2013</v>
      </c>
      <c r="M5045" s="1" t="str">
        <f>VLOOKUP(L5045,'Copy of PMD Workday Constants -'!B5044:W5730,22,false)</f>
        <v>#N/A</v>
      </c>
      <c r="N5045" s="1" t="s">
        <v>32</v>
      </c>
      <c r="O5045" s="1" t="s">
        <v>33</v>
      </c>
      <c r="P5045" s="1" t="s">
        <v>222</v>
      </c>
      <c r="Q5045" s="1" t="s">
        <v>222</v>
      </c>
      <c r="R5045" s="1" t="s">
        <v>223</v>
      </c>
      <c r="S5045" s="1" t="s">
        <v>482</v>
      </c>
      <c r="T5045" s="1">
        <v>1.00596618E8</v>
      </c>
      <c r="W5045" s="1" t="s">
        <v>250</v>
      </c>
      <c r="X5045" s="1" t="s">
        <v>11863</v>
      </c>
    </row>
    <row r="5046">
      <c r="A5046" s="1" t="s">
        <v>14069</v>
      </c>
      <c r="B5046" s="1" t="s">
        <v>403</v>
      </c>
      <c r="C5046" s="1" t="s">
        <v>14070</v>
      </c>
      <c r="D5046" s="1" t="s">
        <v>51</v>
      </c>
      <c r="E5046" s="1" t="s">
        <v>29</v>
      </c>
      <c r="F5046" s="5">
        <v>50000.0</v>
      </c>
      <c r="G5046" s="1" t="s">
        <v>7016</v>
      </c>
      <c r="H5046" s="1" t="s">
        <v>8552</v>
      </c>
      <c r="I5046" s="1" t="s">
        <v>80</v>
      </c>
      <c r="K5046" s="1">
        <v>0.0</v>
      </c>
      <c r="L5046" s="1" t="s">
        <v>2136</v>
      </c>
      <c r="M5046" s="1" t="str">
        <f>VLOOKUP(L5046,'Copy of PMD Workday Constants -'!B5045:W5731,22,false)</f>
        <v>#N/A</v>
      </c>
      <c r="N5046" s="1" t="s">
        <v>32</v>
      </c>
      <c r="O5046" s="1" t="s">
        <v>33</v>
      </c>
      <c r="P5046" s="1" t="s">
        <v>34</v>
      </c>
      <c r="Q5046" s="1" t="s">
        <v>34</v>
      </c>
      <c r="R5046" s="1" t="s">
        <v>35</v>
      </c>
      <c r="S5046" s="1" t="s">
        <v>36</v>
      </c>
      <c r="T5046" s="1">
        <v>1.00610903E8</v>
      </c>
      <c r="U5046" s="1" t="s">
        <v>3461</v>
      </c>
      <c r="V5046" s="1" t="s">
        <v>781</v>
      </c>
      <c r="W5046" s="1" t="s">
        <v>37</v>
      </c>
      <c r="X5046" s="1" t="s">
        <v>9740</v>
      </c>
    </row>
    <row r="5047">
      <c r="A5047" s="1" t="s">
        <v>14071</v>
      </c>
      <c r="B5047" s="1" t="s">
        <v>14072</v>
      </c>
      <c r="C5047" s="1" t="s">
        <v>14073</v>
      </c>
      <c r="D5047" s="1" t="s">
        <v>51</v>
      </c>
      <c r="E5047" s="1" t="s">
        <v>29</v>
      </c>
      <c r="F5047" s="5">
        <v>50000.0</v>
      </c>
      <c r="G5047" s="1" t="s">
        <v>7016</v>
      </c>
      <c r="H5047" s="1" t="s">
        <v>1785</v>
      </c>
      <c r="I5047" s="4">
        <v>44626.0</v>
      </c>
      <c r="K5047" s="1">
        <v>0.0</v>
      </c>
      <c r="L5047" s="1" t="s">
        <v>8868</v>
      </c>
      <c r="M5047" s="1" t="str">
        <f>VLOOKUP(L5047,'Copy of PMD Workday Constants -'!B5046:W5732,22,false)</f>
        <v>#N/A</v>
      </c>
      <c r="N5047" s="1" t="s">
        <v>32</v>
      </c>
      <c r="O5047" s="1" t="s">
        <v>33</v>
      </c>
      <c r="P5047" s="1" t="s">
        <v>222</v>
      </c>
      <c r="Q5047" s="1" t="s">
        <v>222</v>
      </c>
      <c r="R5047" s="1" t="s">
        <v>223</v>
      </c>
      <c r="S5047" s="1" t="s">
        <v>601</v>
      </c>
      <c r="T5047" s="1">
        <v>1.00612509E8</v>
      </c>
      <c r="W5047" s="1" t="s">
        <v>140</v>
      </c>
      <c r="X5047" s="1" t="s">
        <v>8868</v>
      </c>
    </row>
    <row r="5048">
      <c r="A5048" s="1" t="s">
        <v>14074</v>
      </c>
      <c r="B5048" s="1" t="s">
        <v>642</v>
      </c>
      <c r="C5048" s="1" t="s">
        <v>14075</v>
      </c>
      <c r="D5048" s="1" t="s">
        <v>28</v>
      </c>
      <c r="E5048" s="1" t="s">
        <v>29</v>
      </c>
      <c r="F5048" s="5">
        <v>50000.0</v>
      </c>
      <c r="G5048" s="1" t="s">
        <v>7016</v>
      </c>
      <c r="H5048" s="1" t="s">
        <v>9626</v>
      </c>
      <c r="I5048" s="1" t="s">
        <v>104</v>
      </c>
      <c r="K5048" s="1">
        <v>0.0</v>
      </c>
      <c r="L5048" s="1" t="s">
        <v>645</v>
      </c>
      <c r="M5048" s="1" t="str">
        <f>VLOOKUP(L5048,'Copy of PMD Workday Constants -'!B5047:W5733,22,false)</f>
        <v>#N/A</v>
      </c>
      <c r="N5048" s="1" t="s">
        <v>32</v>
      </c>
      <c r="O5048" s="1" t="s">
        <v>33</v>
      </c>
      <c r="P5048" s="1" t="s">
        <v>64</v>
      </c>
      <c r="Q5048" s="1" t="s">
        <v>64</v>
      </c>
      <c r="R5048" s="1" t="s">
        <v>65</v>
      </c>
      <c r="S5048" s="1" t="s">
        <v>98</v>
      </c>
      <c r="T5048" s="1">
        <v>1.00653597E8</v>
      </c>
      <c r="W5048" s="1" t="s">
        <v>56</v>
      </c>
      <c r="X5048" s="1" t="s">
        <v>14076</v>
      </c>
    </row>
    <row r="5049">
      <c r="A5049" s="1" t="s">
        <v>14077</v>
      </c>
      <c r="B5049" s="1" t="s">
        <v>14078</v>
      </c>
      <c r="C5049" s="1" t="s">
        <v>14079</v>
      </c>
      <c r="D5049" s="1" t="s">
        <v>28</v>
      </c>
      <c r="E5049" s="1" t="s">
        <v>29</v>
      </c>
      <c r="F5049" s="5">
        <v>50000.0</v>
      </c>
      <c r="G5049" s="1" t="s">
        <v>7016</v>
      </c>
      <c r="H5049" s="1" t="s">
        <v>4612</v>
      </c>
      <c r="I5049" s="1" t="s">
        <v>302</v>
      </c>
      <c r="K5049" s="1">
        <v>0.0</v>
      </c>
      <c r="L5049" s="1" t="s">
        <v>2143</v>
      </c>
      <c r="M5049" s="1" t="str">
        <f>VLOOKUP(L5049,'Copy of PMD Workday Constants -'!B5048:W5734,22,false)</f>
        <v>#N/A</v>
      </c>
      <c r="N5049" s="1" t="s">
        <v>32</v>
      </c>
      <c r="O5049" s="1" t="s">
        <v>33</v>
      </c>
      <c r="P5049" s="1" t="s">
        <v>82</v>
      </c>
      <c r="Q5049" s="1" t="s">
        <v>82</v>
      </c>
      <c r="R5049" s="1" t="s">
        <v>83</v>
      </c>
      <c r="S5049" s="1" t="s">
        <v>601</v>
      </c>
      <c r="T5049" s="1">
        <v>1.00612395E8</v>
      </c>
      <c r="W5049" s="1" t="s">
        <v>85</v>
      </c>
      <c r="X5049" s="1" t="s">
        <v>7862</v>
      </c>
    </row>
    <row r="5050">
      <c r="A5050" s="1" t="s">
        <v>14080</v>
      </c>
      <c r="B5050" s="1" t="s">
        <v>2554</v>
      </c>
      <c r="C5050" s="1" t="s">
        <v>14081</v>
      </c>
      <c r="D5050" s="1" t="s">
        <v>28</v>
      </c>
      <c r="E5050" s="1" t="s">
        <v>29</v>
      </c>
      <c r="F5050" s="5">
        <v>50000.0</v>
      </c>
      <c r="G5050" s="1" t="s">
        <v>7016</v>
      </c>
      <c r="H5050" s="1" t="s">
        <v>4625</v>
      </c>
      <c r="I5050" s="4">
        <v>44872.0</v>
      </c>
      <c r="K5050" s="1">
        <v>0.0</v>
      </c>
      <c r="L5050" s="1" t="s">
        <v>2411</v>
      </c>
      <c r="M5050" s="1" t="str">
        <f>VLOOKUP(L5050,'Copy of PMD Workday Constants -'!B5049:W5735,22,false)</f>
        <v>#N/A</v>
      </c>
      <c r="N5050" s="1" t="s">
        <v>32</v>
      </c>
      <c r="O5050" s="1" t="s">
        <v>33</v>
      </c>
      <c r="P5050" s="1" t="s">
        <v>82</v>
      </c>
      <c r="Q5050" s="1" t="s">
        <v>82</v>
      </c>
      <c r="R5050" s="1" t="s">
        <v>83</v>
      </c>
      <c r="T5050" s="1">
        <v>1.00649598E8</v>
      </c>
      <c r="W5050" s="1" t="s">
        <v>85</v>
      </c>
      <c r="X5050" s="1" t="s">
        <v>1534</v>
      </c>
    </row>
    <row r="5051">
      <c r="A5051" s="1" t="s">
        <v>14082</v>
      </c>
      <c r="B5051" s="1" t="s">
        <v>573</v>
      </c>
      <c r="C5051" s="1" t="s">
        <v>14083</v>
      </c>
      <c r="D5051" s="1" t="s">
        <v>79</v>
      </c>
      <c r="E5051" s="1" t="s">
        <v>29</v>
      </c>
      <c r="F5051" s="5">
        <v>50000.0</v>
      </c>
      <c r="G5051" s="1" t="s">
        <v>7016</v>
      </c>
      <c r="H5051" s="1" t="s">
        <v>4625</v>
      </c>
      <c r="I5051" s="1" t="s">
        <v>80</v>
      </c>
      <c r="K5051" s="1">
        <v>0.0</v>
      </c>
      <c r="L5051" s="1" t="s">
        <v>6578</v>
      </c>
      <c r="M5051" s="1" t="str">
        <f>VLOOKUP(L5051,'Copy of PMD Workday Constants -'!B5050:W5736,22,false)</f>
        <v>#N/A</v>
      </c>
      <c r="N5051" s="1" t="s">
        <v>32</v>
      </c>
      <c r="O5051" s="1" t="s">
        <v>33</v>
      </c>
      <c r="P5051" s="1" t="s">
        <v>222</v>
      </c>
      <c r="Q5051" s="1" t="s">
        <v>222</v>
      </c>
      <c r="R5051" s="1" t="s">
        <v>223</v>
      </c>
      <c r="S5051" s="1" t="s">
        <v>482</v>
      </c>
      <c r="T5051" s="1">
        <v>1.00597339E8</v>
      </c>
      <c r="W5051" s="1" t="s">
        <v>74</v>
      </c>
      <c r="X5051" s="1" t="s">
        <v>6579</v>
      </c>
    </row>
    <row r="5052">
      <c r="A5052" s="1" t="s">
        <v>14084</v>
      </c>
      <c r="B5052" s="1" t="s">
        <v>10138</v>
      </c>
      <c r="C5052" s="1" t="s">
        <v>14085</v>
      </c>
      <c r="D5052" s="1" t="s">
        <v>51</v>
      </c>
      <c r="E5052" s="1" t="s">
        <v>29</v>
      </c>
      <c r="F5052" s="5">
        <v>50000.0</v>
      </c>
      <c r="G5052" s="1" t="s">
        <v>7016</v>
      </c>
      <c r="H5052" s="1" t="s">
        <v>1785</v>
      </c>
      <c r="I5052" s="4">
        <v>44840.0</v>
      </c>
      <c r="K5052" s="1">
        <v>0.0</v>
      </c>
      <c r="L5052" s="1" t="s">
        <v>6325</v>
      </c>
      <c r="M5052" s="1" t="str">
        <f>VLOOKUP(L5052,'Copy of PMD Workday Constants -'!B5051:W5737,22,false)</f>
        <v>#N/A</v>
      </c>
      <c r="N5052" s="1" t="s">
        <v>32</v>
      </c>
      <c r="O5052" s="1" t="s">
        <v>33</v>
      </c>
      <c r="P5052" s="1" t="s">
        <v>34</v>
      </c>
      <c r="Q5052" s="1" t="s">
        <v>34</v>
      </c>
      <c r="R5052" s="1" t="s">
        <v>35</v>
      </c>
      <c r="S5052" s="1" t="s">
        <v>1166</v>
      </c>
      <c r="T5052" s="1">
        <v>1.01210545E8</v>
      </c>
      <c r="W5052" s="1" t="s">
        <v>147</v>
      </c>
      <c r="X5052" s="1" t="s">
        <v>7966</v>
      </c>
    </row>
    <row r="5053">
      <c r="A5053" s="1" t="s">
        <v>14086</v>
      </c>
      <c r="B5053" s="1" t="s">
        <v>4544</v>
      </c>
      <c r="C5053" s="1" t="s">
        <v>14087</v>
      </c>
      <c r="D5053" s="1" t="s">
        <v>103</v>
      </c>
      <c r="E5053" s="1" t="s">
        <v>29</v>
      </c>
      <c r="F5053" s="5">
        <v>50000.0</v>
      </c>
      <c r="G5053" s="1" t="s">
        <v>7016</v>
      </c>
      <c r="H5053" s="1" t="s">
        <v>509</v>
      </c>
      <c r="I5053" s="1" t="s">
        <v>80</v>
      </c>
      <c r="K5053" s="1">
        <v>0.0</v>
      </c>
      <c r="L5053" s="1" t="s">
        <v>8928</v>
      </c>
      <c r="M5053" s="1" t="str">
        <f>VLOOKUP(L5053,'Copy of PMD Workday Constants -'!B5052:W5738,22,false)</f>
        <v>#N/A</v>
      </c>
      <c r="N5053" s="1" t="s">
        <v>32</v>
      </c>
      <c r="O5053" s="1" t="s">
        <v>33</v>
      </c>
      <c r="P5053" s="1" t="s">
        <v>222</v>
      </c>
      <c r="Q5053" s="1" t="s">
        <v>222</v>
      </c>
      <c r="R5053" s="1" t="s">
        <v>223</v>
      </c>
      <c r="S5053" s="1" t="s">
        <v>482</v>
      </c>
      <c r="T5053" s="1">
        <v>1.01000708E8</v>
      </c>
      <c r="W5053" s="1" t="s">
        <v>74</v>
      </c>
      <c r="X5053" s="1" t="s">
        <v>8928</v>
      </c>
    </row>
    <row r="5054">
      <c r="A5054" s="1" t="s">
        <v>14088</v>
      </c>
      <c r="B5054" s="1" t="s">
        <v>709</v>
      </c>
      <c r="C5054" s="1" t="s">
        <v>14089</v>
      </c>
      <c r="D5054" s="1" t="s">
        <v>103</v>
      </c>
      <c r="E5054" s="1" t="s">
        <v>29</v>
      </c>
      <c r="F5054" s="5">
        <v>50000.0</v>
      </c>
      <c r="G5054" s="1" t="s">
        <v>7016</v>
      </c>
      <c r="H5054" s="1" t="s">
        <v>569</v>
      </c>
      <c r="I5054" s="1" t="s">
        <v>96</v>
      </c>
      <c r="K5054" s="1">
        <v>0.0</v>
      </c>
      <c r="L5054" s="1" t="s">
        <v>14090</v>
      </c>
      <c r="M5054" s="1" t="str">
        <f>VLOOKUP(L5054,'Copy of PMD Workday Constants -'!B5053:W5739,22,false)</f>
        <v>#N/A</v>
      </c>
      <c r="N5054" s="1" t="s">
        <v>32</v>
      </c>
      <c r="O5054" s="1" t="s">
        <v>33</v>
      </c>
      <c r="P5054" s="1" t="s">
        <v>222</v>
      </c>
      <c r="Q5054" s="1" t="s">
        <v>222</v>
      </c>
      <c r="R5054" s="1" t="s">
        <v>223</v>
      </c>
      <c r="S5054" s="1" t="s">
        <v>601</v>
      </c>
      <c r="T5054" s="1">
        <v>1.00596849E8</v>
      </c>
      <c r="W5054" s="1" t="s">
        <v>140</v>
      </c>
      <c r="X5054" s="1" t="s">
        <v>14091</v>
      </c>
    </row>
    <row r="5055">
      <c r="A5055" s="1" t="s">
        <v>14092</v>
      </c>
      <c r="B5055" s="1" t="s">
        <v>11965</v>
      </c>
      <c r="C5055" s="1" t="s">
        <v>14093</v>
      </c>
      <c r="D5055" s="1" t="s">
        <v>51</v>
      </c>
      <c r="E5055" s="1" t="s">
        <v>29</v>
      </c>
      <c r="F5055" s="5">
        <v>50000.0</v>
      </c>
      <c r="G5055" s="1" t="s">
        <v>7016</v>
      </c>
      <c r="H5055" s="1" t="s">
        <v>52</v>
      </c>
      <c r="I5055" s="1" t="s">
        <v>191</v>
      </c>
      <c r="K5055" s="1">
        <v>0.0</v>
      </c>
      <c r="L5055" s="1" t="s">
        <v>8868</v>
      </c>
      <c r="M5055" s="1" t="str">
        <f>VLOOKUP(L5055,'Copy of PMD Workday Constants -'!B5054:W5740,22,false)</f>
        <v>#N/A</v>
      </c>
      <c r="N5055" s="1" t="s">
        <v>32</v>
      </c>
      <c r="O5055" s="1" t="s">
        <v>33</v>
      </c>
      <c r="P5055" s="1" t="s">
        <v>222</v>
      </c>
      <c r="Q5055" s="1" t="s">
        <v>222</v>
      </c>
      <c r="R5055" s="1" t="s">
        <v>223</v>
      </c>
      <c r="S5055" s="1" t="s">
        <v>601</v>
      </c>
      <c r="T5055" s="1">
        <v>1.00612509E8</v>
      </c>
      <c r="W5055" s="1" t="s">
        <v>85</v>
      </c>
      <c r="X5055" s="1" t="s">
        <v>6462</v>
      </c>
    </row>
    <row r="5056">
      <c r="A5056" s="1" t="s">
        <v>14094</v>
      </c>
      <c r="B5056" s="1" t="s">
        <v>14095</v>
      </c>
      <c r="C5056" s="1" t="s">
        <v>14096</v>
      </c>
      <c r="D5056" s="1" t="s">
        <v>28</v>
      </c>
      <c r="E5056" s="1" t="s">
        <v>29</v>
      </c>
      <c r="F5056" s="5">
        <v>50000.0</v>
      </c>
      <c r="G5056" s="1" t="s">
        <v>7016</v>
      </c>
      <c r="H5056" s="4">
        <v>44298.0</v>
      </c>
      <c r="I5056" s="1" t="s">
        <v>302</v>
      </c>
      <c r="K5056" s="1">
        <v>0.0</v>
      </c>
      <c r="L5056" s="1" t="s">
        <v>737</v>
      </c>
      <c r="M5056" s="1" t="str">
        <f>VLOOKUP(L5056,'Copy of PMD Workday Constants -'!B5055:W5741,22,false)</f>
        <v>#N/A</v>
      </c>
      <c r="N5056" s="1" t="s">
        <v>32</v>
      </c>
      <c r="O5056" s="1" t="s">
        <v>33</v>
      </c>
      <c r="P5056" s="1" t="s">
        <v>112</v>
      </c>
      <c r="Q5056" s="1" t="s">
        <v>112</v>
      </c>
      <c r="R5056" s="1" t="s">
        <v>113</v>
      </c>
      <c r="S5056" s="1" t="s">
        <v>134</v>
      </c>
      <c r="T5056" s="1">
        <v>1.00629729E8</v>
      </c>
      <c r="W5056" s="1" t="s">
        <v>115</v>
      </c>
      <c r="X5056" s="1" t="s">
        <v>2238</v>
      </c>
    </row>
    <row r="5057">
      <c r="A5057" s="1" t="s">
        <v>14097</v>
      </c>
      <c r="B5057" s="1" t="s">
        <v>580</v>
      </c>
      <c r="C5057" s="1" t="s">
        <v>14098</v>
      </c>
      <c r="D5057" s="1" t="s">
        <v>51</v>
      </c>
      <c r="E5057" s="1" t="s">
        <v>29</v>
      </c>
      <c r="F5057" s="5">
        <v>50000.0</v>
      </c>
      <c r="G5057" s="1" t="s">
        <v>7016</v>
      </c>
      <c r="H5057" s="4">
        <v>44899.0</v>
      </c>
      <c r="I5057" s="1" t="s">
        <v>80</v>
      </c>
      <c r="K5057" s="1">
        <v>0.0</v>
      </c>
      <c r="L5057" s="1" t="s">
        <v>14099</v>
      </c>
      <c r="M5057" s="1" t="str">
        <f>VLOOKUP(L5057,'Copy of PMD Workday Constants -'!B5056:W5742,22,false)</f>
        <v>#N/A</v>
      </c>
      <c r="N5057" s="1" t="s">
        <v>32</v>
      </c>
      <c r="O5057" s="1" t="s">
        <v>33</v>
      </c>
      <c r="P5057" s="1" t="s">
        <v>54</v>
      </c>
      <c r="Q5057" s="1" t="s">
        <v>54</v>
      </c>
      <c r="R5057" s="1" t="s">
        <v>55</v>
      </c>
      <c r="S5057" s="1" t="s">
        <v>1336</v>
      </c>
      <c r="T5057" s="1">
        <v>1.00660828E8</v>
      </c>
      <c r="W5057" s="1" t="s">
        <v>456</v>
      </c>
      <c r="X5057" s="1" t="s">
        <v>14100</v>
      </c>
    </row>
    <row r="5058">
      <c r="A5058" s="1" t="s">
        <v>14101</v>
      </c>
      <c r="B5058" s="1" t="s">
        <v>12850</v>
      </c>
      <c r="C5058" s="1" t="s">
        <v>14102</v>
      </c>
      <c r="D5058" s="1" t="s">
        <v>28</v>
      </c>
      <c r="E5058" s="1" t="s">
        <v>29</v>
      </c>
      <c r="F5058" s="5">
        <v>50000.0</v>
      </c>
      <c r="G5058" s="1" t="s">
        <v>7016</v>
      </c>
      <c r="H5058" s="1" t="s">
        <v>375</v>
      </c>
      <c r="I5058" s="1" t="s">
        <v>302</v>
      </c>
      <c r="K5058" s="1">
        <v>0.0</v>
      </c>
      <c r="L5058" s="1" t="s">
        <v>2086</v>
      </c>
      <c r="M5058" s="1" t="str">
        <f>VLOOKUP(L5058,'Copy of PMD Workday Constants -'!B5057:W5743,22,false)</f>
        <v>#N/A</v>
      </c>
      <c r="N5058" s="1" t="s">
        <v>32</v>
      </c>
      <c r="O5058" s="1" t="s">
        <v>33</v>
      </c>
      <c r="P5058" s="1" t="s">
        <v>82</v>
      </c>
      <c r="Q5058" s="1" t="s">
        <v>82</v>
      </c>
      <c r="R5058" s="1" t="s">
        <v>83</v>
      </c>
      <c r="S5058" s="1" t="s">
        <v>84</v>
      </c>
      <c r="T5058" s="1">
        <v>1.0061233E8</v>
      </c>
      <c r="W5058" s="1" t="s">
        <v>85</v>
      </c>
      <c r="X5058" s="1" t="s">
        <v>7862</v>
      </c>
    </row>
    <row r="5059">
      <c r="A5059" s="1" t="s">
        <v>14103</v>
      </c>
      <c r="B5059" s="1" t="s">
        <v>13313</v>
      </c>
      <c r="C5059" s="1" t="s">
        <v>14104</v>
      </c>
      <c r="D5059" s="1" t="s">
        <v>51</v>
      </c>
      <c r="E5059" s="1" t="s">
        <v>29</v>
      </c>
      <c r="F5059" s="5">
        <v>50000.0</v>
      </c>
      <c r="G5059" s="1" t="s">
        <v>7016</v>
      </c>
      <c r="H5059" s="4">
        <v>44868.0</v>
      </c>
      <c r="I5059" s="1" t="s">
        <v>80</v>
      </c>
      <c r="K5059" s="1">
        <v>0.0</v>
      </c>
      <c r="L5059" s="1" t="s">
        <v>5558</v>
      </c>
      <c r="M5059" s="1" t="str">
        <f>VLOOKUP(L5059,'Copy of PMD Workday Constants -'!B5058:W5744,22,false)</f>
        <v>#N/A</v>
      </c>
      <c r="N5059" s="1" t="s">
        <v>32</v>
      </c>
      <c r="O5059" s="1" t="s">
        <v>33</v>
      </c>
      <c r="P5059" s="1" t="s">
        <v>222</v>
      </c>
      <c r="Q5059" s="1" t="s">
        <v>222</v>
      </c>
      <c r="R5059" s="1" t="s">
        <v>223</v>
      </c>
      <c r="S5059" s="1" t="s">
        <v>482</v>
      </c>
      <c r="T5059" s="1">
        <v>1.00652479E8</v>
      </c>
      <c r="W5059" s="1" t="s">
        <v>115</v>
      </c>
      <c r="X5059" s="1" t="s">
        <v>12416</v>
      </c>
    </row>
    <row r="5060">
      <c r="A5060" s="1" t="s">
        <v>14105</v>
      </c>
      <c r="B5060" s="1" t="s">
        <v>944</v>
      </c>
      <c r="C5060" s="1" t="s">
        <v>14106</v>
      </c>
      <c r="D5060" s="1" t="s">
        <v>79</v>
      </c>
      <c r="E5060" s="1" t="s">
        <v>29</v>
      </c>
      <c r="F5060" s="5">
        <v>50000.0</v>
      </c>
      <c r="G5060" s="1" t="s">
        <v>7016</v>
      </c>
      <c r="H5060" s="4">
        <v>44717.0</v>
      </c>
      <c r="I5060" s="4">
        <v>44568.0</v>
      </c>
      <c r="K5060" s="1">
        <v>0.0</v>
      </c>
      <c r="L5060" s="1" t="s">
        <v>5025</v>
      </c>
      <c r="M5060" s="1" t="str">
        <f>VLOOKUP(L5060,'Copy of PMD Workday Constants -'!B5059:W5745,22,false)</f>
        <v>#N/A</v>
      </c>
      <c r="N5060" s="1" t="s">
        <v>32</v>
      </c>
      <c r="O5060" s="1" t="s">
        <v>33</v>
      </c>
      <c r="P5060" s="1" t="s">
        <v>112</v>
      </c>
      <c r="Q5060" s="1" t="s">
        <v>112</v>
      </c>
      <c r="R5060" s="1" t="s">
        <v>113</v>
      </c>
      <c r="S5060" s="1" t="s">
        <v>307</v>
      </c>
      <c r="T5060" s="1">
        <v>1.00656882E8</v>
      </c>
      <c r="W5060" s="1" t="s">
        <v>947</v>
      </c>
      <c r="X5060" s="1" t="s">
        <v>14107</v>
      </c>
    </row>
    <row r="5061">
      <c r="A5061" s="1" t="s">
        <v>14108</v>
      </c>
      <c r="B5061" s="1" t="s">
        <v>3420</v>
      </c>
      <c r="C5061" s="1" t="s">
        <v>14109</v>
      </c>
      <c r="D5061" s="1" t="s">
        <v>28</v>
      </c>
      <c r="E5061" s="1" t="s">
        <v>29</v>
      </c>
      <c r="F5061" s="5">
        <v>50000.0</v>
      </c>
      <c r="G5061" s="1" t="s">
        <v>7016</v>
      </c>
      <c r="H5061" s="4">
        <v>44239.0</v>
      </c>
      <c r="I5061" s="4">
        <v>44601.0</v>
      </c>
      <c r="J5061" s="1" t="s">
        <v>14110</v>
      </c>
      <c r="K5061" s="1">
        <v>0.0</v>
      </c>
      <c r="L5061" s="1" t="s">
        <v>1591</v>
      </c>
      <c r="M5061" s="1" t="str">
        <f>VLOOKUP(L5061,'Copy of PMD Workday Constants -'!B5060:W5746,22,false)</f>
        <v>#N/A</v>
      </c>
      <c r="N5061" s="1" t="s">
        <v>32</v>
      </c>
      <c r="O5061" s="1" t="s">
        <v>33</v>
      </c>
      <c r="P5061" s="1" t="s">
        <v>34</v>
      </c>
      <c r="Q5061" s="1" t="s">
        <v>34</v>
      </c>
      <c r="R5061" s="1" t="s">
        <v>35</v>
      </c>
      <c r="S5061" s="1" t="s">
        <v>383</v>
      </c>
      <c r="T5061" s="1">
        <v>1.00587799E8</v>
      </c>
      <c r="W5061" s="1" t="s">
        <v>140</v>
      </c>
      <c r="X5061" s="1" t="s">
        <v>3423</v>
      </c>
    </row>
    <row r="5062">
      <c r="A5062" s="1" t="s">
        <v>14111</v>
      </c>
      <c r="B5062" s="1" t="s">
        <v>8662</v>
      </c>
      <c r="C5062" s="1" t="s">
        <v>14112</v>
      </c>
      <c r="D5062" s="1" t="s">
        <v>51</v>
      </c>
      <c r="E5062" s="1" t="s">
        <v>29</v>
      </c>
      <c r="F5062" s="5">
        <v>50000.0</v>
      </c>
      <c r="G5062" s="1" t="s">
        <v>7016</v>
      </c>
      <c r="H5062" s="1" t="s">
        <v>2386</v>
      </c>
      <c r="I5062" s="1" t="s">
        <v>302</v>
      </c>
      <c r="K5062" s="1">
        <v>0.0</v>
      </c>
      <c r="L5062" s="1" t="s">
        <v>9802</v>
      </c>
      <c r="M5062" s="1" t="str">
        <f>VLOOKUP(L5062,'Copy of PMD Workday Constants -'!B5061:W5747,22,false)</f>
        <v>#N/A</v>
      </c>
      <c r="N5062" s="1" t="s">
        <v>32</v>
      </c>
      <c r="O5062" s="1" t="s">
        <v>33</v>
      </c>
      <c r="P5062" s="1" t="s">
        <v>173</v>
      </c>
      <c r="Q5062" s="1" t="s">
        <v>173</v>
      </c>
      <c r="R5062" s="1" t="s">
        <v>174</v>
      </c>
      <c r="S5062" s="1" t="s">
        <v>14113</v>
      </c>
      <c r="T5062" s="1">
        <v>1.0061717E8</v>
      </c>
      <c r="W5062" s="1" t="s">
        <v>436</v>
      </c>
      <c r="X5062" s="1" t="s">
        <v>10615</v>
      </c>
    </row>
    <row r="5063">
      <c r="A5063" s="1" t="s">
        <v>14114</v>
      </c>
      <c r="B5063" s="1" t="s">
        <v>6152</v>
      </c>
      <c r="C5063" s="1" t="s">
        <v>14115</v>
      </c>
      <c r="D5063" s="1" t="s">
        <v>28</v>
      </c>
      <c r="E5063" s="1" t="s">
        <v>29</v>
      </c>
      <c r="F5063" s="5">
        <v>50000.0</v>
      </c>
      <c r="G5063" s="1" t="s">
        <v>7016</v>
      </c>
      <c r="H5063" s="4">
        <v>44055.0</v>
      </c>
      <c r="I5063" s="1" t="s">
        <v>302</v>
      </c>
      <c r="K5063" s="1">
        <v>0.0</v>
      </c>
      <c r="L5063" s="1" t="s">
        <v>2086</v>
      </c>
      <c r="M5063" s="1" t="str">
        <f>VLOOKUP(L5063,'Copy of PMD Workday Constants -'!B5062:W5748,22,false)</f>
        <v>#N/A</v>
      </c>
      <c r="N5063" s="1" t="s">
        <v>32</v>
      </c>
      <c r="O5063" s="1" t="s">
        <v>33</v>
      </c>
      <c r="P5063" s="1" t="s">
        <v>82</v>
      </c>
      <c r="Q5063" s="1" t="s">
        <v>82</v>
      </c>
      <c r="R5063" s="1" t="s">
        <v>83</v>
      </c>
      <c r="S5063" s="1" t="s">
        <v>14116</v>
      </c>
      <c r="T5063" s="1">
        <v>1.0061233E8</v>
      </c>
      <c r="W5063" s="1" t="s">
        <v>85</v>
      </c>
      <c r="X5063" s="1" t="s">
        <v>2086</v>
      </c>
    </row>
    <row r="5064">
      <c r="A5064" s="1" t="s">
        <v>14117</v>
      </c>
      <c r="B5064" s="1" t="s">
        <v>14118</v>
      </c>
      <c r="C5064" s="1" t="s">
        <v>14119</v>
      </c>
      <c r="D5064" s="1" t="s">
        <v>103</v>
      </c>
      <c r="E5064" s="1" t="s">
        <v>29</v>
      </c>
      <c r="F5064" s="5">
        <v>50000.0</v>
      </c>
      <c r="G5064" s="1" t="s">
        <v>7016</v>
      </c>
      <c r="H5064" s="4">
        <v>44389.0</v>
      </c>
      <c r="I5064" s="1" t="s">
        <v>43</v>
      </c>
      <c r="K5064" s="1">
        <v>0.0</v>
      </c>
      <c r="L5064" s="1" t="s">
        <v>3499</v>
      </c>
      <c r="M5064" s="1" t="str">
        <f>VLOOKUP(L5064,'Copy of PMD Workday Constants -'!B5063:W5749,22,false)</f>
        <v>#N/A</v>
      </c>
      <c r="N5064" s="1" t="s">
        <v>32</v>
      </c>
      <c r="O5064" s="1" t="s">
        <v>33</v>
      </c>
      <c r="P5064" s="1" t="s">
        <v>222</v>
      </c>
      <c r="Q5064" s="1" t="s">
        <v>222</v>
      </c>
      <c r="R5064" s="1" t="s">
        <v>223</v>
      </c>
      <c r="S5064" s="1" t="s">
        <v>646</v>
      </c>
      <c r="T5064" s="1">
        <v>1.00662113E8</v>
      </c>
      <c r="W5064" s="1" t="s">
        <v>533</v>
      </c>
      <c r="X5064" s="1" t="s">
        <v>3499</v>
      </c>
    </row>
    <row r="5065">
      <c r="A5065" s="1" t="s">
        <v>14120</v>
      </c>
      <c r="B5065" s="1" t="s">
        <v>49</v>
      </c>
      <c r="C5065" s="1" t="s">
        <v>10028</v>
      </c>
      <c r="D5065" s="1" t="s">
        <v>28</v>
      </c>
      <c r="E5065" s="1" t="s">
        <v>29</v>
      </c>
      <c r="F5065" s="5">
        <v>50000.0</v>
      </c>
      <c r="G5065" s="1" t="s">
        <v>7016</v>
      </c>
      <c r="H5065" s="1" t="s">
        <v>10029</v>
      </c>
      <c r="I5065" s="1" t="s">
        <v>152</v>
      </c>
      <c r="K5065" s="1">
        <v>0.0</v>
      </c>
      <c r="L5065" s="1" t="s">
        <v>53</v>
      </c>
      <c r="M5065" s="1" t="str">
        <f>VLOOKUP(L5065,'Copy of PMD Workday Constants -'!B5064:W5750,22,false)</f>
        <v>#N/A</v>
      </c>
      <c r="N5065" s="1" t="s">
        <v>32</v>
      </c>
      <c r="O5065" s="1" t="s">
        <v>33</v>
      </c>
      <c r="P5065" s="1" t="s">
        <v>54</v>
      </c>
      <c r="Q5065" s="1" t="s">
        <v>54</v>
      </c>
      <c r="R5065" s="1" t="s">
        <v>55</v>
      </c>
      <c r="S5065" s="1" t="s">
        <v>654</v>
      </c>
      <c r="T5065" s="1">
        <v>1.00690767E8</v>
      </c>
      <c r="W5065" s="1" t="s">
        <v>56</v>
      </c>
      <c r="X5065" s="1" t="s">
        <v>1266</v>
      </c>
    </row>
    <row r="5066">
      <c r="A5066" s="1" t="s">
        <v>14121</v>
      </c>
      <c r="B5066" s="1" t="s">
        <v>12633</v>
      </c>
      <c r="C5066" s="1" t="s">
        <v>14122</v>
      </c>
      <c r="D5066" s="1" t="s">
        <v>51</v>
      </c>
      <c r="E5066" s="1" t="s">
        <v>29</v>
      </c>
      <c r="F5066" s="5">
        <v>50000.0</v>
      </c>
      <c r="G5066" s="1" t="s">
        <v>7016</v>
      </c>
      <c r="H5066" s="4">
        <v>44410.0</v>
      </c>
      <c r="I5066" s="1" t="s">
        <v>302</v>
      </c>
      <c r="K5066" s="1">
        <v>0.0</v>
      </c>
      <c r="L5066" s="1" t="s">
        <v>4365</v>
      </c>
      <c r="M5066" s="1" t="str">
        <f>VLOOKUP(L5066,'Copy of PMD Workday Constants -'!B5065:W5751,22,false)</f>
        <v>#N/A</v>
      </c>
      <c r="N5066" s="1" t="s">
        <v>32</v>
      </c>
      <c r="O5066" s="1" t="s">
        <v>33</v>
      </c>
      <c r="P5066" s="1" t="s">
        <v>173</v>
      </c>
      <c r="Q5066" s="1" t="s">
        <v>173</v>
      </c>
      <c r="R5066" s="1" t="s">
        <v>174</v>
      </c>
      <c r="S5066" s="1" t="s">
        <v>492</v>
      </c>
      <c r="T5066" s="1">
        <v>1.0066064E8</v>
      </c>
      <c r="W5066" s="1" t="s">
        <v>456</v>
      </c>
      <c r="X5066" s="1" t="s">
        <v>7862</v>
      </c>
    </row>
    <row r="5067">
      <c r="A5067" s="1" t="s">
        <v>14123</v>
      </c>
      <c r="B5067" s="1" t="s">
        <v>13579</v>
      </c>
      <c r="C5067" s="1" t="s">
        <v>14124</v>
      </c>
      <c r="D5067" s="1" t="s">
        <v>51</v>
      </c>
      <c r="E5067" s="1" t="s">
        <v>29</v>
      </c>
      <c r="F5067" s="5">
        <v>50000.0</v>
      </c>
      <c r="G5067" s="1" t="s">
        <v>7016</v>
      </c>
      <c r="H5067" s="4">
        <v>44598.0</v>
      </c>
      <c r="I5067" s="4">
        <v>44840.0</v>
      </c>
      <c r="K5067" s="1">
        <v>0.0</v>
      </c>
      <c r="L5067" s="1" t="s">
        <v>13949</v>
      </c>
      <c r="M5067" s="1" t="str">
        <f>VLOOKUP(L5067,'Copy of PMD Workday Constants -'!B5066:W5752,22,false)</f>
        <v>#N/A</v>
      </c>
      <c r="N5067" s="1" t="s">
        <v>32</v>
      </c>
      <c r="O5067" s="1" t="s">
        <v>33</v>
      </c>
      <c r="P5067" s="1" t="s">
        <v>54</v>
      </c>
      <c r="Q5067" s="1" t="s">
        <v>54</v>
      </c>
      <c r="R5067" s="1" t="s">
        <v>55</v>
      </c>
      <c r="T5067" s="1">
        <v>1.00619604E8</v>
      </c>
      <c r="W5067" s="1" t="s">
        <v>577</v>
      </c>
      <c r="X5067" s="1" t="s">
        <v>14125</v>
      </c>
    </row>
    <row r="5068">
      <c r="A5068" s="1" t="s">
        <v>14126</v>
      </c>
      <c r="B5068" s="1" t="s">
        <v>1364</v>
      </c>
      <c r="C5068" s="1" t="s">
        <v>14127</v>
      </c>
      <c r="D5068" s="1" t="s">
        <v>28</v>
      </c>
      <c r="E5068" s="1" t="s">
        <v>29</v>
      </c>
      <c r="F5068" s="5">
        <v>50000.0</v>
      </c>
      <c r="G5068" s="1" t="s">
        <v>7016</v>
      </c>
      <c r="H5068" s="4">
        <v>44260.0</v>
      </c>
      <c r="I5068" s="4">
        <v>44570.0</v>
      </c>
      <c r="K5068" s="1">
        <v>0.0</v>
      </c>
      <c r="L5068" s="1" t="s">
        <v>3148</v>
      </c>
      <c r="M5068" s="1" t="str">
        <f>VLOOKUP(L5068,'Copy of PMD Workday Constants -'!B5067:W5753,22,false)</f>
        <v>#N/A</v>
      </c>
      <c r="N5068" s="1" t="s">
        <v>32</v>
      </c>
      <c r="O5068" s="1" t="s">
        <v>33</v>
      </c>
      <c r="P5068" s="1" t="s">
        <v>112</v>
      </c>
      <c r="Q5068" s="1" t="s">
        <v>112</v>
      </c>
      <c r="R5068" s="1" t="s">
        <v>113</v>
      </c>
      <c r="S5068" s="1" t="s">
        <v>455</v>
      </c>
      <c r="T5068" s="1">
        <v>1.00620159E8</v>
      </c>
      <c r="W5068" s="1" t="s">
        <v>85</v>
      </c>
      <c r="X5068" s="1" t="s">
        <v>2418</v>
      </c>
    </row>
    <row r="5069">
      <c r="A5069" s="1" t="s">
        <v>14128</v>
      </c>
      <c r="B5069" s="1" t="s">
        <v>1062</v>
      </c>
      <c r="C5069" s="1" t="s">
        <v>14129</v>
      </c>
      <c r="D5069" s="1" t="s">
        <v>28</v>
      </c>
      <c r="E5069" s="1" t="s">
        <v>29</v>
      </c>
      <c r="F5069" s="5">
        <v>50000.0</v>
      </c>
      <c r="G5069" s="1" t="s">
        <v>7016</v>
      </c>
      <c r="H5069" s="4">
        <v>44565.0</v>
      </c>
      <c r="I5069" s="4">
        <v>44568.0</v>
      </c>
      <c r="K5069" s="1">
        <v>0.0</v>
      </c>
      <c r="L5069" s="1" t="s">
        <v>4438</v>
      </c>
      <c r="M5069" s="1" t="str">
        <f>VLOOKUP(L5069,'Copy of PMD Workday Constants -'!B5068:W5754,22,false)</f>
        <v>#N/A</v>
      </c>
      <c r="N5069" s="1" t="s">
        <v>32</v>
      </c>
      <c r="O5069" s="1" t="s">
        <v>33</v>
      </c>
      <c r="P5069" s="1" t="s">
        <v>34</v>
      </c>
      <c r="Q5069" s="1" t="s">
        <v>34</v>
      </c>
      <c r="R5069" s="1" t="s">
        <v>35</v>
      </c>
      <c r="T5069" s="1">
        <v>1.01088701E8</v>
      </c>
      <c r="W5069" s="1" t="s">
        <v>493</v>
      </c>
      <c r="X5069" s="1" t="s">
        <v>7879</v>
      </c>
    </row>
    <row r="5070">
      <c r="A5070" s="1" t="s">
        <v>14130</v>
      </c>
      <c r="B5070" s="1" t="s">
        <v>14131</v>
      </c>
      <c r="C5070" s="1" t="s">
        <v>14132</v>
      </c>
      <c r="D5070" s="1" t="s">
        <v>51</v>
      </c>
      <c r="E5070" s="1" t="s">
        <v>29</v>
      </c>
      <c r="F5070" s="5">
        <v>50000.0</v>
      </c>
      <c r="G5070" s="1" t="s">
        <v>7016</v>
      </c>
      <c r="H5070" s="1" t="s">
        <v>110</v>
      </c>
      <c r="I5070" s="1" t="s">
        <v>865</v>
      </c>
      <c r="K5070" s="1">
        <v>0.0</v>
      </c>
      <c r="L5070" s="1" t="s">
        <v>13450</v>
      </c>
      <c r="M5070" s="1" t="str">
        <f>VLOOKUP(L5070,'Copy of PMD Workday Constants -'!B5069:W5755,22,false)</f>
        <v>#N/A</v>
      </c>
      <c r="N5070" s="1" t="s">
        <v>32</v>
      </c>
      <c r="O5070" s="1" t="s">
        <v>33</v>
      </c>
      <c r="P5070" s="1" t="s">
        <v>222</v>
      </c>
      <c r="Q5070" s="1" t="s">
        <v>222</v>
      </c>
      <c r="R5070" s="1" t="s">
        <v>223</v>
      </c>
      <c r="T5070" s="1">
        <v>1.00634698E8</v>
      </c>
      <c r="W5070" s="1" t="s">
        <v>436</v>
      </c>
      <c r="X5070" s="1" t="s">
        <v>14133</v>
      </c>
    </row>
    <row r="5071">
      <c r="A5071" s="1" t="s">
        <v>14134</v>
      </c>
      <c r="B5071" s="1" t="s">
        <v>3989</v>
      </c>
      <c r="C5071" s="1" t="s">
        <v>14135</v>
      </c>
      <c r="D5071" s="1" t="s">
        <v>28</v>
      </c>
      <c r="E5071" s="1" t="s">
        <v>29</v>
      </c>
      <c r="F5071" s="5">
        <v>50000.0</v>
      </c>
      <c r="G5071" s="1" t="s">
        <v>7016</v>
      </c>
      <c r="H5071" s="1" t="s">
        <v>5799</v>
      </c>
      <c r="I5071" s="1" t="s">
        <v>104</v>
      </c>
      <c r="K5071" s="1">
        <v>0.0</v>
      </c>
      <c r="L5071" s="1" t="s">
        <v>111</v>
      </c>
      <c r="M5071" s="1" t="str">
        <f>VLOOKUP(L5071,'Copy of PMD Workday Constants -'!B5070:W5756,22,false)</f>
        <v>#N/A</v>
      </c>
      <c r="N5071" s="1" t="s">
        <v>32</v>
      </c>
      <c r="O5071" s="1" t="s">
        <v>33</v>
      </c>
      <c r="P5071" s="1" t="s">
        <v>112</v>
      </c>
      <c r="Q5071" s="1" t="s">
        <v>112</v>
      </c>
      <c r="R5071" s="1" t="s">
        <v>113</v>
      </c>
      <c r="S5071" s="1" t="s">
        <v>455</v>
      </c>
      <c r="T5071" s="1">
        <v>1.00596941E8</v>
      </c>
      <c r="W5071" s="1" t="s">
        <v>456</v>
      </c>
      <c r="X5071" s="1" t="s">
        <v>7862</v>
      </c>
    </row>
    <row r="5072">
      <c r="A5072" s="1" t="s">
        <v>14136</v>
      </c>
      <c r="B5072" s="1" t="s">
        <v>477</v>
      </c>
      <c r="C5072" s="1" t="s">
        <v>14137</v>
      </c>
      <c r="D5072" s="1" t="s">
        <v>28</v>
      </c>
      <c r="E5072" s="1" t="s">
        <v>29</v>
      </c>
      <c r="F5072" s="5">
        <v>50000.0</v>
      </c>
      <c r="G5072" s="1" t="s">
        <v>7016</v>
      </c>
      <c r="H5072" s="4">
        <v>44837.0</v>
      </c>
      <c r="I5072" s="1" t="s">
        <v>80</v>
      </c>
      <c r="K5072" s="1">
        <v>0.0</v>
      </c>
      <c r="L5072" s="1" t="s">
        <v>481</v>
      </c>
      <c r="M5072" s="1" t="str">
        <f>VLOOKUP(L5072,'Copy of PMD Workday Constants -'!B5071:W5757,22,false)</f>
        <v>#N/A</v>
      </c>
      <c r="N5072" s="1" t="s">
        <v>32</v>
      </c>
      <c r="O5072" s="1" t="s">
        <v>33</v>
      </c>
      <c r="P5072" s="1" t="s">
        <v>222</v>
      </c>
      <c r="Q5072" s="1" t="s">
        <v>222</v>
      </c>
      <c r="R5072" s="1" t="s">
        <v>223</v>
      </c>
      <c r="S5072" s="1" t="s">
        <v>646</v>
      </c>
      <c r="T5072" s="1">
        <v>1.00654864E8</v>
      </c>
      <c r="W5072" s="1" t="s">
        <v>391</v>
      </c>
      <c r="X5072" s="1" t="s">
        <v>14138</v>
      </c>
    </row>
    <row r="5073">
      <c r="A5073" s="1" t="s">
        <v>14139</v>
      </c>
      <c r="B5073" s="1" t="s">
        <v>598</v>
      </c>
      <c r="C5073" s="1" t="s">
        <v>14140</v>
      </c>
      <c r="D5073" s="1" t="s">
        <v>28</v>
      </c>
      <c r="E5073" s="1" t="s">
        <v>29</v>
      </c>
      <c r="F5073" s="5">
        <v>50000.0</v>
      </c>
      <c r="G5073" s="1" t="s">
        <v>7016</v>
      </c>
      <c r="H5073" s="1" t="s">
        <v>14141</v>
      </c>
      <c r="I5073" s="1" t="s">
        <v>217</v>
      </c>
      <c r="K5073" s="1">
        <v>0.0</v>
      </c>
      <c r="L5073" s="1" t="s">
        <v>600</v>
      </c>
      <c r="M5073" s="1" t="str">
        <f>VLOOKUP(L5073,'Copy of PMD Workday Constants -'!B5072:W5758,22,false)</f>
        <v>#N/A</v>
      </c>
      <c r="N5073" s="1" t="s">
        <v>32</v>
      </c>
      <c r="O5073" s="1" t="s">
        <v>33</v>
      </c>
      <c r="P5073" s="1" t="s">
        <v>222</v>
      </c>
      <c r="Q5073" s="1" t="s">
        <v>222</v>
      </c>
      <c r="R5073" s="1" t="s">
        <v>223</v>
      </c>
      <c r="S5073" s="1" t="s">
        <v>73</v>
      </c>
      <c r="T5073" s="1">
        <v>1.00646519E8</v>
      </c>
      <c r="W5073" s="1" t="s">
        <v>37</v>
      </c>
      <c r="X5073" s="1" t="s">
        <v>8273</v>
      </c>
    </row>
    <row r="5074">
      <c r="A5074" s="1" t="s">
        <v>14142</v>
      </c>
      <c r="B5074" s="1" t="s">
        <v>12848</v>
      </c>
      <c r="C5074" s="1" t="s">
        <v>14143</v>
      </c>
      <c r="D5074" s="1" t="s">
        <v>28</v>
      </c>
      <c r="E5074" s="1" t="s">
        <v>29</v>
      </c>
      <c r="F5074" s="5">
        <v>50000.0</v>
      </c>
      <c r="G5074" s="1" t="s">
        <v>7016</v>
      </c>
      <c r="H5074" s="1" t="s">
        <v>4625</v>
      </c>
      <c r="I5074" s="4">
        <v>44902.0</v>
      </c>
      <c r="K5074" s="1">
        <v>0.0</v>
      </c>
      <c r="L5074" s="1" t="s">
        <v>5078</v>
      </c>
      <c r="M5074" s="1" t="str">
        <f>VLOOKUP(L5074,'Copy of PMD Workday Constants -'!B5073:W5759,22,false)</f>
        <v>#N/A</v>
      </c>
      <c r="N5074" s="1" t="s">
        <v>32</v>
      </c>
      <c r="O5074" s="1" t="s">
        <v>33</v>
      </c>
      <c r="P5074" s="1" t="s">
        <v>34</v>
      </c>
      <c r="Q5074" s="1" t="s">
        <v>34</v>
      </c>
      <c r="R5074" s="1" t="s">
        <v>35</v>
      </c>
      <c r="T5074" s="1">
        <v>1.00658994E8</v>
      </c>
      <c r="W5074" s="1" t="s">
        <v>140</v>
      </c>
      <c r="X5074" s="1" t="s">
        <v>5411</v>
      </c>
    </row>
    <row r="5075">
      <c r="A5075" s="1" t="s">
        <v>14144</v>
      </c>
      <c r="B5075" s="1" t="s">
        <v>7974</v>
      </c>
      <c r="C5075" s="1" t="s">
        <v>14145</v>
      </c>
      <c r="D5075" s="1" t="s">
        <v>28</v>
      </c>
      <c r="E5075" s="1" t="s">
        <v>29</v>
      </c>
      <c r="F5075" s="5">
        <v>50000.0</v>
      </c>
      <c r="G5075" s="1" t="s">
        <v>7016</v>
      </c>
      <c r="H5075" s="1" t="s">
        <v>14141</v>
      </c>
      <c r="I5075" s="1" t="s">
        <v>217</v>
      </c>
      <c r="K5075" s="1">
        <v>0.0</v>
      </c>
      <c r="L5075" s="1" t="s">
        <v>600</v>
      </c>
      <c r="M5075" s="1" t="str">
        <f>VLOOKUP(L5075,'Copy of PMD Workday Constants -'!B5074:W5760,22,false)</f>
        <v>#N/A</v>
      </c>
      <c r="N5075" s="1" t="s">
        <v>32</v>
      </c>
      <c r="O5075" s="1" t="s">
        <v>33</v>
      </c>
      <c r="P5075" s="1" t="s">
        <v>222</v>
      </c>
      <c r="Q5075" s="1" t="s">
        <v>222</v>
      </c>
      <c r="R5075" s="1" t="s">
        <v>223</v>
      </c>
      <c r="S5075" s="1" t="s">
        <v>601</v>
      </c>
      <c r="T5075" s="1">
        <v>1.00646519E8</v>
      </c>
      <c r="W5075" s="1" t="s">
        <v>37</v>
      </c>
      <c r="X5075" s="1" t="s">
        <v>8273</v>
      </c>
    </row>
    <row r="5076">
      <c r="A5076" s="1" t="s">
        <v>14146</v>
      </c>
      <c r="B5076" s="1" t="s">
        <v>324</v>
      </c>
      <c r="C5076" s="1" t="s">
        <v>14147</v>
      </c>
      <c r="D5076" s="1" t="s">
        <v>28</v>
      </c>
      <c r="E5076" s="1" t="s">
        <v>29</v>
      </c>
      <c r="F5076" s="5">
        <v>50000.0</v>
      </c>
      <c r="G5076" s="1" t="s">
        <v>7016</v>
      </c>
      <c r="H5076" s="4">
        <v>44324.0</v>
      </c>
      <c r="I5076" s="1" t="s">
        <v>3052</v>
      </c>
      <c r="K5076" s="1">
        <v>0.0</v>
      </c>
      <c r="L5076" s="1" t="s">
        <v>3975</v>
      </c>
      <c r="M5076" s="1" t="str">
        <f>VLOOKUP(L5076,'Copy of PMD Workday Constants -'!B5075:W5761,22,false)</f>
        <v>#N/A</v>
      </c>
      <c r="N5076" s="1" t="s">
        <v>32</v>
      </c>
      <c r="O5076" s="1" t="s">
        <v>33</v>
      </c>
      <c r="P5076" s="1" t="s">
        <v>210</v>
      </c>
      <c r="Q5076" s="1" t="s">
        <v>210</v>
      </c>
      <c r="R5076" s="1" t="s">
        <v>211</v>
      </c>
      <c r="S5076" s="1" t="s">
        <v>212</v>
      </c>
      <c r="T5076" s="1">
        <v>1.00623535E8</v>
      </c>
      <c r="W5076" s="1" t="s">
        <v>56</v>
      </c>
      <c r="X5076" s="1" t="s">
        <v>3975</v>
      </c>
    </row>
    <row r="5077">
      <c r="A5077" s="1" t="s">
        <v>14148</v>
      </c>
      <c r="B5077" s="1" t="s">
        <v>804</v>
      </c>
      <c r="C5077" s="1" t="s">
        <v>14149</v>
      </c>
      <c r="D5077" s="1" t="s">
        <v>28</v>
      </c>
      <c r="E5077" s="1" t="s">
        <v>29</v>
      </c>
      <c r="F5077" s="5">
        <v>50000.0</v>
      </c>
      <c r="G5077" s="1" t="s">
        <v>7016</v>
      </c>
      <c r="H5077" s="1" t="s">
        <v>14150</v>
      </c>
      <c r="I5077" s="1" t="s">
        <v>132</v>
      </c>
      <c r="K5077" s="1">
        <v>0.0</v>
      </c>
      <c r="L5077" s="1" t="s">
        <v>557</v>
      </c>
      <c r="M5077" s="1" t="str">
        <f>VLOOKUP(L5077,'Copy of PMD Workday Constants -'!B5076:W5762,22,false)</f>
        <v>#N/A</v>
      </c>
      <c r="N5077" s="1" t="s">
        <v>32</v>
      </c>
      <c r="O5077" s="1" t="s">
        <v>33</v>
      </c>
      <c r="P5077" s="1" t="s">
        <v>173</v>
      </c>
      <c r="Q5077" s="1" t="s">
        <v>173</v>
      </c>
      <c r="R5077" s="1" t="s">
        <v>174</v>
      </c>
      <c r="T5077" s="1">
        <v>1.00700761E8</v>
      </c>
      <c r="W5077" s="1" t="s">
        <v>147</v>
      </c>
      <c r="X5077" s="1" t="s">
        <v>7540</v>
      </c>
    </row>
    <row r="5078">
      <c r="A5078" s="1" t="s">
        <v>14151</v>
      </c>
      <c r="B5078" s="1" t="s">
        <v>14152</v>
      </c>
      <c r="C5078" s="1" t="s">
        <v>14153</v>
      </c>
      <c r="D5078" s="1" t="s">
        <v>51</v>
      </c>
      <c r="E5078" s="1" t="s">
        <v>29</v>
      </c>
      <c r="F5078" s="5">
        <v>50000.0</v>
      </c>
      <c r="G5078" s="1" t="s">
        <v>7016</v>
      </c>
      <c r="H5078" s="4">
        <v>44237.0</v>
      </c>
      <c r="I5078" s="1" t="s">
        <v>80</v>
      </c>
      <c r="K5078" s="1">
        <v>0.0</v>
      </c>
      <c r="L5078" s="1" t="s">
        <v>2013</v>
      </c>
      <c r="M5078" s="1" t="str">
        <f>VLOOKUP(L5078,'Copy of PMD Workday Constants -'!B5077:W5763,22,false)</f>
        <v>#N/A</v>
      </c>
      <c r="N5078" s="1" t="s">
        <v>32</v>
      </c>
      <c r="O5078" s="1" t="s">
        <v>33</v>
      </c>
      <c r="P5078" s="1" t="s">
        <v>222</v>
      </c>
      <c r="Q5078" s="1" t="s">
        <v>222</v>
      </c>
      <c r="R5078" s="1" t="s">
        <v>223</v>
      </c>
      <c r="S5078" s="1" t="s">
        <v>482</v>
      </c>
      <c r="T5078" s="1">
        <v>1.00596618E8</v>
      </c>
      <c r="W5078" s="1" t="s">
        <v>56</v>
      </c>
      <c r="X5078" s="1" t="s">
        <v>11863</v>
      </c>
    </row>
    <row r="5079">
      <c r="A5079" s="1" t="s">
        <v>14154</v>
      </c>
      <c r="B5079" s="1" t="s">
        <v>6591</v>
      </c>
      <c r="C5079" s="1" t="s">
        <v>14155</v>
      </c>
      <c r="D5079" s="1" t="s">
        <v>103</v>
      </c>
      <c r="E5079" s="1" t="s">
        <v>29</v>
      </c>
      <c r="F5079" s="5">
        <v>50000.0</v>
      </c>
      <c r="G5079" s="1" t="s">
        <v>7016</v>
      </c>
      <c r="H5079" s="4">
        <v>44837.0</v>
      </c>
      <c r="I5079" s="1" t="s">
        <v>865</v>
      </c>
      <c r="K5079" s="1">
        <v>0.0</v>
      </c>
      <c r="L5079" s="1" t="s">
        <v>11577</v>
      </c>
      <c r="M5079" s="1" t="str">
        <f>VLOOKUP(L5079,'Copy of PMD Workday Constants -'!B5078:W5764,22,false)</f>
        <v>#N/A</v>
      </c>
      <c r="N5079" s="1" t="s">
        <v>32</v>
      </c>
      <c r="O5079" s="1" t="s">
        <v>33</v>
      </c>
      <c r="P5079" s="1" t="s">
        <v>222</v>
      </c>
      <c r="Q5079" s="1" t="s">
        <v>222</v>
      </c>
      <c r="R5079" s="1" t="s">
        <v>223</v>
      </c>
      <c r="S5079" s="1" t="s">
        <v>482</v>
      </c>
      <c r="T5079" s="1">
        <v>1.00626837E8</v>
      </c>
      <c r="W5079" s="1" t="s">
        <v>456</v>
      </c>
      <c r="X5079" s="1" t="s">
        <v>11577</v>
      </c>
    </row>
    <row r="5080">
      <c r="A5080" s="1" t="s">
        <v>14156</v>
      </c>
      <c r="B5080" s="1" t="s">
        <v>1305</v>
      </c>
      <c r="C5080" s="1" t="s">
        <v>14157</v>
      </c>
      <c r="D5080" s="1" t="s">
        <v>28</v>
      </c>
      <c r="E5080" s="1" t="s">
        <v>29</v>
      </c>
      <c r="F5080" s="5">
        <v>50000.0</v>
      </c>
      <c r="G5080" s="1" t="s">
        <v>7016</v>
      </c>
      <c r="H5080" s="4">
        <v>44378.0</v>
      </c>
      <c r="I5080" s="1" t="s">
        <v>152</v>
      </c>
      <c r="K5080" s="1">
        <v>0.0</v>
      </c>
      <c r="L5080" s="1" t="s">
        <v>5087</v>
      </c>
      <c r="M5080" s="1" t="str">
        <f>VLOOKUP(L5080,'Copy of PMD Workday Constants -'!B5079:W5765,22,false)</f>
        <v>#N/A</v>
      </c>
      <c r="N5080" s="1" t="s">
        <v>32</v>
      </c>
      <c r="O5080" s="1" t="s">
        <v>33</v>
      </c>
      <c r="P5080" s="1" t="s">
        <v>64</v>
      </c>
      <c r="Q5080" s="1" t="s">
        <v>64</v>
      </c>
      <c r="R5080" s="1" t="s">
        <v>65</v>
      </c>
      <c r="S5080" s="1" t="s">
        <v>601</v>
      </c>
      <c r="T5080" s="1">
        <v>1.00610826E8</v>
      </c>
      <c r="W5080" s="1" t="s">
        <v>456</v>
      </c>
      <c r="X5080" s="1" t="s">
        <v>7862</v>
      </c>
    </row>
    <row r="5081">
      <c r="A5081" s="1" t="s">
        <v>14158</v>
      </c>
      <c r="B5081" s="1" t="s">
        <v>507</v>
      </c>
      <c r="C5081" s="1" t="s">
        <v>14159</v>
      </c>
      <c r="D5081" s="1" t="s">
        <v>28</v>
      </c>
      <c r="E5081" s="1" t="s">
        <v>29</v>
      </c>
      <c r="F5081" s="5">
        <v>50000.0</v>
      </c>
      <c r="G5081" s="1" t="s">
        <v>7016</v>
      </c>
      <c r="H5081" s="1" t="s">
        <v>3777</v>
      </c>
      <c r="I5081" s="1" t="s">
        <v>302</v>
      </c>
      <c r="K5081" s="1">
        <v>0.0</v>
      </c>
      <c r="L5081" s="1" t="s">
        <v>5415</v>
      </c>
      <c r="M5081" s="1" t="str">
        <f>VLOOKUP(L5081,'Copy of PMD Workday Constants -'!B5080:W5766,22,false)</f>
        <v>#N/A</v>
      </c>
      <c r="N5081" s="1" t="s">
        <v>32</v>
      </c>
      <c r="O5081" s="1" t="s">
        <v>33</v>
      </c>
      <c r="P5081" s="1" t="s">
        <v>222</v>
      </c>
      <c r="Q5081" s="1" t="s">
        <v>222</v>
      </c>
      <c r="R5081" s="1" t="s">
        <v>223</v>
      </c>
      <c r="S5081" s="1" t="s">
        <v>601</v>
      </c>
      <c r="T5081" s="1">
        <v>1.00933537E8</v>
      </c>
      <c r="W5081" s="1" t="s">
        <v>456</v>
      </c>
      <c r="X5081" s="1" t="s">
        <v>7862</v>
      </c>
    </row>
    <row r="5082">
      <c r="A5082" s="1" t="s">
        <v>14160</v>
      </c>
      <c r="B5082" s="1" t="s">
        <v>14161</v>
      </c>
      <c r="C5082" s="1" t="s">
        <v>14162</v>
      </c>
      <c r="D5082" s="1" t="s">
        <v>51</v>
      </c>
      <c r="E5082" s="1" t="s">
        <v>29</v>
      </c>
      <c r="F5082" s="5">
        <v>50000.0</v>
      </c>
      <c r="G5082" s="1" t="s">
        <v>7016</v>
      </c>
      <c r="H5082" s="1" t="s">
        <v>1672</v>
      </c>
      <c r="I5082" s="1" t="s">
        <v>301</v>
      </c>
      <c r="K5082" s="1">
        <v>0.0</v>
      </c>
      <c r="L5082" s="1" t="s">
        <v>2013</v>
      </c>
      <c r="M5082" s="1" t="str">
        <f>VLOOKUP(L5082,'Copy of PMD Workday Constants -'!B5081:W5767,22,false)</f>
        <v>#N/A</v>
      </c>
      <c r="N5082" s="1" t="s">
        <v>32</v>
      </c>
      <c r="O5082" s="1" t="s">
        <v>33</v>
      </c>
      <c r="P5082" s="1" t="s">
        <v>222</v>
      </c>
      <c r="Q5082" s="1" t="s">
        <v>222</v>
      </c>
      <c r="R5082" s="1" t="s">
        <v>223</v>
      </c>
      <c r="S5082" s="1" t="s">
        <v>482</v>
      </c>
      <c r="T5082" s="1">
        <v>1.00596618E8</v>
      </c>
      <c r="W5082" s="1" t="s">
        <v>74</v>
      </c>
      <c r="X5082" s="1" t="s">
        <v>13186</v>
      </c>
    </row>
    <row r="5083">
      <c r="A5083" s="1" t="s">
        <v>14163</v>
      </c>
      <c r="B5083" s="1" t="s">
        <v>14164</v>
      </c>
      <c r="C5083" s="1" t="s">
        <v>14165</v>
      </c>
      <c r="D5083" s="1" t="s">
        <v>103</v>
      </c>
      <c r="E5083" s="1" t="s">
        <v>29</v>
      </c>
      <c r="F5083" s="5">
        <v>50000.0</v>
      </c>
      <c r="G5083" s="1" t="s">
        <v>7016</v>
      </c>
      <c r="H5083" s="4">
        <v>44866.0</v>
      </c>
      <c r="I5083" s="1" t="s">
        <v>8252</v>
      </c>
      <c r="K5083" s="1">
        <v>0.0</v>
      </c>
      <c r="L5083" s="1" t="s">
        <v>2630</v>
      </c>
      <c r="M5083" s="1" t="str">
        <f>VLOOKUP(L5083,'Copy of PMD Workday Constants -'!B5082:W5768,22,false)</f>
        <v>#N/A</v>
      </c>
      <c r="N5083" s="1" t="s">
        <v>32</v>
      </c>
      <c r="O5083" s="1" t="s">
        <v>33</v>
      </c>
      <c r="P5083" s="1" t="s">
        <v>34</v>
      </c>
      <c r="Q5083" s="1" t="s">
        <v>34</v>
      </c>
      <c r="R5083" s="1" t="s">
        <v>35</v>
      </c>
      <c r="S5083" s="1" t="s">
        <v>1166</v>
      </c>
      <c r="T5083" s="1">
        <v>1.00606975E8</v>
      </c>
      <c r="W5083" s="1" t="s">
        <v>456</v>
      </c>
      <c r="X5083" s="1" t="s">
        <v>279</v>
      </c>
    </row>
    <row r="5084">
      <c r="A5084" s="1" t="s">
        <v>14166</v>
      </c>
      <c r="B5084" s="1" t="s">
        <v>12142</v>
      </c>
      <c r="C5084" s="1" t="s">
        <v>14167</v>
      </c>
      <c r="D5084" s="1" t="s">
        <v>28</v>
      </c>
      <c r="E5084" s="1" t="s">
        <v>29</v>
      </c>
      <c r="F5084" s="5">
        <v>50000.0</v>
      </c>
      <c r="G5084" s="1" t="s">
        <v>7016</v>
      </c>
      <c r="H5084" s="1" t="s">
        <v>1349</v>
      </c>
      <c r="I5084" s="1" t="s">
        <v>80</v>
      </c>
      <c r="K5084" s="1">
        <v>0.0</v>
      </c>
      <c r="L5084" s="1" t="s">
        <v>5558</v>
      </c>
      <c r="M5084" s="1" t="str">
        <f>VLOOKUP(L5084,'Copy of PMD Workday Constants -'!B5083:W5769,22,false)</f>
        <v>#N/A</v>
      </c>
      <c r="N5084" s="1" t="s">
        <v>32</v>
      </c>
      <c r="O5084" s="1" t="s">
        <v>33</v>
      </c>
      <c r="P5084" s="1" t="s">
        <v>222</v>
      </c>
      <c r="Q5084" s="1" t="s">
        <v>222</v>
      </c>
      <c r="R5084" s="1" t="s">
        <v>223</v>
      </c>
      <c r="S5084" s="1" t="s">
        <v>482</v>
      </c>
      <c r="T5084" s="1">
        <v>1.00652479E8</v>
      </c>
      <c r="W5084" s="1" t="s">
        <v>85</v>
      </c>
      <c r="X5084" s="1" t="s">
        <v>6578</v>
      </c>
    </row>
    <row r="5085">
      <c r="A5085" s="1" t="s">
        <v>14168</v>
      </c>
      <c r="B5085" s="1" t="s">
        <v>828</v>
      </c>
      <c r="C5085" s="1" t="s">
        <v>14169</v>
      </c>
      <c r="D5085" s="1" t="s">
        <v>51</v>
      </c>
      <c r="E5085" s="1" t="s">
        <v>29</v>
      </c>
      <c r="F5085" s="5">
        <v>50000.0</v>
      </c>
      <c r="G5085" s="1" t="s">
        <v>7016</v>
      </c>
      <c r="H5085" s="1" t="s">
        <v>2484</v>
      </c>
      <c r="I5085" s="1" t="s">
        <v>865</v>
      </c>
      <c r="K5085" s="1">
        <v>0.0</v>
      </c>
      <c r="L5085" s="1" t="s">
        <v>13356</v>
      </c>
      <c r="M5085" s="1" t="str">
        <f>VLOOKUP(L5085,'Copy of PMD Workday Constants -'!B5084:W5770,22,false)</f>
        <v>#N/A</v>
      </c>
      <c r="N5085" s="1" t="s">
        <v>32</v>
      </c>
      <c r="O5085" s="1" t="s">
        <v>33</v>
      </c>
      <c r="P5085" s="1" t="s">
        <v>222</v>
      </c>
      <c r="Q5085" s="1" t="s">
        <v>222</v>
      </c>
      <c r="R5085" s="1" t="s">
        <v>223</v>
      </c>
      <c r="S5085" s="1" t="s">
        <v>4414</v>
      </c>
      <c r="T5085" s="1">
        <v>1.00628004E8</v>
      </c>
      <c r="W5085" s="1" t="s">
        <v>577</v>
      </c>
      <c r="X5085" s="1" t="s">
        <v>14170</v>
      </c>
    </row>
    <row r="5086">
      <c r="A5086" s="1" t="s">
        <v>14171</v>
      </c>
      <c r="B5086" s="1" t="s">
        <v>5797</v>
      </c>
      <c r="C5086" s="1" t="s">
        <v>14172</v>
      </c>
      <c r="D5086" s="1" t="s">
        <v>28</v>
      </c>
      <c r="E5086" s="1" t="s">
        <v>29</v>
      </c>
      <c r="F5086" s="5">
        <v>50000.0</v>
      </c>
      <c r="G5086" s="1" t="s">
        <v>7016</v>
      </c>
      <c r="H5086" s="1" t="s">
        <v>14173</v>
      </c>
      <c r="I5086" s="1" t="s">
        <v>80</v>
      </c>
      <c r="K5086" s="1">
        <v>0.0</v>
      </c>
      <c r="L5086" s="1" t="s">
        <v>6081</v>
      </c>
      <c r="M5086" s="1" t="str">
        <f>VLOOKUP(L5086,'Copy of PMD Workday Constants -'!B5085:W5771,22,false)</f>
        <v>#N/A</v>
      </c>
      <c r="N5086" s="1" t="s">
        <v>32</v>
      </c>
      <c r="O5086" s="1" t="s">
        <v>33</v>
      </c>
      <c r="P5086" s="1" t="s">
        <v>222</v>
      </c>
      <c r="Q5086" s="1" t="s">
        <v>222</v>
      </c>
      <c r="R5086" s="1" t="s">
        <v>223</v>
      </c>
      <c r="S5086" s="1" t="s">
        <v>285</v>
      </c>
      <c r="T5086" s="1">
        <v>1.00632043E8</v>
      </c>
      <c r="W5086" s="1" t="s">
        <v>47</v>
      </c>
      <c r="X5086" s="1" t="s">
        <v>6081</v>
      </c>
    </row>
    <row r="5087">
      <c r="A5087" s="1" t="s">
        <v>14174</v>
      </c>
      <c r="B5087" s="1" t="s">
        <v>5549</v>
      </c>
      <c r="C5087" s="1" t="s">
        <v>14175</v>
      </c>
      <c r="D5087" s="1" t="s">
        <v>51</v>
      </c>
      <c r="E5087" s="1" t="s">
        <v>29</v>
      </c>
      <c r="F5087" s="5">
        <v>50000.0</v>
      </c>
      <c r="G5087" s="1" t="s">
        <v>7016</v>
      </c>
      <c r="H5087" s="4">
        <v>44533.0</v>
      </c>
      <c r="I5087" s="1" t="s">
        <v>217</v>
      </c>
      <c r="K5087" s="1">
        <v>0.0</v>
      </c>
      <c r="L5087" s="1" t="s">
        <v>4608</v>
      </c>
      <c r="M5087" s="1" t="str">
        <f>VLOOKUP(L5087,'Copy of PMD Workday Constants -'!B5086:W5772,22,false)</f>
        <v>#N/A</v>
      </c>
      <c r="N5087" s="1" t="s">
        <v>32</v>
      </c>
      <c r="O5087" s="1" t="s">
        <v>33</v>
      </c>
      <c r="P5087" s="1" t="s">
        <v>222</v>
      </c>
      <c r="Q5087" s="1" t="s">
        <v>222</v>
      </c>
      <c r="R5087" s="1" t="s">
        <v>223</v>
      </c>
      <c r="S5087" s="1" t="s">
        <v>482</v>
      </c>
      <c r="T5087" s="1">
        <v>1.00592715E8</v>
      </c>
      <c r="W5087" s="1" t="s">
        <v>115</v>
      </c>
      <c r="X5087" s="1" t="s">
        <v>10153</v>
      </c>
    </row>
    <row r="5088">
      <c r="A5088" s="1" t="s">
        <v>14176</v>
      </c>
      <c r="B5088" s="1" t="s">
        <v>14177</v>
      </c>
      <c r="C5088" s="1" t="s">
        <v>14178</v>
      </c>
      <c r="D5088" s="1" t="s">
        <v>51</v>
      </c>
      <c r="E5088" s="1" t="s">
        <v>29</v>
      </c>
      <c r="F5088" s="5">
        <v>50000.0</v>
      </c>
      <c r="G5088" s="1" t="s">
        <v>7016</v>
      </c>
      <c r="H5088" s="4">
        <v>44870.0</v>
      </c>
      <c r="I5088" s="4">
        <v>44840.0</v>
      </c>
      <c r="K5088" s="1">
        <v>0.0</v>
      </c>
      <c r="L5088" s="1" t="s">
        <v>5295</v>
      </c>
      <c r="M5088" s="1" t="str">
        <f>VLOOKUP(L5088,'Copy of PMD Workday Constants -'!B5087:W5773,22,false)</f>
        <v>#N/A</v>
      </c>
      <c r="N5088" s="1" t="s">
        <v>32</v>
      </c>
      <c r="O5088" s="1" t="s">
        <v>33</v>
      </c>
      <c r="P5088" s="1" t="s">
        <v>222</v>
      </c>
      <c r="Q5088" s="1" t="s">
        <v>222</v>
      </c>
      <c r="R5088" s="1" t="s">
        <v>223</v>
      </c>
      <c r="T5088" s="1">
        <v>1.00605581E8</v>
      </c>
      <c r="W5088" s="1" t="s">
        <v>85</v>
      </c>
      <c r="X5088" s="1" t="s">
        <v>6283</v>
      </c>
    </row>
    <row r="5089">
      <c r="A5089" s="1" t="s">
        <v>14179</v>
      </c>
      <c r="B5089" s="1" t="s">
        <v>14180</v>
      </c>
      <c r="C5089" s="1" t="s">
        <v>14181</v>
      </c>
      <c r="D5089" s="1" t="s">
        <v>28</v>
      </c>
      <c r="E5089" s="1" t="s">
        <v>29</v>
      </c>
      <c r="F5089" s="5">
        <v>50000.0</v>
      </c>
      <c r="G5089" s="1" t="s">
        <v>7016</v>
      </c>
      <c r="H5089" s="1" t="s">
        <v>2510</v>
      </c>
      <c r="I5089" s="1" t="s">
        <v>302</v>
      </c>
      <c r="K5089" s="1">
        <v>0.0</v>
      </c>
      <c r="L5089" s="1" t="s">
        <v>1023</v>
      </c>
      <c r="M5089" s="1" t="str">
        <f>VLOOKUP(L5089,'Copy of PMD Workday Constants -'!B5088:W5774,22,false)</f>
        <v>#N/A</v>
      </c>
      <c r="N5089" s="1" t="s">
        <v>32</v>
      </c>
      <c r="O5089" s="1" t="s">
        <v>33</v>
      </c>
      <c r="P5089" s="1" t="s">
        <v>82</v>
      </c>
      <c r="Q5089" s="1" t="s">
        <v>82</v>
      </c>
      <c r="R5089" s="1" t="s">
        <v>83</v>
      </c>
      <c r="S5089" s="1" t="s">
        <v>84</v>
      </c>
      <c r="T5089" s="1">
        <v>1.00619899E8</v>
      </c>
      <c r="W5089" s="1" t="s">
        <v>258</v>
      </c>
      <c r="X5089" s="1" t="s">
        <v>7862</v>
      </c>
    </row>
    <row r="5090">
      <c r="A5090" s="1" t="s">
        <v>14182</v>
      </c>
      <c r="B5090" s="1" t="s">
        <v>14183</v>
      </c>
      <c r="C5090" s="1" t="s">
        <v>14184</v>
      </c>
      <c r="D5090" s="1" t="s">
        <v>28</v>
      </c>
      <c r="E5090" s="1" t="s">
        <v>29</v>
      </c>
      <c r="F5090" s="5">
        <v>50000.0</v>
      </c>
      <c r="G5090" s="1" t="s">
        <v>7016</v>
      </c>
      <c r="H5090" s="1" t="s">
        <v>2510</v>
      </c>
      <c r="I5090" s="1" t="s">
        <v>302</v>
      </c>
      <c r="K5090" s="1">
        <v>0.0</v>
      </c>
      <c r="L5090" s="1" t="s">
        <v>1023</v>
      </c>
      <c r="M5090" s="1" t="str">
        <f>VLOOKUP(L5090,'Copy of PMD Workday Constants -'!B5089:W5775,22,false)</f>
        <v>#N/A</v>
      </c>
      <c r="N5090" s="1" t="s">
        <v>32</v>
      </c>
      <c r="O5090" s="1" t="s">
        <v>33</v>
      </c>
      <c r="P5090" s="1" t="s">
        <v>82</v>
      </c>
      <c r="Q5090" s="1" t="s">
        <v>82</v>
      </c>
      <c r="R5090" s="1" t="s">
        <v>83</v>
      </c>
      <c r="S5090" s="1" t="s">
        <v>84</v>
      </c>
      <c r="T5090" s="1">
        <v>1.00619899E8</v>
      </c>
      <c r="W5090" s="1" t="s">
        <v>258</v>
      </c>
      <c r="X5090" s="1" t="s">
        <v>7862</v>
      </c>
    </row>
    <row r="5091">
      <c r="A5091" s="1" t="s">
        <v>14185</v>
      </c>
      <c r="B5091" s="1" t="s">
        <v>515</v>
      </c>
      <c r="C5091" s="1" t="s">
        <v>14186</v>
      </c>
      <c r="D5091" s="1" t="s">
        <v>28</v>
      </c>
      <c r="E5091" s="1" t="s">
        <v>29</v>
      </c>
      <c r="F5091" s="5">
        <v>50000.0</v>
      </c>
      <c r="G5091" s="1" t="s">
        <v>7016</v>
      </c>
      <c r="H5091" s="4">
        <v>44807.0</v>
      </c>
      <c r="I5091" s="1" t="s">
        <v>302</v>
      </c>
      <c r="K5091" s="1">
        <v>0.0</v>
      </c>
      <c r="L5091" s="1" t="s">
        <v>5734</v>
      </c>
      <c r="M5091" s="1" t="str">
        <f>VLOOKUP(L5091,'Copy of PMD Workday Constants -'!B5090:W5776,22,false)</f>
        <v>#N/A</v>
      </c>
      <c r="N5091" s="1" t="s">
        <v>32</v>
      </c>
      <c r="O5091" s="1" t="s">
        <v>33</v>
      </c>
      <c r="P5091" s="1" t="s">
        <v>173</v>
      </c>
      <c r="Q5091" s="1" t="s">
        <v>173</v>
      </c>
      <c r="R5091" s="1" t="s">
        <v>174</v>
      </c>
      <c r="T5091" s="1">
        <v>1.00648324E8</v>
      </c>
      <c r="W5091" s="1" t="s">
        <v>85</v>
      </c>
      <c r="X5091" s="1" t="s">
        <v>519</v>
      </c>
    </row>
    <row r="5092">
      <c r="A5092" s="1" t="s">
        <v>14187</v>
      </c>
      <c r="B5092" s="1" t="s">
        <v>14188</v>
      </c>
      <c r="C5092" s="1" t="s">
        <v>11546</v>
      </c>
      <c r="D5092" s="1" t="s">
        <v>28</v>
      </c>
      <c r="E5092" s="1" t="s">
        <v>29</v>
      </c>
      <c r="F5092" s="5">
        <v>50000.0</v>
      </c>
      <c r="G5092" s="1" t="s">
        <v>7016</v>
      </c>
      <c r="H5092" s="4">
        <v>44598.0</v>
      </c>
      <c r="I5092" s="1" t="s">
        <v>248</v>
      </c>
      <c r="K5092" s="1">
        <v>0.0</v>
      </c>
      <c r="L5092" s="1" t="s">
        <v>14189</v>
      </c>
      <c r="M5092" s="1" t="str">
        <f>VLOOKUP(L5092,'Copy of PMD Workday Constants -'!B5091:W5777,22,false)</f>
        <v>#N/A</v>
      </c>
      <c r="N5092" s="1" t="s">
        <v>32</v>
      </c>
      <c r="O5092" s="1" t="s">
        <v>33</v>
      </c>
      <c r="P5092" s="1" t="s">
        <v>222</v>
      </c>
      <c r="Q5092" s="1" t="s">
        <v>222</v>
      </c>
      <c r="R5092" s="1" t="s">
        <v>223</v>
      </c>
      <c r="T5092" s="1">
        <v>1.00644048E8</v>
      </c>
      <c r="W5092" s="1" t="s">
        <v>250</v>
      </c>
      <c r="X5092" s="1" t="s">
        <v>13339</v>
      </c>
    </row>
    <row r="5093">
      <c r="A5093" s="1" t="s">
        <v>14190</v>
      </c>
      <c r="B5093" s="1" t="s">
        <v>10634</v>
      </c>
      <c r="C5093" s="1" t="s">
        <v>14191</v>
      </c>
      <c r="D5093" s="1" t="s">
        <v>28</v>
      </c>
      <c r="E5093" s="1" t="s">
        <v>29</v>
      </c>
      <c r="F5093" s="5">
        <v>50000.0</v>
      </c>
      <c r="G5093" s="1" t="s">
        <v>7016</v>
      </c>
      <c r="H5093" s="4">
        <v>44258.0</v>
      </c>
      <c r="I5093" s="1" t="s">
        <v>43</v>
      </c>
      <c r="K5093" s="1">
        <v>0.0</v>
      </c>
      <c r="L5093" s="1" t="s">
        <v>4608</v>
      </c>
      <c r="M5093" s="1" t="str">
        <f>VLOOKUP(L5093,'Copy of PMD Workday Constants -'!B5092:W5778,22,false)</f>
        <v>#N/A</v>
      </c>
      <c r="N5093" s="1" t="s">
        <v>32</v>
      </c>
      <c r="O5093" s="1" t="s">
        <v>33</v>
      </c>
      <c r="P5093" s="1" t="s">
        <v>222</v>
      </c>
      <c r="Q5093" s="1" t="s">
        <v>222</v>
      </c>
      <c r="R5093" s="1" t="s">
        <v>223</v>
      </c>
      <c r="S5093" s="1" t="s">
        <v>482</v>
      </c>
      <c r="T5093" s="1">
        <v>1.00592715E8</v>
      </c>
      <c r="W5093" s="1" t="s">
        <v>115</v>
      </c>
      <c r="X5093" s="1" t="s">
        <v>13723</v>
      </c>
    </row>
    <row r="5094">
      <c r="A5094" s="1" t="s">
        <v>14192</v>
      </c>
      <c r="B5094" s="1" t="s">
        <v>2648</v>
      </c>
      <c r="C5094" s="1" t="s">
        <v>14193</v>
      </c>
      <c r="D5094" s="1" t="s">
        <v>28</v>
      </c>
      <c r="E5094" s="1" t="s">
        <v>29</v>
      </c>
      <c r="F5094" s="5">
        <v>50000.0</v>
      </c>
      <c r="G5094" s="1" t="s">
        <v>7016</v>
      </c>
      <c r="H5094" s="4">
        <v>44837.0</v>
      </c>
      <c r="I5094" s="4">
        <v>44569.0</v>
      </c>
      <c r="K5094" s="1">
        <v>0.0</v>
      </c>
      <c r="L5094" s="1" t="s">
        <v>1981</v>
      </c>
      <c r="M5094" s="1" t="str">
        <f>VLOOKUP(L5094,'Copy of PMD Workday Constants -'!B5093:W5779,22,false)</f>
        <v>#N/A</v>
      </c>
      <c r="N5094" s="1" t="s">
        <v>32</v>
      </c>
      <c r="O5094" s="1" t="s">
        <v>33</v>
      </c>
      <c r="P5094" s="1" t="s">
        <v>64</v>
      </c>
      <c r="Q5094" s="1" t="s">
        <v>64</v>
      </c>
      <c r="R5094" s="1" t="s">
        <v>65</v>
      </c>
      <c r="S5094" s="1" t="s">
        <v>1336</v>
      </c>
      <c r="T5094" s="1">
        <v>1.00638494E8</v>
      </c>
      <c r="W5094" s="1" t="s">
        <v>74</v>
      </c>
      <c r="X5094" s="1" t="s">
        <v>852</v>
      </c>
    </row>
    <row r="5095">
      <c r="A5095" s="1" t="s">
        <v>14194</v>
      </c>
      <c r="B5095" s="1" t="s">
        <v>14195</v>
      </c>
      <c r="C5095" s="1" t="s">
        <v>14196</v>
      </c>
      <c r="D5095" s="1" t="s">
        <v>51</v>
      </c>
      <c r="E5095" s="1" t="s">
        <v>29</v>
      </c>
      <c r="F5095" s="5">
        <v>50000.0</v>
      </c>
      <c r="G5095" s="1" t="s">
        <v>7016</v>
      </c>
      <c r="H5095" s="4">
        <v>43902.0</v>
      </c>
      <c r="I5095" s="1" t="s">
        <v>302</v>
      </c>
      <c r="K5095" s="1">
        <v>0.0</v>
      </c>
      <c r="L5095" s="1" t="s">
        <v>4365</v>
      </c>
      <c r="M5095" s="1" t="str">
        <f>VLOOKUP(L5095,'Copy of PMD Workday Constants -'!B5094:W5780,22,false)</f>
        <v>#N/A</v>
      </c>
      <c r="N5095" s="1" t="s">
        <v>32</v>
      </c>
      <c r="O5095" s="1" t="s">
        <v>33</v>
      </c>
      <c r="P5095" s="1" t="s">
        <v>173</v>
      </c>
      <c r="Q5095" s="1" t="s">
        <v>173</v>
      </c>
      <c r="R5095" s="1" t="s">
        <v>174</v>
      </c>
      <c r="S5095" s="1" t="s">
        <v>492</v>
      </c>
      <c r="T5095" s="1">
        <v>1.0066064E8</v>
      </c>
      <c r="U5095" s="1" t="s">
        <v>14197</v>
      </c>
      <c r="V5095" s="1" t="s">
        <v>187</v>
      </c>
      <c r="W5095" s="1" t="s">
        <v>493</v>
      </c>
      <c r="X5095" s="1" t="s">
        <v>1511</v>
      </c>
    </row>
    <row r="5096">
      <c r="A5096" s="1" t="s">
        <v>14198</v>
      </c>
      <c r="B5096" s="1" t="s">
        <v>14199</v>
      </c>
      <c r="C5096" s="1" t="s">
        <v>14200</v>
      </c>
      <c r="D5096" s="1" t="s">
        <v>28</v>
      </c>
      <c r="E5096" s="1" t="s">
        <v>29</v>
      </c>
      <c r="F5096" s="5">
        <v>50000.0</v>
      </c>
      <c r="G5096" s="1" t="s">
        <v>7016</v>
      </c>
      <c r="H5096" s="4">
        <v>44653.0</v>
      </c>
      <c r="I5096" s="1" t="s">
        <v>302</v>
      </c>
      <c r="K5096" s="1">
        <v>0.0</v>
      </c>
      <c r="L5096" s="1" t="s">
        <v>8868</v>
      </c>
      <c r="M5096" s="1" t="str">
        <f>VLOOKUP(L5096,'Copy of PMD Workday Constants -'!B5095:W5781,22,false)</f>
        <v>#N/A</v>
      </c>
      <c r="N5096" s="1" t="s">
        <v>32</v>
      </c>
      <c r="O5096" s="1" t="s">
        <v>33</v>
      </c>
      <c r="P5096" s="1" t="s">
        <v>222</v>
      </c>
      <c r="Q5096" s="1" t="s">
        <v>222</v>
      </c>
      <c r="R5096" s="1" t="s">
        <v>223</v>
      </c>
      <c r="S5096" s="1" t="s">
        <v>601</v>
      </c>
      <c r="T5096" s="1">
        <v>1.00612509E8</v>
      </c>
      <c r="W5096" s="1" t="s">
        <v>2098</v>
      </c>
      <c r="X5096" s="1" t="s">
        <v>14201</v>
      </c>
    </row>
    <row r="5097">
      <c r="A5097" s="1" t="s">
        <v>14202</v>
      </c>
      <c r="B5097" s="1" t="s">
        <v>14203</v>
      </c>
      <c r="C5097" s="1" t="s">
        <v>14204</v>
      </c>
      <c r="D5097" s="1" t="s">
        <v>28</v>
      </c>
      <c r="E5097" s="1" t="s">
        <v>29</v>
      </c>
      <c r="F5097" s="5">
        <v>50000.0</v>
      </c>
      <c r="G5097" s="1" t="s">
        <v>7016</v>
      </c>
      <c r="H5097" s="1" t="s">
        <v>283</v>
      </c>
      <c r="I5097" s="1" t="s">
        <v>302</v>
      </c>
      <c r="K5097" s="1">
        <v>0.0</v>
      </c>
      <c r="L5097" s="1" t="s">
        <v>8174</v>
      </c>
      <c r="M5097" s="1" t="str">
        <f>VLOOKUP(L5097,'Copy of PMD Workday Constants -'!B5096:W5782,22,false)</f>
        <v>#N/A</v>
      </c>
      <c r="N5097" s="1" t="s">
        <v>32</v>
      </c>
      <c r="O5097" s="1" t="s">
        <v>33</v>
      </c>
      <c r="P5097" s="1" t="s">
        <v>82</v>
      </c>
      <c r="Q5097" s="1" t="s">
        <v>82</v>
      </c>
      <c r="R5097" s="1" t="s">
        <v>83</v>
      </c>
      <c r="S5097" s="1" t="s">
        <v>180</v>
      </c>
      <c r="T5097" s="1">
        <v>1.00609615E8</v>
      </c>
      <c r="W5097" s="1" t="s">
        <v>85</v>
      </c>
      <c r="X5097" s="1" t="s">
        <v>11699</v>
      </c>
    </row>
    <row r="5098">
      <c r="A5098" s="1" t="s">
        <v>14205</v>
      </c>
      <c r="B5098" s="1" t="s">
        <v>993</v>
      </c>
      <c r="C5098" s="1" t="s">
        <v>14206</v>
      </c>
      <c r="D5098" s="1" t="s">
        <v>28</v>
      </c>
      <c r="E5098" s="1" t="s">
        <v>29</v>
      </c>
      <c r="F5098" s="5">
        <v>50000.0</v>
      </c>
      <c r="G5098" s="1" t="s">
        <v>7016</v>
      </c>
      <c r="H5098" s="4">
        <v>44389.0</v>
      </c>
      <c r="I5098" s="1" t="s">
        <v>80</v>
      </c>
      <c r="K5098" s="1">
        <v>0.0</v>
      </c>
      <c r="L5098" s="1" t="s">
        <v>4634</v>
      </c>
      <c r="M5098" s="1" t="str">
        <f>VLOOKUP(L5098,'Copy of PMD Workday Constants -'!B5097:W5783,22,false)</f>
        <v>#N/A</v>
      </c>
      <c r="N5098" s="1" t="s">
        <v>32</v>
      </c>
      <c r="O5098" s="1" t="s">
        <v>33</v>
      </c>
      <c r="P5098" s="1" t="s">
        <v>112</v>
      </c>
      <c r="Q5098" s="1" t="s">
        <v>112</v>
      </c>
      <c r="R5098" s="1" t="s">
        <v>113</v>
      </c>
      <c r="S5098" s="1" t="s">
        <v>134</v>
      </c>
      <c r="T5098" s="1">
        <v>1.00585718E8</v>
      </c>
      <c r="W5098" s="1" t="s">
        <v>74</v>
      </c>
      <c r="X5098" s="1" t="s">
        <v>4804</v>
      </c>
    </row>
    <row r="5099">
      <c r="A5099" s="1" t="s">
        <v>14207</v>
      </c>
      <c r="B5099" s="1" t="s">
        <v>993</v>
      </c>
      <c r="C5099" s="1" t="s">
        <v>14208</v>
      </c>
      <c r="D5099" s="1" t="s">
        <v>28</v>
      </c>
      <c r="E5099" s="1" t="s">
        <v>29</v>
      </c>
      <c r="F5099" s="5">
        <v>50000.0</v>
      </c>
      <c r="G5099" s="1" t="s">
        <v>7016</v>
      </c>
      <c r="H5099" s="4">
        <v>44389.0</v>
      </c>
      <c r="I5099" s="1" t="s">
        <v>80</v>
      </c>
      <c r="K5099" s="1">
        <v>0.0</v>
      </c>
      <c r="L5099" s="1" t="s">
        <v>4634</v>
      </c>
      <c r="M5099" s="1" t="str">
        <f>VLOOKUP(L5099,'Copy of PMD Workday Constants -'!B5098:W5784,22,false)</f>
        <v>#N/A</v>
      </c>
      <c r="N5099" s="1" t="s">
        <v>32</v>
      </c>
      <c r="O5099" s="1" t="s">
        <v>33</v>
      </c>
      <c r="P5099" s="1" t="s">
        <v>112</v>
      </c>
      <c r="Q5099" s="1" t="s">
        <v>112</v>
      </c>
      <c r="R5099" s="1" t="s">
        <v>113</v>
      </c>
      <c r="S5099" s="1" t="s">
        <v>134</v>
      </c>
      <c r="T5099" s="1">
        <v>1.00585718E8</v>
      </c>
      <c r="W5099" s="1" t="s">
        <v>74</v>
      </c>
      <c r="X5099" s="1" t="s">
        <v>4804</v>
      </c>
    </row>
    <row r="5100">
      <c r="A5100" s="1" t="s">
        <v>14209</v>
      </c>
      <c r="B5100" s="1" t="s">
        <v>8153</v>
      </c>
      <c r="C5100" s="1" t="s">
        <v>14210</v>
      </c>
      <c r="D5100" s="1" t="s">
        <v>103</v>
      </c>
      <c r="E5100" s="1" t="s">
        <v>29</v>
      </c>
      <c r="F5100" s="5">
        <v>50000.0</v>
      </c>
      <c r="G5100" s="1" t="s">
        <v>7016</v>
      </c>
      <c r="H5100" s="4">
        <v>44656.0</v>
      </c>
      <c r="I5100" s="1" t="s">
        <v>132</v>
      </c>
      <c r="K5100" s="1">
        <v>0.0</v>
      </c>
      <c r="L5100" s="1" t="s">
        <v>6578</v>
      </c>
      <c r="M5100" s="1" t="str">
        <f>VLOOKUP(L5100,'Copy of PMD Workday Constants -'!B5099:W5785,22,false)</f>
        <v>#N/A</v>
      </c>
      <c r="N5100" s="1" t="s">
        <v>32</v>
      </c>
      <c r="O5100" s="1" t="s">
        <v>33</v>
      </c>
      <c r="P5100" s="1" t="s">
        <v>222</v>
      </c>
      <c r="Q5100" s="1" t="s">
        <v>222</v>
      </c>
      <c r="R5100" s="1" t="s">
        <v>223</v>
      </c>
      <c r="S5100" s="1" t="s">
        <v>482</v>
      </c>
      <c r="T5100" s="1">
        <v>1.00597339E8</v>
      </c>
      <c r="W5100" s="1" t="s">
        <v>74</v>
      </c>
      <c r="X5100" s="1" t="s">
        <v>6579</v>
      </c>
    </row>
    <row r="5101">
      <c r="A5101" s="1" t="s">
        <v>14211</v>
      </c>
      <c r="B5101" s="1" t="s">
        <v>14212</v>
      </c>
      <c r="C5101" s="1" t="s">
        <v>14213</v>
      </c>
      <c r="D5101" s="1" t="s">
        <v>51</v>
      </c>
      <c r="E5101" s="1" t="s">
        <v>29</v>
      </c>
      <c r="F5101" s="5">
        <v>50000.0</v>
      </c>
      <c r="G5101" s="1" t="s">
        <v>7016</v>
      </c>
      <c r="H5101" s="1" t="s">
        <v>3007</v>
      </c>
      <c r="I5101" s="1" t="s">
        <v>810</v>
      </c>
      <c r="J5101" s="1" t="s">
        <v>14214</v>
      </c>
      <c r="K5101" s="1">
        <v>0.0</v>
      </c>
      <c r="L5101" s="1" t="s">
        <v>5558</v>
      </c>
      <c r="M5101" s="1" t="str">
        <f>VLOOKUP(L5101,'Copy of PMD Workday Constants -'!B5100:W5786,22,false)</f>
        <v>#N/A</v>
      </c>
      <c r="N5101" s="1" t="s">
        <v>32</v>
      </c>
      <c r="O5101" s="1" t="s">
        <v>33</v>
      </c>
      <c r="P5101" s="1" t="s">
        <v>222</v>
      </c>
      <c r="Q5101" s="1" t="s">
        <v>222</v>
      </c>
      <c r="R5101" s="1" t="s">
        <v>223</v>
      </c>
      <c r="S5101" s="1" t="s">
        <v>601</v>
      </c>
      <c r="T5101" s="1">
        <v>1.00652479E8</v>
      </c>
      <c r="W5101" s="1" t="s">
        <v>391</v>
      </c>
      <c r="X5101" s="1" t="s">
        <v>14215</v>
      </c>
    </row>
    <row r="5102">
      <c r="A5102" s="1" t="s">
        <v>14216</v>
      </c>
      <c r="B5102" s="1" t="s">
        <v>1109</v>
      </c>
      <c r="C5102" s="1" t="s">
        <v>14217</v>
      </c>
      <c r="D5102" s="1" t="s">
        <v>28</v>
      </c>
      <c r="E5102" s="1" t="s">
        <v>29</v>
      </c>
      <c r="F5102" s="5">
        <v>50000.0</v>
      </c>
      <c r="G5102" s="1" t="s">
        <v>7016</v>
      </c>
      <c r="H5102" s="1" t="s">
        <v>2510</v>
      </c>
      <c r="I5102" s="1" t="s">
        <v>302</v>
      </c>
      <c r="K5102" s="1">
        <v>0.0</v>
      </c>
      <c r="L5102" s="1" t="s">
        <v>81</v>
      </c>
      <c r="M5102" s="1" t="str">
        <f>VLOOKUP(L5102,'Copy of PMD Workday Constants -'!B5101:W5787,22,false)</f>
        <v>#N/A</v>
      </c>
      <c r="N5102" s="1" t="s">
        <v>32</v>
      </c>
      <c r="O5102" s="1" t="s">
        <v>33</v>
      </c>
      <c r="P5102" s="1" t="s">
        <v>82</v>
      </c>
      <c r="Q5102" s="1" t="s">
        <v>82</v>
      </c>
      <c r="R5102" s="1" t="s">
        <v>83</v>
      </c>
      <c r="S5102" s="1" t="s">
        <v>84</v>
      </c>
      <c r="T5102" s="1">
        <v>1.00640331E8</v>
      </c>
      <c r="W5102" s="1" t="s">
        <v>85</v>
      </c>
      <c r="X5102" s="1" t="s">
        <v>7862</v>
      </c>
    </row>
    <row r="5103">
      <c r="A5103" s="1" t="s">
        <v>14218</v>
      </c>
      <c r="B5103" s="1" t="s">
        <v>5374</v>
      </c>
      <c r="C5103" s="1" t="s">
        <v>14219</v>
      </c>
      <c r="D5103" s="1" t="s">
        <v>51</v>
      </c>
      <c r="E5103" s="1" t="s">
        <v>29</v>
      </c>
      <c r="F5103" s="5">
        <v>50000.0</v>
      </c>
      <c r="G5103" s="1" t="s">
        <v>7016</v>
      </c>
      <c r="H5103" s="1" t="s">
        <v>6683</v>
      </c>
      <c r="I5103" s="1" t="s">
        <v>166</v>
      </c>
      <c r="K5103" s="1">
        <v>0.0</v>
      </c>
      <c r="L5103" s="1" t="s">
        <v>3137</v>
      </c>
      <c r="M5103" s="1" t="str">
        <f>VLOOKUP(L5103,'Copy of PMD Workday Constants -'!B5102:W5788,22,false)</f>
        <v>#N/A</v>
      </c>
      <c r="N5103" s="1" t="s">
        <v>32</v>
      </c>
      <c r="O5103" s="1" t="s">
        <v>33</v>
      </c>
      <c r="P5103" s="1" t="s">
        <v>82</v>
      </c>
      <c r="Q5103" s="1" t="s">
        <v>82</v>
      </c>
      <c r="R5103" s="1" t="s">
        <v>83</v>
      </c>
      <c r="S5103" s="1" t="s">
        <v>180</v>
      </c>
      <c r="T5103" s="1">
        <v>1.00586452E8</v>
      </c>
      <c r="W5103" s="1" t="s">
        <v>85</v>
      </c>
      <c r="X5103" s="1" t="s">
        <v>5126</v>
      </c>
    </row>
    <row r="5104">
      <c r="A5104" s="1" t="s">
        <v>14220</v>
      </c>
      <c r="B5104" s="1" t="s">
        <v>7511</v>
      </c>
      <c r="C5104" s="1" t="s">
        <v>14221</v>
      </c>
      <c r="D5104" s="1" t="s">
        <v>103</v>
      </c>
      <c r="E5104" s="1" t="s">
        <v>29</v>
      </c>
      <c r="F5104" s="5">
        <v>50000.0</v>
      </c>
      <c r="G5104" s="1" t="s">
        <v>7016</v>
      </c>
      <c r="H5104" s="4">
        <v>44449.0</v>
      </c>
      <c r="I5104" s="1" t="s">
        <v>80</v>
      </c>
      <c r="K5104" s="1">
        <v>0.0</v>
      </c>
      <c r="L5104" s="1" t="s">
        <v>9612</v>
      </c>
      <c r="M5104" s="1" t="str">
        <f>VLOOKUP(L5104,'Copy of PMD Workday Constants -'!B5103:W5789,22,false)</f>
        <v>#N/A</v>
      </c>
      <c r="N5104" s="1" t="s">
        <v>32</v>
      </c>
      <c r="O5104" s="1" t="s">
        <v>33</v>
      </c>
      <c r="P5104" s="1" t="s">
        <v>82</v>
      </c>
      <c r="Q5104" s="1" t="s">
        <v>82</v>
      </c>
      <c r="R5104" s="1" t="s">
        <v>83</v>
      </c>
      <c r="S5104" s="1" t="s">
        <v>180</v>
      </c>
      <c r="T5104" s="1">
        <v>1.0059101E8</v>
      </c>
      <c r="W5104" s="1" t="s">
        <v>2098</v>
      </c>
      <c r="X5104" s="1" t="s">
        <v>9612</v>
      </c>
    </row>
    <row r="5105">
      <c r="A5105" s="1" t="s">
        <v>14222</v>
      </c>
      <c r="B5105" s="1" t="s">
        <v>4702</v>
      </c>
      <c r="C5105" s="1" t="s">
        <v>14223</v>
      </c>
      <c r="D5105" s="1" t="s">
        <v>28</v>
      </c>
      <c r="E5105" s="1" t="s">
        <v>29</v>
      </c>
      <c r="F5105" s="5">
        <v>50000.0</v>
      </c>
      <c r="G5105" s="1" t="s">
        <v>7016</v>
      </c>
      <c r="H5105" s="1" t="s">
        <v>2510</v>
      </c>
      <c r="I5105" s="1" t="s">
        <v>302</v>
      </c>
      <c r="K5105" s="1">
        <v>0.0</v>
      </c>
      <c r="L5105" s="1" t="s">
        <v>81</v>
      </c>
      <c r="M5105" s="1" t="str">
        <f>VLOOKUP(L5105,'Copy of PMD Workday Constants -'!B5104:W5790,22,false)</f>
        <v>#N/A</v>
      </c>
      <c r="N5105" s="1" t="s">
        <v>32</v>
      </c>
      <c r="O5105" s="1" t="s">
        <v>33</v>
      </c>
      <c r="P5105" s="1" t="s">
        <v>82</v>
      </c>
      <c r="Q5105" s="1" t="s">
        <v>82</v>
      </c>
      <c r="R5105" s="1" t="s">
        <v>83</v>
      </c>
      <c r="S5105" s="1" t="s">
        <v>84</v>
      </c>
      <c r="T5105" s="1">
        <v>1.00640331E8</v>
      </c>
      <c r="W5105" s="1" t="s">
        <v>85</v>
      </c>
      <c r="X5105" s="1" t="s">
        <v>7862</v>
      </c>
    </row>
    <row r="5106">
      <c r="A5106" s="1" t="s">
        <v>14224</v>
      </c>
      <c r="B5106" s="1" t="s">
        <v>14225</v>
      </c>
      <c r="C5106" s="1" t="s">
        <v>14226</v>
      </c>
      <c r="D5106" s="1" t="s">
        <v>103</v>
      </c>
      <c r="E5106" s="1" t="s">
        <v>29</v>
      </c>
      <c r="F5106" s="5">
        <v>50000.0</v>
      </c>
      <c r="G5106" s="1" t="s">
        <v>7016</v>
      </c>
      <c r="H5106" s="1" t="s">
        <v>6683</v>
      </c>
      <c r="I5106" s="1" t="s">
        <v>732</v>
      </c>
      <c r="K5106" s="1">
        <v>0.0</v>
      </c>
      <c r="L5106" s="1" t="s">
        <v>3137</v>
      </c>
      <c r="M5106" s="1" t="str">
        <f>VLOOKUP(L5106,'Copy of PMD Workday Constants -'!B5105:W5791,22,false)</f>
        <v>#N/A</v>
      </c>
      <c r="N5106" s="1" t="s">
        <v>32</v>
      </c>
      <c r="O5106" s="1" t="s">
        <v>33</v>
      </c>
      <c r="P5106" s="1" t="s">
        <v>82</v>
      </c>
      <c r="Q5106" s="1" t="s">
        <v>82</v>
      </c>
      <c r="R5106" s="1" t="s">
        <v>83</v>
      </c>
      <c r="S5106" s="1" t="s">
        <v>180</v>
      </c>
      <c r="T5106" s="1">
        <v>1.00586452E8</v>
      </c>
      <c r="W5106" s="1" t="s">
        <v>85</v>
      </c>
      <c r="X5106" s="1" t="s">
        <v>5126</v>
      </c>
    </row>
    <row r="5107">
      <c r="A5107" s="1" t="s">
        <v>14227</v>
      </c>
      <c r="B5107" s="1" t="s">
        <v>573</v>
      </c>
      <c r="C5107" s="1" t="s">
        <v>14228</v>
      </c>
      <c r="D5107" s="1" t="s">
        <v>51</v>
      </c>
      <c r="E5107" s="1" t="s">
        <v>29</v>
      </c>
      <c r="F5107" s="5">
        <v>50000.0</v>
      </c>
      <c r="G5107" s="1" t="s">
        <v>7016</v>
      </c>
      <c r="H5107" s="1" t="s">
        <v>816</v>
      </c>
      <c r="I5107" s="1" t="s">
        <v>96</v>
      </c>
      <c r="K5107" s="1">
        <v>0.0</v>
      </c>
      <c r="L5107" s="1" t="s">
        <v>1770</v>
      </c>
      <c r="M5107" s="1" t="str">
        <f>VLOOKUP(L5107,'Copy of PMD Workday Constants -'!B5106:W5792,22,false)</f>
        <v>#N/A</v>
      </c>
      <c r="N5107" s="1" t="s">
        <v>32</v>
      </c>
      <c r="O5107" s="1" t="s">
        <v>33</v>
      </c>
      <c r="P5107" s="1" t="s">
        <v>210</v>
      </c>
      <c r="Q5107" s="1" t="s">
        <v>210</v>
      </c>
      <c r="R5107" s="1" t="s">
        <v>211</v>
      </c>
      <c r="S5107" s="1" t="s">
        <v>1313</v>
      </c>
      <c r="T5107" s="1">
        <v>1.00593918E8</v>
      </c>
      <c r="W5107" s="1" t="s">
        <v>56</v>
      </c>
      <c r="X5107" s="1" t="s">
        <v>1314</v>
      </c>
    </row>
    <row r="5108">
      <c r="A5108" s="1" t="s">
        <v>14229</v>
      </c>
      <c r="B5108" s="1" t="s">
        <v>3094</v>
      </c>
      <c r="C5108" s="1" t="s">
        <v>14230</v>
      </c>
      <c r="D5108" s="1" t="s">
        <v>28</v>
      </c>
      <c r="E5108" s="1" t="s">
        <v>29</v>
      </c>
      <c r="F5108" s="5">
        <v>50000.0</v>
      </c>
      <c r="G5108" s="1" t="s">
        <v>7016</v>
      </c>
      <c r="H5108" s="1" t="s">
        <v>1598</v>
      </c>
      <c r="I5108" s="1" t="s">
        <v>302</v>
      </c>
      <c r="K5108" s="1">
        <v>0.0</v>
      </c>
      <c r="L5108" s="1" t="s">
        <v>4629</v>
      </c>
      <c r="M5108" s="1" t="str">
        <f>VLOOKUP(L5108,'Copy of PMD Workday Constants -'!B5107:W5793,22,false)</f>
        <v>#N/A</v>
      </c>
      <c r="N5108" s="1" t="s">
        <v>32</v>
      </c>
      <c r="O5108" s="1" t="s">
        <v>33</v>
      </c>
      <c r="P5108" s="1" t="s">
        <v>210</v>
      </c>
      <c r="Q5108" s="1" t="s">
        <v>210</v>
      </c>
      <c r="R5108" s="1" t="s">
        <v>211</v>
      </c>
      <c r="S5108" s="1" t="s">
        <v>416</v>
      </c>
      <c r="T5108" s="1">
        <v>1.01017204E8</v>
      </c>
      <c r="W5108" s="1" t="s">
        <v>56</v>
      </c>
      <c r="X5108" s="1" t="s">
        <v>10823</v>
      </c>
    </row>
    <row r="5109">
      <c r="A5109" s="1" t="s">
        <v>14231</v>
      </c>
      <c r="B5109" s="1" t="s">
        <v>2263</v>
      </c>
      <c r="C5109" s="1" t="s">
        <v>14232</v>
      </c>
      <c r="D5109" s="1" t="s">
        <v>28</v>
      </c>
      <c r="E5109" s="1" t="s">
        <v>29</v>
      </c>
      <c r="F5109" s="5">
        <v>50000.0</v>
      </c>
      <c r="G5109" s="1" t="s">
        <v>7016</v>
      </c>
      <c r="H5109" s="4">
        <v>44414.0</v>
      </c>
      <c r="I5109" s="1" t="s">
        <v>302</v>
      </c>
      <c r="K5109" s="1">
        <v>0.0</v>
      </c>
      <c r="L5109" s="1" t="s">
        <v>1790</v>
      </c>
      <c r="M5109" s="1" t="str">
        <f>VLOOKUP(L5109,'Copy of PMD Workday Constants -'!B5108:W5794,22,false)</f>
        <v>#N/A</v>
      </c>
      <c r="N5109" s="1" t="s">
        <v>32</v>
      </c>
      <c r="O5109" s="1" t="s">
        <v>33</v>
      </c>
      <c r="P5109" s="1" t="s">
        <v>222</v>
      </c>
      <c r="Q5109" s="1" t="s">
        <v>222</v>
      </c>
      <c r="R5109" s="1" t="s">
        <v>223</v>
      </c>
      <c r="T5109" s="1">
        <v>1.00645232E8</v>
      </c>
      <c r="W5109" s="1" t="s">
        <v>258</v>
      </c>
      <c r="X5109" s="1" t="s">
        <v>2399</v>
      </c>
    </row>
    <row r="5110">
      <c r="A5110" s="1" t="s">
        <v>14233</v>
      </c>
      <c r="B5110" s="1" t="s">
        <v>2263</v>
      </c>
      <c r="C5110" s="1" t="s">
        <v>14234</v>
      </c>
      <c r="D5110" s="1" t="s">
        <v>28</v>
      </c>
      <c r="E5110" s="1" t="s">
        <v>29</v>
      </c>
      <c r="F5110" s="5">
        <v>50000.0</v>
      </c>
      <c r="G5110" s="1" t="s">
        <v>7016</v>
      </c>
      <c r="H5110" s="4">
        <v>44414.0</v>
      </c>
      <c r="I5110" s="4">
        <v>44626.0</v>
      </c>
      <c r="K5110" s="1">
        <v>0.0</v>
      </c>
      <c r="L5110" s="1" t="s">
        <v>8430</v>
      </c>
      <c r="M5110" s="1" t="str">
        <f>VLOOKUP(L5110,'Copy of PMD Workday Constants -'!B5109:W5795,22,false)</f>
        <v>#N/A</v>
      </c>
      <c r="N5110" s="1" t="s">
        <v>32</v>
      </c>
      <c r="O5110" s="1" t="s">
        <v>33</v>
      </c>
      <c r="P5110" s="1" t="s">
        <v>210</v>
      </c>
      <c r="Q5110" s="1" t="s">
        <v>210</v>
      </c>
      <c r="R5110" s="1" t="s">
        <v>211</v>
      </c>
      <c r="S5110" s="1" t="s">
        <v>297</v>
      </c>
      <c r="T5110" s="1">
        <v>1.0065102E8</v>
      </c>
      <c r="W5110" s="1" t="s">
        <v>258</v>
      </c>
      <c r="X5110" s="1" t="s">
        <v>14235</v>
      </c>
    </row>
    <row r="5111">
      <c r="A5111" s="1" t="s">
        <v>14236</v>
      </c>
      <c r="B5111" s="1" t="s">
        <v>2263</v>
      </c>
      <c r="C5111" s="1" t="s">
        <v>14237</v>
      </c>
      <c r="D5111" s="1" t="s">
        <v>28</v>
      </c>
      <c r="E5111" s="1" t="s">
        <v>29</v>
      </c>
      <c r="F5111" s="5">
        <v>50000.0</v>
      </c>
      <c r="G5111" s="1" t="s">
        <v>7016</v>
      </c>
      <c r="H5111" s="4">
        <v>44414.0</v>
      </c>
      <c r="I5111" s="4">
        <v>44626.0</v>
      </c>
      <c r="K5111" s="1">
        <v>0.0</v>
      </c>
      <c r="L5111" s="1" t="s">
        <v>8430</v>
      </c>
      <c r="M5111" s="1" t="str">
        <f>VLOOKUP(L5111,'Copy of PMD Workday Constants -'!B5110:W5796,22,false)</f>
        <v>#N/A</v>
      </c>
      <c r="N5111" s="1" t="s">
        <v>32</v>
      </c>
      <c r="O5111" s="1" t="s">
        <v>33</v>
      </c>
      <c r="P5111" s="1" t="s">
        <v>210</v>
      </c>
      <c r="Q5111" s="1" t="s">
        <v>210</v>
      </c>
      <c r="R5111" s="1" t="s">
        <v>211</v>
      </c>
      <c r="S5111" s="1" t="s">
        <v>297</v>
      </c>
      <c r="T5111" s="1">
        <v>1.0065102E8</v>
      </c>
      <c r="W5111" s="1" t="s">
        <v>258</v>
      </c>
      <c r="X5111" s="1" t="s">
        <v>14235</v>
      </c>
    </row>
    <row r="5112">
      <c r="A5112" s="1" t="s">
        <v>14238</v>
      </c>
      <c r="B5112" s="1" t="s">
        <v>8848</v>
      </c>
      <c r="C5112" s="1" t="s">
        <v>14239</v>
      </c>
      <c r="D5112" s="1" t="s">
        <v>28</v>
      </c>
      <c r="E5112" s="1" t="s">
        <v>29</v>
      </c>
      <c r="F5112" s="5">
        <v>48957.21</v>
      </c>
      <c r="G5112" s="1" t="s">
        <v>7016</v>
      </c>
      <c r="H5112" s="1" t="s">
        <v>7412</v>
      </c>
      <c r="I5112" s="1" t="s">
        <v>865</v>
      </c>
      <c r="K5112" s="1">
        <v>0.0</v>
      </c>
      <c r="L5112" s="1" t="s">
        <v>7847</v>
      </c>
      <c r="M5112" s="1" t="str">
        <f>VLOOKUP(L5112,'Copy of PMD Workday Constants -'!B5111:W5797,22,false)</f>
        <v>#N/A</v>
      </c>
      <c r="N5112" s="1" t="s">
        <v>32</v>
      </c>
      <c r="O5112" s="1" t="s">
        <v>33</v>
      </c>
      <c r="P5112" s="1" t="s">
        <v>5253</v>
      </c>
      <c r="Q5112" s="1" t="s">
        <v>5253</v>
      </c>
      <c r="R5112" s="1" t="s">
        <v>113</v>
      </c>
      <c r="T5112" s="1">
        <v>1.0065052E8</v>
      </c>
      <c r="W5112" s="1" t="s">
        <v>147</v>
      </c>
      <c r="X5112" s="1" t="s">
        <v>14240</v>
      </c>
    </row>
    <row r="5113">
      <c r="A5113" s="1" t="s">
        <v>14241</v>
      </c>
      <c r="B5113" s="1" t="s">
        <v>14242</v>
      </c>
      <c r="C5113" s="1" t="s">
        <v>14243</v>
      </c>
      <c r="D5113" s="1" t="s">
        <v>28</v>
      </c>
      <c r="E5113" s="1" t="s">
        <v>29</v>
      </c>
      <c r="F5113" s="5">
        <v>48957.21</v>
      </c>
      <c r="G5113" s="1" t="s">
        <v>7016</v>
      </c>
      <c r="H5113" s="4">
        <v>44867.0</v>
      </c>
      <c r="I5113" s="1" t="s">
        <v>865</v>
      </c>
      <c r="K5113" s="1">
        <v>0.0</v>
      </c>
      <c r="L5113" s="1" t="s">
        <v>7847</v>
      </c>
      <c r="M5113" s="1" t="str">
        <f>VLOOKUP(L5113,'Copy of PMD Workday Constants -'!B5112:W5798,22,false)</f>
        <v>#N/A</v>
      </c>
      <c r="N5113" s="1" t="s">
        <v>32</v>
      </c>
      <c r="O5113" s="1" t="s">
        <v>33</v>
      </c>
      <c r="P5113" s="1" t="s">
        <v>5253</v>
      </c>
      <c r="Q5113" s="1" t="s">
        <v>5253</v>
      </c>
      <c r="R5113" s="1" t="s">
        <v>113</v>
      </c>
      <c r="T5113" s="1">
        <v>1.0065052E8</v>
      </c>
      <c r="W5113" s="1" t="s">
        <v>493</v>
      </c>
      <c r="X5113" s="1" t="s">
        <v>7847</v>
      </c>
    </row>
    <row r="5114">
      <c r="A5114" s="1" t="s">
        <v>14244</v>
      </c>
      <c r="B5114" s="1" t="s">
        <v>14245</v>
      </c>
      <c r="C5114" s="1" t="s">
        <v>14246</v>
      </c>
      <c r="D5114" s="1" t="s">
        <v>103</v>
      </c>
      <c r="E5114" s="1" t="s">
        <v>29</v>
      </c>
      <c r="F5114" s="5">
        <v>48668.0</v>
      </c>
      <c r="G5114" s="1" t="s">
        <v>7016</v>
      </c>
      <c r="H5114" s="1" t="s">
        <v>466</v>
      </c>
      <c r="I5114" s="1" t="s">
        <v>865</v>
      </c>
      <c r="K5114" s="1">
        <v>0.0</v>
      </c>
      <c r="L5114" s="1" t="s">
        <v>3408</v>
      </c>
      <c r="M5114" s="1" t="str">
        <f>VLOOKUP(L5114,'Copy of PMD Workday Constants -'!B5113:W5799,22,false)</f>
        <v>#N/A</v>
      </c>
      <c r="N5114" s="1" t="s">
        <v>32</v>
      </c>
      <c r="O5114" s="1" t="s">
        <v>33</v>
      </c>
      <c r="P5114" s="1" t="s">
        <v>222</v>
      </c>
      <c r="Q5114" s="1" t="s">
        <v>222</v>
      </c>
      <c r="R5114" s="1" t="s">
        <v>223</v>
      </c>
      <c r="T5114" s="1">
        <v>1.0066189E8</v>
      </c>
      <c r="W5114" s="1" t="s">
        <v>85</v>
      </c>
      <c r="X5114" s="1" t="s">
        <v>817</v>
      </c>
    </row>
    <row r="5115">
      <c r="A5115" s="1" t="s">
        <v>14247</v>
      </c>
      <c r="B5115" s="1" t="s">
        <v>14248</v>
      </c>
      <c r="C5115" s="1" t="s">
        <v>14249</v>
      </c>
      <c r="D5115" s="1" t="s">
        <v>79</v>
      </c>
      <c r="E5115" s="1" t="s">
        <v>29</v>
      </c>
      <c r="F5115" s="5">
        <v>48000.0</v>
      </c>
      <c r="G5115" s="1" t="s">
        <v>7016</v>
      </c>
      <c r="H5115" s="4">
        <v>44899.0</v>
      </c>
      <c r="I5115" s="1" t="s">
        <v>1134</v>
      </c>
      <c r="K5115" s="1">
        <v>0.0</v>
      </c>
      <c r="L5115" s="1" t="s">
        <v>7062</v>
      </c>
      <c r="M5115" s="1" t="str">
        <f>VLOOKUP(L5115,'Copy of PMD Workday Constants -'!B5114:W5800,22,false)</f>
        <v>#N/A</v>
      </c>
      <c r="N5115" s="1" t="s">
        <v>32</v>
      </c>
      <c r="O5115" s="1" t="s">
        <v>33</v>
      </c>
      <c r="P5115" s="1" t="s">
        <v>222</v>
      </c>
      <c r="Q5115" s="1" t="s">
        <v>222</v>
      </c>
      <c r="R5115" s="1" t="s">
        <v>223</v>
      </c>
      <c r="S5115" s="1" t="s">
        <v>482</v>
      </c>
      <c r="T5115" s="1">
        <v>1.00614969E8</v>
      </c>
      <c r="X5115" s="1" t="s">
        <v>13305</v>
      </c>
    </row>
    <row r="5116">
      <c r="A5116" s="1" t="s">
        <v>14250</v>
      </c>
      <c r="B5116" s="1" t="s">
        <v>5103</v>
      </c>
      <c r="C5116" s="1" t="s">
        <v>14251</v>
      </c>
      <c r="D5116" s="1" t="s">
        <v>79</v>
      </c>
      <c r="E5116" s="1" t="s">
        <v>29</v>
      </c>
      <c r="F5116" s="5">
        <v>48000.0</v>
      </c>
      <c r="G5116" s="1" t="s">
        <v>7016</v>
      </c>
      <c r="H5116" s="1" t="s">
        <v>330</v>
      </c>
      <c r="I5116" s="1" t="s">
        <v>510</v>
      </c>
      <c r="K5116" s="1">
        <v>0.0</v>
      </c>
      <c r="L5116" s="1" t="s">
        <v>1534</v>
      </c>
      <c r="M5116" s="1" t="str">
        <f>VLOOKUP(L5116,'Copy of PMD Workday Constants -'!B5115:W5801,22,false)</f>
        <v>#N/A</v>
      </c>
      <c r="N5116" s="1" t="s">
        <v>32</v>
      </c>
      <c r="O5116" s="1" t="s">
        <v>33</v>
      </c>
      <c r="P5116" s="1" t="s">
        <v>82</v>
      </c>
      <c r="Q5116" s="1" t="s">
        <v>82</v>
      </c>
      <c r="R5116" s="1" t="s">
        <v>83</v>
      </c>
      <c r="S5116" s="1" t="s">
        <v>84</v>
      </c>
      <c r="T5116" s="1">
        <v>1.00618842E8</v>
      </c>
      <c r="W5116" s="1" t="s">
        <v>115</v>
      </c>
      <c r="X5116" s="1" t="s">
        <v>319</v>
      </c>
    </row>
    <row r="5117">
      <c r="A5117" s="1" t="s">
        <v>14252</v>
      </c>
      <c r="B5117" s="1" t="s">
        <v>776</v>
      </c>
      <c r="C5117" s="1" t="s">
        <v>14253</v>
      </c>
      <c r="D5117" s="1" t="s">
        <v>28</v>
      </c>
      <c r="E5117" s="1" t="s">
        <v>29</v>
      </c>
      <c r="F5117" s="5">
        <v>47000.0</v>
      </c>
      <c r="G5117" s="1" t="s">
        <v>7016</v>
      </c>
      <c r="H5117" s="4">
        <v>44656.0</v>
      </c>
      <c r="I5117" s="1" t="s">
        <v>80</v>
      </c>
      <c r="K5117" s="1">
        <v>0.0</v>
      </c>
      <c r="L5117" s="1" t="s">
        <v>779</v>
      </c>
      <c r="M5117" s="1" t="str">
        <f>VLOOKUP(L5117,'Copy of PMD Workday Constants -'!B5116:W5802,22,false)</f>
        <v>#N/A</v>
      </c>
      <c r="N5117" s="1" t="s">
        <v>32</v>
      </c>
      <c r="O5117" s="1" t="s">
        <v>33</v>
      </c>
      <c r="P5117" s="1" t="s">
        <v>222</v>
      </c>
      <c r="Q5117" s="1" t="s">
        <v>222</v>
      </c>
      <c r="R5117" s="1" t="s">
        <v>223</v>
      </c>
      <c r="S5117" s="1" t="s">
        <v>601</v>
      </c>
      <c r="T5117" s="1">
        <v>1.0061139E8</v>
      </c>
      <c r="W5117" s="1" t="s">
        <v>74</v>
      </c>
      <c r="X5117" s="1" t="s">
        <v>4184</v>
      </c>
    </row>
    <row r="5118">
      <c r="A5118" s="1" t="s">
        <v>14254</v>
      </c>
      <c r="B5118" s="1" t="s">
        <v>14255</v>
      </c>
      <c r="C5118" s="1" t="s">
        <v>14256</v>
      </c>
      <c r="D5118" s="1" t="s">
        <v>51</v>
      </c>
      <c r="E5118" s="1" t="s">
        <v>29</v>
      </c>
      <c r="F5118" s="5">
        <v>46000.0</v>
      </c>
      <c r="G5118" s="1" t="s">
        <v>7016</v>
      </c>
      <c r="H5118" s="1" t="s">
        <v>13401</v>
      </c>
      <c r="I5118" s="1" t="s">
        <v>104</v>
      </c>
      <c r="K5118" s="1">
        <v>0.0</v>
      </c>
      <c r="L5118" s="1" t="s">
        <v>2602</v>
      </c>
      <c r="M5118" s="1" t="str">
        <f>VLOOKUP(L5118,'Copy of PMD Workday Constants -'!B5117:W5803,22,false)</f>
        <v>#N/A</v>
      </c>
      <c r="N5118" s="1" t="s">
        <v>32</v>
      </c>
      <c r="O5118" s="1" t="s">
        <v>33</v>
      </c>
      <c r="P5118" s="1" t="s">
        <v>173</v>
      </c>
      <c r="Q5118" s="1" t="s">
        <v>173</v>
      </c>
      <c r="R5118" s="1" t="s">
        <v>174</v>
      </c>
      <c r="S5118" s="1" t="s">
        <v>8242</v>
      </c>
      <c r="T5118" s="1">
        <v>1.00611351E8</v>
      </c>
      <c r="W5118" s="1" t="s">
        <v>436</v>
      </c>
      <c r="X5118" s="1" t="s">
        <v>2914</v>
      </c>
    </row>
    <row r="5119">
      <c r="A5119" s="1" t="s">
        <v>14257</v>
      </c>
      <c r="B5119" s="1" t="s">
        <v>14258</v>
      </c>
      <c r="C5119" s="1" t="s">
        <v>14259</v>
      </c>
      <c r="D5119" s="1" t="s">
        <v>103</v>
      </c>
      <c r="E5119" s="1" t="s">
        <v>29</v>
      </c>
      <c r="F5119" s="5">
        <v>45900.0</v>
      </c>
      <c r="G5119" s="1" t="s">
        <v>7016</v>
      </c>
      <c r="H5119" s="4">
        <v>44266.0</v>
      </c>
      <c r="I5119" s="1" t="s">
        <v>152</v>
      </c>
      <c r="K5119" s="1">
        <v>0.0</v>
      </c>
      <c r="L5119" s="1" t="s">
        <v>2343</v>
      </c>
      <c r="M5119" s="1" t="str">
        <f>VLOOKUP(L5119,'Copy of PMD Workday Constants -'!B5118:W5804,22,false)</f>
        <v>#N/A</v>
      </c>
      <c r="N5119" s="1" t="s">
        <v>32</v>
      </c>
      <c r="O5119" s="1" t="s">
        <v>33</v>
      </c>
      <c r="P5119" s="1" t="s">
        <v>222</v>
      </c>
      <c r="Q5119" s="1" t="s">
        <v>222</v>
      </c>
      <c r="R5119" s="1" t="s">
        <v>223</v>
      </c>
      <c r="S5119" s="1" t="s">
        <v>646</v>
      </c>
      <c r="T5119" s="1">
        <v>1.00619128E8</v>
      </c>
      <c r="W5119" s="1" t="s">
        <v>115</v>
      </c>
      <c r="X5119" s="1" t="s">
        <v>8273</v>
      </c>
    </row>
    <row r="5120">
      <c r="A5120" s="1" t="s">
        <v>14260</v>
      </c>
      <c r="B5120" s="1" t="s">
        <v>293</v>
      </c>
      <c r="C5120" s="1" t="s">
        <v>14261</v>
      </c>
      <c r="D5120" s="1" t="s">
        <v>51</v>
      </c>
      <c r="E5120" s="1" t="s">
        <v>29</v>
      </c>
      <c r="F5120" s="5">
        <v>45000.0</v>
      </c>
      <c r="G5120" s="1" t="s">
        <v>7016</v>
      </c>
      <c r="H5120" s="1" t="s">
        <v>14262</v>
      </c>
      <c r="I5120" s="1" t="s">
        <v>302</v>
      </c>
      <c r="K5120" s="1">
        <v>0.0</v>
      </c>
      <c r="L5120" s="1" t="s">
        <v>11159</v>
      </c>
      <c r="M5120" s="1" t="str">
        <f>VLOOKUP(L5120,'Copy of PMD Workday Constants -'!B5119:W5805,22,false)</f>
        <v>#N/A</v>
      </c>
      <c r="N5120" s="1" t="s">
        <v>32</v>
      </c>
      <c r="O5120" s="1" t="s">
        <v>33</v>
      </c>
      <c r="P5120" s="1" t="s">
        <v>222</v>
      </c>
      <c r="Q5120" s="1" t="s">
        <v>222</v>
      </c>
      <c r="R5120" s="1" t="s">
        <v>223</v>
      </c>
      <c r="S5120" s="1" t="s">
        <v>482</v>
      </c>
      <c r="T5120" s="1">
        <v>1.00602248E8</v>
      </c>
      <c r="W5120" s="1" t="s">
        <v>258</v>
      </c>
      <c r="X5120" s="1" t="s">
        <v>12065</v>
      </c>
    </row>
    <row r="5121">
      <c r="A5121" s="1" t="s">
        <v>14263</v>
      </c>
      <c r="B5121" s="1" t="s">
        <v>489</v>
      </c>
      <c r="C5121" s="1" t="s">
        <v>14264</v>
      </c>
      <c r="D5121" s="1" t="s">
        <v>103</v>
      </c>
      <c r="E5121" s="1" t="s">
        <v>29</v>
      </c>
      <c r="F5121" s="5">
        <v>45000.0</v>
      </c>
      <c r="G5121" s="1" t="s">
        <v>7016</v>
      </c>
      <c r="H5121" s="1" t="s">
        <v>263</v>
      </c>
      <c r="I5121" s="4">
        <v>44569.0</v>
      </c>
      <c r="K5121" s="1">
        <v>0.0</v>
      </c>
      <c r="L5121" s="1" t="s">
        <v>7272</v>
      </c>
      <c r="M5121" s="1" t="str">
        <f>VLOOKUP(L5121,'Copy of PMD Workday Constants -'!B5120:W5806,22,false)</f>
        <v>#N/A</v>
      </c>
      <c r="N5121" s="1" t="s">
        <v>32</v>
      </c>
      <c r="O5121" s="1" t="s">
        <v>33</v>
      </c>
      <c r="P5121" s="1" t="s">
        <v>173</v>
      </c>
      <c r="Q5121" s="1" t="s">
        <v>173</v>
      </c>
      <c r="R5121" s="1" t="s">
        <v>174</v>
      </c>
      <c r="T5121" s="1">
        <v>1.0065252E8</v>
      </c>
      <c r="W5121" s="1" t="s">
        <v>250</v>
      </c>
      <c r="X5121" s="1" t="s">
        <v>7272</v>
      </c>
    </row>
    <row r="5122">
      <c r="A5122" s="1" t="s">
        <v>14265</v>
      </c>
      <c r="B5122" s="1" t="s">
        <v>14266</v>
      </c>
      <c r="C5122" s="1" t="s">
        <v>14267</v>
      </c>
      <c r="D5122" s="1" t="s">
        <v>28</v>
      </c>
      <c r="E5122" s="1" t="s">
        <v>29</v>
      </c>
      <c r="F5122" s="5">
        <v>45000.0</v>
      </c>
      <c r="G5122" s="1" t="s">
        <v>7016</v>
      </c>
      <c r="H5122" s="1" t="s">
        <v>2577</v>
      </c>
      <c r="I5122" s="1" t="s">
        <v>104</v>
      </c>
      <c r="K5122" s="1">
        <v>0.0</v>
      </c>
      <c r="L5122" s="1" t="s">
        <v>2602</v>
      </c>
      <c r="M5122" s="1" t="str">
        <f>VLOOKUP(L5122,'Copy of PMD Workday Constants -'!B5121:W5807,22,false)</f>
        <v>#N/A</v>
      </c>
      <c r="N5122" s="1" t="s">
        <v>32</v>
      </c>
      <c r="O5122" s="1" t="s">
        <v>33</v>
      </c>
      <c r="P5122" s="1" t="s">
        <v>173</v>
      </c>
      <c r="Q5122" s="1" t="s">
        <v>173</v>
      </c>
      <c r="R5122" s="1" t="s">
        <v>174</v>
      </c>
      <c r="S5122" s="1" t="s">
        <v>8242</v>
      </c>
      <c r="T5122" s="1">
        <v>1.00611351E8</v>
      </c>
      <c r="W5122" s="1" t="s">
        <v>436</v>
      </c>
      <c r="X5122" s="1" t="s">
        <v>2914</v>
      </c>
    </row>
    <row r="5123">
      <c r="A5123" s="1" t="s">
        <v>14268</v>
      </c>
      <c r="B5123" s="1" t="s">
        <v>14269</v>
      </c>
      <c r="C5123" s="1" t="s">
        <v>14270</v>
      </c>
      <c r="D5123" s="1" t="s">
        <v>51</v>
      </c>
      <c r="E5123" s="1" t="s">
        <v>29</v>
      </c>
      <c r="F5123" s="5">
        <v>45000.0</v>
      </c>
      <c r="G5123" s="1" t="s">
        <v>7016</v>
      </c>
      <c r="H5123" s="1" t="s">
        <v>1785</v>
      </c>
      <c r="I5123" s="1" t="s">
        <v>80</v>
      </c>
      <c r="K5123" s="1">
        <v>0.0</v>
      </c>
      <c r="L5123" s="1" t="s">
        <v>5558</v>
      </c>
      <c r="M5123" s="1" t="str">
        <f>VLOOKUP(L5123,'Copy of PMD Workday Constants -'!B5122:W5808,22,false)</f>
        <v>#N/A</v>
      </c>
      <c r="N5123" s="1" t="s">
        <v>32</v>
      </c>
      <c r="O5123" s="1" t="s">
        <v>33</v>
      </c>
      <c r="P5123" s="1" t="s">
        <v>222</v>
      </c>
      <c r="Q5123" s="1" t="s">
        <v>222</v>
      </c>
      <c r="R5123" s="1" t="s">
        <v>223</v>
      </c>
      <c r="S5123" s="1" t="s">
        <v>482</v>
      </c>
      <c r="T5123" s="1">
        <v>1.00652479E8</v>
      </c>
      <c r="W5123" s="1" t="s">
        <v>74</v>
      </c>
      <c r="X5123" s="1" t="s">
        <v>817</v>
      </c>
    </row>
    <row r="5124">
      <c r="A5124" s="1" t="s">
        <v>14271</v>
      </c>
      <c r="B5124" s="1" t="s">
        <v>14272</v>
      </c>
      <c r="C5124" s="1" t="s">
        <v>14273</v>
      </c>
      <c r="D5124" s="1" t="s">
        <v>79</v>
      </c>
      <c r="E5124" s="1" t="s">
        <v>29</v>
      </c>
      <c r="F5124" s="5">
        <v>45000.0</v>
      </c>
      <c r="G5124" s="1" t="s">
        <v>7016</v>
      </c>
      <c r="H5124" s="4">
        <v>44389.0</v>
      </c>
      <c r="I5124" s="4">
        <v>44568.0</v>
      </c>
      <c r="K5124" s="1">
        <v>0.0</v>
      </c>
      <c r="L5124" s="1" t="s">
        <v>4217</v>
      </c>
      <c r="M5124" s="1" t="str">
        <f>VLOOKUP(L5124,'Copy of PMD Workday Constants -'!B5123:W5809,22,false)</f>
        <v>#N/A</v>
      </c>
      <c r="N5124" s="1" t="s">
        <v>32</v>
      </c>
      <c r="O5124" s="1" t="s">
        <v>33</v>
      </c>
      <c r="P5124" s="1" t="s">
        <v>222</v>
      </c>
      <c r="Q5124" s="1" t="s">
        <v>222</v>
      </c>
      <c r="R5124" s="1" t="s">
        <v>223</v>
      </c>
      <c r="S5124" s="1" t="s">
        <v>482</v>
      </c>
      <c r="T5124" s="1">
        <v>1.0065605E8</v>
      </c>
      <c r="W5124" s="1" t="s">
        <v>140</v>
      </c>
      <c r="X5124" s="1" t="s">
        <v>12951</v>
      </c>
    </row>
    <row r="5125">
      <c r="A5125" s="1" t="s">
        <v>14274</v>
      </c>
      <c r="B5125" s="1" t="s">
        <v>14275</v>
      </c>
      <c r="C5125" s="1" t="s">
        <v>11346</v>
      </c>
      <c r="D5125" s="1" t="s">
        <v>103</v>
      </c>
      <c r="E5125" s="1" t="s">
        <v>29</v>
      </c>
      <c r="F5125" s="5">
        <v>45000.0</v>
      </c>
      <c r="G5125" s="1" t="s">
        <v>7016</v>
      </c>
      <c r="H5125" s="1" t="s">
        <v>2515</v>
      </c>
      <c r="I5125" s="1" t="s">
        <v>132</v>
      </c>
      <c r="K5125" s="1">
        <v>0.0</v>
      </c>
      <c r="L5125" s="1" t="s">
        <v>10207</v>
      </c>
      <c r="M5125" s="1" t="str">
        <f>VLOOKUP(L5125,'Copy of PMD Workday Constants -'!B5124:W5810,22,false)</f>
        <v>#N/A</v>
      </c>
      <c r="N5125" s="1" t="s">
        <v>32</v>
      </c>
      <c r="O5125" s="1" t="s">
        <v>33</v>
      </c>
      <c r="P5125" s="1" t="s">
        <v>222</v>
      </c>
      <c r="Q5125" s="1" t="s">
        <v>222</v>
      </c>
      <c r="R5125" s="1" t="s">
        <v>223</v>
      </c>
      <c r="S5125" s="1" t="s">
        <v>482</v>
      </c>
      <c r="T5125" s="1">
        <v>1.00612201E8</v>
      </c>
      <c r="W5125" s="1" t="s">
        <v>258</v>
      </c>
      <c r="X5125" s="1" t="s">
        <v>10097</v>
      </c>
    </row>
    <row r="5126">
      <c r="A5126" s="1" t="s">
        <v>14276</v>
      </c>
      <c r="B5126" s="1" t="s">
        <v>1034</v>
      </c>
      <c r="C5126" s="1" t="s">
        <v>14277</v>
      </c>
      <c r="D5126" s="1" t="s">
        <v>51</v>
      </c>
      <c r="E5126" s="1" t="s">
        <v>29</v>
      </c>
      <c r="F5126" s="5">
        <v>42000.0</v>
      </c>
      <c r="G5126" s="1" t="s">
        <v>7016</v>
      </c>
      <c r="H5126" s="4">
        <v>44116.0</v>
      </c>
      <c r="I5126" s="4">
        <v>44568.0</v>
      </c>
      <c r="J5126" s="1" t="s">
        <v>14278</v>
      </c>
      <c r="K5126" s="1">
        <v>0.0</v>
      </c>
      <c r="L5126" s="1" t="s">
        <v>350</v>
      </c>
      <c r="M5126" s="1" t="str">
        <f>VLOOKUP(L5126,'Copy of PMD Workday Constants -'!B5125:W5811,22,false)</f>
        <v>#N/A</v>
      </c>
      <c r="N5126" s="1" t="s">
        <v>32</v>
      </c>
      <c r="O5126" s="1" t="s">
        <v>33</v>
      </c>
      <c r="P5126" s="1" t="s">
        <v>82</v>
      </c>
      <c r="Q5126" s="1" t="s">
        <v>82</v>
      </c>
      <c r="R5126" s="1" t="s">
        <v>83</v>
      </c>
      <c r="S5126" s="1" t="s">
        <v>180</v>
      </c>
      <c r="T5126" s="1">
        <v>1.00582847E8</v>
      </c>
      <c r="W5126" s="1" t="s">
        <v>85</v>
      </c>
      <c r="X5126" s="1" t="s">
        <v>350</v>
      </c>
    </row>
    <row r="5127">
      <c r="A5127" s="1" t="s">
        <v>14279</v>
      </c>
      <c r="B5127" s="1" t="s">
        <v>5822</v>
      </c>
      <c r="C5127" s="1" t="s">
        <v>14280</v>
      </c>
      <c r="D5127" s="1" t="s">
        <v>103</v>
      </c>
      <c r="E5127" s="1" t="s">
        <v>29</v>
      </c>
      <c r="F5127" s="5">
        <v>41650.0</v>
      </c>
      <c r="G5127" s="1" t="s">
        <v>7016</v>
      </c>
      <c r="H5127" s="4">
        <v>44807.0</v>
      </c>
      <c r="I5127" s="1" t="s">
        <v>104</v>
      </c>
      <c r="K5127" s="1">
        <v>0.0</v>
      </c>
      <c r="L5127" s="1" t="s">
        <v>11159</v>
      </c>
      <c r="M5127" s="1" t="str">
        <f>VLOOKUP(L5127,'Copy of PMD Workday Constants -'!B5126:W5812,22,false)</f>
        <v>#N/A</v>
      </c>
      <c r="N5127" s="1" t="s">
        <v>32</v>
      </c>
      <c r="O5127" s="1" t="s">
        <v>33</v>
      </c>
      <c r="P5127" s="1" t="s">
        <v>222</v>
      </c>
      <c r="Q5127" s="1" t="s">
        <v>222</v>
      </c>
      <c r="R5127" s="1" t="s">
        <v>223</v>
      </c>
      <c r="S5127" s="1" t="s">
        <v>14281</v>
      </c>
      <c r="T5127" s="1">
        <v>1.00602248E8</v>
      </c>
      <c r="W5127" s="1" t="s">
        <v>456</v>
      </c>
      <c r="X5127" s="1" t="s">
        <v>12989</v>
      </c>
    </row>
    <row r="5128">
      <c r="A5128" s="1" t="s">
        <v>14282</v>
      </c>
      <c r="B5128" s="1" t="s">
        <v>11219</v>
      </c>
      <c r="C5128" s="1" t="s">
        <v>14283</v>
      </c>
      <c r="D5128" s="1" t="s">
        <v>51</v>
      </c>
      <c r="E5128" s="1" t="s">
        <v>29</v>
      </c>
      <c r="F5128" s="5">
        <v>41650.0</v>
      </c>
      <c r="G5128" s="1" t="s">
        <v>7016</v>
      </c>
      <c r="H5128" s="4">
        <v>44685.0</v>
      </c>
      <c r="I5128" s="1" t="s">
        <v>302</v>
      </c>
      <c r="K5128" s="1">
        <v>0.0</v>
      </c>
      <c r="L5128" s="1" t="s">
        <v>11159</v>
      </c>
      <c r="M5128" s="1" t="str">
        <f>VLOOKUP(L5128,'Copy of PMD Workday Constants -'!B5127:W5813,22,false)</f>
        <v>#N/A</v>
      </c>
      <c r="N5128" s="1" t="s">
        <v>32</v>
      </c>
      <c r="O5128" s="1" t="s">
        <v>33</v>
      </c>
      <c r="P5128" s="1" t="s">
        <v>222</v>
      </c>
      <c r="Q5128" s="1" t="s">
        <v>222</v>
      </c>
      <c r="R5128" s="1" t="s">
        <v>223</v>
      </c>
      <c r="S5128" s="1" t="s">
        <v>482</v>
      </c>
      <c r="T5128" s="1">
        <v>1.00602248E8</v>
      </c>
      <c r="W5128" s="1" t="s">
        <v>85</v>
      </c>
      <c r="X5128" s="1" t="s">
        <v>14284</v>
      </c>
    </row>
    <row r="5129">
      <c r="A5129" s="1" t="s">
        <v>14285</v>
      </c>
      <c r="B5129" s="1" t="s">
        <v>14286</v>
      </c>
      <c r="C5129" s="1" t="s">
        <v>14287</v>
      </c>
      <c r="D5129" s="1" t="s">
        <v>103</v>
      </c>
      <c r="E5129" s="1" t="s">
        <v>29</v>
      </c>
      <c r="F5129" s="5">
        <v>40500.0</v>
      </c>
      <c r="G5129" s="1" t="s">
        <v>7016</v>
      </c>
      <c r="H5129" s="4">
        <v>44899.0</v>
      </c>
      <c r="I5129" s="4">
        <v>44719.0</v>
      </c>
      <c r="K5129" s="1">
        <v>0.0</v>
      </c>
      <c r="L5129" s="1" t="s">
        <v>7276</v>
      </c>
      <c r="M5129" s="1" t="str">
        <f>VLOOKUP(L5129,'Copy of PMD Workday Constants -'!B5128:W5814,22,false)</f>
        <v>#N/A</v>
      </c>
      <c r="N5129" s="1" t="s">
        <v>32</v>
      </c>
      <c r="O5129" s="1" t="s">
        <v>33</v>
      </c>
      <c r="P5129" s="1" t="s">
        <v>64</v>
      </c>
      <c r="Q5129" s="1" t="s">
        <v>64</v>
      </c>
      <c r="R5129" s="1" t="s">
        <v>65</v>
      </c>
      <c r="S5129" s="1" t="s">
        <v>14288</v>
      </c>
      <c r="T5129" s="1">
        <v>1.00587219E8</v>
      </c>
      <c r="W5129" s="1" t="s">
        <v>115</v>
      </c>
      <c r="X5129" s="1" t="s">
        <v>14289</v>
      </c>
    </row>
    <row r="5130">
      <c r="A5130" s="1" t="s">
        <v>14290</v>
      </c>
      <c r="B5130" s="1" t="s">
        <v>143</v>
      </c>
      <c r="C5130" s="1" t="s">
        <v>11546</v>
      </c>
      <c r="D5130" s="1" t="s">
        <v>51</v>
      </c>
      <c r="E5130" s="1" t="s">
        <v>29</v>
      </c>
      <c r="F5130" s="5">
        <v>40000.0</v>
      </c>
      <c r="G5130" s="1" t="s">
        <v>7016</v>
      </c>
      <c r="H5130" s="1" t="s">
        <v>6662</v>
      </c>
      <c r="I5130" s="4">
        <v>44571.0</v>
      </c>
      <c r="K5130" s="1">
        <v>0.0</v>
      </c>
      <c r="L5130" s="1" t="s">
        <v>3727</v>
      </c>
      <c r="M5130" s="1" t="str">
        <f>VLOOKUP(L5130,'Copy of PMD Workday Constants -'!B5129:W5815,22,false)</f>
        <v>#N/A</v>
      </c>
      <c r="N5130" s="1" t="s">
        <v>32</v>
      </c>
      <c r="O5130" s="1" t="s">
        <v>33</v>
      </c>
      <c r="P5130" s="1" t="s">
        <v>222</v>
      </c>
      <c r="Q5130" s="1" t="s">
        <v>222</v>
      </c>
      <c r="R5130" s="1" t="s">
        <v>223</v>
      </c>
      <c r="S5130" s="1" t="s">
        <v>646</v>
      </c>
      <c r="T5130" s="1">
        <v>1.00611158E8</v>
      </c>
      <c r="W5130" s="1" t="s">
        <v>147</v>
      </c>
      <c r="X5130" s="1" t="s">
        <v>13339</v>
      </c>
    </row>
    <row r="5131">
      <c r="A5131" s="1" t="s">
        <v>14291</v>
      </c>
      <c r="B5131" s="1" t="s">
        <v>4101</v>
      </c>
      <c r="C5131" s="1" t="s">
        <v>14292</v>
      </c>
      <c r="D5131" s="1" t="s">
        <v>103</v>
      </c>
      <c r="E5131" s="1" t="s">
        <v>29</v>
      </c>
      <c r="F5131" s="5">
        <v>40000.0</v>
      </c>
      <c r="G5131" s="1" t="s">
        <v>7016</v>
      </c>
      <c r="H5131" s="4">
        <v>44810.0</v>
      </c>
      <c r="I5131" s="4">
        <v>44569.0</v>
      </c>
      <c r="K5131" s="1">
        <v>0.0</v>
      </c>
      <c r="L5131" s="1" t="s">
        <v>13450</v>
      </c>
      <c r="M5131" s="1" t="str">
        <f>VLOOKUP(L5131,'Copy of PMD Workday Constants -'!B5130:W5816,22,false)</f>
        <v>#N/A</v>
      </c>
      <c r="N5131" s="1" t="s">
        <v>32</v>
      </c>
      <c r="O5131" s="1" t="s">
        <v>33</v>
      </c>
      <c r="P5131" s="1" t="s">
        <v>222</v>
      </c>
      <c r="Q5131" s="1" t="s">
        <v>222</v>
      </c>
      <c r="R5131" s="1" t="s">
        <v>223</v>
      </c>
      <c r="T5131" s="1">
        <v>1.00634698E8</v>
      </c>
      <c r="W5131" s="1" t="s">
        <v>456</v>
      </c>
      <c r="X5131" s="1" t="s">
        <v>14293</v>
      </c>
    </row>
    <row r="5132">
      <c r="A5132" s="1" t="s">
        <v>14294</v>
      </c>
      <c r="B5132" s="1" t="s">
        <v>14295</v>
      </c>
      <c r="C5132" s="1" t="s">
        <v>14296</v>
      </c>
      <c r="D5132" s="1" t="s">
        <v>103</v>
      </c>
      <c r="E5132" s="1" t="s">
        <v>29</v>
      </c>
      <c r="F5132" s="5">
        <v>40000.0</v>
      </c>
      <c r="G5132" s="1" t="s">
        <v>7016</v>
      </c>
      <c r="H5132" s="1" t="s">
        <v>3034</v>
      </c>
      <c r="I5132" s="1" t="s">
        <v>301</v>
      </c>
      <c r="K5132" s="1">
        <v>0.0</v>
      </c>
      <c r="L5132" s="1" t="s">
        <v>3408</v>
      </c>
      <c r="M5132" s="1" t="str">
        <f>VLOOKUP(L5132,'Copy of PMD Workday Constants -'!B5131:W5817,22,false)</f>
        <v>#N/A</v>
      </c>
      <c r="N5132" s="1" t="s">
        <v>32</v>
      </c>
      <c r="O5132" s="1" t="s">
        <v>33</v>
      </c>
      <c r="P5132" s="1" t="s">
        <v>222</v>
      </c>
      <c r="Q5132" s="1" t="s">
        <v>222</v>
      </c>
      <c r="R5132" s="1" t="s">
        <v>223</v>
      </c>
      <c r="S5132" s="1" t="s">
        <v>482</v>
      </c>
      <c r="T5132" s="1">
        <v>1.0066189E8</v>
      </c>
      <c r="W5132" s="1" t="s">
        <v>287</v>
      </c>
      <c r="X5132" s="1" t="s">
        <v>14297</v>
      </c>
    </row>
    <row r="5133">
      <c r="A5133" s="1" t="s">
        <v>14298</v>
      </c>
      <c r="B5133" s="1" t="s">
        <v>14299</v>
      </c>
      <c r="C5133" s="1" t="s">
        <v>14300</v>
      </c>
      <c r="D5133" s="1" t="s">
        <v>79</v>
      </c>
      <c r="E5133" s="1" t="s">
        <v>29</v>
      </c>
      <c r="F5133" s="5">
        <v>40000.0</v>
      </c>
      <c r="G5133" s="1" t="s">
        <v>7016</v>
      </c>
      <c r="H5133" s="1" t="s">
        <v>1134</v>
      </c>
      <c r="I5133" s="1" t="s">
        <v>810</v>
      </c>
      <c r="K5133" s="1">
        <v>0.0</v>
      </c>
      <c r="L5133" s="1" t="s">
        <v>11159</v>
      </c>
      <c r="M5133" s="1" t="str">
        <f>VLOOKUP(L5133,'Copy of PMD Workday Constants -'!B5132:W5818,22,false)</f>
        <v>#N/A</v>
      </c>
      <c r="N5133" s="1" t="s">
        <v>32</v>
      </c>
      <c r="O5133" s="1" t="s">
        <v>33</v>
      </c>
      <c r="P5133" s="1" t="s">
        <v>222</v>
      </c>
      <c r="Q5133" s="1" t="s">
        <v>222</v>
      </c>
      <c r="R5133" s="1" t="s">
        <v>223</v>
      </c>
      <c r="S5133" s="1" t="s">
        <v>646</v>
      </c>
      <c r="T5133" s="1">
        <v>1.00602248E8</v>
      </c>
      <c r="W5133" s="1" t="s">
        <v>47</v>
      </c>
      <c r="X5133" s="1" t="s">
        <v>11160</v>
      </c>
    </row>
    <row r="5134">
      <c r="A5134" s="1" t="s">
        <v>14301</v>
      </c>
      <c r="B5134" s="1" t="s">
        <v>14302</v>
      </c>
      <c r="C5134" s="1" t="s">
        <v>14303</v>
      </c>
      <c r="D5134" s="1" t="s">
        <v>28</v>
      </c>
      <c r="E5134" s="1" t="s">
        <v>29</v>
      </c>
      <c r="F5134" s="5">
        <v>40000.0</v>
      </c>
      <c r="G5134" s="1" t="s">
        <v>7016</v>
      </c>
      <c r="H5134" s="1" t="s">
        <v>466</v>
      </c>
      <c r="I5134" s="1" t="s">
        <v>301</v>
      </c>
      <c r="K5134" s="1">
        <v>0.0</v>
      </c>
      <c r="L5134" s="1" t="s">
        <v>2013</v>
      </c>
      <c r="M5134" s="1" t="str">
        <f>VLOOKUP(L5134,'Copy of PMD Workday Constants -'!B5133:W5819,22,false)</f>
        <v>#N/A</v>
      </c>
      <c r="N5134" s="1" t="s">
        <v>32</v>
      </c>
      <c r="O5134" s="1" t="s">
        <v>33</v>
      </c>
      <c r="P5134" s="1" t="s">
        <v>222</v>
      </c>
      <c r="Q5134" s="1" t="s">
        <v>222</v>
      </c>
      <c r="R5134" s="1" t="s">
        <v>223</v>
      </c>
      <c r="S5134" s="1" t="s">
        <v>482</v>
      </c>
      <c r="T5134" s="1">
        <v>1.00596618E8</v>
      </c>
      <c r="W5134" s="1" t="s">
        <v>456</v>
      </c>
      <c r="X5134" s="1" t="s">
        <v>13186</v>
      </c>
    </row>
    <row r="5135">
      <c r="A5135" s="1" t="s">
        <v>14304</v>
      </c>
      <c r="B5135" s="1" t="s">
        <v>14305</v>
      </c>
      <c r="C5135" s="1" t="s">
        <v>14306</v>
      </c>
      <c r="D5135" s="1" t="s">
        <v>51</v>
      </c>
      <c r="E5135" s="1" t="s">
        <v>29</v>
      </c>
      <c r="F5135" s="5">
        <v>40000.0</v>
      </c>
      <c r="G5135" s="1" t="s">
        <v>7016</v>
      </c>
      <c r="H5135" s="4">
        <v>44055.0</v>
      </c>
      <c r="I5135" s="1" t="s">
        <v>302</v>
      </c>
      <c r="K5135" s="1">
        <v>0.0</v>
      </c>
      <c r="L5135" s="1" t="s">
        <v>11159</v>
      </c>
      <c r="M5135" s="1" t="str">
        <f>VLOOKUP(L5135,'Copy of PMD Workday Constants -'!B5134:W5820,22,false)</f>
        <v>#N/A</v>
      </c>
      <c r="N5135" s="1" t="s">
        <v>32</v>
      </c>
      <c r="O5135" s="1" t="s">
        <v>33</v>
      </c>
      <c r="P5135" s="1" t="s">
        <v>222</v>
      </c>
      <c r="Q5135" s="1" t="s">
        <v>222</v>
      </c>
      <c r="R5135" s="1" t="s">
        <v>223</v>
      </c>
      <c r="S5135" s="1" t="s">
        <v>482</v>
      </c>
      <c r="T5135" s="1">
        <v>1.00602248E8</v>
      </c>
      <c r="W5135" s="1" t="s">
        <v>436</v>
      </c>
      <c r="X5135" s="1" t="s">
        <v>12065</v>
      </c>
    </row>
    <row r="5136">
      <c r="A5136" s="1" t="s">
        <v>14307</v>
      </c>
      <c r="B5136" s="1" t="s">
        <v>14308</v>
      </c>
      <c r="C5136" s="1" t="s">
        <v>13701</v>
      </c>
      <c r="D5136" s="1" t="s">
        <v>51</v>
      </c>
      <c r="E5136" s="1" t="s">
        <v>29</v>
      </c>
      <c r="F5136" s="5">
        <v>40000.0</v>
      </c>
      <c r="G5136" s="1" t="s">
        <v>7016</v>
      </c>
      <c r="H5136" s="1" t="s">
        <v>434</v>
      </c>
      <c r="I5136" s="1" t="s">
        <v>810</v>
      </c>
      <c r="K5136" s="1">
        <v>0.0</v>
      </c>
      <c r="L5136" s="1" t="s">
        <v>10207</v>
      </c>
      <c r="M5136" s="1" t="str">
        <f>VLOOKUP(L5136,'Copy of PMD Workday Constants -'!B5135:W5821,22,false)</f>
        <v>#N/A</v>
      </c>
      <c r="N5136" s="1" t="s">
        <v>32</v>
      </c>
      <c r="O5136" s="1" t="s">
        <v>33</v>
      </c>
      <c r="P5136" s="1" t="s">
        <v>222</v>
      </c>
      <c r="Q5136" s="1" t="s">
        <v>222</v>
      </c>
      <c r="R5136" s="1" t="s">
        <v>223</v>
      </c>
      <c r="S5136" s="1" t="s">
        <v>482</v>
      </c>
      <c r="T5136" s="1">
        <v>1.00612201E8</v>
      </c>
      <c r="W5136" s="1" t="s">
        <v>147</v>
      </c>
      <c r="X5136" s="1" t="s">
        <v>12829</v>
      </c>
    </row>
    <row r="5137">
      <c r="A5137" s="1" t="s">
        <v>14309</v>
      </c>
      <c r="B5137" s="1" t="s">
        <v>357</v>
      </c>
      <c r="C5137" s="1" t="s">
        <v>14310</v>
      </c>
      <c r="D5137" s="1" t="s">
        <v>103</v>
      </c>
      <c r="E5137" s="1" t="s">
        <v>29</v>
      </c>
      <c r="F5137" s="5">
        <v>40000.0</v>
      </c>
      <c r="G5137" s="1" t="s">
        <v>7016</v>
      </c>
      <c r="H5137" s="1" t="s">
        <v>2484</v>
      </c>
      <c r="I5137" s="4">
        <v>44567.0</v>
      </c>
      <c r="K5137" s="1">
        <v>0.0</v>
      </c>
      <c r="L5137" s="1" t="s">
        <v>10653</v>
      </c>
      <c r="M5137" s="1" t="str">
        <f>VLOOKUP(L5137,'Copy of PMD Workday Constants -'!B5136:W5822,22,false)</f>
        <v>#N/A</v>
      </c>
      <c r="N5137" s="1" t="s">
        <v>32</v>
      </c>
      <c r="O5137" s="1" t="s">
        <v>33</v>
      </c>
      <c r="P5137" s="1" t="s">
        <v>222</v>
      </c>
      <c r="Q5137" s="1" t="s">
        <v>222</v>
      </c>
      <c r="R5137" s="1" t="s">
        <v>223</v>
      </c>
      <c r="S5137" s="1" t="s">
        <v>482</v>
      </c>
      <c r="T5137" s="1">
        <v>1.01154609E8</v>
      </c>
      <c r="W5137" s="1" t="s">
        <v>258</v>
      </c>
      <c r="X5137" s="1" t="s">
        <v>10777</v>
      </c>
    </row>
    <row r="5138">
      <c r="A5138" s="1" t="s">
        <v>14311</v>
      </c>
      <c r="B5138" s="1" t="s">
        <v>14312</v>
      </c>
      <c r="C5138" s="1" t="s">
        <v>14313</v>
      </c>
      <c r="D5138" s="1" t="s">
        <v>51</v>
      </c>
      <c r="E5138" s="1" t="s">
        <v>29</v>
      </c>
      <c r="F5138" s="5">
        <v>40000.0</v>
      </c>
      <c r="G5138" s="1" t="s">
        <v>7016</v>
      </c>
      <c r="H5138" s="1" t="s">
        <v>1785</v>
      </c>
      <c r="I5138" s="1" t="s">
        <v>80</v>
      </c>
      <c r="K5138" s="1">
        <v>0.0</v>
      </c>
      <c r="L5138" s="1" t="s">
        <v>4217</v>
      </c>
      <c r="M5138" s="1" t="str">
        <f>VLOOKUP(L5138,'Copy of PMD Workday Constants -'!B5137:W5823,22,false)</f>
        <v>#N/A</v>
      </c>
      <c r="N5138" s="1" t="s">
        <v>32</v>
      </c>
      <c r="O5138" s="1" t="s">
        <v>33</v>
      </c>
      <c r="P5138" s="1" t="s">
        <v>222</v>
      </c>
      <c r="Q5138" s="1" t="s">
        <v>222</v>
      </c>
      <c r="R5138" s="1" t="s">
        <v>223</v>
      </c>
      <c r="S5138" s="1" t="s">
        <v>482</v>
      </c>
      <c r="T5138" s="1">
        <v>1.0065605E8</v>
      </c>
      <c r="W5138" s="1" t="s">
        <v>47</v>
      </c>
      <c r="X5138" s="1" t="s">
        <v>817</v>
      </c>
    </row>
    <row r="5139">
      <c r="A5139" s="1" t="s">
        <v>14314</v>
      </c>
      <c r="B5139" s="1" t="s">
        <v>6073</v>
      </c>
      <c r="C5139" s="1" t="s">
        <v>14315</v>
      </c>
      <c r="D5139" s="1" t="s">
        <v>51</v>
      </c>
      <c r="E5139" s="1" t="s">
        <v>29</v>
      </c>
      <c r="F5139" s="5">
        <v>40000.0</v>
      </c>
      <c r="G5139" s="1" t="s">
        <v>7016</v>
      </c>
      <c r="H5139" s="4">
        <v>44626.0</v>
      </c>
      <c r="I5139" s="1" t="s">
        <v>80</v>
      </c>
      <c r="K5139" s="1">
        <v>0.0</v>
      </c>
      <c r="L5139" s="1" t="s">
        <v>618</v>
      </c>
      <c r="M5139" s="1" t="str">
        <f>VLOOKUP(L5139,'Copy of PMD Workday Constants -'!B5138:W5824,22,false)</f>
        <v>#N/A</v>
      </c>
      <c r="N5139" s="1" t="s">
        <v>32</v>
      </c>
      <c r="O5139" s="1" t="s">
        <v>33</v>
      </c>
      <c r="P5139" s="1" t="s">
        <v>173</v>
      </c>
      <c r="Q5139" s="1" t="s">
        <v>173</v>
      </c>
      <c r="R5139" s="1" t="s">
        <v>174</v>
      </c>
      <c r="T5139" s="1">
        <v>1.00591141E8</v>
      </c>
      <c r="W5139" s="1" t="s">
        <v>74</v>
      </c>
      <c r="X5139" s="1" t="s">
        <v>5731</v>
      </c>
    </row>
    <row r="5140">
      <c r="A5140" s="1" t="s">
        <v>14316</v>
      </c>
      <c r="B5140" s="1" t="s">
        <v>1257</v>
      </c>
      <c r="C5140" s="1" t="s">
        <v>14317</v>
      </c>
      <c r="D5140" s="1" t="s">
        <v>51</v>
      </c>
      <c r="E5140" s="1" t="s">
        <v>29</v>
      </c>
      <c r="F5140" s="5">
        <v>40000.0</v>
      </c>
      <c r="G5140" s="1" t="s">
        <v>7016</v>
      </c>
      <c r="H5140" s="1" t="s">
        <v>110</v>
      </c>
      <c r="I5140" s="4">
        <v>44717.0</v>
      </c>
      <c r="K5140" s="1">
        <v>0.0</v>
      </c>
      <c r="L5140" s="1" t="s">
        <v>6884</v>
      </c>
      <c r="M5140" s="1" t="str">
        <f>VLOOKUP(L5140,'Copy of PMD Workday Constants -'!B5139:W5825,22,false)</f>
        <v>#N/A</v>
      </c>
      <c r="N5140" s="1" t="s">
        <v>32</v>
      </c>
      <c r="O5140" s="1" t="s">
        <v>33</v>
      </c>
      <c r="P5140" s="1" t="s">
        <v>210</v>
      </c>
      <c r="Q5140" s="1" t="s">
        <v>210</v>
      </c>
      <c r="R5140" s="1" t="s">
        <v>211</v>
      </c>
      <c r="T5140" s="1">
        <v>1.00595346E8</v>
      </c>
      <c r="W5140" s="1" t="s">
        <v>56</v>
      </c>
      <c r="X5140" s="1" t="s">
        <v>14318</v>
      </c>
    </row>
    <row r="5141">
      <c r="A5141" s="1" t="s">
        <v>14319</v>
      </c>
      <c r="B5141" s="1" t="s">
        <v>14320</v>
      </c>
      <c r="C5141" s="1" t="s">
        <v>14321</v>
      </c>
      <c r="D5141" s="1" t="s">
        <v>103</v>
      </c>
      <c r="E5141" s="1" t="s">
        <v>29</v>
      </c>
      <c r="F5141" s="5">
        <v>40000.0</v>
      </c>
      <c r="G5141" s="1" t="s">
        <v>7016</v>
      </c>
      <c r="H5141" s="4">
        <v>44748.0</v>
      </c>
      <c r="I5141" s="4">
        <v>44748.0</v>
      </c>
      <c r="K5141" s="1">
        <v>0.0</v>
      </c>
      <c r="L5141" s="1" t="s">
        <v>10653</v>
      </c>
      <c r="M5141" s="1" t="str">
        <f>VLOOKUP(L5141,'Copy of PMD Workday Constants -'!B5140:W5826,22,false)</f>
        <v>#N/A</v>
      </c>
      <c r="N5141" s="1" t="s">
        <v>32</v>
      </c>
      <c r="O5141" s="1" t="s">
        <v>33</v>
      </c>
      <c r="P5141" s="1" t="s">
        <v>222</v>
      </c>
      <c r="Q5141" s="1" t="s">
        <v>222</v>
      </c>
      <c r="R5141" s="1" t="s">
        <v>223</v>
      </c>
      <c r="S5141" s="1" t="s">
        <v>482</v>
      </c>
      <c r="T5141" s="1">
        <v>1.01154609E8</v>
      </c>
      <c r="W5141" s="1" t="s">
        <v>115</v>
      </c>
      <c r="X5141" s="1" t="s">
        <v>12416</v>
      </c>
    </row>
    <row r="5142">
      <c r="A5142" s="1" t="s">
        <v>14322</v>
      </c>
      <c r="B5142" s="1" t="s">
        <v>6472</v>
      </c>
      <c r="C5142" s="1" t="s">
        <v>14323</v>
      </c>
      <c r="D5142" s="1" t="s">
        <v>28</v>
      </c>
      <c r="E5142" s="1" t="s">
        <v>29</v>
      </c>
      <c r="F5142" s="5">
        <v>40000.0</v>
      </c>
      <c r="G5142" s="1" t="s">
        <v>7016</v>
      </c>
      <c r="H5142" s="4">
        <v>44868.0</v>
      </c>
      <c r="I5142" s="1" t="s">
        <v>104</v>
      </c>
      <c r="K5142" s="1">
        <v>0.0</v>
      </c>
      <c r="L5142" s="1" t="s">
        <v>3771</v>
      </c>
      <c r="M5142" s="1" t="str">
        <f>VLOOKUP(L5142,'Copy of PMD Workday Constants -'!B5141:W5827,22,false)</f>
        <v>#N/A</v>
      </c>
      <c r="N5142" s="1" t="s">
        <v>32</v>
      </c>
      <c r="O5142" s="1" t="s">
        <v>33</v>
      </c>
      <c r="P5142" s="1" t="s">
        <v>34</v>
      </c>
      <c r="Q5142" s="1" t="s">
        <v>34</v>
      </c>
      <c r="R5142" s="1" t="s">
        <v>35</v>
      </c>
      <c r="S5142" s="1" t="s">
        <v>1166</v>
      </c>
      <c r="T5142" s="1">
        <v>1.00651998E8</v>
      </c>
      <c r="W5142" s="1" t="s">
        <v>456</v>
      </c>
      <c r="X5142" s="1" t="s">
        <v>2631</v>
      </c>
    </row>
    <row r="5143">
      <c r="A5143" s="1" t="s">
        <v>14324</v>
      </c>
      <c r="B5143" s="1" t="s">
        <v>14325</v>
      </c>
      <c r="C5143" s="1" t="s">
        <v>14326</v>
      </c>
      <c r="D5143" s="1" t="s">
        <v>103</v>
      </c>
      <c r="E5143" s="1" t="s">
        <v>29</v>
      </c>
      <c r="F5143" s="5">
        <v>40000.0</v>
      </c>
      <c r="G5143" s="1" t="s">
        <v>7016</v>
      </c>
      <c r="H5143" s="4">
        <v>44655.0</v>
      </c>
      <c r="I5143" s="1" t="s">
        <v>80</v>
      </c>
      <c r="K5143" s="1">
        <v>0.0</v>
      </c>
      <c r="L5143" s="1" t="s">
        <v>2507</v>
      </c>
      <c r="M5143" s="1" t="str">
        <f>VLOOKUP(L5143,'Copy of PMD Workday Constants -'!B5142:W5828,22,false)</f>
        <v>#N/A</v>
      </c>
      <c r="N5143" s="1" t="s">
        <v>32</v>
      </c>
      <c r="O5143" s="1" t="s">
        <v>33</v>
      </c>
      <c r="P5143" s="1" t="s">
        <v>222</v>
      </c>
      <c r="Q5143" s="1" t="s">
        <v>222</v>
      </c>
      <c r="R5143" s="1" t="s">
        <v>223</v>
      </c>
      <c r="S5143" s="1" t="s">
        <v>482</v>
      </c>
      <c r="T5143" s="1">
        <v>1.00659458E8</v>
      </c>
      <c r="W5143" s="1" t="s">
        <v>1801</v>
      </c>
      <c r="X5143" s="1" t="s">
        <v>14327</v>
      </c>
    </row>
    <row r="5144">
      <c r="A5144" s="1" t="s">
        <v>14328</v>
      </c>
      <c r="B5144" s="1" t="s">
        <v>5750</v>
      </c>
      <c r="C5144" s="1" t="s">
        <v>14329</v>
      </c>
      <c r="D5144" s="1" t="s">
        <v>79</v>
      </c>
      <c r="E5144" s="1" t="s">
        <v>29</v>
      </c>
      <c r="F5144" s="5">
        <v>40000.0</v>
      </c>
      <c r="G5144" s="1" t="s">
        <v>7016</v>
      </c>
      <c r="H5144" s="4">
        <v>44868.0</v>
      </c>
      <c r="I5144" s="1" t="s">
        <v>80</v>
      </c>
      <c r="K5144" s="1">
        <v>0.0</v>
      </c>
      <c r="L5144" s="1" t="s">
        <v>4608</v>
      </c>
      <c r="M5144" s="1" t="str">
        <f>VLOOKUP(L5144,'Copy of PMD Workday Constants -'!B5143:W5829,22,false)</f>
        <v>#N/A</v>
      </c>
      <c r="N5144" s="1" t="s">
        <v>32</v>
      </c>
      <c r="O5144" s="1" t="s">
        <v>33</v>
      </c>
      <c r="P5144" s="1" t="s">
        <v>222</v>
      </c>
      <c r="Q5144" s="1" t="s">
        <v>222</v>
      </c>
      <c r="R5144" s="1" t="s">
        <v>223</v>
      </c>
      <c r="S5144" s="1" t="s">
        <v>482</v>
      </c>
      <c r="T5144" s="1">
        <v>1.00592715E8</v>
      </c>
      <c r="W5144" s="1" t="s">
        <v>115</v>
      </c>
      <c r="X5144" s="1" t="s">
        <v>4608</v>
      </c>
    </row>
    <row r="5145">
      <c r="A5145" s="1" t="s">
        <v>14330</v>
      </c>
      <c r="B5145" s="1" t="s">
        <v>14331</v>
      </c>
      <c r="C5145" s="1" t="s">
        <v>14332</v>
      </c>
      <c r="D5145" s="1" t="s">
        <v>103</v>
      </c>
      <c r="E5145" s="1" t="s">
        <v>29</v>
      </c>
      <c r="F5145" s="5">
        <v>40000.0</v>
      </c>
      <c r="G5145" s="1" t="s">
        <v>7016</v>
      </c>
      <c r="H5145" s="4">
        <v>44656.0</v>
      </c>
      <c r="I5145" s="4">
        <v>44569.0</v>
      </c>
      <c r="K5145" s="1">
        <v>0.0</v>
      </c>
      <c r="L5145" s="1" t="s">
        <v>2013</v>
      </c>
      <c r="M5145" s="1" t="str">
        <f>VLOOKUP(L5145,'Copy of PMD Workday Constants -'!B5144:W5830,22,false)</f>
        <v>#N/A</v>
      </c>
      <c r="N5145" s="1" t="s">
        <v>32</v>
      </c>
      <c r="O5145" s="1" t="s">
        <v>33</v>
      </c>
      <c r="P5145" s="1" t="s">
        <v>222</v>
      </c>
      <c r="Q5145" s="1" t="s">
        <v>222</v>
      </c>
      <c r="R5145" s="1" t="s">
        <v>223</v>
      </c>
      <c r="T5145" s="1">
        <v>1.00596618E8</v>
      </c>
      <c r="X5145" s="1" t="s">
        <v>2014</v>
      </c>
    </row>
    <row r="5146">
      <c r="A5146" s="1" t="s">
        <v>14333</v>
      </c>
      <c r="B5146" s="1" t="s">
        <v>129</v>
      </c>
      <c r="C5146" s="1" t="s">
        <v>12070</v>
      </c>
      <c r="D5146" s="1" t="s">
        <v>51</v>
      </c>
      <c r="E5146" s="1" t="s">
        <v>29</v>
      </c>
      <c r="F5146" s="5">
        <v>40000.0</v>
      </c>
      <c r="G5146" s="1" t="s">
        <v>7016</v>
      </c>
      <c r="H5146" s="4">
        <v>44563.0</v>
      </c>
      <c r="I5146" s="4">
        <v>44689.0</v>
      </c>
      <c r="K5146" s="1">
        <v>0.0</v>
      </c>
      <c r="L5146" s="1" t="s">
        <v>4937</v>
      </c>
      <c r="M5146" s="1" t="str">
        <f>VLOOKUP(L5146,'Copy of PMD Workday Constants -'!B5145:W5831,22,false)</f>
        <v>#N/A</v>
      </c>
      <c r="N5146" s="1" t="s">
        <v>32</v>
      </c>
      <c r="O5146" s="1" t="s">
        <v>33</v>
      </c>
      <c r="P5146" s="1" t="s">
        <v>34</v>
      </c>
      <c r="Q5146" s="1" t="s">
        <v>34</v>
      </c>
      <c r="R5146" s="1" t="s">
        <v>35</v>
      </c>
      <c r="S5146" s="1" t="s">
        <v>1336</v>
      </c>
      <c r="T5146" s="1">
        <v>1.00644939E8</v>
      </c>
      <c r="V5146" s="1" t="s">
        <v>67</v>
      </c>
      <c r="W5146" s="1" t="s">
        <v>308</v>
      </c>
      <c r="X5146" s="1" t="s">
        <v>4392</v>
      </c>
    </row>
    <row r="5147">
      <c r="A5147" s="1" t="s">
        <v>14334</v>
      </c>
      <c r="B5147" s="1" t="s">
        <v>143</v>
      </c>
      <c r="C5147" s="1" t="s">
        <v>14335</v>
      </c>
      <c r="D5147" s="1" t="s">
        <v>103</v>
      </c>
      <c r="E5147" s="1" t="s">
        <v>29</v>
      </c>
      <c r="F5147" s="5">
        <v>40000.0</v>
      </c>
      <c r="G5147" s="1" t="s">
        <v>7016</v>
      </c>
      <c r="H5147" s="4">
        <v>44239.0</v>
      </c>
      <c r="I5147" s="1" t="s">
        <v>14336</v>
      </c>
      <c r="K5147" s="1">
        <v>0.0</v>
      </c>
      <c r="L5147" s="1" t="s">
        <v>3727</v>
      </c>
      <c r="M5147" s="1" t="str">
        <f>VLOOKUP(L5147,'Copy of PMD Workday Constants -'!B5146:W5832,22,false)</f>
        <v>#N/A</v>
      </c>
      <c r="N5147" s="1" t="s">
        <v>32</v>
      </c>
      <c r="O5147" s="1" t="s">
        <v>33</v>
      </c>
      <c r="P5147" s="1" t="s">
        <v>222</v>
      </c>
      <c r="Q5147" s="1" t="s">
        <v>222</v>
      </c>
      <c r="R5147" s="1" t="s">
        <v>223</v>
      </c>
      <c r="S5147" s="1" t="s">
        <v>601</v>
      </c>
      <c r="T5147" s="1">
        <v>1.00611158E8</v>
      </c>
      <c r="W5147" s="1" t="s">
        <v>147</v>
      </c>
      <c r="X5147" s="1" t="s">
        <v>3727</v>
      </c>
    </row>
    <row r="5148">
      <c r="A5148" s="1" t="s">
        <v>14337</v>
      </c>
      <c r="B5148" s="1" t="s">
        <v>2018</v>
      </c>
      <c r="C5148" s="1" t="s">
        <v>14338</v>
      </c>
      <c r="D5148" s="1" t="s">
        <v>51</v>
      </c>
      <c r="E5148" s="1" t="s">
        <v>29</v>
      </c>
      <c r="F5148" s="5">
        <v>40000.0</v>
      </c>
      <c r="G5148" s="1" t="s">
        <v>7016</v>
      </c>
      <c r="H5148" s="1" t="s">
        <v>1287</v>
      </c>
      <c r="I5148" s="1" t="s">
        <v>43</v>
      </c>
      <c r="K5148" s="1">
        <v>0.0</v>
      </c>
      <c r="L5148" s="1" t="s">
        <v>5558</v>
      </c>
      <c r="M5148" s="1" t="str">
        <f>VLOOKUP(L5148,'Copy of PMD Workday Constants -'!B5147:W5833,22,false)</f>
        <v>#N/A</v>
      </c>
      <c r="N5148" s="1" t="s">
        <v>32</v>
      </c>
      <c r="O5148" s="1" t="s">
        <v>33</v>
      </c>
      <c r="P5148" s="1" t="s">
        <v>222</v>
      </c>
      <c r="Q5148" s="1" t="s">
        <v>222</v>
      </c>
      <c r="R5148" s="1" t="s">
        <v>223</v>
      </c>
      <c r="S5148" s="1" t="s">
        <v>482</v>
      </c>
      <c r="T5148" s="1">
        <v>1.00652479E8</v>
      </c>
      <c r="W5148" s="1" t="s">
        <v>140</v>
      </c>
      <c r="X5148" s="1" t="s">
        <v>14339</v>
      </c>
    </row>
    <row r="5149">
      <c r="A5149" s="1" t="s">
        <v>14340</v>
      </c>
      <c r="B5149" s="1" t="s">
        <v>14341</v>
      </c>
      <c r="C5149" s="1" t="s">
        <v>13701</v>
      </c>
      <c r="D5149" s="1" t="s">
        <v>51</v>
      </c>
      <c r="E5149" s="1" t="s">
        <v>29</v>
      </c>
      <c r="F5149" s="5">
        <v>40000.0</v>
      </c>
      <c r="G5149" s="1" t="s">
        <v>7016</v>
      </c>
      <c r="H5149" s="4">
        <v>44718.0</v>
      </c>
      <c r="I5149" s="1" t="s">
        <v>132</v>
      </c>
      <c r="K5149" s="1">
        <v>0.0</v>
      </c>
      <c r="L5149" s="1" t="s">
        <v>10207</v>
      </c>
      <c r="M5149" s="1" t="str">
        <f>VLOOKUP(L5149,'Copy of PMD Workday Constants -'!B5148:W5834,22,false)</f>
        <v>#N/A</v>
      </c>
      <c r="N5149" s="1" t="s">
        <v>32</v>
      </c>
      <c r="O5149" s="1" t="s">
        <v>33</v>
      </c>
      <c r="P5149" s="1" t="s">
        <v>222</v>
      </c>
      <c r="Q5149" s="1" t="s">
        <v>222</v>
      </c>
      <c r="R5149" s="1" t="s">
        <v>223</v>
      </c>
      <c r="S5149" s="1" t="s">
        <v>482</v>
      </c>
      <c r="T5149" s="1">
        <v>1.00612201E8</v>
      </c>
      <c r="W5149" s="1" t="s">
        <v>56</v>
      </c>
      <c r="X5149" s="1" t="s">
        <v>12829</v>
      </c>
    </row>
    <row r="5150">
      <c r="A5150" s="1" t="s">
        <v>14342</v>
      </c>
      <c r="B5150" s="1" t="s">
        <v>521</v>
      </c>
      <c r="C5150" s="1" t="s">
        <v>14343</v>
      </c>
      <c r="D5150" s="1" t="s">
        <v>103</v>
      </c>
      <c r="E5150" s="1" t="s">
        <v>29</v>
      </c>
      <c r="F5150" s="5">
        <v>40000.0</v>
      </c>
      <c r="G5150" s="1" t="s">
        <v>7016</v>
      </c>
      <c r="H5150" s="1" t="s">
        <v>131</v>
      </c>
      <c r="I5150" s="1" t="s">
        <v>4589</v>
      </c>
      <c r="K5150" s="1">
        <v>0.0</v>
      </c>
      <c r="L5150" s="1" t="s">
        <v>9456</v>
      </c>
      <c r="M5150" s="1" t="str">
        <f>VLOOKUP(L5150,'Copy of PMD Workday Constants -'!B5149:W5835,22,false)</f>
        <v>#N/A</v>
      </c>
      <c r="N5150" s="1" t="s">
        <v>32</v>
      </c>
      <c r="O5150" s="1" t="s">
        <v>33</v>
      </c>
      <c r="P5150" s="1" t="s">
        <v>222</v>
      </c>
      <c r="Q5150" s="1" t="s">
        <v>222</v>
      </c>
      <c r="R5150" s="1" t="s">
        <v>223</v>
      </c>
      <c r="S5150" s="1" t="s">
        <v>482</v>
      </c>
      <c r="T5150" s="1">
        <v>1.00609628E8</v>
      </c>
      <c r="W5150" s="1" t="s">
        <v>85</v>
      </c>
      <c r="X5150" s="1" t="s">
        <v>9375</v>
      </c>
    </row>
    <row r="5151">
      <c r="A5151" s="1" t="s">
        <v>14344</v>
      </c>
      <c r="B5151" s="1" t="s">
        <v>5369</v>
      </c>
      <c r="C5151" s="1" t="s">
        <v>14345</v>
      </c>
      <c r="D5151" s="1" t="s">
        <v>103</v>
      </c>
      <c r="E5151" s="1" t="s">
        <v>29</v>
      </c>
      <c r="F5151" s="5">
        <v>40000.0</v>
      </c>
      <c r="G5151" s="1" t="s">
        <v>7016</v>
      </c>
      <c r="H5151" s="1" t="s">
        <v>5802</v>
      </c>
      <c r="I5151" s="1" t="s">
        <v>302</v>
      </c>
      <c r="K5151" s="1">
        <v>0.0</v>
      </c>
      <c r="L5151" s="1" t="s">
        <v>3727</v>
      </c>
      <c r="M5151" s="1" t="str">
        <f>VLOOKUP(L5151,'Copy of PMD Workday Constants -'!B5150:W5836,22,false)</f>
        <v>#N/A</v>
      </c>
      <c r="N5151" s="1" t="s">
        <v>32</v>
      </c>
      <c r="O5151" s="1" t="s">
        <v>33</v>
      </c>
      <c r="P5151" s="1" t="s">
        <v>222</v>
      </c>
      <c r="Q5151" s="1" t="s">
        <v>222</v>
      </c>
      <c r="R5151" s="1" t="s">
        <v>223</v>
      </c>
      <c r="S5151" s="1" t="s">
        <v>482</v>
      </c>
      <c r="T5151" s="1">
        <v>1.00611158E8</v>
      </c>
      <c r="W5151" s="1" t="s">
        <v>74</v>
      </c>
      <c r="X5151" s="1" t="s">
        <v>3727</v>
      </c>
    </row>
    <row r="5152">
      <c r="A5152" s="1" t="s">
        <v>14346</v>
      </c>
      <c r="B5152" s="1" t="s">
        <v>14347</v>
      </c>
      <c r="C5152" s="1" t="s">
        <v>14348</v>
      </c>
      <c r="D5152" s="1" t="s">
        <v>51</v>
      </c>
      <c r="E5152" s="1" t="s">
        <v>29</v>
      </c>
      <c r="F5152" s="5">
        <v>39150.0</v>
      </c>
      <c r="G5152" s="1" t="s">
        <v>7016</v>
      </c>
      <c r="H5152" s="1" t="s">
        <v>14262</v>
      </c>
      <c r="I5152" s="1" t="s">
        <v>80</v>
      </c>
      <c r="K5152" s="1">
        <v>0.0</v>
      </c>
      <c r="L5152" s="1" t="s">
        <v>8868</v>
      </c>
      <c r="M5152" s="1" t="str">
        <f>VLOOKUP(L5152,'Copy of PMD Workday Constants -'!B5151:W5837,22,false)</f>
        <v>#N/A</v>
      </c>
      <c r="N5152" s="1" t="s">
        <v>32</v>
      </c>
      <c r="O5152" s="1" t="s">
        <v>33</v>
      </c>
      <c r="P5152" s="1" t="s">
        <v>222</v>
      </c>
      <c r="Q5152" s="1" t="s">
        <v>222</v>
      </c>
      <c r="R5152" s="1" t="s">
        <v>223</v>
      </c>
      <c r="S5152" s="1" t="s">
        <v>482</v>
      </c>
      <c r="T5152" s="1">
        <v>1.00612509E8</v>
      </c>
      <c r="W5152" s="1" t="s">
        <v>85</v>
      </c>
      <c r="X5152" s="1" t="s">
        <v>12065</v>
      </c>
    </row>
    <row r="5153">
      <c r="A5153" s="1" t="s">
        <v>14349</v>
      </c>
      <c r="B5153" s="1" t="s">
        <v>14350</v>
      </c>
      <c r="C5153" s="1" t="s">
        <v>14351</v>
      </c>
      <c r="D5153" s="1" t="s">
        <v>103</v>
      </c>
      <c r="E5153" s="1" t="s">
        <v>29</v>
      </c>
      <c r="F5153" s="5">
        <v>39150.0</v>
      </c>
      <c r="G5153" s="1" t="s">
        <v>7016</v>
      </c>
      <c r="H5153" s="4">
        <v>44478.0</v>
      </c>
      <c r="I5153" s="1" t="s">
        <v>302</v>
      </c>
      <c r="K5153" s="1">
        <v>0.0</v>
      </c>
      <c r="L5153" s="1" t="s">
        <v>11159</v>
      </c>
      <c r="M5153" s="1" t="str">
        <f>VLOOKUP(L5153,'Copy of PMD Workday Constants -'!B5152:W5838,22,false)</f>
        <v>#N/A</v>
      </c>
      <c r="N5153" s="1" t="s">
        <v>32</v>
      </c>
      <c r="O5153" s="1" t="s">
        <v>33</v>
      </c>
      <c r="P5153" s="1" t="s">
        <v>222</v>
      </c>
      <c r="Q5153" s="1" t="s">
        <v>222</v>
      </c>
      <c r="R5153" s="1" t="s">
        <v>223</v>
      </c>
      <c r="S5153" s="1" t="s">
        <v>482</v>
      </c>
      <c r="T5153" s="1">
        <v>1.00602248E8</v>
      </c>
      <c r="W5153" s="1" t="s">
        <v>85</v>
      </c>
      <c r="X5153" s="1" t="s">
        <v>12065</v>
      </c>
    </row>
    <row r="5154">
      <c r="A5154" s="1" t="s">
        <v>14352</v>
      </c>
      <c r="B5154" s="1" t="s">
        <v>8324</v>
      </c>
      <c r="C5154" s="1" t="s">
        <v>14353</v>
      </c>
      <c r="D5154" s="1" t="s">
        <v>28</v>
      </c>
      <c r="E5154" s="1" t="s">
        <v>29</v>
      </c>
      <c r="F5154" s="5">
        <v>39150.0</v>
      </c>
      <c r="G5154" s="1" t="s">
        <v>7016</v>
      </c>
      <c r="H5154" s="1" t="s">
        <v>587</v>
      </c>
      <c r="I5154" s="1" t="s">
        <v>43</v>
      </c>
      <c r="K5154" s="1">
        <v>0.0</v>
      </c>
      <c r="L5154" s="1" t="s">
        <v>11159</v>
      </c>
      <c r="M5154" s="1" t="str">
        <f>VLOOKUP(L5154,'Copy of PMD Workday Constants -'!B5153:W5839,22,false)</f>
        <v>#N/A</v>
      </c>
      <c r="N5154" s="1" t="s">
        <v>32</v>
      </c>
      <c r="O5154" s="1" t="s">
        <v>33</v>
      </c>
      <c r="P5154" s="1" t="s">
        <v>222</v>
      </c>
      <c r="Q5154" s="1" t="s">
        <v>222</v>
      </c>
      <c r="R5154" s="1" t="s">
        <v>223</v>
      </c>
      <c r="S5154" s="1" t="s">
        <v>482</v>
      </c>
      <c r="T5154" s="1">
        <v>1.00602248E8</v>
      </c>
      <c r="W5154" s="1" t="s">
        <v>85</v>
      </c>
      <c r="X5154" s="1" t="s">
        <v>12065</v>
      </c>
    </row>
    <row r="5155">
      <c r="A5155" s="1" t="s">
        <v>14354</v>
      </c>
      <c r="B5155" s="1" t="s">
        <v>3326</v>
      </c>
      <c r="C5155" s="1" t="s">
        <v>14355</v>
      </c>
      <c r="D5155" s="1" t="s">
        <v>28</v>
      </c>
      <c r="E5155" s="1" t="s">
        <v>29</v>
      </c>
      <c r="F5155" s="5">
        <v>39150.0</v>
      </c>
      <c r="G5155" s="1" t="s">
        <v>7016</v>
      </c>
      <c r="H5155" s="4">
        <v>44205.0</v>
      </c>
      <c r="I5155" s="1" t="s">
        <v>43</v>
      </c>
      <c r="K5155" s="1">
        <v>0.0</v>
      </c>
      <c r="L5155" s="1" t="s">
        <v>8868</v>
      </c>
      <c r="M5155" s="1" t="str">
        <f>VLOOKUP(L5155,'Copy of PMD Workday Constants -'!B5154:W5840,22,false)</f>
        <v>#N/A</v>
      </c>
      <c r="N5155" s="1" t="s">
        <v>32</v>
      </c>
      <c r="O5155" s="1" t="s">
        <v>33</v>
      </c>
      <c r="P5155" s="1" t="s">
        <v>222</v>
      </c>
      <c r="Q5155" s="1" t="s">
        <v>222</v>
      </c>
      <c r="R5155" s="1" t="s">
        <v>223</v>
      </c>
      <c r="S5155" s="1" t="s">
        <v>482</v>
      </c>
      <c r="T5155" s="1">
        <v>1.00612509E8</v>
      </c>
      <c r="W5155" s="1" t="s">
        <v>85</v>
      </c>
      <c r="X5155" s="1" t="s">
        <v>12989</v>
      </c>
    </row>
    <row r="5156">
      <c r="A5156" s="1" t="s">
        <v>14356</v>
      </c>
      <c r="B5156" s="1" t="s">
        <v>14357</v>
      </c>
      <c r="C5156" s="1" t="s">
        <v>14358</v>
      </c>
      <c r="D5156" s="1" t="s">
        <v>79</v>
      </c>
      <c r="E5156" s="1" t="s">
        <v>29</v>
      </c>
      <c r="F5156" s="5">
        <v>37500.0</v>
      </c>
      <c r="G5156" s="1" t="s">
        <v>7016</v>
      </c>
      <c r="H5156" s="4">
        <v>44686.0</v>
      </c>
      <c r="I5156" s="4">
        <v>44809.0</v>
      </c>
      <c r="K5156" s="1">
        <v>0.0</v>
      </c>
      <c r="L5156" s="1" t="s">
        <v>2655</v>
      </c>
      <c r="M5156" s="1" t="str">
        <f>VLOOKUP(L5156,'Copy of PMD Workday Constants -'!B5155:W5841,22,false)</f>
        <v>#N/A</v>
      </c>
      <c r="N5156" s="1" t="s">
        <v>32</v>
      </c>
      <c r="O5156" s="1" t="s">
        <v>33</v>
      </c>
      <c r="P5156" s="1" t="s">
        <v>210</v>
      </c>
      <c r="Q5156" s="1" t="s">
        <v>210</v>
      </c>
      <c r="R5156" s="1" t="s">
        <v>211</v>
      </c>
      <c r="T5156" s="1">
        <v>1.0062606E8</v>
      </c>
      <c r="W5156" s="1" t="s">
        <v>147</v>
      </c>
      <c r="X5156" s="1" t="s">
        <v>13428</v>
      </c>
    </row>
    <row r="5157">
      <c r="A5157" s="1" t="s">
        <v>14359</v>
      </c>
      <c r="B5157" s="1" t="s">
        <v>3267</v>
      </c>
      <c r="C5157" s="1" t="s">
        <v>14360</v>
      </c>
      <c r="D5157" s="1" t="s">
        <v>51</v>
      </c>
      <c r="E5157" s="1" t="s">
        <v>29</v>
      </c>
      <c r="F5157" s="5">
        <v>37500.0</v>
      </c>
      <c r="G5157" s="1" t="s">
        <v>7016</v>
      </c>
      <c r="H5157" s="4">
        <v>44777.0</v>
      </c>
      <c r="I5157" s="1" t="s">
        <v>1349</v>
      </c>
      <c r="K5157" s="1">
        <v>0.0</v>
      </c>
      <c r="L5157" s="1" t="s">
        <v>2655</v>
      </c>
      <c r="M5157" s="1" t="str">
        <f>VLOOKUP(L5157,'Copy of PMD Workday Constants -'!B5156:W5842,22,false)</f>
        <v>#N/A</v>
      </c>
      <c r="N5157" s="1" t="s">
        <v>32</v>
      </c>
      <c r="O5157" s="1" t="s">
        <v>33</v>
      </c>
      <c r="P5157" s="1" t="s">
        <v>210</v>
      </c>
      <c r="Q5157" s="1" t="s">
        <v>210</v>
      </c>
      <c r="R5157" s="1" t="s">
        <v>211</v>
      </c>
      <c r="S5157" s="1" t="s">
        <v>1313</v>
      </c>
      <c r="T5157" s="1">
        <v>1.0062606E8</v>
      </c>
      <c r="W5157" s="1" t="s">
        <v>258</v>
      </c>
      <c r="X5157" s="1" t="s">
        <v>14361</v>
      </c>
    </row>
    <row r="5158">
      <c r="A5158" s="1" t="s">
        <v>14362</v>
      </c>
      <c r="B5158" s="1" t="s">
        <v>3267</v>
      </c>
      <c r="C5158" s="1" t="s">
        <v>14363</v>
      </c>
      <c r="D5158" s="1" t="s">
        <v>103</v>
      </c>
      <c r="E5158" s="1" t="s">
        <v>29</v>
      </c>
      <c r="F5158" s="5">
        <v>37500.0</v>
      </c>
      <c r="G5158" s="1" t="s">
        <v>7016</v>
      </c>
      <c r="H5158" s="1" t="s">
        <v>2054</v>
      </c>
      <c r="I5158" s="1" t="s">
        <v>758</v>
      </c>
      <c r="K5158" s="1">
        <v>0.0</v>
      </c>
      <c r="L5158" s="1" t="s">
        <v>1757</v>
      </c>
      <c r="M5158" s="1" t="str">
        <f>VLOOKUP(L5158,'Copy of PMD Workday Constants -'!B5157:W5843,22,false)</f>
        <v>#N/A</v>
      </c>
      <c r="N5158" s="1" t="s">
        <v>32</v>
      </c>
      <c r="O5158" s="1" t="s">
        <v>33</v>
      </c>
      <c r="P5158" s="1" t="s">
        <v>112</v>
      </c>
      <c r="Q5158" s="1" t="s">
        <v>112</v>
      </c>
      <c r="R5158" s="1" t="s">
        <v>113</v>
      </c>
      <c r="S5158" s="1" t="s">
        <v>256</v>
      </c>
      <c r="T5158" s="1">
        <v>1.00597983E8</v>
      </c>
      <c r="U5158" s="1" t="s">
        <v>14363</v>
      </c>
      <c r="V5158" s="1" t="s">
        <v>346</v>
      </c>
      <c r="W5158" s="1" t="s">
        <v>436</v>
      </c>
      <c r="X5158" s="1" t="s">
        <v>2377</v>
      </c>
    </row>
    <row r="5159">
      <c r="A5159" s="1" t="s">
        <v>14364</v>
      </c>
      <c r="B5159" s="1" t="s">
        <v>14365</v>
      </c>
      <c r="C5159" s="1" t="s">
        <v>14366</v>
      </c>
      <c r="D5159" s="1" t="s">
        <v>51</v>
      </c>
      <c r="E5159" s="1" t="s">
        <v>29</v>
      </c>
      <c r="F5159" s="5">
        <v>36000.0</v>
      </c>
      <c r="G5159" s="1" t="s">
        <v>7016</v>
      </c>
      <c r="H5159" s="1" t="s">
        <v>52</v>
      </c>
      <c r="I5159" s="1" t="s">
        <v>80</v>
      </c>
      <c r="K5159" s="1">
        <v>0.0</v>
      </c>
      <c r="L5159" s="1" t="s">
        <v>2507</v>
      </c>
      <c r="M5159" s="1" t="str">
        <f>VLOOKUP(L5159,'Copy of PMD Workday Constants -'!B5158:W5844,22,false)</f>
        <v>#N/A</v>
      </c>
      <c r="N5159" s="1" t="s">
        <v>32</v>
      </c>
      <c r="O5159" s="1" t="s">
        <v>33</v>
      </c>
      <c r="P5159" s="1" t="s">
        <v>222</v>
      </c>
      <c r="Q5159" s="1" t="s">
        <v>222</v>
      </c>
      <c r="R5159" s="1" t="s">
        <v>223</v>
      </c>
      <c r="S5159" s="1" t="s">
        <v>482</v>
      </c>
      <c r="T5159" s="1">
        <v>1.00659458E8</v>
      </c>
      <c r="W5159" s="1" t="s">
        <v>947</v>
      </c>
      <c r="X5159" s="1" t="s">
        <v>817</v>
      </c>
    </row>
    <row r="5160">
      <c r="A5160" s="1" t="s">
        <v>14367</v>
      </c>
      <c r="B5160" s="1" t="s">
        <v>12404</v>
      </c>
      <c r="C5160" s="1" t="s">
        <v>14368</v>
      </c>
      <c r="D5160" s="1" t="s">
        <v>28</v>
      </c>
      <c r="E5160" s="1" t="s">
        <v>29</v>
      </c>
      <c r="F5160" s="5">
        <v>35000.0</v>
      </c>
      <c r="G5160" s="1" t="s">
        <v>7016</v>
      </c>
      <c r="H5160" s="4">
        <v>44022.0</v>
      </c>
      <c r="I5160" s="1" t="s">
        <v>43</v>
      </c>
      <c r="K5160" s="1">
        <v>0.0</v>
      </c>
      <c r="L5160" s="1" t="s">
        <v>11159</v>
      </c>
      <c r="M5160" s="1" t="str">
        <f>VLOOKUP(L5160,'Copy of PMD Workday Constants -'!B5159:W5845,22,false)</f>
        <v>#N/A</v>
      </c>
      <c r="N5160" s="1" t="s">
        <v>32</v>
      </c>
      <c r="O5160" s="1" t="s">
        <v>33</v>
      </c>
      <c r="P5160" s="1" t="s">
        <v>222</v>
      </c>
      <c r="Q5160" s="1" t="s">
        <v>222</v>
      </c>
      <c r="R5160" s="1" t="s">
        <v>223</v>
      </c>
      <c r="S5160" s="1" t="s">
        <v>482</v>
      </c>
      <c r="T5160" s="1">
        <v>1.00602248E8</v>
      </c>
      <c r="W5160" s="1" t="s">
        <v>140</v>
      </c>
      <c r="X5160" s="1" t="s">
        <v>12989</v>
      </c>
    </row>
    <row r="5161">
      <c r="A5161" s="1" t="s">
        <v>14369</v>
      </c>
      <c r="B5161" s="1" t="s">
        <v>14370</v>
      </c>
      <c r="C5161" s="1" t="s">
        <v>14371</v>
      </c>
      <c r="D5161" s="1" t="s">
        <v>51</v>
      </c>
      <c r="E5161" s="1" t="s">
        <v>29</v>
      </c>
      <c r="F5161" s="5">
        <v>35000.0</v>
      </c>
      <c r="G5161" s="1" t="s">
        <v>7016</v>
      </c>
      <c r="H5161" s="4">
        <v>44866.0</v>
      </c>
      <c r="I5161" s="1" t="s">
        <v>302</v>
      </c>
      <c r="K5161" s="1">
        <v>0.0</v>
      </c>
      <c r="L5161" s="1" t="s">
        <v>11159</v>
      </c>
      <c r="M5161" s="1" t="str">
        <f>VLOOKUP(L5161,'Copy of PMD Workday Constants -'!B5160:W5846,22,false)</f>
        <v>#N/A</v>
      </c>
      <c r="N5161" s="1" t="s">
        <v>32</v>
      </c>
      <c r="O5161" s="1" t="s">
        <v>33</v>
      </c>
      <c r="P5161" s="1" t="s">
        <v>222</v>
      </c>
      <c r="Q5161" s="1" t="s">
        <v>222</v>
      </c>
      <c r="R5161" s="1" t="s">
        <v>223</v>
      </c>
      <c r="S5161" s="1" t="s">
        <v>482</v>
      </c>
      <c r="T5161" s="1">
        <v>1.00602248E8</v>
      </c>
      <c r="W5161" s="1" t="s">
        <v>115</v>
      </c>
      <c r="X5161" s="1" t="s">
        <v>14372</v>
      </c>
    </row>
    <row r="5162">
      <c r="A5162" s="1" t="s">
        <v>14373</v>
      </c>
      <c r="B5162" s="1" t="s">
        <v>14374</v>
      </c>
      <c r="C5162" s="1" t="s">
        <v>14375</v>
      </c>
      <c r="D5162" s="1" t="s">
        <v>103</v>
      </c>
      <c r="E5162" s="1" t="s">
        <v>29</v>
      </c>
      <c r="F5162" s="5">
        <v>35000.0</v>
      </c>
      <c r="G5162" s="1" t="s">
        <v>7016</v>
      </c>
      <c r="H5162" s="1" t="s">
        <v>2691</v>
      </c>
      <c r="I5162" s="4">
        <v>44571.0</v>
      </c>
      <c r="K5162" s="1">
        <v>0.0</v>
      </c>
      <c r="L5162" s="1" t="s">
        <v>3408</v>
      </c>
      <c r="M5162" s="1" t="str">
        <f>VLOOKUP(L5162,'Copy of PMD Workday Constants -'!B5161:W5847,22,false)</f>
        <v>#N/A</v>
      </c>
      <c r="N5162" s="1" t="s">
        <v>32</v>
      </c>
      <c r="O5162" s="1" t="s">
        <v>33</v>
      </c>
      <c r="P5162" s="1" t="s">
        <v>222</v>
      </c>
      <c r="Q5162" s="1" t="s">
        <v>222</v>
      </c>
      <c r="R5162" s="1" t="s">
        <v>223</v>
      </c>
      <c r="S5162" s="1" t="s">
        <v>482</v>
      </c>
      <c r="T5162" s="1">
        <v>1.0066189E8</v>
      </c>
      <c r="W5162" s="1" t="s">
        <v>1801</v>
      </c>
      <c r="X5162" s="1" t="s">
        <v>10777</v>
      </c>
    </row>
    <row r="5163">
      <c r="A5163" s="1" t="s">
        <v>14376</v>
      </c>
      <c r="B5163" s="1" t="s">
        <v>14377</v>
      </c>
      <c r="C5163" s="1" t="s">
        <v>14378</v>
      </c>
      <c r="D5163" s="1" t="s">
        <v>28</v>
      </c>
      <c r="E5163" s="1" t="s">
        <v>29</v>
      </c>
      <c r="F5163" s="5">
        <v>35000.0</v>
      </c>
      <c r="G5163" s="1" t="s">
        <v>7016</v>
      </c>
      <c r="H5163" s="1" t="s">
        <v>2559</v>
      </c>
      <c r="I5163" s="1" t="s">
        <v>152</v>
      </c>
      <c r="K5163" s="1">
        <v>0.0</v>
      </c>
      <c r="L5163" s="1" t="s">
        <v>11159</v>
      </c>
      <c r="M5163" s="1" t="str">
        <f>VLOOKUP(L5163,'Copy of PMD Workday Constants -'!B5162:W5848,22,false)</f>
        <v>#N/A</v>
      </c>
      <c r="N5163" s="1" t="s">
        <v>32</v>
      </c>
      <c r="O5163" s="1" t="s">
        <v>33</v>
      </c>
      <c r="P5163" s="1" t="s">
        <v>222</v>
      </c>
      <c r="Q5163" s="1" t="s">
        <v>222</v>
      </c>
      <c r="R5163" s="1" t="s">
        <v>223</v>
      </c>
      <c r="S5163" s="1" t="s">
        <v>646</v>
      </c>
      <c r="T5163" s="1">
        <v>1.00602248E8</v>
      </c>
      <c r="W5163" s="1" t="s">
        <v>56</v>
      </c>
      <c r="X5163" s="1" t="s">
        <v>10678</v>
      </c>
    </row>
    <row r="5164">
      <c r="A5164" s="1" t="s">
        <v>14379</v>
      </c>
      <c r="B5164" s="1" t="s">
        <v>11534</v>
      </c>
      <c r="C5164" s="1" t="s">
        <v>14380</v>
      </c>
      <c r="D5164" s="1" t="s">
        <v>103</v>
      </c>
      <c r="E5164" s="1" t="s">
        <v>29</v>
      </c>
      <c r="F5164" s="5">
        <v>35000.0</v>
      </c>
      <c r="G5164" s="1" t="s">
        <v>7016</v>
      </c>
      <c r="H5164" s="4">
        <v>44837.0</v>
      </c>
      <c r="I5164" s="1" t="s">
        <v>104</v>
      </c>
      <c r="K5164" s="1">
        <v>0.0</v>
      </c>
      <c r="L5164" s="1" t="s">
        <v>8928</v>
      </c>
      <c r="M5164" s="1" t="str">
        <f>VLOOKUP(L5164,'Copy of PMD Workday Constants -'!B5163:W5849,22,false)</f>
        <v>#N/A</v>
      </c>
      <c r="N5164" s="1" t="s">
        <v>32</v>
      </c>
      <c r="O5164" s="1" t="s">
        <v>33</v>
      </c>
      <c r="P5164" s="1" t="s">
        <v>222</v>
      </c>
      <c r="Q5164" s="1" t="s">
        <v>222</v>
      </c>
      <c r="R5164" s="1" t="s">
        <v>223</v>
      </c>
      <c r="S5164" s="1" t="s">
        <v>482</v>
      </c>
      <c r="T5164" s="1">
        <v>1.01000708E8</v>
      </c>
      <c r="W5164" s="1" t="s">
        <v>258</v>
      </c>
      <c r="X5164" s="1" t="s">
        <v>13591</v>
      </c>
    </row>
    <row r="5165">
      <c r="A5165" s="1" t="s">
        <v>14381</v>
      </c>
      <c r="B5165" s="1" t="s">
        <v>14377</v>
      </c>
      <c r="C5165" s="1" t="s">
        <v>14382</v>
      </c>
      <c r="D5165" s="1" t="s">
        <v>51</v>
      </c>
      <c r="E5165" s="1" t="s">
        <v>29</v>
      </c>
      <c r="F5165" s="5">
        <v>34000.0</v>
      </c>
      <c r="G5165" s="1" t="s">
        <v>7016</v>
      </c>
      <c r="H5165" s="1" t="s">
        <v>1254</v>
      </c>
      <c r="I5165" s="1" t="s">
        <v>132</v>
      </c>
      <c r="K5165" s="1">
        <v>0.0</v>
      </c>
      <c r="L5165" s="1" t="s">
        <v>11159</v>
      </c>
      <c r="M5165" s="1" t="str">
        <f>VLOOKUP(L5165,'Copy of PMD Workday Constants -'!B5164:W5850,22,false)</f>
        <v>#N/A</v>
      </c>
      <c r="N5165" s="1" t="s">
        <v>32</v>
      </c>
      <c r="O5165" s="1" t="s">
        <v>33</v>
      </c>
      <c r="P5165" s="1" t="s">
        <v>222</v>
      </c>
      <c r="Q5165" s="1" t="s">
        <v>222</v>
      </c>
      <c r="R5165" s="1" t="s">
        <v>223</v>
      </c>
      <c r="S5165" s="1" t="s">
        <v>601</v>
      </c>
      <c r="T5165" s="1">
        <v>1.00602248E8</v>
      </c>
      <c r="W5165" s="1" t="s">
        <v>56</v>
      </c>
      <c r="X5165" s="1" t="s">
        <v>10678</v>
      </c>
    </row>
    <row r="5166">
      <c r="A5166" s="1" t="s">
        <v>14383</v>
      </c>
      <c r="B5166" s="1" t="s">
        <v>14384</v>
      </c>
      <c r="C5166" s="1" t="s">
        <v>14385</v>
      </c>
      <c r="D5166" s="1" t="s">
        <v>51</v>
      </c>
      <c r="E5166" s="1" t="s">
        <v>29</v>
      </c>
      <c r="F5166" s="5">
        <v>33000.0</v>
      </c>
      <c r="G5166" s="1" t="s">
        <v>7016</v>
      </c>
      <c r="H5166" s="1" t="s">
        <v>7379</v>
      </c>
      <c r="I5166" s="1" t="s">
        <v>104</v>
      </c>
      <c r="K5166" s="1">
        <v>0.0</v>
      </c>
      <c r="L5166" s="1" t="s">
        <v>2602</v>
      </c>
      <c r="M5166" s="1" t="str">
        <f>VLOOKUP(L5166,'Copy of PMD Workday Constants -'!B5165:W5851,22,false)</f>
        <v>#N/A</v>
      </c>
      <c r="N5166" s="1" t="s">
        <v>32</v>
      </c>
      <c r="O5166" s="1" t="s">
        <v>33</v>
      </c>
      <c r="P5166" s="1" t="s">
        <v>173</v>
      </c>
      <c r="Q5166" s="1" t="s">
        <v>173</v>
      </c>
      <c r="R5166" s="1" t="s">
        <v>174</v>
      </c>
      <c r="S5166" s="1" t="s">
        <v>383</v>
      </c>
      <c r="T5166" s="1">
        <v>1.00611351E8</v>
      </c>
      <c r="W5166" s="1" t="s">
        <v>1303</v>
      </c>
      <c r="X5166" s="1" t="s">
        <v>2914</v>
      </c>
    </row>
    <row r="5167">
      <c r="A5167" s="1" t="s">
        <v>14386</v>
      </c>
      <c r="B5167" s="1" t="s">
        <v>14387</v>
      </c>
      <c r="C5167" s="1" t="s">
        <v>14388</v>
      </c>
      <c r="D5167" s="1" t="s">
        <v>51</v>
      </c>
      <c r="E5167" s="1" t="s">
        <v>29</v>
      </c>
      <c r="F5167" s="5">
        <v>32000.0</v>
      </c>
      <c r="G5167" s="1" t="s">
        <v>7016</v>
      </c>
      <c r="H5167" s="4">
        <v>43657.0</v>
      </c>
      <c r="I5167" s="1" t="s">
        <v>104</v>
      </c>
      <c r="K5167" s="1">
        <v>0.0</v>
      </c>
      <c r="L5167" s="1" t="s">
        <v>2602</v>
      </c>
      <c r="M5167" s="1" t="str">
        <f>VLOOKUP(L5167,'Copy of PMD Workday Constants -'!B5166:W5852,22,false)</f>
        <v>#N/A</v>
      </c>
      <c r="N5167" s="1" t="s">
        <v>32</v>
      </c>
      <c r="O5167" s="1" t="s">
        <v>33</v>
      </c>
      <c r="P5167" s="1" t="s">
        <v>173</v>
      </c>
      <c r="Q5167" s="1" t="s">
        <v>173</v>
      </c>
      <c r="R5167" s="1" t="s">
        <v>174</v>
      </c>
      <c r="S5167" s="1" t="s">
        <v>383</v>
      </c>
      <c r="T5167" s="1">
        <v>1.00611351E8</v>
      </c>
      <c r="W5167" s="1" t="s">
        <v>1303</v>
      </c>
      <c r="X5167" s="1" t="s">
        <v>2914</v>
      </c>
    </row>
    <row r="5168">
      <c r="A5168" s="1" t="s">
        <v>14389</v>
      </c>
      <c r="B5168" s="1" t="s">
        <v>14390</v>
      </c>
      <c r="C5168" s="1" t="s">
        <v>14391</v>
      </c>
      <c r="D5168" s="1" t="s">
        <v>103</v>
      </c>
      <c r="E5168" s="1" t="s">
        <v>29</v>
      </c>
      <c r="F5168" s="5">
        <v>30800.0</v>
      </c>
      <c r="G5168" s="1" t="s">
        <v>7016</v>
      </c>
      <c r="H5168" s="1" t="s">
        <v>7412</v>
      </c>
      <c r="I5168" s="1" t="s">
        <v>43</v>
      </c>
      <c r="K5168" s="1">
        <v>0.0</v>
      </c>
      <c r="L5168" s="1" t="s">
        <v>5295</v>
      </c>
      <c r="M5168" s="1" t="str">
        <f>VLOOKUP(L5168,'Copy of PMD Workday Constants -'!B5167:W5853,22,false)</f>
        <v>#N/A</v>
      </c>
      <c r="N5168" s="1" t="s">
        <v>32</v>
      </c>
      <c r="O5168" s="1" t="s">
        <v>33</v>
      </c>
      <c r="P5168" s="1" t="s">
        <v>222</v>
      </c>
      <c r="Q5168" s="1" t="s">
        <v>222</v>
      </c>
      <c r="R5168" s="1" t="s">
        <v>223</v>
      </c>
      <c r="S5168" s="1" t="s">
        <v>482</v>
      </c>
      <c r="T5168" s="1">
        <v>1.00605581E8</v>
      </c>
      <c r="W5168" s="1" t="s">
        <v>47</v>
      </c>
      <c r="X5168" s="1" t="s">
        <v>12452</v>
      </c>
    </row>
    <row r="5169">
      <c r="A5169" s="1" t="s">
        <v>14392</v>
      </c>
      <c r="B5169" s="1" t="s">
        <v>14393</v>
      </c>
      <c r="C5169" s="1" t="s">
        <v>14394</v>
      </c>
      <c r="D5169" s="1" t="s">
        <v>51</v>
      </c>
      <c r="E5169" s="1" t="s">
        <v>29</v>
      </c>
      <c r="F5169" s="5">
        <v>30740.0</v>
      </c>
      <c r="G5169" s="1" t="s">
        <v>7016</v>
      </c>
      <c r="H5169" s="1" t="s">
        <v>52</v>
      </c>
      <c r="I5169" s="1" t="s">
        <v>80</v>
      </c>
      <c r="K5169" s="1">
        <v>0.0</v>
      </c>
      <c r="L5169" s="1" t="s">
        <v>8193</v>
      </c>
      <c r="M5169" s="1" t="str">
        <f>VLOOKUP(L5169,'Copy of PMD Workday Constants -'!B5168:W5854,22,false)</f>
        <v>#N/A</v>
      </c>
      <c r="N5169" s="1" t="s">
        <v>32</v>
      </c>
      <c r="O5169" s="1" t="s">
        <v>33</v>
      </c>
      <c r="P5169" s="1" t="s">
        <v>222</v>
      </c>
      <c r="Q5169" s="1" t="s">
        <v>222</v>
      </c>
      <c r="R5169" s="1" t="s">
        <v>223</v>
      </c>
      <c r="S5169" s="1" t="s">
        <v>482</v>
      </c>
      <c r="T5169" s="1">
        <v>1.00589357E8</v>
      </c>
      <c r="W5169" s="1" t="s">
        <v>258</v>
      </c>
      <c r="X5169" s="1" t="s">
        <v>817</v>
      </c>
    </row>
    <row r="5170">
      <c r="A5170" s="1" t="s">
        <v>14395</v>
      </c>
      <c r="B5170" s="1" t="s">
        <v>1483</v>
      </c>
      <c r="C5170" s="1" t="s">
        <v>14396</v>
      </c>
      <c r="D5170" s="1" t="s">
        <v>51</v>
      </c>
      <c r="E5170" s="1" t="s">
        <v>29</v>
      </c>
      <c r="F5170" s="5">
        <v>30000.0</v>
      </c>
      <c r="G5170" s="1" t="s">
        <v>7016</v>
      </c>
      <c r="H5170" s="1" t="s">
        <v>420</v>
      </c>
      <c r="I5170" s="1" t="s">
        <v>191</v>
      </c>
      <c r="K5170" s="1">
        <v>0.0</v>
      </c>
      <c r="L5170" s="1" t="s">
        <v>1780</v>
      </c>
      <c r="M5170" s="1" t="str">
        <f>VLOOKUP(L5170,'Copy of PMD Workday Constants -'!B5169:W5855,22,false)</f>
        <v>#N/A</v>
      </c>
      <c r="N5170" s="1" t="s">
        <v>32</v>
      </c>
      <c r="O5170" s="1" t="s">
        <v>33</v>
      </c>
      <c r="P5170" s="1" t="s">
        <v>82</v>
      </c>
      <c r="Q5170" s="1" t="s">
        <v>82</v>
      </c>
      <c r="R5170" s="1" t="s">
        <v>83</v>
      </c>
      <c r="S5170" s="1" t="s">
        <v>583</v>
      </c>
      <c r="T5170" s="1">
        <v>1.00617113E8</v>
      </c>
      <c r="W5170" s="1" t="s">
        <v>456</v>
      </c>
      <c r="X5170" s="1" t="s">
        <v>7862</v>
      </c>
    </row>
    <row r="5171">
      <c r="A5171" s="1" t="s">
        <v>14397</v>
      </c>
      <c r="B5171" s="1" t="s">
        <v>14398</v>
      </c>
      <c r="C5171" s="1" t="s">
        <v>14399</v>
      </c>
      <c r="D5171" s="1" t="s">
        <v>103</v>
      </c>
      <c r="E5171" s="1" t="s">
        <v>29</v>
      </c>
      <c r="F5171" s="5">
        <v>30000.0</v>
      </c>
      <c r="G5171" s="1" t="s">
        <v>7016</v>
      </c>
      <c r="H5171" s="1" t="s">
        <v>1842</v>
      </c>
      <c r="I5171" s="1" t="s">
        <v>80</v>
      </c>
      <c r="K5171" s="1">
        <v>0.0</v>
      </c>
      <c r="L5171" s="1" t="s">
        <v>6578</v>
      </c>
      <c r="M5171" s="1" t="str">
        <f>VLOOKUP(L5171,'Copy of PMD Workday Constants -'!B5170:W5856,22,false)</f>
        <v>#N/A</v>
      </c>
      <c r="N5171" s="1" t="s">
        <v>32</v>
      </c>
      <c r="O5171" s="1" t="s">
        <v>33</v>
      </c>
      <c r="P5171" s="1" t="s">
        <v>222</v>
      </c>
      <c r="Q5171" s="1" t="s">
        <v>222</v>
      </c>
      <c r="R5171" s="1" t="s">
        <v>223</v>
      </c>
      <c r="S5171" s="1" t="s">
        <v>482</v>
      </c>
      <c r="T5171" s="1">
        <v>1.00597339E8</v>
      </c>
      <c r="W5171" s="1" t="s">
        <v>91</v>
      </c>
      <c r="X5171" s="1" t="s">
        <v>6579</v>
      </c>
    </row>
    <row r="5172">
      <c r="A5172" s="1" t="s">
        <v>14400</v>
      </c>
      <c r="B5172" s="1" t="s">
        <v>14401</v>
      </c>
      <c r="C5172" s="1" t="s">
        <v>14402</v>
      </c>
      <c r="D5172" s="1" t="s">
        <v>51</v>
      </c>
      <c r="E5172" s="1" t="s">
        <v>29</v>
      </c>
      <c r="F5172" s="5">
        <v>30000.0</v>
      </c>
      <c r="G5172" s="1" t="s">
        <v>7016</v>
      </c>
      <c r="H5172" s="1" t="s">
        <v>4988</v>
      </c>
      <c r="I5172" s="1" t="s">
        <v>43</v>
      </c>
      <c r="K5172" s="1">
        <v>0.0</v>
      </c>
      <c r="L5172" s="1" t="s">
        <v>11159</v>
      </c>
      <c r="M5172" s="1" t="str">
        <f>VLOOKUP(L5172,'Copy of PMD Workday Constants -'!B5171:W5857,22,false)</f>
        <v>#N/A</v>
      </c>
      <c r="N5172" s="1" t="s">
        <v>32</v>
      </c>
      <c r="O5172" s="1" t="s">
        <v>33</v>
      </c>
      <c r="P5172" s="1" t="s">
        <v>222</v>
      </c>
      <c r="Q5172" s="1" t="s">
        <v>222</v>
      </c>
      <c r="R5172" s="1" t="s">
        <v>223</v>
      </c>
      <c r="S5172" s="1" t="s">
        <v>482</v>
      </c>
      <c r="T5172" s="1">
        <v>1.00602248E8</v>
      </c>
      <c r="W5172" s="1" t="s">
        <v>115</v>
      </c>
      <c r="X5172" s="1" t="s">
        <v>12989</v>
      </c>
    </row>
    <row r="5173">
      <c r="A5173" s="1" t="s">
        <v>14403</v>
      </c>
      <c r="B5173" s="1" t="s">
        <v>14404</v>
      </c>
      <c r="C5173" s="1" t="s">
        <v>14405</v>
      </c>
      <c r="D5173" s="1" t="s">
        <v>28</v>
      </c>
      <c r="E5173" s="1" t="s">
        <v>29</v>
      </c>
      <c r="F5173" s="5">
        <v>30000.0</v>
      </c>
      <c r="G5173" s="1" t="s">
        <v>7016</v>
      </c>
      <c r="H5173" s="4">
        <v>43772.0</v>
      </c>
      <c r="I5173" s="1" t="s">
        <v>661</v>
      </c>
      <c r="K5173" s="1">
        <v>0.0</v>
      </c>
      <c r="L5173" s="1" t="s">
        <v>8174</v>
      </c>
      <c r="M5173" s="1" t="str">
        <f>VLOOKUP(L5173,'Copy of PMD Workday Constants -'!B5172:W5858,22,false)</f>
        <v>#N/A</v>
      </c>
      <c r="N5173" s="1" t="s">
        <v>32</v>
      </c>
      <c r="O5173" s="1" t="s">
        <v>33</v>
      </c>
      <c r="P5173" s="1" t="s">
        <v>82</v>
      </c>
      <c r="Q5173" s="1" t="s">
        <v>82</v>
      </c>
      <c r="R5173" s="1" t="s">
        <v>83</v>
      </c>
      <c r="S5173" s="1" t="s">
        <v>180</v>
      </c>
      <c r="T5173" s="1">
        <v>1.00609615E8</v>
      </c>
      <c r="W5173" s="1" t="s">
        <v>85</v>
      </c>
      <c r="X5173" s="1" t="s">
        <v>14406</v>
      </c>
    </row>
    <row r="5174">
      <c r="A5174" s="1" t="s">
        <v>14407</v>
      </c>
      <c r="B5174" s="1" t="s">
        <v>14408</v>
      </c>
      <c r="C5174" s="1" t="s">
        <v>14409</v>
      </c>
      <c r="D5174" s="1" t="s">
        <v>51</v>
      </c>
      <c r="E5174" s="1" t="s">
        <v>29</v>
      </c>
      <c r="F5174" s="5">
        <v>30000.0</v>
      </c>
      <c r="G5174" s="1" t="s">
        <v>7016</v>
      </c>
      <c r="H5174" s="1" t="s">
        <v>197</v>
      </c>
      <c r="I5174" s="1" t="s">
        <v>421</v>
      </c>
      <c r="K5174" s="1">
        <v>0.0</v>
      </c>
      <c r="L5174" s="1" t="s">
        <v>11159</v>
      </c>
      <c r="M5174" s="1" t="str">
        <f>VLOOKUP(L5174,'Copy of PMD Workday Constants -'!B5173:W5859,22,false)</f>
        <v>#N/A</v>
      </c>
      <c r="N5174" s="1" t="s">
        <v>32</v>
      </c>
      <c r="O5174" s="1" t="s">
        <v>33</v>
      </c>
      <c r="P5174" s="1" t="s">
        <v>222</v>
      </c>
      <c r="Q5174" s="1" t="s">
        <v>222</v>
      </c>
      <c r="R5174" s="1" t="s">
        <v>223</v>
      </c>
      <c r="T5174" s="1">
        <v>1.00602248E8</v>
      </c>
      <c r="W5174" s="1" t="s">
        <v>115</v>
      </c>
      <c r="X5174" s="1" t="s">
        <v>12065</v>
      </c>
    </row>
    <row r="5175">
      <c r="A5175" s="1" t="s">
        <v>14410</v>
      </c>
      <c r="B5175" s="1" t="s">
        <v>14411</v>
      </c>
      <c r="C5175" s="1" t="s">
        <v>14412</v>
      </c>
      <c r="D5175" s="1" t="s">
        <v>51</v>
      </c>
      <c r="E5175" s="1" t="s">
        <v>29</v>
      </c>
      <c r="F5175" s="5">
        <v>30000.0</v>
      </c>
      <c r="G5175" s="1" t="s">
        <v>7016</v>
      </c>
      <c r="H5175" s="1" t="s">
        <v>698</v>
      </c>
      <c r="I5175" s="1" t="s">
        <v>301</v>
      </c>
      <c r="K5175" s="1">
        <v>0.0</v>
      </c>
      <c r="L5175" s="1" t="s">
        <v>3408</v>
      </c>
      <c r="M5175" s="1" t="str">
        <f>VLOOKUP(L5175,'Copy of PMD Workday Constants -'!B5174:W5860,22,false)</f>
        <v>#N/A</v>
      </c>
      <c r="N5175" s="1" t="s">
        <v>32</v>
      </c>
      <c r="O5175" s="1" t="s">
        <v>33</v>
      </c>
      <c r="P5175" s="1" t="s">
        <v>222</v>
      </c>
      <c r="Q5175" s="1" t="s">
        <v>222</v>
      </c>
      <c r="R5175" s="1" t="s">
        <v>223</v>
      </c>
      <c r="S5175" s="1" t="s">
        <v>482</v>
      </c>
      <c r="T5175" s="1">
        <v>1.0066189E8</v>
      </c>
      <c r="W5175" s="1" t="s">
        <v>140</v>
      </c>
      <c r="X5175" s="1" t="s">
        <v>13186</v>
      </c>
    </row>
    <row r="5176">
      <c r="A5176" s="1" t="s">
        <v>14413</v>
      </c>
      <c r="B5176" s="1" t="s">
        <v>14414</v>
      </c>
      <c r="C5176" s="1" t="s">
        <v>14415</v>
      </c>
      <c r="D5176" s="1" t="s">
        <v>79</v>
      </c>
      <c r="E5176" s="1" t="s">
        <v>29</v>
      </c>
      <c r="F5176" s="5">
        <v>30000.0</v>
      </c>
      <c r="G5176" s="1" t="s">
        <v>7016</v>
      </c>
      <c r="H5176" s="1" t="s">
        <v>2360</v>
      </c>
      <c r="I5176" s="1" t="s">
        <v>80</v>
      </c>
      <c r="K5176" s="1">
        <v>0.0</v>
      </c>
      <c r="L5176" s="1" t="s">
        <v>6578</v>
      </c>
      <c r="M5176" s="1" t="str">
        <f>VLOOKUP(L5176,'Copy of PMD Workday Constants -'!B5175:W5861,22,false)</f>
        <v>#N/A</v>
      </c>
      <c r="N5176" s="1" t="s">
        <v>32</v>
      </c>
      <c r="O5176" s="1" t="s">
        <v>33</v>
      </c>
      <c r="P5176" s="1" t="s">
        <v>222</v>
      </c>
      <c r="Q5176" s="1" t="s">
        <v>222</v>
      </c>
      <c r="R5176" s="1" t="s">
        <v>223</v>
      </c>
      <c r="S5176" s="1" t="s">
        <v>482</v>
      </c>
      <c r="T5176" s="1">
        <v>1.00597339E8</v>
      </c>
      <c r="W5176" s="1" t="s">
        <v>140</v>
      </c>
      <c r="X5176" s="1" t="s">
        <v>6578</v>
      </c>
    </row>
    <row r="5177">
      <c r="A5177" s="1" t="s">
        <v>14416</v>
      </c>
      <c r="B5177" s="1" t="s">
        <v>11687</v>
      </c>
      <c r="C5177" s="1" t="s">
        <v>14417</v>
      </c>
      <c r="D5177" s="1" t="s">
        <v>79</v>
      </c>
      <c r="E5177" s="1" t="s">
        <v>29</v>
      </c>
      <c r="F5177" s="5">
        <v>30000.0</v>
      </c>
      <c r="G5177" s="1" t="s">
        <v>7016</v>
      </c>
      <c r="H5177" s="1" t="s">
        <v>2360</v>
      </c>
      <c r="I5177" s="1" t="s">
        <v>80</v>
      </c>
      <c r="K5177" s="1">
        <v>0.0</v>
      </c>
      <c r="L5177" s="1" t="s">
        <v>5558</v>
      </c>
      <c r="M5177" s="1" t="str">
        <f>VLOOKUP(L5177,'Copy of PMD Workday Constants -'!B5176:W5862,22,false)</f>
        <v>#N/A</v>
      </c>
      <c r="N5177" s="1" t="s">
        <v>32</v>
      </c>
      <c r="O5177" s="1" t="s">
        <v>33</v>
      </c>
      <c r="P5177" s="1" t="s">
        <v>222</v>
      </c>
      <c r="Q5177" s="1" t="s">
        <v>222</v>
      </c>
      <c r="R5177" s="1" t="s">
        <v>223</v>
      </c>
      <c r="S5177" s="1" t="s">
        <v>482</v>
      </c>
      <c r="T5177" s="1">
        <v>1.00652479E8</v>
      </c>
      <c r="W5177" s="1" t="s">
        <v>91</v>
      </c>
      <c r="X5177" s="1" t="s">
        <v>14418</v>
      </c>
    </row>
    <row r="5178">
      <c r="A5178" s="1" t="s">
        <v>14419</v>
      </c>
      <c r="B5178" s="1" t="s">
        <v>615</v>
      </c>
      <c r="C5178" s="1" t="s">
        <v>14420</v>
      </c>
      <c r="D5178" s="1" t="s">
        <v>79</v>
      </c>
      <c r="E5178" s="1" t="s">
        <v>29</v>
      </c>
      <c r="F5178" s="5">
        <v>30000.0</v>
      </c>
      <c r="G5178" s="1" t="s">
        <v>7016</v>
      </c>
      <c r="H5178" s="1" t="s">
        <v>698</v>
      </c>
      <c r="I5178" s="4">
        <v>44717.0</v>
      </c>
      <c r="K5178" s="1">
        <v>0.0</v>
      </c>
      <c r="L5178" s="1" t="s">
        <v>1823</v>
      </c>
      <c r="M5178" s="1" t="str">
        <f>VLOOKUP(L5178,'Copy of PMD Workday Constants -'!B5177:W5863,22,false)</f>
        <v>#N/A</v>
      </c>
      <c r="N5178" s="1" t="s">
        <v>32</v>
      </c>
      <c r="O5178" s="1" t="s">
        <v>33</v>
      </c>
      <c r="P5178" s="1" t="s">
        <v>222</v>
      </c>
      <c r="Q5178" s="1" t="s">
        <v>222</v>
      </c>
      <c r="R5178" s="1" t="s">
        <v>223</v>
      </c>
      <c r="S5178" s="1" t="s">
        <v>701</v>
      </c>
      <c r="T5178" s="1">
        <v>1.0064195E8</v>
      </c>
      <c r="W5178" s="1" t="s">
        <v>74</v>
      </c>
      <c r="X5178" s="1" t="s">
        <v>1823</v>
      </c>
    </row>
    <row r="5179">
      <c r="A5179" s="1" t="s">
        <v>14421</v>
      </c>
      <c r="B5179" s="1" t="s">
        <v>14422</v>
      </c>
      <c r="C5179" s="1" t="s">
        <v>14423</v>
      </c>
      <c r="D5179" s="1" t="s">
        <v>103</v>
      </c>
      <c r="E5179" s="1" t="s">
        <v>29</v>
      </c>
      <c r="F5179" s="5">
        <v>30000.0</v>
      </c>
      <c r="G5179" s="1" t="s">
        <v>7016</v>
      </c>
      <c r="H5179" s="4">
        <v>44451.0</v>
      </c>
      <c r="I5179" s="1" t="s">
        <v>191</v>
      </c>
      <c r="K5179" s="1">
        <v>0.0</v>
      </c>
      <c r="L5179" s="1" t="s">
        <v>9390</v>
      </c>
      <c r="M5179" s="1" t="str">
        <f>VLOOKUP(L5179,'Copy of PMD Workday Constants -'!B5178:W5864,22,false)</f>
        <v>#N/A</v>
      </c>
      <c r="N5179" s="1" t="s">
        <v>32</v>
      </c>
      <c r="O5179" s="1" t="s">
        <v>33</v>
      </c>
      <c r="P5179" s="1" t="s">
        <v>64</v>
      </c>
      <c r="Q5179" s="1" t="s">
        <v>64</v>
      </c>
      <c r="R5179" s="1" t="s">
        <v>65</v>
      </c>
      <c r="S5179" s="1" t="s">
        <v>1336</v>
      </c>
      <c r="T5179" s="1">
        <v>1.01148689E8</v>
      </c>
      <c r="W5179" s="1" t="s">
        <v>147</v>
      </c>
      <c r="X5179" s="1" t="s">
        <v>9824</v>
      </c>
    </row>
    <row r="5180">
      <c r="A5180" s="1" t="s">
        <v>14424</v>
      </c>
      <c r="B5180" s="1" t="s">
        <v>14425</v>
      </c>
      <c r="C5180" s="1" t="s">
        <v>14426</v>
      </c>
      <c r="D5180" s="1" t="s">
        <v>51</v>
      </c>
      <c r="E5180" s="1" t="s">
        <v>29</v>
      </c>
      <c r="F5180" s="5">
        <v>30000.0</v>
      </c>
      <c r="G5180" s="1" t="s">
        <v>7016</v>
      </c>
      <c r="H5180" s="1" t="s">
        <v>1785</v>
      </c>
      <c r="I5180" s="1" t="s">
        <v>132</v>
      </c>
      <c r="K5180" s="1">
        <v>0.0</v>
      </c>
      <c r="L5180" s="1" t="s">
        <v>2013</v>
      </c>
      <c r="M5180" s="1" t="str">
        <f>VLOOKUP(L5180,'Copy of PMD Workday Constants -'!B5179:W5865,22,false)</f>
        <v>#N/A</v>
      </c>
      <c r="N5180" s="1" t="s">
        <v>32</v>
      </c>
      <c r="O5180" s="1" t="s">
        <v>33</v>
      </c>
      <c r="P5180" s="1" t="s">
        <v>222</v>
      </c>
      <c r="Q5180" s="1" t="s">
        <v>222</v>
      </c>
      <c r="R5180" s="1" t="s">
        <v>223</v>
      </c>
      <c r="T5180" s="1">
        <v>1.00596618E8</v>
      </c>
      <c r="W5180" s="1" t="s">
        <v>456</v>
      </c>
      <c r="X5180" s="1" t="s">
        <v>12829</v>
      </c>
    </row>
    <row r="5181">
      <c r="A5181" s="1" t="s">
        <v>14427</v>
      </c>
      <c r="B5181" s="1" t="s">
        <v>4110</v>
      </c>
      <c r="C5181" s="1" t="s">
        <v>14428</v>
      </c>
      <c r="D5181" s="1" t="s">
        <v>51</v>
      </c>
      <c r="E5181" s="1" t="s">
        <v>29</v>
      </c>
      <c r="F5181" s="5">
        <v>30000.0</v>
      </c>
      <c r="G5181" s="1" t="s">
        <v>7016</v>
      </c>
      <c r="H5181" s="4">
        <v>44900.0</v>
      </c>
      <c r="I5181" s="1" t="s">
        <v>810</v>
      </c>
      <c r="K5181" s="1">
        <v>0.0</v>
      </c>
      <c r="L5181" s="1" t="s">
        <v>481</v>
      </c>
      <c r="M5181" s="1" t="str">
        <f>VLOOKUP(L5181,'Copy of PMD Workday Constants -'!B5180:W5866,22,false)</f>
        <v>#N/A</v>
      </c>
      <c r="N5181" s="1" t="s">
        <v>32</v>
      </c>
      <c r="O5181" s="1" t="s">
        <v>33</v>
      </c>
      <c r="P5181" s="1" t="s">
        <v>222</v>
      </c>
      <c r="Q5181" s="1" t="s">
        <v>222</v>
      </c>
      <c r="R5181" s="1" t="s">
        <v>223</v>
      </c>
      <c r="S5181" s="1" t="s">
        <v>482</v>
      </c>
      <c r="T5181" s="1">
        <v>1.00654864E8</v>
      </c>
      <c r="W5181" s="1" t="s">
        <v>74</v>
      </c>
      <c r="X5181" s="1" t="s">
        <v>10577</v>
      </c>
    </row>
    <row r="5182">
      <c r="A5182" s="1" t="s">
        <v>14429</v>
      </c>
      <c r="B5182" s="1" t="s">
        <v>14430</v>
      </c>
      <c r="C5182" s="1" t="s">
        <v>14431</v>
      </c>
      <c r="D5182" s="1" t="s">
        <v>51</v>
      </c>
      <c r="E5182" s="1" t="s">
        <v>29</v>
      </c>
      <c r="F5182" s="5">
        <v>30000.0</v>
      </c>
      <c r="G5182" s="1" t="s">
        <v>7016</v>
      </c>
      <c r="H5182" s="4">
        <v>44869.0</v>
      </c>
      <c r="I5182" s="1" t="s">
        <v>810</v>
      </c>
      <c r="K5182" s="1">
        <v>0.0</v>
      </c>
      <c r="L5182" s="1" t="s">
        <v>5558</v>
      </c>
      <c r="M5182" s="1" t="str">
        <f>VLOOKUP(L5182,'Copy of PMD Workday Constants -'!B5181:W5867,22,false)</f>
        <v>#N/A</v>
      </c>
      <c r="N5182" s="1" t="s">
        <v>32</v>
      </c>
      <c r="O5182" s="1" t="s">
        <v>33</v>
      </c>
      <c r="P5182" s="1" t="s">
        <v>222</v>
      </c>
      <c r="Q5182" s="1" t="s">
        <v>222</v>
      </c>
      <c r="R5182" s="1" t="s">
        <v>223</v>
      </c>
      <c r="S5182" s="1" t="s">
        <v>482</v>
      </c>
      <c r="T5182" s="1">
        <v>1.00652479E8</v>
      </c>
      <c r="W5182" s="1" t="s">
        <v>250</v>
      </c>
      <c r="X5182" s="1" t="s">
        <v>13296</v>
      </c>
    </row>
    <row r="5183">
      <c r="A5183" s="1" t="s">
        <v>14432</v>
      </c>
      <c r="B5183" s="1" t="s">
        <v>14433</v>
      </c>
      <c r="C5183" s="1" t="s">
        <v>14434</v>
      </c>
      <c r="D5183" s="1" t="s">
        <v>103</v>
      </c>
      <c r="E5183" s="1" t="s">
        <v>29</v>
      </c>
      <c r="F5183" s="5">
        <v>30000.0</v>
      </c>
      <c r="G5183" s="1" t="s">
        <v>7016</v>
      </c>
      <c r="H5183" s="1" t="s">
        <v>509</v>
      </c>
      <c r="I5183" s="1" t="s">
        <v>132</v>
      </c>
      <c r="K5183" s="1">
        <v>0.0</v>
      </c>
      <c r="L5183" s="1" t="s">
        <v>2507</v>
      </c>
      <c r="M5183" s="1" t="str">
        <f>VLOOKUP(L5183,'Copy of PMD Workday Constants -'!B5182:W5868,22,false)</f>
        <v>#N/A</v>
      </c>
      <c r="N5183" s="1" t="s">
        <v>32</v>
      </c>
      <c r="O5183" s="1" t="s">
        <v>33</v>
      </c>
      <c r="P5183" s="1" t="s">
        <v>222</v>
      </c>
      <c r="Q5183" s="1" t="s">
        <v>222</v>
      </c>
      <c r="R5183" s="1" t="s">
        <v>223</v>
      </c>
      <c r="S5183" s="1" t="s">
        <v>482</v>
      </c>
      <c r="T5183" s="1">
        <v>1.00659458E8</v>
      </c>
      <c r="W5183" s="1" t="s">
        <v>339</v>
      </c>
      <c r="X5183" s="1" t="s">
        <v>2507</v>
      </c>
    </row>
    <row r="5184">
      <c r="A5184" s="1" t="s">
        <v>14435</v>
      </c>
      <c r="B5184" s="1" t="s">
        <v>14436</v>
      </c>
      <c r="C5184" s="1" t="s">
        <v>14437</v>
      </c>
      <c r="D5184" s="1" t="s">
        <v>103</v>
      </c>
      <c r="E5184" s="1" t="s">
        <v>29</v>
      </c>
      <c r="F5184" s="5">
        <v>30000.0</v>
      </c>
      <c r="G5184" s="1" t="s">
        <v>7016</v>
      </c>
      <c r="H5184" s="1" t="s">
        <v>509</v>
      </c>
      <c r="I5184" s="1" t="s">
        <v>132</v>
      </c>
      <c r="K5184" s="1">
        <v>0.0</v>
      </c>
      <c r="L5184" s="1" t="s">
        <v>2507</v>
      </c>
      <c r="M5184" s="1" t="str">
        <f>VLOOKUP(L5184,'Copy of PMD Workday Constants -'!B5183:W5869,22,false)</f>
        <v>#N/A</v>
      </c>
      <c r="N5184" s="1" t="s">
        <v>32</v>
      </c>
      <c r="O5184" s="1" t="s">
        <v>33</v>
      </c>
      <c r="P5184" s="1" t="s">
        <v>222</v>
      </c>
      <c r="Q5184" s="1" t="s">
        <v>222</v>
      </c>
      <c r="R5184" s="1" t="s">
        <v>223</v>
      </c>
      <c r="S5184" s="1" t="s">
        <v>482</v>
      </c>
      <c r="T5184" s="1">
        <v>1.00659458E8</v>
      </c>
      <c r="W5184" s="1" t="s">
        <v>947</v>
      </c>
      <c r="X5184" s="1" t="s">
        <v>2507</v>
      </c>
    </row>
    <row r="5185">
      <c r="A5185" s="1" t="s">
        <v>14438</v>
      </c>
      <c r="B5185" s="1" t="s">
        <v>14439</v>
      </c>
      <c r="C5185" s="1" t="s">
        <v>14440</v>
      </c>
      <c r="D5185" s="1" t="s">
        <v>103</v>
      </c>
      <c r="E5185" s="1" t="s">
        <v>29</v>
      </c>
      <c r="F5185" s="5">
        <v>30000.0</v>
      </c>
      <c r="G5185" s="1" t="s">
        <v>7016</v>
      </c>
      <c r="H5185" s="1" t="s">
        <v>509</v>
      </c>
      <c r="I5185" s="1" t="s">
        <v>132</v>
      </c>
      <c r="K5185" s="1">
        <v>0.0</v>
      </c>
      <c r="L5185" s="1" t="s">
        <v>2507</v>
      </c>
      <c r="M5185" s="1" t="str">
        <f>VLOOKUP(L5185,'Copy of PMD Workday Constants -'!B5184:W5870,22,false)</f>
        <v>#N/A</v>
      </c>
      <c r="N5185" s="1" t="s">
        <v>32</v>
      </c>
      <c r="O5185" s="1" t="s">
        <v>33</v>
      </c>
      <c r="P5185" s="1" t="s">
        <v>222</v>
      </c>
      <c r="Q5185" s="1" t="s">
        <v>222</v>
      </c>
      <c r="R5185" s="1" t="s">
        <v>223</v>
      </c>
      <c r="S5185" s="1" t="s">
        <v>482</v>
      </c>
      <c r="T5185" s="1">
        <v>1.00659458E8</v>
      </c>
      <c r="W5185" s="1" t="s">
        <v>493</v>
      </c>
      <c r="X5185" s="1" t="s">
        <v>2507</v>
      </c>
    </row>
    <row r="5186">
      <c r="A5186" s="1" t="s">
        <v>14441</v>
      </c>
      <c r="B5186" s="1" t="s">
        <v>4089</v>
      </c>
      <c r="C5186" s="1" t="s">
        <v>14442</v>
      </c>
      <c r="D5186" s="1" t="s">
        <v>103</v>
      </c>
      <c r="E5186" s="1" t="s">
        <v>29</v>
      </c>
      <c r="F5186" s="5">
        <v>30000.0</v>
      </c>
      <c r="G5186" s="1" t="s">
        <v>7016</v>
      </c>
      <c r="H5186" s="4">
        <v>44297.0</v>
      </c>
      <c r="I5186" s="1" t="s">
        <v>80</v>
      </c>
      <c r="K5186" s="1">
        <v>0.0</v>
      </c>
      <c r="L5186" s="1" t="s">
        <v>3408</v>
      </c>
      <c r="M5186" s="1" t="str">
        <f>VLOOKUP(L5186,'Copy of PMD Workday Constants -'!B5185:W5871,22,false)</f>
        <v>#N/A</v>
      </c>
      <c r="N5186" s="1" t="s">
        <v>32</v>
      </c>
      <c r="O5186" s="1" t="s">
        <v>33</v>
      </c>
      <c r="P5186" s="1" t="s">
        <v>222</v>
      </c>
      <c r="Q5186" s="1" t="s">
        <v>222</v>
      </c>
      <c r="R5186" s="1" t="s">
        <v>223</v>
      </c>
      <c r="S5186" s="1" t="s">
        <v>482</v>
      </c>
      <c r="T5186" s="1">
        <v>1.0066189E8</v>
      </c>
      <c r="W5186" s="1" t="s">
        <v>74</v>
      </c>
      <c r="X5186" s="1" t="s">
        <v>11706</v>
      </c>
    </row>
    <row r="5187">
      <c r="A5187" s="1" t="s">
        <v>14443</v>
      </c>
      <c r="B5187" s="1" t="s">
        <v>896</v>
      </c>
      <c r="C5187" s="1" t="s">
        <v>14444</v>
      </c>
      <c r="D5187" s="1" t="s">
        <v>51</v>
      </c>
      <c r="E5187" s="1" t="s">
        <v>29</v>
      </c>
      <c r="F5187" s="5">
        <v>30000.0</v>
      </c>
      <c r="G5187" s="1" t="s">
        <v>7016</v>
      </c>
      <c r="H5187" s="4">
        <v>44748.0</v>
      </c>
      <c r="I5187" s="1" t="s">
        <v>152</v>
      </c>
      <c r="K5187" s="1">
        <v>0.0</v>
      </c>
      <c r="L5187" s="1" t="s">
        <v>13450</v>
      </c>
      <c r="M5187" s="1" t="str">
        <f>VLOOKUP(L5187,'Copy of PMD Workday Constants -'!B5186:W5872,22,false)</f>
        <v>#N/A</v>
      </c>
      <c r="N5187" s="1" t="s">
        <v>32</v>
      </c>
      <c r="O5187" s="1" t="s">
        <v>33</v>
      </c>
      <c r="P5187" s="1" t="s">
        <v>222</v>
      </c>
      <c r="Q5187" s="1" t="s">
        <v>222</v>
      </c>
      <c r="R5187" s="1" t="s">
        <v>223</v>
      </c>
      <c r="T5187" s="1">
        <v>1.00634698E8</v>
      </c>
      <c r="W5187" s="1" t="s">
        <v>37</v>
      </c>
      <c r="X5187" s="1" t="s">
        <v>14445</v>
      </c>
    </row>
    <row r="5188">
      <c r="A5188" s="1" t="s">
        <v>14446</v>
      </c>
      <c r="B5188" s="1" t="s">
        <v>3585</v>
      </c>
      <c r="C5188" s="1" t="s">
        <v>14447</v>
      </c>
      <c r="D5188" s="1" t="s">
        <v>79</v>
      </c>
      <c r="E5188" s="1" t="s">
        <v>29</v>
      </c>
      <c r="F5188" s="5">
        <v>30000.0</v>
      </c>
      <c r="G5188" s="1" t="s">
        <v>7016</v>
      </c>
      <c r="H5188" s="1" t="s">
        <v>1042</v>
      </c>
      <c r="I5188" s="1" t="s">
        <v>14448</v>
      </c>
      <c r="J5188" s="1" t="s">
        <v>14449</v>
      </c>
      <c r="K5188" s="1">
        <v>0.0</v>
      </c>
      <c r="L5188" s="1" t="s">
        <v>10660</v>
      </c>
      <c r="M5188" s="1" t="str">
        <f>VLOOKUP(L5188,'Copy of PMD Workday Constants -'!B5187:W5873,22,false)</f>
        <v>#N/A</v>
      </c>
      <c r="N5188" s="1" t="s">
        <v>32</v>
      </c>
      <c r="O5188" s="1" t="s">
        <v>33</v>
      </c>
      <c r="P5188" s="1" t="s">
        <v>222</v>
      </c>
      <c r="Q5188" s="1" t="s">
        <v>222</v>
      </c>
      <c r="R5188" s="1" t="s">
        <v>223</v>
      </c>
      <c r="S5188" s="1" t="s">
        <v>482</v>
      </c>
      <c r="T5188" s="1">
        <v>1.00604296E8</v>
      </c>
      <c r="W5188" s="1" t="s">
        <v>456</v>
      </c>
      <c r="X5188" s="1" t="s">
        <v>14450</v>
      </c>
    </row>
    <row r="5189">
      <c r="A5189" s="1" t="s">
        <v>14451</v>
      </c>
      <c r="B5189" s="1" t="s">
        <v>1689</v>
      </c>
      <c r="C5189" s="1" t="s">
        <v>14452</v>
      </c>
      <c r="D5189" s="1" t="s">
        <v>51</v>
      </c>
      <c r="E5189" s="1" t="s">
        <v>29</v>
      </c>
      <c r="F5189" s="5">
        <v>30000.0</v>
      </c>
      <c r="G5189" s="1" t="s">
        <v>7016</v>
      </c>
      <c r="H5189" s="1" t="s">
        <v>5396</v>
      </c>
      <c r="I5189" s="1" t="s">
        <v>302</v>
      </c>
      <c r="J5189" s="1" t="s">
        <v>14453</v>
      </c>
      <c r="K5189" s="1">
        <v>0.0</v>
      </c>
      <c r="L5189" s="1" t="s">
        <v>11159</v>
      </c>
      <c r="M5189" s="1" t="str">
        <f>VLOOKUP(L5189,'Copy of PMD Workday Constants -'!B5188:W5874,22,false)</f>
        <v>#N/A</v>
      </c>
      <c r="N5189" s="1" t="s">
        <v>32</v>
      </c>
      <c r="O5189" s="1" t="s">
        <v>33</v>
      </c>
      <c r="P5189" s="1" t="s">
        <v>222</v>
      </c>
      <c r="Q5189" s="1" t="s">
        <v>222</v>
      </c>
      <c r="R5189" s="1" t="s">
        <v>223</v>
      </c>
      <c r="S5189" s="1" t="s">
        <v>482</v>
      </c>
      <c r="T5189" s="1">
        <v>1.00602248E8</v>
      </c>
      <c r="W5189" s="1" t="s">
        <v>147</v>
      </c>
      <c r="X5189" s="1" t="s">
        <v>12065</v>
      </c>
    </row>
    <row r="5190">
      <c r="A5190" s="1" t="s">
        <v>14454</v>
      </c>
      <c r="B5190" s="1" t="s">
        <v>14455</v>
      </c>
      <c r="C5190" s="1" t="s">
        <v>11346</v>
      </c>
      <c r="D5190" s="1" t="s">
        <v>103</v>
      </c>
      <c r="E5190" s="1" t="s">
        <v>29</v>
      </c>
      <c r="F5190" s="5">
        <v>30000.0</v>
      </c>
      <c r="G5190" s="1" t="s">
        <v>7016</v>
      </c>
      <c r="H5190" s="1" t="s">
        <v>4413</v>
      </c>
      <c r="I5190" s="1" t="s">
        <v>301</v>
      </c>
      <c r="K5190" s="1">
        <v>0.0</v>
      </c>
      <c r="L5190" s="1" t="s">
        <v>2013</v>
      </c>
      <c r="M5190" s="1" t="str">
        <f>VLOOKUP(L5190,'Copy of PMD Workday Constants -'!B5189:W5875,22,false)</f>
        <v>#N/A</v>
      </c>
      <c r="N5190" s="1" t="s">
        <v>32</v>
      </c>
      <c r="O5190" s="1" t="s">
        <v>33</v>
      </c>
      <c r="P5190" s="1" t="s">
        <v>222</v>
      </c>
      <c r="Q5190" s="1" t="s">
        <v>222</v>
      </c>
      <c r="R5190" s="1" t="s">
        <v>223</v>
      </c>
      <c r="T5190" s="1">
        <v>1.00596618E8</v>
      </c>
      <c r="W5190" s="1" t="s">
        <v>74</v>
      </c>
      <c r="X5190" s="1" t="s">
        <v>2014</v>
      </c>
    </row>
    <row r="5191">
      <c r="A5191" s="1" t="s">
        <v>14456</v>
      </c>
      <c r="B5191" s="1" t="s">
        <v>14457</v>
      </c>
      <c r="C5191" s="1" t="s">
        <v>14458</v>
      </c>
      <c r="D5191" s="1" t="s">
        <v>51</v>
      </c>
      <c r="E5191" s="1" t="s">
        <v>29</v>
      </c>
      <c r="F5191" s="5">
        <v>30000.0</v>
      </c>
      <c r="G5191" s="1" t="s">
        <v>7016</v>
      </c>
      <c r="H5191" s="4">
        <v>44777.0</v>
      </c>
      <c r="I5191" s="1" t="s">
        <v>80</v>
      </c>
      <c r="K5191" s="1">
        <v>0.0</v>
      </c>
      <c r="L5191" s="1" t="s">
        <v>2013</v>
      </c>
      <c r="M5191" s="1" t="str">
        <f>VLOOKUP(L5191,'Copy of PMD Workday Constants -'!B5190:W5876,22,false)</f>
        <v>#N/A</v>
      </c>
      <c r="N5191" s="1" t="s">
        <v>32</v>
      </c>
      <c r="O5191" s="1" t="s">
        <v>33</v>
      </c>
      <c r="P5191" s="1" t="s">
        <v>222</v>
      </c>
      <c r="Q5191" s="1" t="s">
        <v>222</v>
      </c>
      <c r="R5191" s="1" t="s">
        <v>223</v>
      </c>
      <c r="S5191" s="1" t="s">
        <v>482</v>
      </c>
      <c r="T5191" s="1">
        <v>1.00596618E8</v>
      </c>
      <c r="W5191" s="1" t="s">
        <v>74</v>
      </c>
      <c r="X5191" s="1" t="s">
        <v>12829</v>
      </c>
    </row>
    <row r="5192">
      <c r="A5192" s="1" t="s">
        <v>14459</v>
      </c>
      <c r="B5192" s="1" t="s">
        <v>6165</v>
      </c>
      <c r="C5192" s="1" t="s">
        <v>14460</v>
      </c>
      <c r="D5192" s="1" t="s">
        <v>28</v>
      </c>
      <c r="E5192" s="1" t="s">
        <v>29</v>
      </c>
      <c r="F5192" s="5">
        <v>30000.0</v>
      </c>
      <c r="G5192" s="1" t="s">
        <v>7016</v>
      </c>
      <c r="H5192" s="1" t="s">
        <v>14461</v>
      </c>
      <c r="I5192" s="1" t="s">
        <v>43</v>
      </c>
      <c r="K5192" s="1">
        <v>0.0</v>
      </c>
      <c r="L5192" s="1" t="s">
        <v>11159</v>
      </c>
      <c r="M5192" s="1" t="str">
        <f>VLOOKUP(L5192,'Copy of PMD Workday Constants -'!B5191:W5877,22,false)</f>
        <v>#N/A</v>
      </c>
      <c r="N5192" s="1" t="s">
        <v>32</v>
      </c>
      <c r="O5192" s="1" t="s">
        <v>33</v>
      </c>
      <c r="P5192" s="1" t="s">
        <v>222</v>
      </c>
      <c r="Q5192" s="1" t="s">
        <v>222</v>
      </c>
      <c r="R5192" s="1" t="s">
        <v>223</v>
      </c>
      <c r="S5192" s="1" t="s">
        <v>482</v>
      </c>
      <c r="T5192" s="1">
        <v>1.00602248E8</v>
      </c>
      <c r="W5192" s="1" t="s">
        <v>85</v>
      </c>
      <c r="X5192" s="1" t="s">
        <v>12989</v>
      </c>
    </row>
    <row r="5193">
      <c r="A5193" s="1" t="s">
        <v>14462</v>
      </c>
      <c r="B5193" s="1" t="s">
        <v>14463</v>
      </c>
      <c r="C5193" s="1" t="s">
        <v>14464</v>
      </c>
      <c r="D5193" s="1" t="s">
        <v>103</v>
      </c>
      <c r="E5193" s="1" t="s">
        <v>29</v>
      </c>
      <c r="F5193" s="5">
        <v>30000.0</v>
      </c>
      <c r="G5193" s="1" t="s">
        <v>7016</v>
      </c>
      <c r="H5193" s="1" t="s">
        <v>8514</v>
      </c>
      <c r="I5193" s="1" t="s">
        <v>191</v>
      </c>
      <c r="K5193" s="1">
        <v>0.0</v>
      </c>
      <c r="L5193" s="1" t="s">
        <v>11577</v>
      </c>
      <c r="M5193" s="1" t="str">
        <f>VLOOKUP(L5193,'Copy of PMD Workday Constants -'!B5192:W5878,22,false)</f>
        <v>#N/A</v>
      </c>
      <c r="N5193" s="1" t="s">
        <v>32</v>
      </c>
      <c r="O5193" s="1" t="s">
        <v>33</v>
      </c>
      <c r="P5193" s="1" t="s">
        <v>222</v>
      </c>
      <c r="Q5193" s="1" t="s">
        <v>222</v>
      </c>
      <c r="R5193" s="1" t="s">
        <v>223</v>
      </c>
      <c r="S5193" s="1" t="s">
        <v>482</v>
      </c>
      <c r="T5193" s="1">
        <v>1.00626837E8</v>
      </c>
      <c r="W5193" s="1" t="s">
        <v>74</v>
      </c>
      <c r="X5193" s="1" t="s">
        <v>10781</v>
      </c>
    </row>
    <row r="5194">
      <c r="A5194" s="1" t="s">
        <v>14465</v>
      </c>
      <c r="B5194" s="1" t="s">
        <v>11534</v>
      </c>
      <c r="C5194" s="1" t="s">
        <v>14466</v>
      </c>
      <c r="D5194" s="1" t="s">
        <v>28</v>
      </c>
      <c r="E5194" s="1" t="s">
        <v>29</v>
      </c>
      <c r="F5194" s="5">
        <v>30000.0</v>
      </c>
      <c r="G5194" s="1" t="s">
        <v>7016</v>
      </c>
      <c r="H5194" s="1" t="s">
        <v>42</v>
      </c>
      <c r="I5194" s="4">
        <v>44573.0</v>
      </c>
      <c r="K5194" s="1">
        <v>0.0</v>
      </c>
      <c r="L5194" s="1" t="s">
        <v>1335</v>
      </c>
      <c r="M5194" s="1" t="str">
        <f>VLOOKUP(L5194,'Copy of PMD Workday Constants -'!B5193:W5879,22,false)</f>
        <v>#N/A</v>
      </c>
      <c r="N5194" s="1" t="s">
        <v>32</v>
      </c>
      <c r="O5194" s="1" t="s">
        <v>33</v>
      </c>
      <c r="P5194" s="1" t="s">
        <v>210</v>
      </c>
      <c r="Q5194" s="1" t="s">
        <v>210</v>
      </c>
      <c r="R5194" s="1" t="s">
        <v>211</v>
      </c>
      <c r="S5194" s="1" t="s">
        <v>1336</v>
      </c>
      <c r="T5194" s="1">
        <v>1.00594397E8</v>
      </c>
      <c r="W5194" s="1" t="s">
        <v>258</v>
      </c>
      <c r="X5194" s="1" t="s">
        <v>1337</v>
      </c>
    </row>
    <row r="5195">
      <c r="A5195" s="1" t="s">
        <v>14467</v>
      </c>
      <c r="B5195" s="1" t="s">
        <v>14341</v>
      </c>
      <c r="C5195" s="1" t="s">
        <v>14468</v>
      </c>
      <c r="D5195" s="1" t="s">
        <v>51</v>
      </c>
      <c r="E5195" s="1" t="s">
        <v>29</v>
      </c>
      <c r="F5195" s="5">
        <v>28500.0</v>
      </c>
      <c r="G5195" s="1" t="s">
        <v>7016</v>
      </c>
      <c r="H5195" s="1" t="s">
        <v>1074</v>
      </c>
      <c r="I5195" s="4">
        <v>44567.0</v>
      </c>
      <c r="K5195" s="1">
        <v>0.0</v>
      </c>
      <c r="L5195" s="1" t="s">
        <v>10207</v>
      </c>
      <c r="M5195" s="1" t="str">
        <f>VLOOKUP(L5195,'Copy of PMD Workday Constants -'!B5194:W5880,22,false)</f>
        <v>#N/A</v>
      </c>
      <c r="N5195" s="1" t="s">
        <v>32</v>
      </c>
      <c r="O5195" s="1" t="s">
        <v>33</v>
      </c>
      <c r="P5195" s="1" t="s">
        <v>222</v>
      </c>
      <c r="Q5195" s="1" t="s">
        <v>222</v>
      </c>
      <c r="R5195" s="1" t="s">
        <v>223</v>
      </c>
      <c r="S5195" s="1" t="s">
        <v>482</v>
      </c>
      <c r="T5195" s="1">
        <v>1.00612201E8</v>
      </c>
      <c r="U5195" s="1" t="s">
        <v>14469</v>
      </c>
      <c r="V5195" s="1" t="s">
        <v>346</v>
      </c>
      <c r="W5195" s="1" t="s">
        <v>56</v>
      </c>
      <c r="X5195" s="1" t="s">
        <v>14470</v>
      </c>
    </row>
    <row r="5196">
      <c r="A5196" s="1" t="s">
        <v>14471</v>
      </c>
      <c r="B5196" s="1" t="s">
        <v>14472</v>
      </c>
      <c r="C5196" s="1" t="s">
        <v>14473</v>
      </c>
      <c r="D5196" s="1" t="s">
        <v>51</v>
      </c>
      <c r="E5196" s="1" t="s">
        <v>29</v>
      </c>
      <c r="F5196" s="5">
        <v>28000.0</v>
      </c>
      <c r="G5196" s="1" t="s">
        <v>7016</v>
      </c>
      <c r="H5196" s="1" t="s">
        <v>13370</v>
      </c>
      <c r="I5196" s="1" t="s">
        <v>43</v>
      </c>
      <c r="K5196" s="1">
        <v>0.0</v>
      </c>
      <c r="L5196" s="1" t="s">
        <v>2602</v>
      </c>
      <c r="M5196" s="1" t="str">
        <f>VLOOKUP(L5196,'Copy of PMD Workday Constants -'!B5195:W5881,22,false)</f>
        <v>#N/A</v>
      </c>
      <c r="N5196" s="1" t="s">
        <v>32</v>
      </c>
      <c r="O5196" s="1" t="s">
        <v>33</v>
      </c>
      <c r="P5196" s="1" t="s">
        <v>173</v>
      </c>
      <c r="Q5196" s="1" t="s">
        <v>173</v>
      </c>
      <c r="R5196" s="1" t="s">
        <v>174</v>
      </c>
      <c r="S5196" s="1" t="s">
        <v>383</v>
      </c>
      <c r="T5196" s="1">
        <v>1.00611351E8</v>
      </c>
      <c r="W5196" s="1" t="s">
        <v>1303</v>
      </c>
      <c r="X5196" s="1" t="s">
        <v>2914</v>
      </c>
    </row>
    <row r="5197">
      <c r="A5197" s="1" t="s">
        <v>14474</v>
      </c>
      <c r="B5197" s="1" t="s">
        <v>14475</v>
      </c>
      <c r="C5197" s="1" t="s">
        <v>14476</v>
      </c>
      <c r="D5197" s="1" t="s">
        <v>51</v>
      </c>
      <c r="E5197" s="1" t="s">
        <v>29</v>
      </c>
      <c r="F5197" s="5">
        <v>27550.0</v>
      </c>
      <c r="G5197" s="1" t="s">
        <v>7016</v>
      </c>
      <c r="H5197" s="1" t="s">
        <v>14262</v>
      </c>
      <c r="I5197" s="1" t="s">
        <v>302</v>
      </c>
      <c r="K5197" s="1">
        <v>0.0</v>
      </c>
      <c r="L5197" s="1" t="s">
        <v>11159</v>
      </c>
      <c r="M5197" s="1" t="str">
        <f>VLOOKUP(L5197,'Copy of PMD Workday Constants -'!B5196:W5882,22,false)</f>
        <v>#N/A</v>
      </c>
      <c r="N5197" s="1" t="s">
        <v>32</v>
      </c>
      <c r="O5197" s="1" t="s">
        <v>33</v>
      </c>
      <c r="P5197" s="1" t="s">
        <v>222</v>
      </c>
      <c r="Q5197" s="1" t="s">
        <v>222</v>
      </c>
      <c r="R5197" s="1" t="s">
        <v>223</v>
      </c>
      <c r="S5197" s="1" t="s">
        <v>482</v>
      </c>
      <c r="T5197" s="1">
        <v>1.00602248E8</v>
      </c>
      <c r="W5197" s="1" t="s">
        <v>85</v>
      </c>
      <c r="X5197" s="1" t="s">
        <v>12065</v>
      </c>
    </row>
    <row r="5198">
      <c r="A5198" s="1" t="s">
        <v>14477</v>
      </c>
      <c r="B5198" s="1" t="s">
        <v>14478</v>
      </c>
      <c r="C5198" s="1" t="s">
        <v>14479</v>
      </c>
      <c r="D5198" s="1" t="s">
        <v>103</v>
      </c>
      <c r="E5198" s="1" t="s">
        <v>29</v>
      </c>
      <c r="F5198" s="5">
        <v>27550.0</v>
      </c>
      <c r="G5198" s="1" t="s">
        <v>7016</v>
      </c>
      <c r="H5198" s="4">
        <v>44478.0</v>
      </c>
      <c r="I5198" s="1" t="s">
        <v>302</v>
      </c>
      <c r="K5198" s="1">
        <v>0.0</v>
      </c>
      <c r="L5198" s="1" t="s">
        <v>11159</v>
      </c>
      <c r="M5198" s="1" t="str">
        <f>VLOOKUP(L5198,'Copy of PMD Workday Constants -'!B5197:W5883,22,false)</f>
        <v>#N/A</v>
      </c>
      <c r="N5198" s="1" t="s">
        <v>32</v>
      </c>
      <c r="O5198" s="1" t="s">
        <v>33</v>
      </c>
      <c r="P5198" s="1" t="s">
        <v>222</v>
      </c>
      <c r="Q5198" s="1" t="s">
        <v>222</v>
      </c>
      <c r="R5198" s="1" t="s">
        <v>223</v>
      </c>
      <c r="S5198" s="1" t="s">
        <v>482</v>
      </c>
      <c r="T5198" s="1">
        <v>1.00602248E8</v>
      </c>
      <c r="W5198" s="1" t="s">
        <v>1801</v>
      </c>
      <c r="X5198" s="1" t="s">
        <v>12065</v>
      </c>
    </row>
    <row r="5199">
      <c r="A5199" s="1" t="s">
        <v>14480</v>
      </c>
      <c r="B5199" s="1" t="s">
        <v>14481</v>
      </c>
      <c r="C5199" s="1" t="s">
        <v>14482</v>
      </c>
      <c r="D5199" s="1" t="s">
        <v>51</v>
      </c>
      <c r="E5199" s="1" t="s">
        <v>29</v>
      </c>
      <c r="F5199" s="5">
        <v>27550.0</v>
      </c>
      <c r="G5199" s="1" t="s">
        <v>7016</v>
      </c>
      <c r="H5199" s="4">
        <v>44682.0</v>
      </c>
      <c r="I5199" s="1" t="s">
        <v>302</v>
      </c>
      <c r="K5199" s="1">
        <v>0.0</v>
      </c>
      <c r="L5199" s="1" t="s">
        <v>11159</v>
      </c>
      <c r="M5199" s="1" t="str">
        <f>VLOOKUP(L5199,'Copy of PMD Workday Constants -'!B5198:W5884,22,false)</f>
        <v>#N/A</v>
      </c>
      <c r="N5199" s="1" t="s">
        <v>32</v>
      </c>
      <c r="O5199" s="1" t="s">
        <v>33</v>
      </c>
      <c r="P5199" s="1" t="s">
        <v>222</v>
      </c>
      <c r="Q5199" s="1" t="s">
        <v>222</v>
      </c>
      <c r="R5199" s="1" t="s">
        <v>223</v>
      </c>
      <c r="S5199" s="1" t="s">
        <v>482</v>
      </c>
      <c r="T5199" s="1">
        <v>1.00602248E8</v>
      </c>
      <c r="W5199" s="1" t="s">
        <v>85</v>
      </c>
      <c r="X5199" s="1" t="s">
        <v>12989</v>
      </c>
    </row>
    <row r="5200">
      <c r="A5200" s="1" t="s">
        <v>14483</v>
      </c>
      <c r="B5200" s="1" t="s">
        <v>4425</v>
      </c>
      <c r="C5200" s="1" t="s">
        <v>14484</v>
      </c>
      <c r="D5200" s="1" t="s">
        <v>79</v>
      </c>
      <c r="E5200" s="1" t="s">
        <v>29</v>
      </c>
      <c r="F5200" s="5">
        <v>27550.0</v>
      </c>
      <c r="G5200" s="1" t="s">
        <v>7016</v>
      </c>
      <c r="H5200" s="4">
        <v>44565.0</v>
      </c>
      <c r="I5200" s="1" t="s">
        <v>80</v>
      </c>
      <c r="K5200" s="1">
        <v>0.0</v>
      </c>
      <c r="L5200" s="1" t="s">
        <v>11159</v>
      </c>
      <c r="M5200" s="1" t="str">
        <f>VLOOKUP(L5200,'Copy of PMD Workday Constants -'!B5199:W5885,22,false)</f>
        <v>#N/A</v>
      </c>
      <c r="N5200" s="1" t="s">
        <v>32</v>
      </c>
      <c r="O5200" s="1" t="s">
        <v>33</v>
      </c>
      <c r="P5200" s="1" t="s">
        <v>222</v>
      </c>
      <c r="Q5200" s="1" t="s">
        <v>222</v>
      </c>
      <c r="R5200" s="1" t="s">
        <v>223</v>
      </c>
      <c r="S5200" s="1" t="s">
        <v>482</v>
      </c>
      <c r="T5200" s="1">
        <v>1.00602248E8</v>
      </c>
      <c r="W5200" s="1" t="s">
        <v>493</v>
      </c>
      <c r="X5200" s="1" t="s">
        <v>12989</v>
      </c>
    </row>
    <row r="5201">
      <c r="A5201" s="1" t="s">
        <v>14485</v>
      </c>
      <c r="B5201" s="1" t="s">
        <v>11465</v>
      </c>
      <c r="C5201" s="1" t="s">
        <v>14486</v>
      </c>
      <c r="D5201" s="1" t="s">
        <v>51</v>
      </c>
      <c r="E5201" s="1" t="s">
        <v>29</v>
      </c>
      <c r="F5201" s="5">
        <v>27550.0</v>
      </c>
      <c r="G5201" s="1" t="s">
        <v>7016</v>
      </c>
      <c r="H5201" s="1" t="s">
        <v>4457</v>
      </c>
      <c r="I5201" s="1" t="s">
        <v>80</v>
      </c>
      <c r="K5201" s="1">
        <v>0.0</v>
      </c>
      <c r="L5201" s="1" t="s">
        <v>8868</v>
      </c>
      <c r="M5201" s="1" t="str">
        <f>VLOOKUP(L5201,'Copy of PMD Workday Constants -'!B5200:W5886,22,false)</f>
        <v>#N/A</v>
      </c>
      <c r="N5201" s="1" t="s">
        <v>32</v>
      </c>
      <c r="O5201" s="1" t="s">
        <v>33</v>
      </c>
      <c r="P5201" s="1" t="s">
        <v>222</v>
      </c>
      <c r="Q5201" s="1" t="s">
        <v>222</v>
      </c>
      <c r="R5201" s="1" t="s">
        <v>223</v>
      </c>
      <c r="S5201" s="1" t="s">
        <v>482</v>
      </c>
      <c r="T5201" s="1">
        <v>1.00612509E8</v>
      </c>
      <c r="W5201" s="1" t="s">
        <v>85</v>
      </c>
      <c r="X5201" s="1" t="s">
        <v>12065</v>
      </c>
    </row>
    <row r="5202">
      <c r="A5202" s="1" t="s">
        <v>14487</v>
      </c>
      <c r="B5202" s="1" t="s">
        <v>14488</v>
      </c>
      <c r="C5202" s="1" t="s">
        <v>14489</v>
      </c>
      <c r="D5202" s="1" t="s">
        <v>51</v>
      </c>
      <c r="E5202" s="1" t="s">
        <v>29</v>
      </c>
      <c r="F5202" s="5">
        <v>27000.0</v>
      </c>
      <c r="G5202" s="1" t="s">
        <v>7016</v>
      </c>
      <c r="H5202" s="4">
        <v>43627.0</v>
      </c>
      <c r="I5202" s="1" t="s">
        <v>104</v>
      </c>
      <c r="K5202" s="1">
        <v>0.0</v>
      </c>
      <c r="L5202" s="1" t="s">
        <v>2602</v>
      </c>
      <c r="M5202" s="1" t="str">
        <f>VLOOKUP(L5202,'Copy of PMD Workday Constants -'!B5201:W5887,22,false)</f>
        <v>#N/A</v>
      </c>
      <c r="N5202" s="1" t="s">
        <v>32</v>
      </c>
      <c r="O5202" s="1" t="s">
        <v>33</v>
      </c>
      <c r="P5202" s="1" t="s">
        <v>173</v>
      </c>
      <c r="Q5202" s="1" t="s">
        <v>173</v>
      </c>
      <c r="R5202" s="1" t="s">
        <v>174</v>
      </c>
      <c r="S5202" s="1" t="s">
        <v>383</v>
      </c>
      <c r="T5202" s="1">
        <v>1.00611351E8</v>
      </c>
      <c r="W5202" s="1" t="s">
        <v>1303</v>
      </c>
      <c r="X5202" s="1" t="s">
        <v>2914</v>
      </c>
    </row>
    <row r="5203">
      <c r="A5203" s="1" t="s">
        <v>14490</v>
      </c>
      <c r="B5203" s="1" t="s">
        <v>8930</v>
      </c>
      <c r="C5203" s="1" t="s">
        <v>14491</v>
      </c>
      <c r="D5203" s="1" t="s">
        <v>51</v>
      </c>
      <c r="E5203" s="1" t="s">
        <v>29</v>
      </c>
      <c r="F5203" s="5">
        <v>27000.0</v>
      </c>
      <c r="G5203" s="1" t="s">
        <v>7016</v>
      </c>
      <c r="H5203" s="1" t="s">
        <v>52</v>
      </c>
      <c r="I5203" s="1" t="s">
        <v>80</v>
      </c>
      <c r="K5203" s="1">
        <v>0.0</v>
      </c>
      <c r="L5203" s="1" t="s">
        <v>2507</v>
      </c>
      <c r="M5203" s="1" t="str">
        <f>VLOOKUP(L5203,'Copy of PMD Workday Constants -'!B5202:W5888,22,false)</f>
        <v>#N/A</v>
      </c>
      <c r="N5203" s="1" t="s">
        <v>32</v>
      </c>
      <c r="O5203" s="1" t="s">
        <v>33</v>
      </c>
      <c r="P5203" s="1" t="s">
        <v>222</v>
      </c>
      <c r="Q5203" s="1" t="s">
        <v>222</v>
      </c>
      <c r="R5203" s="1" t="s">
        <v>223</v>
      </c>
      <c r="S5203" s="1" t="s">
        <v>482</v>
      </c>
      <c r="T5203" s="1">
        <v>1.00659458E8</v>
      </c>
      <c r="W5203" s="1" t="s">
        <v>37</v>
      </c>
      <c r="X5203" s="1" t="s">
        <v>817</v>
      </c>
    </row>
    <row r="5204">
      <c r="A5204" s="1" t="s">
        <v>14492</v>
      </c>
      <c r="B5204" s="1" t="s">
        <v>299</v>
      </c>
      <c r="C5204" s="1" t="s">
        <v>14493</v>
      </c>
      <c r="D5204" s="1" t="s">
        <v>103</v>
      </c>
      <c r="E5204" s="1" t="s">
        <v>29</v>
      </c>
      <c r="F5204" s="5">
        <v>26000.0</v>
      </c>
      <c r="G5204" s="1" t="s">
        <v>7016</v>
      </c>
      <c r="H5204" s="4">
        <v>44716.0</v>
      </c>
      <c r="I5204" s="1" t="s">
        <v>96</v>
      </c>
      <c r="K5204" s="1">
        <v>0.0</v>
      </c>
      <c r="L5204" s="1" t="s">
        <v>5650</v>
      </c>
      <c r="M5204" s="1" t="str">
        <f>VLOOKUP(L5204,'Copy of PMD Workday Constants -'!B5203:W5889,22,false)</f>
        <v>#N/A</v>
      </c>
      <c r="N5204" s="1" t="s">
        <v>32</v>
      </c>
      <c r="O5204" s="1" t="s">
        <v>33</v>
      </c>
      <c r="P5204" s="1" t="s">
        <v>34</v>
      </c>
      <c r="Q5204" s="1" t="s">
        <v>34</v>
      </c>
      <c r="R5204" s="1" t="s">
        <v>35</v>
      </c>
      <c r="T5204" s="1">
        <v>1.00597272E8</v>
      </c>
      <c r="W5204" s="1" t="s">
        <v>37</v>
      </c>
      <c r="X5204" s="1" t="s">
        <v>14494</v>
      </c>
    </row>
    <row r="5205">
      <c r="A5205" s="1" t="s">
        <v>14495</v>
      </c>
      <c r="B5205" s="1" t="s">
        <v>6414</v>
      </c>
      <c r="C5205" s="1" t="s">
        <v>14496</v>
      </c>
      <c r="D5205" s="1" t="s">
        <v>28</v>
      </c>
      <c r="E5205" s="1" t="s">
        <v>29</v>
      </c>
      <c r="F5205" s="5">
        <v>25080.26</v>
      </c>
      <c r="G5205" s="1" t="s">
        <v>7016</v>
      </c>
      <c r="H5205" s="4">
        <v>44810.0</v>
      </c>
      <c r="I5205" s="1" t="s">
        <v>104</v>
      </c>
      <c r="K5205" s="1">
        <v>0.0</v>
      </c>
      <c r="L5205" s="1" t="s">
        <v>7637</v>
      </c>
      <c r="M5205" s="1" t="str">
        <f>VLOOKUP(L5205,'Copy of PMD Workday Constants -'!B5204:W5890,22,false)</f>
        <v>#N/A</v>
      </c>
      <c r="N5205" s="1" t="s">
        <v>32</v>
      </c>
      <c r="O5205" s="1" t="s">
        <v>33</v>
      </c>
      <c r="P5205" s="1" t="s">
        <v>5253</v>
      </c>
      <c r="Q5205" s="1" t="s">
        <v>5253</v>
      </c>
      <c r="R5205" s="1" t="s">
        <v>35</v>
      </c>
      <c r="T5205" s="1">
        <v>1.00613849E8</v>
      </c>
      <c r="W5205" s="1" t="s">
        <v>56</v>
      </c>
      <c r="X5205" s="1" t="s">
        <v>7638</v>
      </c>
    </row>
    <row r="5206">
      <c r="A5206" s="1" t="s">
        <v>14497</v>
      </c>
      <c r="B5206" s="1" t="s">
        <v>14498</v>
      </c>
      <c r="C5206" s="1" t="s">
        <v>14499</v>
      </c>
      <c r="D5206" s="1" t="s">
        <v>103</v>
      </c>
      <c r="E5206" s="1" t="s">
        <v>29</v>
      </c>
      <c r="F5206" s="5">
        <v>25000.0</v>
      </c>
      <c r="G5206" s="1" t="s">
        <v>7016</v>
      </c>
      <c r="H5206" s="4">
        <v>44716.0</v>
      </c>
      <c r="I5206" s="1" t="s">
        <v>301</v>
      </c>
      <c r="K5206" s="1">
        <v>0.0</v>
      </c>
      <c r="L5206" s="1" t="s">
        <v>5558</v>
      </c>
      <c r="M5206" s="1" t="str">
        <f>VLOOKUP(L5206,'Copy of PMD Workday Constants -'!B5205:W5891,22,false)</f>
        <v>#N/A</v>
      </c>
      <c r="N5206" s="1" t="s">
        <v>32</v>
      </c>
      <c r="O5206" s="1" t="s">
        <v>33</v>
      </c>
      <c r="P5206" s="1" t="s">
        <v>222</v>
      </c>
      <c r="Q5206" s="1" t="s">
        <v>222</v>
      </c>
      <c r="R5206" s="1" t="s">
        <v>223</v>
      </c>
      <c r="S5206" s="1" t="s">
        <v>482</v>
      </c>
      <c r="T5206" s="1">
        <v>1.00652479E8</v>
      </c>
      <c r="W5206" s="1" t="s">
        <v>91</v>
      </c>
      <c r="X5206" s="1" t="s">
        <v>10875</v>
      </c>
    </row>
    <row r="5207">
      <c r="A5207" s="1" t="s">
        <v>14500</v>
      </c>
      <c r="B5207" s="1" t="s">
        <v>1685</v>
      </c>
      <c r="C5207" s="1" t="s">
        <v>14501</v>
      </c>
      <c r="D5207" s="1" t="s">
        <v>28</v>
      </c>
      <c r="E5207" s="1" t="s">
        <v>29</v>
      </c>
      <c r="F5207" s="5">
        <v>25000.0</v>
      </c>
      <c r="G5207" s="1" t="s">
        <v>7016</v>
      </c>
      <c r="H5207" s="4">
        <v>44840.0</v>
      </c>
      <c r="I5207" s="1" t="s">
        <v>248</v>
      </c>
      <c r="K5207" s="1">
        <v>0.0</v>
      </c>
      <c r="L5207" s="1" t="s">
        <v>4052</v>
      </c>
      <c r="M5207" s="1" t="str">
        <f>VLOOKUP(L5207,'Copy of PMD Workday Constants -'!B5206:W5892,22,false)</f>
        <v>#N/A</v>
      </c>
      <c r="N5207" s="1" t="s">
        <v>32</v>
      </c>
      <c r="O5207" s="1" t="s">
        <v>33</v>
      </c>
      <c r="P5207" s="1" t="s">
        <v>112</v>
      </c>
      <c r="Q5207" s="1" t="s">
        <v>112</v>
      </c>
      <c r="R5207" s="1" t="s">
        <v>113</v>
      </c>
      <c r="T5207" s="1">
        <v>1.00649997E8</v>
      </c>
      <c r="W5207" s="1" t="s">
        <v>147</v>
      </c>
      <c r="X5207" s="1" t="s">
        <v>4052</v>
      </c>
    </row>
    <row r="5208">
      <c r="A5208" s="1" t="s">
        <v>14502</v>
      </c>
      <c r="B5208" s="1" t="s">
        <v>2263</v>
      </c>
      <c r="C5208" s="1" t="s">
        <v>14503</v>
      </c>
      <c r="D5208" s="1" t="s">
        <v>28</v>
      </c>
      <c r="E5208" s="1" t="s">
        <v>29</v>
      </c>
      <c r="F5208" s="5">
        <v>25000.0</v>
      </c>
      <c r="G5208" s="1" t="s">
        <v>7016</v>
      </c>
      <c r="H5208" s="1" t="s">
        <v>644</v>
      </c>
      <c r="I5208" s="1" t="s">
        <v>132</v>
      </c>
      <c r="K5208" s="1">
        <v>0.0</v>
      </c>
      <c r="L5208" s="1" t="s">
        <v>6578</v>
      </c>
      <c r="M5208" s="1" t="str">
        <f>VLOOKUP(L5208,'Copy of PMD Workday Constants -'!B5207:W5893,22,false)</f>
        <v>#N/A</v>
      </c>
      <c r="N5208" s="1" t="s">
        <v>32</v>
      </c>
      <c r="O5208" s="1" t="s">
        <v>33</v>
      </c>
      <c r="P5208" s="1" t="s">
        <v>222</v>
      </c>
      <c r="Q5208" s="1" t="s">
        <v>222</v>
      </c>
      <c r="R5208" s="1" t="s">
        <v>223</v>
      </c>
      <c r="S5208" s="1" t="s">
        <v>482</v>
      </c>
      <c r="T5208" s="1">
        <v>1.00597339E8</v>
      </c>
      <c r="W5208" s="1" t="s">
        <v>47</v>
      </c>
      <c r="X5208" s="1" t="s">
        <v>6579</v>
      </c>
    </row>
    <row r="5209">
      <c r="A5209" s="1" t="s">
        <v>14504</v>
      </c>
      <c r="B5209" s="1" t="s">
        <v>1144</v>
      </c>
      <c r="C5209" s="1" t="s">
        <v>14505</v>
      </c>
      <c r="D5209" s="1" t="s">
        <v>51</v>
      </c>
      <c r="E5209" s="1" t="s">
        <v>29</v>
      </c>
      <c r="F5209" s="5">
        <v>25000.0</v>
      </c>
      <c r="G5209" s="1" t="s">
        <v>7016</v>
      </c>
      <c r="H5209" s="1" t="s">
        <v>4650</v>
      </c>
      <c r="I5209" s="1" t="s">
        <v>152</v>
      </c>
      <c r="K5209" s="1">
        <v>0.0</v>
      </c>
      <c r="L5209" s="1" t="s">
        <v>2160</v>
      </c>
      <c r="M5209" s="1" t="str">
        <f>VLOOKUP(L5209,'Copy of PMD Workday Constants -'!B5208:W5894,22,false)</f>
        <v>#N/A</v>
      </c>
      <c r="N5209" s="1" t="s">
        <v>32</v>
      </c>
      <c r="O5209" s="1" t="s">
        <v>33</v>
      </c>
      <c r="P5209" s="1" t="s">
        <v>54</v>
      </c>
      <c r="Q5209" s="1" t="s">
        <v>54</v>
      </c>
      <c r="R5209" s="1" t="s">
        <v>55</v>
      </c>
      <c r="T5209" s="1">
        <v>1.00600975E8</v>
      </c>
      <c r="W5209" s="1" t="s">
        <v>37</v>
      </c>
      <c r="X5209" s="1" t="s">
        <v>7550</v>
      </c>
    </row>
    <row r="5210">
      <c r="A5210" s="1" t="s">
        <v>14506</v>
      </c>
      <c r="B5210" s="1" t="s">
        <v>4602</v>
      </c>
      <c r="C5210" s="1" t="s">
        <v>14507</v>
      </c>
      <c r="D5210" s="1" t="s">
        <v>103</v>
      </c>
      <c r="E5210" s="1" t="s">
        <v>29</v>
      </c>
      <c r="F5210" s="5">
        <v>25000.0</v>
      </c>
      <c r="G5210" s="1" t="s">
        <v>7016</v>
      </c>
      <c r="H5210" s="1" t="s">
        <v>1245</v>
      </c>
      <c r="I5210" s="1" t="s">
        <v>1349</v>
      </c>
      <c r="K5210" s="1">
        <v>0.0</v>
      </c>
      <c r="L5210" s="1" t="s">
        <v>639</v>
      </c>
      <c r="M5210" s="1" t="str">
        <f>VLOOKUP(L5210,'Copy of PMD Workday Constants -'!B5209:W5895,22,false)</f>
        <v>#N/A</v>
      </c>
      <c r="N5210" s="1" t="s">
        <v>32</v>
      </c>
      <c r="O5210" s="1" t="s">
        <v>33</v>
      </c>
      <c r="P5210" s="1" t="s">
        <v>222</v>
      </c>
      <c r="Q5210" s="1" t="s">
        <v>222</v>
      </c>
      <c r="R5210" s="1" t="s">
        <v>223</v>
      </c>
      <c r="S5210" s="1" t="s">
        <v>601</v>
      </c>
      <c r="T5210" s="1">
        <v>1.0089503E8</v>
      </c>
      <c r="W5210" s="1" t="s">
        <v>577</v>
      </c>
      <c r="X5210" s="1" t="s">
        <v>8312</v>
      </c>
    </row>
    <row r="5211">
      <c r="A5211" s="1" t="s">
        <v>14508</v>
      </c>
      <c r="B5211" s="1" t="s">
        <v>14509</v>
      </c>
      <c r="C5211" s="1" t="s">
        <v>14458</v>
      </c>
      <c r="D5211" s="1" t="s">
        <v>51</v>
      </c>
      <c r="E5211" s="1" t="s">
        <v>29</v>
      </c>
      <c r="F5211" s="5">
        <v>25000.0</v>
      </c>
      <c r="G5211" s="1" t="s">
        <v>7016</v>
      </c>
      <c r="H5211" s="4">
        <v>44867.0</v>
      </c>
      <c r="I5211" s="1" t="s">
        <v>865</v>
      </c>
      <c r="K5211" s="1">
        <v>0.0</v>
      </c>
      <c r="L5211" s="1" t="s">
        <v>2013</v>
      </c>
      <c r="M5211" s="1" t="str">
        <f>VLOOKUP(L5211,'Copy of PMD Workday Constants -'!B5210:W5896,22,false)</f>
        <v>#N/A</v>
      </c>
      <c r="N5211" s="1" t="s">
        <v>32</v>
      </c>
      <c r="O5211" s="1" t="s">
        <v>33</v>
      </c>
      <c r="P5211" s="1" t="s">
        <v>222</v>
      </c>
      <c r="Q5211" s="1" t="s">
        <v>222</v>
      </c>
      <c r="R5211" s="1" t="s">
        <v>223</v>
      </c>
      <c r="S5211" s="1" t="s">
        <v>482</v>
      </c>
      <c r="T5211" s="1">
        <v>1.00596618E8</v>
      </c>
      <c r="W5211" s="1" t="s">
        <v>436</v>
      </c>
      <c r="X5211" s="1" t="s">
        <v>12829</v>
      </c>
    </row>
    <row r="5212">
      <c r="A5212" s="1" t="s">
        <v>14510</v>
      </c>
      <c r="B5212" s="1" t="s">
        <v>6344</v>
      </c>
      <c r="C5212" s="1" t="s">
        <v>14511</v>
      </c>
      <c r="D5212" s="1" t="s">
        <v>28</v>
      </c>
      <c r="E5212" s="1" t="s">
        <v>29</v>
      </c>
      <c r="F5212" s="5">
        <v>25000.0</v>
      </c>
      <c r="G5212" s="1" t="s">
        <v>7016</v>
      </c>
      <c r="H5212" s="1" t="s">
        <v>1134</v>
      </c>
      <c r="I5212" s="1" t="s">
        <v>191</v>
      </c>
      <c r="K5212" s="1">
        <v>0.0</v>
      </c>
      <c r="L5212" s="1" t="s">
        <v>7062</v>
      </c>
      <c r="M5212" s="1" t="str">
        <f>VLOOKUP(L5212,'Copy of PMD Workday Constants -'!B5211:W5897,22,false)</f>
        <v>#N/A</v>
      </c>
      <c r="N5212" s="1" t="s">
        <v>32</v>
      </c>
      <c r="O5212" s="1" t="s">
        <v>33</v>
      </c>
      <c r="P5212" s="1" t="s">
        <v>222</v>
      </c>
      <c r="Q5212" s="1" t="s">
        <v>222</v>
      </c>
      <c r="R5212" s="1" t="s">
        <v>223</v>
      </c>
      <c r="S5212" s="1" t="s">
        <v>601</v>
      </c>
      <c r="T5212" s="1">
        <v>1.00614969E8</v>
      </c>
      <c r="W5212" s="1" t="s">
        <v>258</v>
      </c>
      <c r="X5212" s="1" t="s">
        <v>7862</v>
      </c>
    </row>
    <row r="5213">
      <c r="A5213" s="1" t="s">
        <v>14512</v>
      </c>
      <c r="B5213" s="1" t="s">
        <v>14513</v>
      </c>
      <c r="C5213" s="1" t="s">
        <v>14514</v>
      </c>
      <c r="D5213" s="1" t="s">
        <v>28</v>
      </c>
      <c r="E5213" s="1" t="s">
        <v>29</v>
      </c>
      <c r="F5213" s="5">
        <v>25000.0</v>
      </c>
      <c r="G5213" s="1" t="s">
        <v>7016</v>
      </c>
      <c r="H5213" s="1" t="s">
        <v>569</v>
      </c>
      <c r="I5213" s="1" t="s">
        <v>80</v>
      </c>
      <c r="K5213" s="1">
        <v>0.0</v>
      </c>
      <c r="L5213" s="1" t="s">
        <v>1916</v>
      </c>
      <c r="M5213" s="1" t="str">
        <f>VLOOKUP(L5213,'Copy of PMD Workday Constants -'!B5212:W5898,22,false)</f>
        <v>#N/A</v>
      </c>
      <c r="N5213" s="1" t="s">
        <v>32</v>
      </c>
      <c r="O5213" s="1" t="s">
        <v>33</v>
      </c>
      <c r="P5213" s="1" t="s">
        <v>222</v>
      </c>
      <c r="Q5213" s="1" t="s">
        <v>222</v>
      </c>
      <c r="R5213" s="1" t="s">
        <v>223</v>
      </c>
      <c r="S5213" s="1" t="s">
        <v>601</v>
      </c>
      <c r="T5213" s="1">
        <v>1.00955805E8</v>
      </c>
      <c r="W5213" s="1" t="s">
        <v>47</v>
      </c>
      <c r="X5213" s="1" t="s">
        <v>14515</v>
      </c>
    </row>
    <row r="5214">
      <c r="A5214" s="1" t="s">
        <v>14516</v>
      </c>
      <c r="B5214" s="1" t="s">
        <v>14517</v>
      </c>
      <c r="C5214" s="1" t="s">
        <v>14518</v>
      </c>
      <c r="D5214" s="1" t="s">
        <v>28</v>
      </c>
      <c r="E5214" s="1" t="s">
        <v>29</v>
      </c>
      <c r="F5214" s="5">
        <v>25000.0</v>
      </c>
      <c r="G5214" s="1" t="s">
        <v>7016</v>
      </c>
      <c r="H5214" s="4">
        <v>44564.0</v>
      </c>
      <c r="I5214" s="1" t="s">
        <v>80</v>
      </c>
      <c r="K5214" s="1">
        <v>0.0</v>
      </c>
      <c r="L5214" s="1" t="s">
        <v>8193</v>
      </c>
      <c r="M5214" s="1" t="str">
        <f>VLOOKUP(L5214,'Copy of PMD Workday Constants -'!B5213:W5899,22,false)</f>
        <v>#N/A</v>
      </c>
      <c r="N5214" s="1" t="s">
        <v>32</v>
      </c>
      <c r="O5214" s="1" t="s">
        <v>33</v>
      </c>
      <c r="P5214" s="1" t="s">
        <v>222</v>
      </c>
      <c r="Q5214" s="1" t="s">
        <v>222</v>
      </c>
      <c r="R5214" s="1" t="s">
        <v>223</v>
      </c>
      <c r="S5214" s="1" t="s">
        <v>482</v>
      </c>
      <c r="T5214" s="1">
        <v>1.00589357E8</v>
      </c>
      <c r="W5214" s="1" t="s">
        <v>436</v>
      </c>
      <c r="X5214" s="1" t="s">
        <v>8193</v>
      </c>
    </row>
    <row r="5215">
      <c r="A5215" s="1" t="s">
        <v>14519</v>
      </c>
      <c r="B5215" s="1" t="s">
        <v>14520</v>
      </c>
      <c r="C5215" s="1" t="s">
        <v>14521</v>
      </c>
      <c r="D5215" s="1" t="s">
        <v>51</v>
      </c>
      <c r="E5215" s="1" t="s">
        <v>29</v>
      </c>
      <c r="F5215" s="5">
        <v>25000.0</v>
      </c>
      <c r="G5215" s="1" t="s">
        <v>7016</v>
      </c>
      <c r="H5215" s="1" t="s">
        <v>14522</v>
      </c>
      <c r="I5215" s="1" t="s">
        <v>166</v>
      </c>
      <c r="K5215" s="1">
        <v>0.0</v>
      </c>
      <c r="L5215" s="1" t="s">
        <v>8174</v>
      </c>
      <c r="M5215" s="1" t="str">
        <f>VLOOKUP(L5215,'Copy of PMD Workday Constants -'!B5214:W5900,22,false)</f>
        <v>#N/A</v>
      </c>
      <c r="N5215" s="1" t="s">
        <v>32</v>
      </c>
      <c r="O5215" s="1" t="s">
        <v>33</v>
      </c>
      <c r="P5215" s="1" t="s">
        <v>82</v>
      </c>
      <c r="Q5215" s="1" t="s">
        <v>82</v>
      </c>
      <c r="R5215" s="1" t="s">
        <v>83</v>
      </c>
      <c r="S5215" s="1" t="s">
        <v>180</v>
      </c>
      <c r="T5215" s="1">
        <v>1.00609615E8</v>
      </c>
      <c r="W5215" s="1" t="s">
        <v>85</v>
      </c>
      <c r="X5215" s="1" t="s">
        <v>5126</v>
      </c>
    </row>
    <row r="5216">
      <c r="A5216" s="1" t="s">
        <v>14523</v>
      </c>
      <c r="B5216" s="1" t="s">
        <v>2263</v>
      </c>
      <c r="C5216" s="1" t="s">
        <v>14524</v>
      </c>
      <c r="D5216" s="1" t="s">
        <v>51</v>
      </c>
      <c r="E5216" s="1" t="s">
        <v>29</v>
      </c>
      <c r="F5216" s="5">
        <v>25000.0</v>
      </c>
      <c r="G5216" s="1" t="s">
        <v>7016</v>
      </c>
      <c r="H5216" s="4">
        <v>44716.0</v>
      </c>
      <c r="I5216" s="1" t="s">
        <v>80</v>
      </c>
      <c r="K5216" s="1">
        <v>0.0</v>
      </c>
      <c r="L5216" s="1" t="s">
        <v>1916</v>
      </c>
      <c r="M5216" s="1" t="str">
        <f>VLOOKUP(L5216,'Copy of PMD Workday Constants -'!B5215:W5901,22,false)</f>
        <v>#N/A</v>
      </c>
      <c r="N5216" s="1" t="s">
        <v>32</v>
      </c>
      <c r="O5216" s="1" t="s">
        <v>33</v>
      </c>
      <c r="P5216" s="1" t="s">
        <v>222</v>
      </c>
      <c r="Q5216" s="1" t="s">
        <v>222</v>
      </c>
      <c r="R5216" s="1" t="s">
        <v>223</v>
      </c>
      <c r="S5216" s="1" t="s">
        <v>601</v>
      </c>
      <c r="T5216" s="1">
        <v>1.00955805E8</v>
      </c>
      <c r="W5216" s="1" t="s">
        <v>85</v>
      </c>
      <c r="X5216" s="1" t="s">
        <v>11480</v>
      </c>
    </row>
    <row r="5217">
      <c r="A5217" s="1" t="s">
        <v>14525</v>
      </c>
      <c r="B5217" s="1" t="s">
        <v>289</v>
      </c>
      <c r="C5217" s="1" t="s">
        <v>14526</v>
      </c>
      <c r="D5217" s="1" t="s">
        <v>28</v>
      </c>
      <c r="E5217" s="1" t="s">
        <v>29</v>
      </c>
      <c r="F5217" s="5">
        <v>25000.0</v>
      </c>
      <c r="G5217" s="1" t="s">
        <v>7016</v>
      </c>
      <c r="H5217" s="4">
        <v>44839.0</v>
      </c>
      <c r="I5217" s="1" t="s">
        <v>191</v>
      </c>
      <c r="K5217" s="1">
        <v>0.0</v>
      </c>
      <c r="L5217" s="1" t="s">
        <v>461</v>
      </c>
      <c r="M5217" s="1" t="str">
        <f>VLOOKUP(L5217,'Copy of PMD Workday Constants -'!B5216:W5902,22,false)</f>
        <v>#N/A</v>
      </c>
      <c r="N5217" s="1" t="s">
        <v>32</v>
      </c>
      <c r="O5217" s="1" t="s">
        <v>33</v>
      </c>
      <c r="P5217" s="1" t="s">
        <v>210</v>
      </c>
      <c r="Q5217" s="1" t="s">
        <v>210</v>
      </c>
      <c r="R5217" s="1" t="s">
        <v>211</v>
      </c>
      <c r="T5217" s="1">
        <v>1.00652846E8</v>
      </c>
      <c r="W5217" s="1" t="s">
        <v>74</v>
      </c>
      <c r="X5217" s="1" t="s">
        <v>852</v>
      </c>
    </row>
    <row r="5218">
      <c r="A5218" s="1" t="s">
        <v>14527</v>
      </c>
      <c r="B5218" s="1" t="s">
        <v>14528</v>
      </c>
      <c r="C5218" s="1" t="s">
        <v>14529</v>
      </c>
      <c r="D5218" s="1" t="s">
        <v>103</v>
      </c>
      <c r="E5218" s="1" t="s">
        <v>29</v>
      </c>
      <c r="F5218" s="5">
        <v>25000.0</v>
      </c>
      <c r="G5218" s="1" t="s">
        <v>7016</v>
      </c>
      <c r="H5218" s="4">
        <v>43262.0</v>
      </c>
      <c r="I5218" s="1" t="s">
        <v>80</v>
      </c>
      <c r="K5218" s="1">
        <v>0.0</v>
      </c>
      <c r="L5218" s="1" t="s">
        <v>2507</v>
      </c>
      <c r="M5218" s="1" t="str">
        <f>VLOOKUP(L5218,'Copy of PMD Workday Constants -'!B5217:W5903,22,false)</f>
        <v>#N/A</v>
      </c>
      <c r="N5218" s="1" t="s">
        <v>32</v>
      </c>
      <c r="O5218" s="1" t="s">
        <v>33</v>
      </c>
      <c r="P5218" s="1" t="s">
        <v>222</v>
      </c>
      <c r="Q5218" s="1" t="s">
        <v>222</v>
      </c>
      <c r="R5218" s="1" t="s">
        <v>223</v>
      </c>
      <c r="S5218" s="1" t="s">
        <v>482</v>
      </c>
      <c r="T5218" s="1">
        <v>1.00659458E8</v>
      </c>
      <c r="W5218" s="1" t="s">
        <v>436</v>
      </c>
      <c r="X5218" s="1" t="s">
        <v>2507</v>
      </c>
    </row>
    <row r="5219">
      <c r="A5219" s="1" t="s">
        <v>14530</v>
      </c>
      <c r="B5219" s="1" t="s">
        <v>923</v>
      </c>
      <c r="C5219" s="1" t="s">
        <v>14531</v>
      </c>
      <c r="D5219" s="1" t="s">
        <v>28</v>
      </c>
      <c r="E5219" s="1" t="s">
        <v>29</v>
      </c>
      <c r="F5219" s="5">
        <v>25000.0</v>
      </c>
      <c r="G5219" s="1" t="s">
        <v>7016</v>
      </c>
      <c r="H5219" s="4">
        <v>44535.0</v>
      </c>
      <c r="I5219" s="1" t="s">
        <v>5756</v>
      </c>
      <c r="K5219" s="1">
        <v>0.0</v>
      </c>
      <c r="L5219" s="1" t="s">
        <v>3945</v>
      </c>
      <c r="M5219" s="1" t="str">
        <f>VLOOKUP(L5219,'Copy of PMD Workday Constants -'!B5218:W5904,22,false)</f>
        <v>#N/A</v>
      </c>
      <c r="N5219" s="1" t="s">
        <v>32</v>
      </c>
      <c r="O5219" s="1" t="s">
        <v>33</v>
      </c>
      <c r="P5219" s="1" t="s">
        <v>112</v>
      </c>
      <c r="Q5219" s="1" t="s">
        <v>112</v>
      </c>
      <c r="R5219" s="1" t="s">
        <v>113</v>
      </c>
      <c r="T5219" s="1">
        <v>1.00628795E8</v>
      </c>
      <c r="W5219" s="1" t="s">
        <v>308</v>
      </c>
      <c r="X5219" s="1" t="s">
        <v>3945</v>
      </c>
    </row>
    <row r="5220">
      <c r="A5220" s="1" t="s">
        <v>14532</v>
      </c>
      <c r="B5220" s="1" t="s">
        <v>8437</v>
      </c>
      <c r="C5220" s="1" t="s">
        <v>14533</v>
      </c>
      <c r="D5220" s="1" t="s">
        <v>28</v>
      </c>
      <c r="E5220" s="1" t="s">
        <v>29</v>
      </c>
      <c r="F5220" s="5">
        <v>25000.0</v>
      </c>
      <c r="G5220" s="1" t="s">
        <v>7016</v>
      </c>
      <c r="H5220" s="4">
        <v>44776.0</v>
      </c>
      <c r="I5220" s="4">
        <v>44626.0</v>
      </c>
      <c r="K5220" s="1">
        <v>0.0</v>
      </c>
      <c r="L5220" s="1" t="s">
        <v>9390</v>
      </c>
      <c r="M5220" s="1" t="str">
        <f>VLOOKUP(L5220,'Copy of PMD Workday Constants -'!B5219:W5905,22,false)</f>
        <v>#N/A</v>
      </c>
      <c r="N5220" s="1" t="s">
        <v>32</v>
      </c>
      <c r="O5220" s="1" t="s">
        <v>33</v>
      </c>
      <c r="P5220" s="1" t="s">
        <v>64</v>
      </c>
      <c r="Q5220" s="1" t="s">
        <v>64</v>
      </c>
      <c r="R5220" s="1" t="s">
        <v>65</v>
      </c>
      <c r="S5220" s="1" t="s">
        <v>1336</v>
      </c>
      <c r="T5220" s="1">
        <v>1.01148689E8</v>
      </c>
      <c r="W5220" s="1" t="s">
        <v>147</v>
      </c>
      <c r="X5220" s="1" t="s">
        <v>9390</v>
      </c>
    </row>
    <row r="5221">
      <c r="A5221" s="1" t="s">
        <v>14534</v>
      </c>
      <c r="B5221" s="1" t="s">
        <v>403</v>
      </c>
      <c r="C5221" s="1" t="s">
        <v>14535</v>
      </c>
      <c r="D5221" s="1" t="s">
        <v>28</v>
      </c>
      <c r="E5221" s="1" t="s">
        <v>29</v>
      </c>
      <c r="F5221" s="5">
        <v>25000.0</v>
      </c>
      <c r="G5221" s="1" t="s">
        <v>7016</v>
      </c>
      <c r="H5221" s="1" t="s">
        <v>14536</v>
      </c>
      <c r="I5221" s="1" t="s">
        <v>80</v>
      </c>
      <c r="K5221" s="1">
        <v>0.0</v>
      </c>
      <c r="L5221" s="1" t="s">
        <v>6578</v>
      </c>
      <c r="M5221" s="1" t="str">
        <f>VLOOKUP(L5221,'Copy of PMD Workday Constants -'!B5220:W5906,22,false)</f>
        <v>#N/A</v>
      </c>
      <c r="N5221" s="1" t="s">
        <v>32</v>
      </c>
      <c r="O5221" s="1" t="s">
        <v>33</v>
      </c>
      <c r="P5221" s="1" t="s">
        <v>222</v>
      </c>
      <c r="Q5221" s="1" t="s">
        <v>222</v>
      </c>
      <c r="R5221" s="1" t="s">
        <v>223</v>
      </c>
      <c r="S5221" s="1" t="s">
        <v>482</v>
      </c>
      <c r="T5221" s="1">
        <v>1.00597339E8</v>
      </c>
      <c r="W5221" s="1" t="s">
        <v>37</v>
      </c>
      <c r="X5221" s="1" t="s">
        <v>6579</v>
      </c>
    </row>
    <row r="5222">
      <c r="A5222" s="1" t="s">
        <v>14537</v>
      </c>
      <c r="B5222" s="1" t="s">
        <v>1596</v>
      </c>
      <c r="C5222" s="1" t="s">
        <v>14538</v>
      </c>
      <c r="D5222" s="1" t="s">
        <v>51</v>
      </c>
      <c r="E5222" s="1" t="s">
        <v>29</v>
      </c>
      <c r="F5222" s="5">
        <v>25000.0</v>
      </c>
      <c r="G5222" s="1" t="s">
        <v>7016</v>
      </c>
      <c r="H5222" s="1" t="s">
        <v>14539</v>
      </c>
      <c r="I5222" s="4">
        <v>44569.0</v>
      </c>
      <c r="K5222" s="1">
        <v>0.0</v>
      </c>
      <c r="L5222" s="1" t="s">
        <v>999</v>
      </c>
      <c r="M5222" s="1" t="str">
        <f>VLOOKUP(L5222,'Copy of PMD Workday Constants -'!B5221:W5907,22,false)</f>
        <v>#N/A</v>
      </c>
      <c r="N5222" s="1" t="s">
        <v>32</v>
      </c>
      <c r="O5222" s="1" t="s">
        <v>33</v>
      </c>
      <c r="P5222" s="1" t="s">
        <v>112</v>
      </c>
      <c r="Q5222" s="1" t="s">
        <v>112</v>
      </c>
      <c r="R5222" s="1" t="s">
        <v>113</v>
      </c>
      <c r="S5222" s="1" t="s">
        <v>14540</v>
      </c>
      <c r="T5222" s="1">
        <v>1.00623453E8</v>
      </c>
      <c r="W5222" s="1" t="s">
        <v>391</v>
      </c>
      <c r="X5222" s="1" t="s">
        <v>2660</v>
      </c>
    </row>
    <row r="5223">
      <c r="A5223" s="1" t="s">
        <v>14541</v>
      </c>
      <c r="B5223" s="1" t="s">
        <v>14542</v>
      </c>
      <c r="C5223" s="1" t="s">
        <v>14543</v>
      </c>
      <c r="D5223" s="1" t="s">
        <v>51</v>
      </c>
      <c r="E5223" s="1" t="s">
        <v>29</v>
      </c>
      <c r="F5223" s="5">
        <v>25000.0</v>
      </c>
      <c r="G5223" s="1" t="s">
        <v>7016</v>
      </c>
      <c r="H5223" s="4">
        <v>44420.0</v>
      </c>
      <c r="I5223" s="1" t="s">
        <v>104</v>
      </c>
      <c r="K5223" s="1">
        <v>0.0</v>
      </c>
      <c r="L5223" s="1" t="s">
        <v>198</v>
      </c>
      <c r="M5223" s="1" t="str">
        <f>VLOOKUP(L5223,'Copy of PMD Workday Constants -'!B5222:W5908,22,false)</f>
        <v>#N/A</v>
      </c>
      <c r="N5223" s="1" t="s">
        <v>32</v>
      </c>
      <c r="O5223" s="1" t="s">
        <v>33</v>
      </c>
      <c r="P5223" s="1" t="s">
        <v>82</v>
      </c>
      <c r="Q5223" s="1" t="s">
        <v>82</v>
      </c>
      <c r="R5223" s="1" t="s">
        <v>83</v>
      </c>
      <c r="S5223" s="1" t="s">
        <v>180</v>
      </c>
      <c r="T5223" s="1">
        <v>1.00590896E8</v>
      </c>
      <c r="W5223" s="1" t="s">
        <v>85</v>
      </c>
      <c r="X5223" s="1" t="s">
        <v>3087</v>
      </c>
    </row>
    <row r="5224">
      <c r="A5224" s="1" t="s">
        <v>14544</v>
      </c>
      <c r="B5224" s="1" t="s">
        <v>14545</v>
      </c>
      <c r="C5224" s="1" t="s">
        <v>14546</v>
      </c>
      <c r="D5224" s="1" t="s">
        <v>28</v>
      </c>
      <c r="E5224" s="1" t="s">
        <v>29</v>
      </c>
      <c r="F5224" s="5">
        <v>25000.0</v>
      </c>
      <c r="G5224" s="1" t="s">
        <v>7016</v>
      </c>
      <c r="H5224" s="1" t="s">
        <v>7526</v>
      </c>
      <c r="I5224" s="1" t="s">
        <v>302</v>
      </c>
      <c r="K5224" s="1">
        <v>0.0</v>
      </c>
      <c r="L5224" s="1" t="s">
        <v>2771</v>
      </c>
      <c r="M5224" s="1" t="str">
        <f>VLOOKUP(L5224,'Copy of PMD Workday Constants -'!B5223:W5909,22,false)</f>
        <v>#N/A</v>
      </c>
      <c r="N5224" s="1" t="s">
        <v>32</v>
      </c>
      <c r="O5224" s="1" t="s">
        <v>33</v>
      </c>
      <c r="P5224" s="1" t="s">
        <v>222</v>
      </c>
      <c r="Q5224" s="1" t="s">
        <v>222</v>
      </c>
      <c r="R5224" s="1" t="s">
        <v>223</v>
      </c>
      <c r="S5224" s="1" t="s">
        <v>601</v>
      </c>
      <c r="T5224" s="1">
        <v>1.00641939E8</v>
      </c>
      <c r="W5224" s="1" t="s">
        <v>91</v>
      </c>
      <c r="X5224" s="1" t="s">
        <v>1511</v>
      </c>
    </row>
    <row r="5225">
      <c r="A5225" s="1" t="s">
        <v>14547</v>
      </c>
      <c r="B5225" s="1" t="s">
        <v>13821</v>
      </c>
      <c r="C5225" s="1" t="s">
        <v>14548</v>
      </c>
      <c r="D5225" s="1" t="s">
        <v>28</v>
      </c>
      <c r="E5225" s="1" t="s">
        <v>29</v>
      </c>
      <c r="F5225" s="5">
        <v>25000.0</v>
      </c>
      <c r="G5225" s="1" t="s">
        <v>7016</v>
      </c>
      <c r="H5225" s="1" t="s">
        <v>3083</v>
      </c>
      <c r="I5225" s="4">
        <v>44568.0</v>
      </c>
      <c r="K5225" s="1">
        <v>0.0</v>
      </c>
      <c r="L5225" s="1" t="s">
        <v>350</v>
      </c>
      <c r="M5225" s="1" t="str">
        <f>VLOOKUP(L5225,'Copy of PMD Workday Constants -'!B5224:W5910,22,false)</f>
        <v>#N/A</v>
      </c>
      <c r="N5225" s="1" t="s">
        <v>32</v>
      </c>
      <c r="O5225" s="1" t="s">
        <v>33</v>
      </c>
      <c r="P5225" s="1" t="s">
        <v>82</v>
      </c>
      <c r="Q5225" s="1" t="s">
        <v>82</v>
      </c>
      <c r="R5225" s="1" t="s">
        <v>83</v>
      </c>
      <c r="S5225" s="1" t="s">
        <v>180</v>
      </c>
      <c r="T5225" s="1">
        <v>1.00582847E8</v>
      </c>
      <c r="W5225" s="1" t="s">
        <v>85</v>
      </c>
      <c r="X5225" s="1" t="s">
        <v>350</v>
      </c>
    </row>
    <row r="5226">
      <c r="A5226" s="1" t="s">
        <v>14549</v>
      </c>
      <c r="B5226" s="1" t="s">
        <v>12284</v>
      </c>
      <c r="C5226" s="1" t="s">
        <v>14550</v>
      </c>
      <c r="D5226" s="1" t="s">
        <v>28</v>
      </c>
      <c r="E5226" s="1" t="s">
        <v>29</v>
      </c>
      <c r="F5226" s="5">
        <v>25000.0</v>
      </c>
      <c r="G5226" s="1" t="s">
        <v>7016</v>
      </c>
      <c r="H5226" s="1" t="s">
        <v>3083</v>
      </c>
      <c r="I5226" s="4">
        <v>44568.0</v>
      </c>
      <c r="K5226" s="1">
        <v>0.0</v>
      </c>
      <c r="L5226" s="1" t="s">
        <v>350</v>
      </c>
      <c r="M5226" s="1" t="str">
        <f>VLOOKUP(L5226,'Copy of PMD Workday Constants -'!B5225:W5911,22,false)</f>
        <v>#N/A</v>
      </c>
      <c r="N5226" s="1" t="s">
        <v>32</v>
      </c>
      <c r="O5226" s="1" t="s">
        <v>33</v>
      </c>
      <c r="P5226" s="1" t="s">
        <v>82</v>
      </c>
      <c r="Q5226" s="1" t="s">
        <v>82</v>
      </c>
      <c r="R5226" s="1" t="s">
        <v>83</v>
      </c>
      <c r="S5226" s="1" t="s">
        <v>180</v>
      </c>
      <c r="T5226" s="1">
        <v>1.00582847E8</v>
      </c>
      <c r="W5226" s="1" t="s">
        <v>85</v>
      </c>
      <c r="X5226" s="1" t="s">
        <v>350</v>
      </c>
    </row>
    <row r="5227">
      <c r="A5227" s="1" t="s">
        <v>14551</v>
      </c>
      <c r="B5227" s="1" t="s">
        <v>4539</v>
      </c>
      <c r="C5227" s="1" t="s">
        <v>14552</v>
      </c>
      <c r="D5227" s="1" t="s">
        <v>51</v>
      </c>
      <c r="E5227" s="1" t="s">
        <v>29</v>
      </c>
      <c r="F5227" s="5">
        <v>25000.0</v>
      </c>
      <c r="G5227" s="1" t="s">
        <v>7016</v>
      </c>
      <c r="H5227" s="1" t="s">
        <v>7496</v>
      </c>
      <c r="I5227" s="4">
        <v>44659.0</v>
      </c>
      <c r="K5227" s="1">
        <v>0.0</v>
      </c>
      <c r="L5227" s="1" t="s">
        <v>2042</v>
      </c>
      <c r="M5227" s="1" t="str">
        <f>VLOOKUP(L5227,'Copy of PMD Workday Constants -'!B5226:W5912,22,false)</f>
        <v>#N/A</v>
      </c>
      <c r="N5227" s="1" t="s">
        <v>32</v>
      </c>
      <c r="O5227" s="1" t="s">
        <v>33</v>
      </c>
      <c r="P5227" s="1" t="s">
        <v>34</v>
      </c>
      <c r="Q5227" s="1" t="s">
        <v>34</v>
      </c>
      <c r="R5227" s="1" t="s">
        <v>35</v>
      </c>
      <c r="S5227" s="1" t="s">
        <v>185</v>
      </c>
      <c r="T5227" s="1">
        <v>1.00611284E8</v>
      </c>
      <c r="W5227" s="1" t="s">
        <v>436</v>
      </c>
      <c r="X5227" s="1" t="s">
        <v>4542</v>
      </c>
    </row>
    <row r="5228">
      <c r="A5228" s="1" t="s">
        <v>14553</v>
      </c>
      <c r="B5228" s="1" t="s">
        <v>14554</v>
      </c>
      <c r="C5228" s="1" t="s">
        <v>14555</v>
      </c>
      <c r="D5228" s="1" t="s">
        <v>28</v>
      </c>
      <c r="E5228" s="1" t="s">
        <v>29</v>
      </c>
      <c r="F5228" s="5">
        <v>25000.0</v>
      </c>
      <c r="G5228" s="1" t="s">
        <v>7016</v>
      </c>
      <c r="H5228" s="1" t="s">
        <v>8552</v>
      </c>
      <c r="I5228" s="1" t="s">
        <v>421</v>
      </c>
      <c r="K5228" s="1">
        <v>0.0</v>
      </c>
      <c r="L5228" s="1" t="s">
        <v>1510</v>
      </c>
      <c r="M5228" s="1" t="str">
        <f>VLOOKUP(L5228,'Copy of PMD Workday Constants -'!B5227:W5913,22,false)</f>
        <v>#N/A</v>
      </c>
      <c r="N5228" s="1" t="s">
        <v>32</v>
      </c>
      <c r="O5228" s="1" t="s">
        <v>33</v>
      </c>
      <c r="P5228" s="1" t="s">
        <v>222</v>
      </c>
      <c r="Q5228" s="1" t="s">
        <v>222</v>
      </c>
      <c r="R5228" s="1" t="s">
        <v>223</v>
      </c>
      <c r="S5228" s="1" t="s">
        <v>601</v>
      </c>
      <c r="T5228" s="1">
        <v>1.00711752E8</v>
      </c>
      <c r="W5228" s="1" t="s">
        <v>391</v>
      </c>
      <c r="X5228" s="1" t="s">
        <v>1510</v>
      </c>
    </row>
    <row r="5229">
      <c r="A5229" s="1" t="s">
        <v>14556</v>
      </c>
      <c r="B5229" s="1" t="s">
        <v>5942</v>
      </c>
      <c r="C5229" s="1" t="s">
        <v>14557</v>
      </c>
      <c r="D5229" s="1" t="s">
        <v>51</v>
      </c>
      <c r="E5229" s="1" t="s">
        <v>29</v>
      </c>
      <c r="F5229" s="5">
        <v>25000.0</v>
      </c>
      <c r="G5229" s="1" t="s">
        <v>7016</v>
      </c>
      <c r="H5229" s="1" t="s">
        <v>2142</v>
      </c>
      <c r="I5229" s="1" t="s">
        <v>104</v>
      </c>
      <c r="K5229" s="1">
        <v>0.0</v>
      </c>
      <c r="L5229" s="1" t="s">
        <v>491</v>
      </c>
      <c r="M5229" s="1" t="str">
        <f>VLOOKUP(L5229,'Copy of PMD Workday Constants -'!B5228:W5914,22,false)</f>
        <v>#N/A</v>
      </c>
      <c r="N5229" s="1" t="s">
        <v>32</v>
      </c>
      <c r="O5229" s="1" t="s">
        <v>33</v>
      </c>
      <c r="P5229" s="1" t="s">
        <v>112</v>
      </c>
      <c r="Q5229" s="1" t="s">
        <v>112</v>
      </c>
      <c r="R5229" s="1" t="s">
        <v>113</v>
      </c>
      <c r="S5229" s="1" t="s">
        <v>492</v>
      </c>
      <c r="T5229" s="1">
        <v>1.00623914E8</v>
      </c>
      <c r="W5229" s="1" t="s">
        <v>115</v>
      </c>
      <c r="X5229" s="1" t="s">
        <v>5411</v>
      </c>
    </row>
    <row r="5230">
      <c r="A5230" s="1" t="s">
        <v>14558</v>
      </c>
      <c r="B5230" s="1" t="s">
        <v>10817</v>
      </c>
      <c r="C5230" s="1" t="s">
        <v>14559</v>
      </c>
      <c r="D5230" s="1" t="s">
        <v>103</v>
      </c>
      <c r="E5230" s="1" t="s">
        <v>29</v>
      </c>
      <c r="F5230" s="5">
        <v>25000.0</v>
      </c>
      <c r="G5230" s="1" t="s">
        <v>7016</v>
      </c>
      <c r="H5230" s="1" t="s">
        <v>434</v>
      </c>
      <c r="I5230" s="1" t="s">
        <v>80</v>
      </c>
      <c r="K5230" s="1">
        <v>0.0</v>
      </c>
      <c r="L5230" s="1" t="s">
        <v>3137</v>
      </c>
      <c r="M5230" s="1" t="str">
        <f>VLOOKUP(L5230,'Copy of PMD Workday Constants -'!B5229:W5915,22,false)</f>
        <v>#N/A</v>
      </c>
      <c r="N5230" s="1" t="s">
        <v>32</v>
      </c>
      <c r="O5230" s="1" t="s">
        <v>33</v>
      </c>
      <c r="P5230" s="1" t="s">
        <v>82</v>
      </c>
      <c r="Q5230" s="1" t="s">
        <v>82</v>
      </c>
      <c r="R5230" s="1" t="s">
        <v>83</v>
      </c>
      <c r="S5230" s="1" t="s">
        <v>180</v>
      </c>
      <c r="T5230" s="1">
        <v>1.00586452E8</v>
      </c>
      <c r="W5230" s="1" t="s">
        <v>85</v>
      </c>
      <c r="X5230" s="1" t="s">
        <v>12276</v>
      </c>
    </row>
    <row r="5231">
      <c r="A5231" s="1" t="s">
        <v>14560</v>
      </c>
      <c r="B5231" s="1" t="s">
        <v>14561</v>
      </c>
      <c r="C5231" s="1" t="s">
        <v>14562</v>
      </c>
      <c r="D5231" s="1" t="s">
        <v>51</v>
      </c>
      <c r="E5231" s="1" t="s">
        <v>29</v>
      </c>
      <c r="F5231" s="5">
        <v>25000.0</v>
      </c>
      <c r="G5231" s="1" t="s">
        <v>7016</v>
      </c>
      <c r="H5231" s="4">
        <v>43959.0</v>
      </c>
      <c r="I5231" s="1" t="s">
        <v>302</v>
      </c>
      <c r="K5231" s="1">
        <v>0.0</v>
      </c>
      <c r="L5231" s="1" t="s">
        <v>8174</v>
      </c>
      <c r="M5231" s="1" t="str">
        <f>VLOOKUP(L5231,'Copy of PMD Workday Constants -'!B5230:W5916,22,false)</f>
        <v>#N/A</v>
      </c>
      <c r="N5231" s="1" t="s">
        <v>32</v>
      </c>
      <c r="O5231" s="1" t="s">
        <v>33</v>
      </c>
      <c r="P5231" s="1" t="s">
        <v>82</v>
      </c>
      <c r="Q5231" s="1" t="s">
        <v>82</v>
      </c>
      <c r="R5231" s="1" t="s">
        <v>83</v>
      </c>
      <c r="S5231" s="1" t="s">
        <v>180</v>
      </c>
      <c r="T5231" s="1">
        <v>1.00609615E8</v>
      </c>
      <c r="W5231" s="1" t="s">
        <v>85</v>
      </c>
      <c r="X5231" s="1" t="s">
        <v>5126</v>
      </c>
    </row>
    <row r="5232">
      <c r="A5232" s="1" t="s">
        <v>14563</v>
      </c>
      <c r="B5232" s="1" t="s">
        <v>772</v>
      </c>
      <c r="C5232" s="1" t="s">
        <v>14564</v>
      </c>
      <c r="D5232" s="1" t="s">
        <v>28</v>
      </c>
      <c r="E5232" s="1" t="s">
        <v>29</v>
      </c>
      <c r="F5232" s="5">
        <v>25000.0</v>
      </c>
      <c r="G5232" s="1" t="s">
        <v>7016</v>
      </c>
      <c r="H5232" s="1" t="s">
        <v>2348</v>
      </c>
      <c r="I5232" s="1" t="s">
        <v>302</v>
      </c>
      <c r="K5232" s="1">
        <v>0.0</v>
      </c>
      <c r="L5232" s="1" t="s">
        <v>1324</v>
      </c>
      <c r="M5232" s="1" t="str">
        <f>VLOOKUP(L5232,'Copy of PMD Workday Constants -'!B5231:W5917,22,false)</f>
        <v>#N/A</v>
      </c>
      <c r="N5232" s="1" t="s">
        <v>32</v>
      </c>
      <c r="O5232" s="1" t="s">
        <v>33</v>
      </c>
      <c r="P5232" s="1" t="s">
        <v>34</v>
      </c>
      <c r="Q5232" s="1" t="s">
        <v>34</v>
      </c>
      <c r="R5232" s="1" t="s">
        <v>35</v>
      </c>
      <c r="T5232" s="1">
        <v>1.00613915E8</v>
      </c>
      <c r="W5232" s="1" t="s">
        <v>37</v>
      </c>
      <c r="X5232" s="1" t="s">
        <v>1511</v>
      </c>
    </row>
    <row r="5233">
      <c r="A5233" s="1" t="s">
        <v>14565</v>
      </c>
      <c r="B5233" s="1" t="s">
        <v>637</v>
      </c>
      <c r="C5233" s="1" t="s">
        <v>14566</v>
      </c>
      <c r="D5233" s="1" t="s">
        <v>28</v>
      </c>
      <c r="E5233" s="1" t="s">
        <v>29</v>
      </c>
      <c r="F5233" s="5">
        <v>25000.0</v>
      </c>
      <c r="G5233" s="1" t="s">
        <v>7016</v>
      </c>
      <c r="H5233" s="1" t="s">
        <v>1005</v>
      </c>
      <c r="I5233" s="1" t="s">
        <v>80</v>
      </c>
      <c r="K5233" s="1">
        <v>0.0</v>
      </c>
      <c r="L5233" s="1" t="s">
        <v>4924</v>
      </c>
      <c r="M5233" s="1" t="str">
        <f>VLOOKUP(L5233,'Copy of PMD Workday Constants -'!B5232:W5918,22,false)</f>
        <v>#N/A</v>
      </c>
      <c r="N5233" s="1" t="s">
        <v>32</v>
      </c>
      <c r="O5233" s="1" t="s">
        <v>33</v>
      </c>
      <c r="P5233" s="1" t="s">
        <v>210</v>
      </c>
      <c r="Q5233" s="1" t="s">
        <v>210</v>
      </c>
      <c r="R5233" s="1" t="s">
        <v>211</v>
      </c>
      <c r="S5233" s="1" t="s">
        <v>212</v>
      </c>
      <c r="T5233" s="1">
        <v>1.00634482E8</v>
      </c>
      <c r="W5233" s="1" t="s">
        <v>56</v>
      </c>
      <c r="X5233" s="1" t="s">
        <v>10615</v>
      </c>
    </row>
    <row r="5234">
      <c r="A5234" s="1" t="s">
        <v>14567</v>
      </c>
      <c r="B5234" s="1" t="s">
        <v>14411</v>
      </c>
      <c r="C5234" s="1" t="s">
        <v>14568</v>
      </c>
      <c r="D5234" s="1" t="s">
        <v>51</v>
      </c>
      <c r="E5234" s="1" t="s">
        <v>29</v>
      </c>
      <c r="F5234" s="5">
        <v>25000.0</v>
      </c>
      <c r="G5234" s="1" t="s">
        <v>7016</v>
      </c>
      <c r="H5234" s="4">
        <v>44867.0</v>
      </c>
      <c r="I5234" s="1" t="s">
        <v>14569</v>
      </c>
      <c r="K5234" s="1">
        <v>0.0</v>
      </c>
      <c r="L5234" s="1" t="s">
        <v>3408</v>
      </c>
      <c r="M5234" s="1" t="str">
        <f>VLOOKUP(L5234,'Copy of PMD Workday Constants -'!B5233:W5919,22,false)</f>
        <v>#N/A</v>
      </c>
      <c r="N5234" s="1" t="s">
        <v>32</v>
      </c>
      <c r="O5234" s="1" t="s">
        <v>33</v>
      </c>
      <c r="P5234" s="1" t="s">
        <v>222</v>
      </c>
      <c r="Q5234" s="1" t="s">
        <v>222</v>
      </c>
      <c r="R5234" s="1" t="s">
        <v>223</v>
      </c>
      <c r="S5234" s="1" t="s">
        <v>482</v>
      </c>
      <c r="T5234" s="1">
        <v>1.0066189E8</v>
      </c>
      <c r="W5234" s="1" t="s">
        <v>140</v>
      </c>
      <c r="X5234" s="1" t="s">
        <v>14570</v>
      </c>
    </row>
    <row r="5235">
      <c r="A5235" s="1" t="s">
        <v>14571</v>
      </c>
      <c r="B5235" s="1" t="s">
        <v>954</v>
      </c>
      <c r="C5235" s="1" t="s">
        <v>14572</v>
      </c>
      <c r="D5235" s="1" t="s">
        <v>28</v>
      </c>
      <c r="E5235" s="1" t="s">
        <v>29</v>
      </c>
      <c r="F5235" s="5">
        <v>25000.0</v>
      </c>
      <c r="G5235" s="1" t="s">
        <v>7016</v>
      </c>
      <c r="H5235" s="4">
        <v>44776.0</v>
      </c>
      <c r="I5235" s="4">
        <v>44567.0</v>
      </c>
      <c r="J5235" s="6">
        <v>44776.847916666666</v>
      </c>
      <c r="K5235" s="1">
        <v>0.0</v>
      </c>
      <c r="L5235" s="1" t="s">
        <v>9390</v>
      </c>
      <c r="M5235" s="1" t="str">
        <f>VLOOKUP(L5235,'Copy of PMD Workday Constants -'!B5234:W5920,22,false)</f>
        <v>#N/A</v>
      </c>
      <c r="N5235" s="1" t="s">
        <v>32</v>
      </c>
      <c r="O5235" s="1" t="s">
        <v>33</v>
      </c>
      <c r="P5235" s="1" t="s">
        <v>64</v>
      </c>
      <c r="Q5235" s="1" t="s">
        <v>64</v>
      </c>
      <c r="R5235" s="1" t="s">
        <v>65</v>
      </c>
      <c r="S5235" s="1" t="s">
        <v>1336</v>
      </c>
      <c r="T5235" s="1">
        <v>1.01148689E8</v>
      </c>
      <c r="W5235" s="1" t="s">
        <v>147</v>
      </c>
      <c r="X5235" s="1" t="s">
        <v>1337</v>
      </c>
    </row>
    <row r="5236">
      <c r="A5236" s="1" t="s">
        <v>14573</v>
      </c>
      <c r="B5236" s="1" t="s">
        <v>14574</v>
      </c>
      <c r="C5236" s="1" t="s">
        <v>14575</v>
      </c>
      <c r="D5236" s="1" t="s">
        <v>28</v>
      </c>
      <c r="E5236" s="1" t="s">
        <v>29</v>
      </c>
      <c r="F5236" s="5">
        <v>25000.0</v>
      </c>
      <c r="G5236" s="1" t="s">
        <v>7016</v>
      </c>
      <c r="H5236" s="4">
        <v>44684.0</v>
      </c>
      <c r="I5236" s="1" t="s">
        <v>43</v>
      </c>
      <c r="K5236" s="1">
        <v>0.0</v>
      </c>
      <c r="L5236" s="1" t="s">
        <v>6150</v>
      </c>
      <c r="M5236" s="1" t="str">
        <f>VLOOKUP(L5236,'Copy of PMD Workday Constants -'!B5235:W5921,22,false)</f>
        <v>#N/A</v>
      </c>
      <c r="N5236" s="1" t="s">
        <v>32</v>
      </c>
      <c r="O5236" s="1" t="s">
        <v>33</v>
      </c>
      <c r="P5236" s="1" t="s">
        <v>64</v>
      </c>
      <c r="Q5236" s="1" t="s">
        <v>64</v>
      </c>
      <c r="R5236" s="1" t="s">
        <v>65</v>
      </c>
      <c r="S5236" s="1" t="s">
        <v>1336</v>
      </c>
      <c r="T5236" s="1">
        <v>1.01204051E8</v>
      </c>
      <c r="W5236" s="1" t="s">
        <v>140</v>
      </c>
      <c r="X5236" s="1" t="s">
        <v>14576</v>
      </c>
    </row>
    <row r="5237">
      <c r="A5237" s="1" t="s">
        <v>14577</v>
      </c>
      <c r="B5237" s="1" t="s">
        <v>14574</v>
      </c>
      <c r="C5237" s="1" t="s">
        <v>14578</v>
      </c>
      <c r="D5237" s="1" t="s">
        <v>28</v>
      </c>
      <c r="E5237" s="1" t="s">
        <v>29</v>
      </c>
      <c r="F5237" s="5">
        <v>25000.0</v>
      </c>
      <c r="G5237" s="1" t="s">
        <v>7016</v>
      </c>
      <c r="H5237" s="4">
        <v>44684.0</v>
      </c>
      <c r="I5237" s="1" t="s">
        <v>43</v>
      </c>
      <c r="K5237" s="1">
        <v>0.0</v>
      </c>
      <c r="L5237" s="1" t="s">
        <v>6150</v>
      </c>
      <c r="M5237" s="1" t="str">
        <f>VLOOKUP(L5237,'Copy of PMD Workday Constants -'!B5236:W5922,22,false)</f>
        <v>#N/A</v>
      </c>
      <c r="N5237" s="1" t="s">
        <v>32</v>
      </c>
      <c r="O5237" s="1" t="s">
        <v>33</v>
      </c>
      <c r="P5237" s="1" t="s">
        <v>64</v>
      </c>
      <c r="Q5237" s="1" t="s">
        <v>64</v>
      </c>
      <c r="R5237" s="1" t="s">
        <v>65</v>
      </c>
      <c r="S5237" s="1" t="s">
        <v>1336</v>
      </c>
      <c r="T5237" s="1">
        <v>1.01204051E8</v>
      </c>
      <c r="W5237" s="1" t="s">
        <v>140</v>
      </c>
      <c r="X5237" s="1" t="s">
        <v>14576</v>
      </c>
    </row>
    <row r="5238">
      <c r="A5238" s="1" t="s">
        <v>14579</v>
      </c>
      <c r="B5238" s="1" t="s">
        <v>2008</v>
      </c>
      <c r="C5238" s="1" t="s">
        <v>14580</v>
      </c>
      <c r="D5238" s="1" t="s">
        <v>51</v>
      </c>
      <c r="E5238" s="1" t="s">
        <v>29</v>
      </c>
      <c r="F5238" s="5">
        <v>25000.0</v>
      </c>
      <c r="G5238" s="1" t="s">
        <v>7016</v>
      </c>
      <c r="H5238" s="1" t="s">
        <v>698</v>
      </c>
      <c r="I5238" s="1" t="s">
        <v>152</v>
      </c>
      <c r="K5238" s="1">
        <v>0.0</v>
      </c>
      <c r="L5238" s="1" t="s">
        <v>2143</v>
      </c>
      <c r="M5238" s="1" t="str">
        <f>VLOOKUP(L5238,'Copy of PMD Workday Constants -'!B5237:W5923,22,false)</f>
        <v>#N/A</v>
      </c>
      <c r="N5238" s="1" t="s">
        <v>32</v>
      </c>
      <c r="O5238" s="1" t="s">
        <v>33</v>
      </c>
      <c r="P5238" s="1" t="s">
        <v>82</v>
      </c>
      <c r="Q5238" s="1" t="s">
        <v>82</v>
      </c>
      <c r="R5238" s="1" t="s">
        <v>83</v>
      </c>
      <c r="S5238" s="1" t="s">
        <v>84</v>
      </c>
      <c r="T5238" s="1">
        <v>1.00612395E8</v>
      </c>
      <c r="W5238" s="1" t="s">
        <v>85</v>
      </c>
      <c r="X5238" s="1" t="s">
        <v>2399</v>
      </c>
    </row>
    <row r="5239">
      <c r="A5239" s="1" t="s">
        <v>14581</v>
      </c>
      <c r="B5239" s="1" t="s">
        <v>14582</v>
      </c>
      <c r="C5239" s="1" t="s">
        <v>14583</v>
      </c>
      <c r="D5239" s="1" t="s">
        <v>103</v>
      </c>
      <c r="E5239" s="1" t="s">
        <v>29</v>
      </c>
      <c r="F5239" s="5">
        <v>25000.0</v>
      </c>
      <c r="G5239" s="1" t="s">
        <v>7016</v>
      </c>
      <c r="H5239" s="1" t="s">
        <v>4413</v>
      </c>
      <c r="I5239" s="1" t="s">
        <v>80</v>
      </c>
      <c r="K5239" s="1">
        <v>0.0</v>
      </c>
      <c r="L5239" s="1" t="s">
        <v>6578</v>
      </c>
      <c r="M5239" s="1" t="str">
        <f>VLOOKUP(L5239,'Copy of PMD Workday Constants -'!B5238:W5924,22,false)</f>
        <v>#N/A</v>
      </c>
      <c r="N5239" s="1" t="s">
        <v>32</v>
      </c>
      <c r="O5239" s="1" t="s">
        <v>33</v>
      </c>
      <c r="P5239" s="1" t="s">
        <v>222</v>
      </c>
      <c r="Q5239" s="1" t="s">
        <v>222</v>
      </c>
      <c r="R5239" s="1" t="s">
        <v>223</v>
      </c>
      <c r="S5239" s="1" t="s">
        <v>482</v>
      </c>
      <c r="T5239" s="1">
        <v>1.00597339E8</v>
      </c>
      <c r="W5239" s="1" t="s">
        <v>147</v>
      </c>
      <c r="X5239" s="1" t="s">
        <v>6579</v>
      </c>
    </row>
    <row r="5240">
      <c r="A5240" s="1" t="s">
        <v>14584</v>
      </c>
      <c r="B5240" s="1" t="s">
        <v>1387</v>
      </c>
      <c r="C5240" s="1" t="s">
        <v>14585</v>
      </c>
      <c r="D5240" s="1" t="s">
        <v>103</v>
      </c>
      <c r="E5240" s="1" t="s">
        <v>29</v>
      </c>
      <c r="F5240" s="5">
        <v>25000.0</v>
      </c>
      <c r="G5240" s="1" t="s">
        <v>7016</v>
      </c>
      <c r="H5240" s="1" t="s">
        <v>1245</v>
      </c>
      <c r="I5240" s="1" t="s">
        <v>661</v>
      </c>
      <c r="K5240" s="1">
        <v>0.0</v>
      </c>
      <c r="L5240" s="1" t="s">
        <v>14586</v>
      </c>
      <c r="M5240" s="1" t="str">
        <f>VLOOKUP(L5240,'Copy of PMD Workday Constants -'!B5239:W5925,22,false)</f>
        <v>#N/A</v>
      </c>
      <c r="N5240" s="1" t="s">
        <v>32</v>
      </c>
      <c r="O5240" s="1" t="s">
        <v>33</v>
      </c>
      <c r="P5240" s="1" t="s">
        <v>34</v>
      </c>
      <c r="Q5240" s="1" t="s">
        <v>34</v>
      </c>
      <c r="R5240" s="1" t="s">
        <v>35</v>
      </c>
      <c r="T5240" s="1">
        <v>1.01056431E8</v>
      </c>
      <c r="W5240" s="1" t="s">
        <v>91</v>
      </c>
      <c r="X5240" s="1" t="s">
        <v>14586</v>
      </c>
    </row>
    <row r="5241">
      <c r="A5241" s="1" t="s">
        <v>14587</v>
      </c>
      <c r="B5241" s="1" t="s">
        <v>1664</v>
      </c>
      <c r="C5241" s="1" t="s">
        <v>14588</v>
      </c>
      <c r="D5241" s="1" t="s">
        <v>28</v>
      </c>
      <c r="E5241" s="1" t="s">
        <v>29</v>
      </c>
      <c r="F5241" s="5">
        <v>25000.0</v>
      </c>
      <c r="G5241" s="1" t="s">
        <v>7016</v>
      </c>
      <c r="H5241" s="1" t="s">
        <v>3496</v>
      </c>
      <c r="I5241" s="4">
        <v>44569.0</v>
      </c>
      <c r="K5241" s="1">
        <v>0.0</v>
      </c>
      <c r="L5241" s="1" t="s">
        <v>9390</v>
      </c>
      <c r="M5241" s="1" t="str">
        <f>VLOOKUP(L5241,'Copy of PMD Workday Constants -'!B5240:W5926,22,false)</f>
        <v>#N/A</v>
      </c>
      <c r="N5241" s="1" t="s">
        <v>32</v>
      </c>
      <c r="O5241" s="1" t="s">
        <v>33</v>
      </c>
      <c r="P5241" s="1" t="s">
        <v>64</v>
      </c>
      <c r="Q5241" s="1" t="s">
        <v>64</v>
      </c>
      <c r="R5241" s="1" t="s">
        <v>65</v>
      </c>
      <c r="S5241" s="1" t="s">
        <v>1336</v>
      </c>
      <c r="T5241" s="1">
        <v>1.01148689E8</v>
      </c>
      <c r="W5241" s="1" t="s">
        <v>147</v>
      </c>
      <c r="X5241" s="1" t="s">
        <v>1337</v>
      </c>
    </row>
    <row r="5242">
      <c r="A5242" s="1" t="s">
        <v>14589</v>
      </c>
      <c r="B5242" s="1" t="s">
        <v>14590</v>
      </c>
      <c r="C5242" s="1" t="s">
        <v>14588</v>
      </c>
      <c r="D5242" s="1" t="s">
        <v>28</v>
      </c>
      <c r="E5242" s="1" t="s">
        <v>29</v>
      </c>
      <c r="F5242" s="5">
        <v>25000.0</v>
      </c>
      <c r="G5242" s="1" t="s">
        <v>7016</v>
      </c>
      <c r="H5242" s="1" t="s">
        <v>3496</v>
      </c>
      <c r="I5242" s="4">
        <v>44569.0</v>
      </c>
      <c r="K5242" s="1">
        <v>0.0</v>
      </c>
      <c r="L5242" s="1" t="s">
        <v>9390</v>
      </c>
      <c r="M5242" s="1" t="str">
        <f>VLOOKUP(L5242,'Copy of PMD Workday Constants -'!B5241:W5927,22,false)</f>
        <v>#N/A</v>
      </c>
      <c r="N5242" s="1" t="s">
        <v>32</v>
      </c>
      <c r="O5242" s="1" t="s">
        <v>33</v>
      </c>
      <c r="P5242" s="1" t="s">
        <v>64</v>
      </c>
      <c r="Q5242" s="1" t="s">
        <v>64</v>
      </c>
      <c r="R5242" s="1" t="s">
        <v>65</v>
      </c>
      <c r="S5242" s="1" t="s">
        <v>1336</v>
      </c>
      <c r="T5242" s="1">
        <v>1.01148689E8</v>
      </c>
      <c r="W5242" s="1" t="s">
        <v>456</v>
      </c>
      <c r="X5242" s="1" t="s">
        <v>1337</v>
      </c>
    </row>
    <row r="5243">
      <c r="A5243" s="1" t="s">
        <v>14591</v>
      </c>
      <c r="B5243" s="1" t="s">
        <v>14592</v>
      </c>
      <c r="C5243" s="1" t="s">
        <v>14588</v>
      </c>
      <c r="D5243" s="1" t="s">
        <v>28</v>
      </c>
      <c r="E5243" s="1" t="s">
        <v>29</v>
      </c>
      <c r="F5243" s="5">
        <v>25000.0</v>
      </c>
      <c r="G5243" s="1" t="s">
        <v>7016</v>
      </c>
      <c r="H5243" s="1" t="s">
        <v>3496</v>
      </c>
      <c r="I5243" s="4">
        <v>44569.0</v>
      </c>
      <c r="K5243" s="1">
        <v>0.0</v>
      </c>
      <c r="L5243" s="1" t="s">
        <v>9390</v>
      </c>
      <c r="M5243" s="1" t="str">
        <f>VLOOKUP(L5243,'Copy of PMD Workday Constants -'!B5242:W5928,22,false)</f>
        <v>#N/A</v>
      </c>
      <c r="N5243" s="1" t="s">
        <v>32</v>
      </c>
      <c r="O5243" s="1" t="s">
        <v>33</v>
      </c>
      <c r="P5243" s="1" t="s">
        <v>64</v>
      </c>
      <c r="Q5243" s="1" t="s">
        <v>64</v>
      </c>
      <c r="R5243" s="1" t="s">
        <v>65</v>
      </c>
      <c r="S5243" s="1" t="s">
        <v>1336</v>
      </c>
      <c r="T5243" s="1">
        <v>1.01148689E8</v>
      </c>
      <c r="W5243" s="1" t="s">
        <v>533</v>
      </c>
      <c r="X5243" s="1" t="s">
        <v>1337</v>
      </c>
    </row>
    <row r="5244">
      <c r="A5244" s="1" t="s">
        <v>14593</v>
      </c>
      <c r="B5244" s="1" t="s">
        <v>14594</v>
      </c>
      <c r="C5244" s="1" t="s">
        <v>14588</v>
      </c>
      <c r="D5244" s="1" t="s">
        <v>28</v>
      </c>
      <c r="E5244" s="1" t="s">
        <v>29</v>
      </c>
      <c r="F5244" s="5">
        <v>25000.0</v>
      </c>
      <c r="G5244" s="1" t="s">
        <v>7016</v>
      </c>
      <c r="H5244" s="1" t="s">
        <v>3496</v>
      </c>
      <c r="I5244" s="4">
        <v>44569.0</v>
      </c>
      <c r="K5244" s="1">
        <v>0.0</v>
      </c>
      <c r="L5244" s="1" t="s">
        <v>9390</v>
      </c>
      <c r="M5244" s="1" t="str">
        <f>VLOOKUP(L5244,'Copy of PMD Workday Constants -'!B5243:W5929,22,false)</f>
        <v>#N/A</v>
      </c>
      <c r="N5244" s="1" t="s">
        <v>32</v>
      </c>
      <c r="O5244" s="1" t="s">
        <v>33</v>
      </c>
      <c r="P5244" s="1" t="s">
        <v>64</v>
      </c>
      <c r="Q5244" s="1" t="s">
        <v>64</v>
      </c>
      <c r="R5244" s="1" t="s">
        <v>65</v>
      </c>
      <c r="S5244" s="1" t="s">
        <v>1336</v>
      </c>
      <c r="T5244" s="1">
        <v>1.01148689E8</v>
      </c>
      <c r="W5244" s="1" t="s">
        <v>147</v>
      </c>
      <c r="X5244" s="1" t="s">
        <v>1337</v>
      </c>
    </row>
    <row r="5245">
      <c r="A5245" s="1" t="s">
        <v>14595</v>
      </c>
      <c r="B5245" s="1" t="s">
        <v>14596</v>
      </c>
      <c r="C5245" s="1" t="s">
        <v>14588</v>
      </c>
      <c r="D5245" s="1" t="s">
        <v>28</v>
      </c>
      <c r="E5245" s="1" t="s">
        <v>29</v>
      </c>
      <c r="F5245" s="5">
        <v>25000.0</v>
      </c>
      <c r="G5245" s="1" t="s">
        <v>7016</v>
      </c>
      <c r="H5245" s="1" t="s">
        <v>3496</v>
      </c>
      <c r="I5245" s="4">
        <v>44569.0</v>
      </c>
      <c r="K5245" s="1">
        <v>0.0</v>
      </c>
      <c r="L5245" s="1" t="s">
        <v>9390</v>
      </c>
      <c r="M5245" s="1" t="str">
        <f>VLOOKUP(L5245,'Copy of PMD Workday Constants -'!B5244:W5930,22,false)</f>
        <v>#N/A</v>
      </c>
      <c r="N5245" s="1" t="s">
        <v>32</v>
      </c>
      <c r="O5245" s="1" t="s">
        <v>33</v>
      </c>
      <c r="P5245" s="1" t="s">
        <v>64</v>
      </c>
      <c r="Q5245" s="1" t="s">
        <v>64</v>
      </c>
      <c r="R5245" s="1" t="s">
        <v>65</v>
      </c>
      <c r="S5245" s="1" t="s">
        <v>1336</v>
      </c>
      <c r="T5245" s="1">
        <v>1.01148689E8</v>
      </c>
      <c r="W5245" s="1" t="s">
        <v>1801</v>
      </c>
      <c r="X5245" s="1" t="s">
        <v>1337</v>
      </c>
    </row>
    <row r="5246">
      <c r="A5246" s="1" t="s">
        <v>14597</v>
      </c>
      <c r="B5246" s="1" t="s">
        <v>772</v>
      </c>
      <c r="C5246" s="1" t="s">
        <v>14588</v>
      </c>
      <c r="D5246" s="1" t="s">
        <v>28</v>
      </c>
      <c r="E5246" s="1" t="s">
        <v>29</v>
      </c>
      <c r="F5246" s="5">
        <v>25000.0</v>
      </c>
      <c r="G5246" s="1" t="s">
        <v>7016</v>
      </c>
      <c r="H5246" s="1" t="s">
        <v>3496</v>
      </c>
      <c r="I5246" s="4">
        <v>44569.0</v>
      </c>
      <c r="J5246" s="6">
        <v>44655.78472222222</v>
      </c>
      <c r="K5246" s="1">
        <v>0.0</v>
      </c>
      <c r="L5246" s="1" t="s">
        <v>9390</v>
      </c>
      <c r="M5246" s="1" t="str">
        <f>VLOOKUP(L5246,'Copy of PMD Workday Constants -'!B5245:W5931,22,false)</f>
        <v>#N/A</v>
      </c>
      <c r="N5246" s="1" t="s">
        <v>32</v>
      </c>
      <c r="O5246" s="1" t="s">
        <v>33</v>
      </c>
      <c r="P5246" s="1" t="s">
        <v>64</v>
      </c>
      <c r="Q5246" s="1" t="s">
        <v>64</v>
      </c>
      <c r="R5246" s="1" t="s">
        <v>65</v>
      </c>
      <c r="S5246" s="1" t="s">
        <v>1336</v>
      </c>
      <c r="T5246" s="1">
        <v>1.01148689E8</v>
      </c>
      <c r="W5246" s="1" t="s">
        <v>37</v>
      </c>
      <c r="X5246" s="1" t="s">
        <v>1337</v>
      </c>
    </row>
    <row r="5247">
      <c r="A5247" s="1" t="s">
        <v>14598</v>
      </c>
      <c r="B5247" s="1" t="s">
        <v>14599</v>
      </c>
      <c r="C5247" s="1" t="s">
        <v>14588</v>
      </c>
      <c r="D5247" s="1" t="s">
        <v>28</v>
      </c>
      <c r="E5247" s="1" t="s">
        <v>29</v>
      </c>
      <c r="F5247" s="5">
        <v>25000.0</v>
      </c>
      <c r="G5247" s="1" t="s">
        <v>7016</v>
      </c>
      <c r="H5247" s="1" t="s">
        <v>3496</v>
      </c>
      <c r="I5247" s="4">
        <v>44569.0</v>
      </c>
      <c r="K5247" s="1">
        <v>0.0</v>
      </c>
      <c r="L5247" s="1" t="s">
        <v>9390</v>
      </c>
      <c r="M5247" s="1" t="str">
        <f>VLOOKUP(L5247,'Copy of PMD Workday Constants -'!B5246:W5932,22,false)</f>
        <v>#N/A</v>
      </c>
      <c r="N5247" s="1" t="s">
        <v>32</v>
      </c>
      <c r="O5247" s="1" t="s">
        <v>33</v>
      </c>
      <c r="P5247" s="1" t="s">
        <v>64</v>
      </c>
      <c r="Q5247" s="1" t="s">
        <v>64</v>
      </c>
      <c r="R5247" s="1" t="s">
        <v>65</v>
      </c>
      <c r="S5247" s="1" t="s">
        <v>1336</v>
      </c>
      <c r="T5247" s="1">
        <v>1.01148689E8</v>
      </c>
      <c r="W5247" s="1" t="s">
        <v>287</v>
      </c>
      <c r="X5247" s="1" t="s">
        <v>1337</v>
      </c>
    </row>
    <row r="5248">
      <c r="A5248" s="1" t="s">
        <v>14600</v>
      </c>
      <c r="B5248" s="1" t="s">
        <v>5503</v>
      </c>
      <c r="C5248" s="1" t="s">
        <v>14601</v>
      </c>
      <c r="D5248" s="1" t="s">
        <v>28</v>
      </c>
      <c r="E5248" s="1" t="s">
        <v>29</v>
      </c>
      <c r="F5248" s="5">
        <v>25000.0</v>
      </c>
      <c r="G5248" s="1" t="s">
        <v>7016</v>
      </c>
      <c r="H5248" s="1" t="s">
        <v>3496</v>
      </c>
      <c r="I5248" s="1" t="s">
        <v>217</v>
      </c>
      <c r="K5248" s="1">
        <v>0.0</v>
      </c>
      <c r="L5248" s="1" t="s">
        <v>9390</v>
      </c>
      <c r="M5248" s="1" t="str">
        <f>VLOOKUP(L5248,'Copy of PMD Workday Constants -'!B5247:W5933,22,false)</f>
        <v>#N/A</v>
      </c>
      <c r="N5248" s="1" t="s">
        <v>32</v>
      </c>
      <c r="O5248" s="1" t="s">
        <v>33</v>
      </c>
      <c r="P5248" s="1" t="s">
        <v>64</v>
      </c>
      <c r="Q5248" s="1" t="s">
        <v>64</v>
      </c>
      <c r="R5248" s="1" t="s">
        <v>65</v>
      </c>
      <c r="S5248" s="1" t="s">
        <v>1336</v>
      </c>
      <c r="T5248" s="1">
        <v>1.01148689E8</v>
      </c>
      <c r="W5248" s="1" t="s">
        <v>947</v>
      </c>
      <c r="X5248" s="1" t="s">
        <v>1337</v>
      </c>
    </row>
    <row r="5249">
      <c r="A5249" s="1" t="s">
        <v>14602</v>
      </c>
      <c r="B5249" s="1" t="s">
        <v>1689</v>
      </c>
      <c r="C5249" s="1" t="s">
        <v>14588</v>
      </c>
      <c r="D5249" s="1" t="s">
        <v>28</v>
      </c>
      <c r="E5249" s="1" t="s">
        <v>29</v>
      </c>
      <c r="F5249" s="5">
        <v>25000.0</v>
      </c>
      <c r="G5249" s="1" t="s">
        <v>7016</v>
      </c>
      <c r="H5249" s="1" t="s">
        <v>3496</v>
      </c>
      <c r="I5249" s="4">
        <v>44569.0</v>
      </c>
      <c r="K5249" s="1">
        <v>0.0</v>
      </c>
      <c r="L5249" s="1" t="s">
        <v>9390</v>
      </c>
      <c r="M5249" s="1" t="str">
        <f>VLOOKUP(L5249,'Copy of PMD Workday Constants -'!B5248:W5934,22,false)</f>
        <v>#N/A</v>
      </c>
      <c r="N5249" s="1" t="s">
        <v>32</v>
      </c>
      <c r="O5249" s="1" t="s">
        <v>33</v>
      </c>
      <c r="P5249" s="1" t="s">
        <v>64</v>
      </c>
      <c r="Q5249" s="1" t="s">
        <v>64</v>
      </c>
      <c r="R5249" s="1" t="s">
        <v>65</v>
      </c>
      <c r="S5249" s="1" t="s">
        <v>1336</v>
      </c>
      <c r="T5249" s="1">
        <v>1.01148689E8</v>
      </c>
      <c r="W5249" s="1" t="s">
        <v>147</v>
      </c>
      <c r="X5249" s="1" t="s">
        <v>1337</v>
      </c>
    </row>
    <row r="5250">
      <c r="A5250" s="1" t="s">
        <v>14603</v>
      </c>
      <c r="B5250" s="1" t="s">
        <v>3154</v>
      </c>
      <c r="C5250" s="1" t="s">
        <v>14588</v>
      </c>
      <c r="D5250" s="1" t="s">
        <v>28</v>
      </c>
      <c r="E5250" s="1" t="s">
        <v>29</v>
      </c>
      <c r="F5250" s="5">
        <v>25000.0</v>
      </c>
      <c r="G5250" s="1" t="s">
        <v>7016</v>
      </c>
      <c r="H5250" s="1" t="s">
        <v>3496</v>
      </c>
      <c r="I5250" s="4">
        <v>44569.0</v>
      </c>
      <c r="K5250" s="1">
        <v>0.0</v>
      </c>
      <c r="L5250" s="1" t="s">
        <v>9390</v>
      </c>
      <c r="M5250" s="1" t="str">
        <f>VLOOKUP(L5250,'Copy of PMD Workday Constants -'!B5249:W5935,22,false)</f>
        <v>#N/A</v>
      </c>
      <c r="N5250" s="1" t="s">
        <v>32</v>
      </c>
      <c r="O5250" s="1" t="s">
        <v>33</v>
      </c>
      <c r="P5250" s="1" t="s">
        <v>64</v>
      </c>
      <c r="Q5250" s="1" t="s">
        <v>64</v>
      </c>
      <c r="R5250" s="1" t="s">
        <v>65</v>
      </c>
      <c r="S5250" s="1" t="s">
        <v>1336</v>
      </c>
      <c r="T5250" s="1">
        <v>1.01148689E8</v>
      </c>
      <c r="W5250" s="1" t="s">
        <v>147</v>
      </c>
      <c r="X5250" s="1" t="s">
        <v>1337</v>
      </c>
    </row>
    <row r="5251">
      <c r="A5251" s="1" t="s">
        <v>14604</v>
      </c>
      <c r="B5251" s="1" t="s">
        <v>14605</v>
      </c>
      <c r="C5251" s="1" t="s">
        <v>14588</v>
      </c>
      <c r="D5251" s="1" t="s">
        <v>28</v>
      </c>
      <c r="E5251" s="1" t="s">
        <v>29</v>
      </c>
      <c r="F5251" s="5">
        <v>25000.0</v>
      </c>
      <c r="G5251" s="1" t="s">
        <v>7016</v>
      </c>
      <c r="H5251" s="1" t="s">
        <v>3496</v>
      </c>
      <c r="I5251" s="4">
        <v>44569.0</v>
      </c>
      <c r="K5251" s="1">
        <v>0.0</v>
      </c>
      <c r="L5251" s="1" t="s">
        <v>9390</v>
      </c>
      <c r="M5251" s="1" t="str">
        <f>VLOOKUP(L5251,'Copy of PMD Workday Constants -'!B5250:W5936,22,false)</f>
        <v>#N/A</v>
      </c>
      <c r="N5251" s="1" t="s">
        <v>32</v>
      </c>
      <c r="O5251" s="1" t="s">
        <v>33</v>
      </c>
      <c r="P5251" s="1" t="s">
        <v>64</v>
      </c>
      <c r="Q5251" s="1" t="s">
        <v>64</v>
      </c>
      <c r="R5251" s="1" t="s">
        <v>65</v>
      </c>
      <c r="S5251" s="1" t="s">
        <v>1336</v>
      </c>
      <c r="T5251" s="1">
        <v>1.01148689E8</v>
      </c>
      <c r="W5251" s="1" t="s">
        <v>115</v>
      </c>
      <c r="X5251" s="1" t="s">
        <v>1337</v>
      </c>
    </row>
    <row r="5252">
      <c r="A5252" s="1" t="s">
        <v>14606</v>
      </c>
      <c r="B5252" s="1" t="s">
        <v>117</v>
      </c>
      <c r="C5252" s="1" t="s">
        <v>14607</v>
      </c>
      <c r="D5252" s="1" t="s">
        <v>103</v>
      </c>
      <c r="E5252" s="1" t="s">
        <v>29</v>
      </c>
      <c r="F5252" s="5">
        <v>25000.0</v>
      </c>
      <c r="G5252" s="1" t="s">
        <v>7016</v>
      </c>
      <c r="H5252" s="4">
        <v>44777.0</v>
      </c>
      <c r="I5252" s="1" t="s">
        <v>810</v>
      </c>
      <c r="K5252" s="1">
        <v>0.0</v>
      </c>
      <c r="L5252" s="1" t="s">
        <v>11159</v>
      </c>
      <c r="M5252" s="1" t="str">
        <f>VLOOKUP(L5252,'Copy of PMD Workday Constants -'!B5251:W5937,22,false)</f>
        <v>#N/A</v>
      </c>
      <c r="N5252" s="1" t="s">
        <v>32</v>
      </c>
      <c r="O5252" s="1" t="s">
        <v>33</v>
      </c>
      <c r="P5252" s="1" t="s">
        <v>222</v>
      </c>
      <c r="Q5252" s="1" t="s">
        <v>222</v>
      </c>
      <c r="R5252" s="1" t="s">
        <v>223</v>
      </c>
      <c r="S5252" s="1" t="s">
        <v>601</v>
      </c>
      <c r="T5252" s="1">
        <v>1.00602248E8</v>
      </c>
      <c r="W5252" s="1" t="s">
        <v>56</v>
      </c>
      <c r="X5252" s="1" t="s">
        <v>11160</v>
      </c>
    </row>
    <row r="5253">
      <c r="A5253" s="1" t="s">
        <v>14608</v>
      </c>
      <c r="B5253" s="1" t="s">
        <v>2785</v>
      </c>
      <c r="C5253" s="1" t="s">
        <v>14609</v>
      </c>
      <c r="D5253" s="1" t="s">
        <v>28</v>
      </c>
      <c r="E5253" s="1" t="s">
        <v>29</v>
      </c>
      <c r="F5253" s="5">
        <v>25000.0</v>
      </c>
      <c r="G5253" s="1" t="s">
        <v>7016</v>
      </c>
      <c r="H5253" s="4">
        <v>44474.0</v>
      </c>
      <c r="I5253" s="1" t="s">
        <v>80</v>
      </c>
      <c r="K5253" s="1">
        <v>0.0</v>
      </c>
      <c r="L5253" s="1" t="s">
        <v>428</v>
      </c>
      <c r="M5253" s="1" t="str">
        <f>VLOOKUP(L5253,'Copy of PMD Workday Constants -'!B5252:W5938,22,false)</f>
        <v>#N/A</v>
      </c>
      <c r="N5253" s="1" t="s">
        <v>32</v>
      </c>
      <c r="O5253" s="1" t="s">
        <v>33</v>
      </c>
      <c r="P5253" s="1" t="s">
        <v>173</v>
      </c>
      <c r="Q5253" s="1" t="s">
        <v>173</v>
      </c>
      <c r="R5253" s="1" t="s">
        <v>174</v>
      </c>
      <c r="T5253" s="1">
        <v>1.00654085E8</v>
      </c>
      <c r="W5253" s="1" t="s">
        <v>85</v>
      </c>
      <c r="X5253" s="1" t="s">
        <v>14610</v>
      </c>
    </row>
    <row r="5254">
      <c r="A5254" s="1" t="s">
        <v>14611</v>
      </c>
      <c r="B5254" s="1" t="s">
        <v>7145</v>
      </c>
      <c r="C5254" s="1" t="s">
        <v>14612</v>
      </c>
      <c r="D5254" s="1" t="s">
        <v>51</v>
      </c>
      <c r="E5254" s="1" t="s">
        <v>29</v>
      </c>
      <c r="F5254" s="5">
        <v>24000.0</v>
      </c>
      <c r="G5254" s="1" t="s">
        <v>7016</v>
      </c>
      <c r="H5254" s="1" t="s">
        <v>14613</v>
      </c>
      <c r="I5254" s="1" t="s">
        <v>80</v>
      </c>
      <c r="K5254" s="1">
        <v>0.0</v>
      </c>
      <c r="L5254" s="1" t="s">
        <v>4994</v>
      </c>
      <c r="M5254" s="1" t="str">
        <f>VLOOKUP(L5254,'Copy of PMD Workday Constants -'!B5253:W5939,22,false)</f>
        <v>#N/A</v>
      </c>
      <c r="N5254" s="1" t="s">
        <v>32</v>
      </c>
      <c r="O5254" s="1" t="s">
        <v>33</v>
      </c>
      <c r="P5254" s="1" t="s">
        <v>82</v>
      </c>
      <c r="Q5254" s="1" t="s">
        <v>82</v>
      </c>
      <c r="R5254" s="1" t="s">
        <v>83</v>
      </c>
      <c r="S5254" s="1" t="s">
        <v>180</v>
      </c>
      <c r="T5254" s="1">
        <v>1.00618376E8</v>
      </c>
      <c r="W5254" s="1" t="s">
        <v>85</v>
      </c>
      <c r="X5254" s="1" t="s">
        <v>5126</v>
      </c>
    </row>
    <row r="5255">
      <c r="A5255" s="1" t="s">
        <v>14614</v>
      </c>
      <c r="B5255" s="1" t="s">
        <v>14615</v>
      </c>
      <c r="C5255" s="1" t="s">
        <v>14616</v>
      </c>
      <c r="D5255" s="1" t="s">
        <v>51</v>
      </c>
      <c r="E5255" s="1" t="s">
        <v>29</v>
      </c>
      <c r="F5255" s="5">
        <v>24000.0</v>
      </c>
      <c r="G5255" s="1" t="s">
        <v>7016</v>
      </c>
      <c r="H5255" s="1" t="s">
        <v>52</v>
      </c>
      <c r="I5255" s="4">
        <v>44840.0</v>
      </c>
      <c r="K5255" s="1">
        <v>0.0</v>
      </c>
      <c r="L5255" s="1" t="s">
        <v>3408</v>
      </c>
      <c r="M5255" s="1" t="str">
        <f>VLOOKUP(L5255,'Copy of PMD Workday Constants -'!B5254:W5940,22,false)</f>
        <v>#N/A</v>
      </c>
      <c r="N5255" s="1" t="s">
        <v>32</v>
      </c>
      <c r="O5255" s="1" t="s">
        <v>33</v>
      </c>
      <c r="P5255" s="1" t="s">
        <v>222</v>
      </c>
      <c r="Q5255" s="1" t="s">
        <v>222</v>
      </c>
      <c r="R5255" s="1" t="s">
        <v>223</v>
      </c>
      <c r="S5255" s="1" t="s">
        <v>482</v>
      </c>
      <c r="T5255" s="1">
        <v>1.0066189E8</v>
      </c>
      <c r="W5255" s="1" t="s">
        <v>74</v>
      </c>
      <c r="X5255" s="1" t="s">
        <v>3409</v>
      </c>
    </row>
    <row r="5256">
      <c r="A5256" s="1" t="s">
        <v>14617</v>
      </c>
      <c r="B5256" s="1" t="s">
        <v>2199</v>
      </c>
      <c r="C5256" s="1" t="s">
        <v>14618</v>
      </c>
      <c r="D5256" s="1" t="s">
        <v>103</v>
      </c>
      <c r="E5256" s="1" t="s">
        <v>29</v>
      </c>
      <c r="F5256" s="5">
        <v>23587.2</v>
      </c>
      <c r="G5256" s="1" t="s">
        <v>7016</v>
      </c>
      <c r="H5256" s="4">
        <v>44598.0</v>
      </c>
      <c r="I5256" s="1" t="s">
        <v>80</v>
      </c>
      <c r="K5256" s="1">
        <v>0.0</v>
      </c>
      <c r="L5256" s="1" t="s">
        <v>3408</v>
      </c>
      <c r="M5256" s="1" t="str">
        <f>VLOOKUP(L5256,'Copy of PMD Workday Constants -'!B5255:W5941,22,false)</f>
        <v>#N/A</v>
      </c>
      <c r="N5256" s="1" t="s">
        <v>32</v>
      </c>
      <c r="O5256" s="1" t="s">
        <v>33</v>
      </c>
      <c r="P5256" s="1" t="s">
        <v>222</v>
      </c>
      <c r="Q5256" s="1" t="s">
        <v>222</v>
      </c>
      <c r="R5256" s="1" t="s">
        <v>223</v>
      </c>
      <c r="S5256" s="1" t="s">
        <v>482</v>
      </c>
      <c r="T5256" s="1">
        <v>1.0066189E8</v>
      </c>
      <c r="W5256" s="1" t="s">
        <v>258</v>
      </c>
      <c r="X5256" s="1" t="s">
        <v>817</v>
      </c>
    </row>
    <row r="5257">
      <c r="A5257" s="1" t="s">
        <v>14619</v>
      </c>
      <c r="B5257" s="1" t="s">
        <v>14620</v>
      </c>
      <c r="C5257" s="1" t="s">
        <v>14621</v>
      </c>
      <c r="D5257" s="1" t="s">
        <v>51</v>
      </c>
      <c r="E5257" s="1" t="s">
        <v>29</v>
      </c>
      <c r="F5257" s="5">
        <v>21000.0</v>
      </c>
      <c r="G5257" s="1" t="s">
        <v>7016</v>
      </c>
      <c r="H5257" s="1" t="s">
        <v>1785</v>
      </c>
      <c r="I5257" s="1" t="s">
        <v>80</v>
      </c>
      <c r="K5257" s="1">
        <v>0.0</v>
      </c>
      <c r="L5257" s="1" t="s">
        <v>8193</v>
      </c>
      <c r="M5257" s="1" t="str">
        <f>VLOOKUP(L5257,'Copy of PMD Workday Constants -'!B5256:W5942,22,false)</f>
        <v>#N/A</v>
      </c>
      <c r="N5257" s="1" t="s">
        <v>32</v>
      </c>
      <c r="O5257" s="1" t="s">
        <v>33</v>
      </c>
      <c r="P5257" s="1" t="s">
        <v>222</v>
      </c>
      <c r="Q5257" s="1" t="s">
        <v>222</v>
      </c>
      <c r="R5257" s="1" t="s">
        <v>223</v>
      </c>
      <c r="S5257" s="1" t="s">
        <v>482</v>
      </c>
      <c r="T5257" s="1">
        <v>1.00589357E8</v>
      </c>
      <c r="W5257" s="1" t="s">
        <v>308</v>
      </c>
      <c r="X5257" s="1" t="s">
        <v>817</v>
      </c>
    </row>
    <row r="5258">
      <c r="A5258" s="1" t="s">
        <v>14622</v>
      </c>
      <c r="B5258" s="1" t="s">
        <v>14623</v>
      </c>
      <c r="C5258" s="1" t="s">
        <v>13648</v>
      </c>
      <c r="D5258" s="1" t="s">
        <v>103</v>
      </c>
      <c r="E5258" s="1" t="s">
        <v>29</v>
      </c>
      <c r="F5258" s="5">
        <v>20720.7</v>
      </c>
      <c r="G5258" s="1" t="s">
        <v>7016</v>
      </c>
      <c r="H5258" s="1" t="s">
        <v>434</v>
      </c>
      <c r="I5258" s="1" t="s">
        <v>865</v>
      </c>
      <c r="K5258" s="1">
        <v>0.0</v>
      </c>
      <c r="L5258" s="1" t="s">
        <v>3408</v>
      </c>
      <c r="M5258" s="1" t="str">
        <f>VLOOKUP(L5258,'Copy of PMD Workday Constants -'!B5257:W5943,22,false)</f>
        <v>#N/A</v>
      </c>
      <c r="N5258" s="1" t="s">
        <v>32</v>
      </c>
      <c r="O5258" s="1" t="s">
        <v>33</v>
      </c>
      <c r="P5258" s="1" t="s">
        <v>222</v>
      </c>
      <c r="Q5258" s="1" t="s">
        <v>222</v>
      </c>
      <c r="R5258" s="1" t="s">
        <v>223</v>
      </c>
      <c r="S5258" s="1" t="s">
        <v>482</v>
      </c>
      <c r="T5258" s="1">
        <v>1.0066189E8</v>
      </c>
      <c r="W5258" s="1" t="s">
        <v>2098</v>
      </c>
      <c r="X5258" s="1" t="s">
        <v>817</v>
      </c>
    </row>
    <row r="5259">
      <c r="A5259" s="1" t="s">
        <v>14624</v>
      </c>
      <c r="B5259" s="1" t="s">
        <v>12538</v>
      </c>
      <c r="C5259" s="1" t="s">
        <v>14625</v>
      </c>
      <c r="D5259" s="1" t="s">
        <v>28</v>
      </c>
      <c r="E5259" s="1" t="s">
        <v>29</v>
      </c>
      <c r="F5259" s="5">
        <v>20000.0</v>
      </c>
      <c r="G5259" s="1" t="s">
        <v>7016</v>
      </c>
      <c r="H5259" s="1" t="s">
        <v>2360</v>
      </c>
      <c r="I5259" s="1" t="s">
        <v>302</v>
      </c>
      <c r="K5259" s="1">
        <v>0.0</v>
      </c>
      <c r="L5259" s="1" t="s">
        <v>11159</v>
      </c>
      <c r="M5259" s="1" t="str">
        <f>VLOOKUP(L5259,'Copy of PMD Workday Constants -'!B5258:W5944,22,false)</f>
        <v>#N/A</v>
      </c>
      <c r="N5259" s="1" t="s">
        <v>32</v>
      </c>
      <c r="O5259" s="1" t="s">
        <v>33</v>
      </c>
      <c r="P5259" s="1" t="s">
        <v>222</v>
      </c>
      <c r="Q5259" s="1" t="s">
        <v>222</v>
      </c>
      <c r="R5259" s="1" t="s">
        <v>223</v>
      </c>
      <c r="S5259" s="1" t="s">
        <v>14281</v>
      </c>
      <c r="T5259" s="1">
        <v>1.00602248E8</v>
      </c>
      <c r="W5259" s="1" t="s">
        <v>147</v>
      </c>
      <c r="X5259" s="1" t="s">
        <v>14284</v>
      </c>
    </row>
    <row r="5260">
      <c r="A5260" s="1" t="s">
        <v>14626</v>
      </c>
      <c r="B5260" s="1" t="s">
        <v>14627</v>
      </c>
      <c r="C5260" s="1" t="s">
        <v>14628</v>
      </c>
      <c r="D5260" s="1" t="s">
        <v>79</v>
      </c>
      <c r="E5260" s="1" t="s">
        <v>29</v>
      </c>
      <c r="F5260" s="5">
        <v>20000.0</v>
      </c>
      <c r="G5260" s="1" t="s">
        <v>7016</v>
      </c>
      <c r="H5260" s="1" t="s">
        <v>1404</v>
      </c>
      <c r="I5260" s="1" t="s">
        <v>421</v>
      </c>
      <c r="K5260" s="1">
        <v>0.0</v>
      </c>
      <c r="L5260" s="1" t="s">
        <v>11159</v>
      </c>
      <c r="M5260" s="1" t="str">
        <f>VLOOKUP(L5260,'Copy of PMD Workday Constants -'!B5259:W5945,22,false)</f>
        <v>#N/A</v>
      </c>
      <c r="N5260" s="1" t="s">
        <v>32</v>
      </c>
      <c r="O5260" s="1" t="s">
        <v>33</v>
      </c>
      <c r="P5260" s="1" t="s">
        <v>222</v>
      </c>
      <c r="Q5260" s="1" t="s">
        <v>222</v>
      </c>
      <c r="R5260" s="1" t="s">
        <v>223</v>
      </c>
      <c r="S5260" s="1" t="s">
        <v>482</v>
      </c>
      <c r="T5260" s="1">
        <v>1.00602248E8</v>
      </c>
      <c r="W5260" s="1" t="s">
        <v>456</v>
      </c>
      <c r="X5260" s="1" t="s">
        <v>12065</v>
      </c>
    </row>
    <row r="5261">
      <c r="A5261" s="1" t="s">
        <v>14629</v>
      </c>
      <c r="B5261" s="1" t="s">
        <v>14630</v>
      </c>
      <c r="C5261" s="1" t="s">
        <v>14631</v>
      </c>
      <c r="D5261" s="1" t="s">
        <v>51</v>
      </c>
      <c r="E5261" s="1" t="s">
        <v>29</v>
      </c>
      <c r="F5261" s="5">
        <v>20000.0</v>
      </c>
      <c r="G5261" s="1" t="s">
        <v>7016</v>
      </c>
      <c r="H5261" s="4">
        <v>44477.0</v>
      </c>
      <c r="I5261" s="1" t="s">
        <v>302</v>
      </c>
      <c r="K5261" s="1">
        <v>0.0</v>
      </c>
      <c r="L5261" s="1" t="s">
        <v>11159</v>
      </c>
      <c r="M5261" s="1" t="str">
        <f>VLOOKUP(L5261,'Copy of PMD Workday Constants -'!B5260:W5946,22,false)</f>
        <v>#N/A</v>
      </c>
      <c r="N5261" s="1" t="s">
        <v>32</v>
      </c>
      <c r="O5261" s="1" t="s">
        <v>33</v>
      </c>
      <c r="P5261" s="1" t="s">
        <v>222</v>
      </c>
      <c r="Q5261" s="1" t="s">
        <v>222</v>
      </c>
      <c r="R5261" s="1" t="s">
        <v>223</v>
      </c>
      <c r="S5261" s="1" t="s">
        <v>482</v>
      </c>
      <c r="T5261" s="1">
        <v>1.00602248E8</v>
      </c>
      <c r="X5261" s="1" t="s">
        <v>12065</v>
      </c>
    </row>
    <row r="5262">
      <c r="A5262" s="1" t="s">
        <v>14632</v>
      </c>
      <c r="B5262" s="1" t="s">
        <v>1744</v>
      </c>
      <c r="C5262" s="1" t="s">
        <v>14633</v>
      </c>
      <c r="D5262" s="1" t="s">
        <v>51</v>
      </c>
      <c r="E5262" s="1" t="s">
        <v>29</v>
      </c>
      <c r="F5262" s="5">
        <v>20000.0</v>
      </c>
      <c r="G5262" s="1" t="s">
        <v>7016</v>
      </c>
      <c r="H5262" s="1" t="s">
        <v>1444</v>
      </c>
      <c r="I5262" s="1" t="s">
        <v>302</v>
      </c>
      <c r="K5262" s="1">
        <v>0.0</v>
      </c>
      <c r="L5262" s="1" t="s">
        <v>11159</v>
      </c>
      <c r="M5262" s="1" t="str">
        <f>VLOOKUP(L5262,'Copy of PMD Workday Constants -'!B5261:W5947,22,false)</f>
        <v>#N/A</v>
      </c>
      <c r="N5262" s="1" t="s">
        <v>32</v>
      </c>
      <c r="O5262" s="1" t="s">
        <v>33</v>
      </c>
      <c r="P5262" s="1" t="s">
        <v>222</v>
      </c>
      <c r="Q5262" s="1" t="s">
        <v>222</v>
      </c>
      <c r="R5262" s="1" t="s">
        <v>223</v>
      </c>
      <c r="S5262" s="1" t="s">
        <v>482</v>
      </c>
      <c r="T5262" s="1">
        <v>1.00602248E8</v>
      </c>
      <c r="W5262" s="1" t="s">
        <v>456</v>
      </c>
      <c r="X5262" s="1" t="s">
        <v>12065</v>
      </c>
    </row>
    <row r="5263">
      <c r="A5263" s="1" t="s">
        <v>14634</v>
      </c>
      <c r="B5263" s="1" t="s">
        <v>14635</v>
      </c>
      <c r="C5263" s="1" t="s">
        <v>14636</v>
      </c>
      <c r="D5263" s="1" t="s">
        <v>103</v>
      </c>
      <c r="E5263" s="1" t="s">
        <v>29</v>
      </c>
      <c r="F5263" s="5">
        <v>20000.0</v>
      </c>
      <c r="G5263" s="1" t="s">
        <v>7016</v>
      </c>
      <c r="H5263" s="4">
        <v>44598.0</v>
      </c>
      <c r="I5263" s="1" t="s">
        <v>816</v>
      </c>
      <c r="K5263" s="1">
        <v>0.0</v>
      </c>
      <c r="L5263" s="1" t="s">
        <v>11577</v>
      </c>
      <c r="M5263" s="1" t="str">
        <f>VLOOKUP(L5263,'Copy of PMD Workday Constants -'!B5262:W5948,22,false)</f>
        <v>#N/A</v>
      </c>
      <c r="N5263" s="1" t="s">
        <v>32</v>
      </c>
      <c r="O5263" s="1" t="s">
        <v>33</v>
      </c>
      <c r="P5263" s="1" t="s">
        <v>222</v>
      </c>
      <c r="Q5263" s="1" t="s">
        <v>222</v>
      </c>
      <c r="R5263" s="1" t="s">
        <v>223</v>
      </c>
      <c r="S5263" s="1" t="s">
        <v>482</v>
      </c>
      <c r="T5263" s="1">
        <v>1.00626837E8</v>
      </c>
      <c r="W5263" s="1" t="s">
        <v>250</v>
      </c>
      <c r="X5263" s="1" t="s">
        <v>11577</v>
      </c>
    </row>
    <row r="5264">
      <c r="A5264" s="1" t="s">
        <v>14637</v>
      </c>
      <c r="B5264" s="1" t="s">
        <v>14638</v>
      </c>
      <c r="C5264" s="1" t="s">
        <v>14639</v>
      </c>
      <c r="D5264" s="1" t="s">
        <v>51</v>
      </c>
      <c r="E5264" s="1" t="s">
        <v>29</v>
      </c>
      <c r="F5264" s="5">
        <v>20000.0</v>
      </c>
      <c r="G5264" s="1" t="s">
        <v>7016</v>
      </c>
      <c r="H5264" s="4">
        <v>44564.0</v>
      </c>
      <c r="I5264" s="1" t="s">
        <v>80</v>
      </c>
      <c r="K5264" s="1">
        <v>0.0</v>
      </c>
      <c r="L5264" s="1" t="s">
        <v>10207</v>
      </c>
      <c r="M5264" s="1" t="str">
        <f>VLOOKUP(L5264,'Copy of PMD Workday Constants -'!B5263:W5949,22,false)</f>
        <v>#N/A</v>
      </c>
      <c r="N5264" s="1" t="s">
        <v>32</v>
      </c>
      <c r="O5264" s="1" t="s">
        <v>33</v>
      </c>
      <c r="P5264" s="1" t="s">
        <v>222</v>
      </c>
      <c r="Q5264" s="1" t="s">
        <v>222</v>
      </c>
      <c r="R5264" s="1" t="s">
        <v>223</v>
      </c>
      <c r="S5264" s="1" t="s">
        <v>482</v>
      </c>
      <c r="T5264" s="1">
        <v>1.00612201E8</v>
      </c>
      <c r="W5264" s="1" t="s">
        <v>115</v>
      </c>
      <c r="X5264" s="1" t="s">
        <v>14640</v>
      </c>
    </row>
    <row r="5265">
      <c r="A5265" s="1" t="s">
        <v>14641</v>
      </c>
      <c r="B5265" s="1" t="s">
        <v>14642</v>
      </c>
      <c r="C5265" s="1" t="s">
        <v>13481</v>
      </c>
      <c r="D5265" s="1" t="s">
        <v>103</v>
      </c>
      <c r="E5265" s="1" t="s">
        <v>29</v>
      </c>
      <c r="F5265" s="5">
        <v>20000.0</v>
      </c>
      <c r="G5265" s="1" t="s">
        <v>7016</v>
      </c>
      <c r="H5265" s="4">
        <v>44870.0</v>
      </c>
      <c r="I5265" s="1" t="s">
        <v>810</v>
      </c>
      <c r="K5265" s="1">
        <v>0.0</v>
      </c>
      <c r="L5265" s="1" t="s">
        <v>9456</v>
      </c>
      <c r="M5265" s="1" t="str">
        <f>VLOOKUP(L5265,'Copy of PMD Workday Constants -'!B5264:W5950,22,false)</f>
        <v>#N/A</v>
      </c>
      <c r="N5265" s="1" t="s">
        <v>32</v>
      </c>
      <c r="O5265" s="1" t="s">
        <v>33</v>
      </c>
      <c r="P5265" s="1" t="s">
        <v>222</v>
      </c>
      <c r="Q5265" s="1" t="s">
        <v>222</v>
      </c>
      <c r="R5265" s="1" t="s">
        <v>223</v>
      </c>
      <c r="S5265" s="1" t="s">
        <v>482</v>
      </c>
      <c r="T5265" s="1">
        <v>1.00609628E8</v>
      </c>
      <c r="W5265" s="1" t="s">
        <v>56</v>
      </c>
      <c r="X5265" s="1" t="s">
        <v>14643</v>
      </c>
    </row>
    <row r="5266">
      <c r="A5266" s="1" t="s">
        <v>14644</v>
      </c>
      <c r="B5266" s="1" t="s">
        <v>1373</v>
      </c>
      <c r="C5266" s="1" t="s">
        <v>14645</v>
      </c>
      <c r="D5266" s="1" t="s">
        <v>103</v>
      </c>
      <c r="E5266" s="1" t="s">
        <v>29</v>
      </c>
      <c r="F5266" s="5">
        <v>20000.0</v>
      </c>
      <c r="G5266" s="1" t="s">
        <v>7016</v>
      </c>
      <c r="H5266" s="1" t="s">
        <v>1708</v>
      </c>
      <c r="I5266" s="1" t="s">
        <v>43</v>
      </c>
      <c r="K5266" s="1">
        <v>0.0</v>
      </c>
      <c r="L5266" s="1" t="s">
        <v>1170</v>
      </c>
      <c r="M5266" s="1" t="str">
        <f>VLOOKUP(L5266,'Copy of PMD Workday Constants -'!B5265:W5951,22,false)</f>
        <v>#N/A</v>
      </c>
      <c r="N5266" s="1" t="s">
        <v>32</v>
      </c>
      <c r="O5266" s="1" t="s">
        <v>33</v>
      </c>
      <c r="P5266" s="1" t="s">
        <v>112</v>
      </c>
      <c r="Q5266" s="1" t="s">
        <v>112</v>
      </c>
      <c r="R5266" s="1" t="s">
        <v>113</v>
      </c>
      <c r="T5266" s="1">
        <v>1.00595231E8</v>
      </c>
      <c r="W5266" s="1" t="s">
        <v>74</v>
      </c>
      <c r="X5266" s="1" t="s">
        <v>2321</v>
      </c>
    </row>
    <row r="5267">
      <c r="A5267" s="1" t="s">
        <v>14646</v>
      </c>
      <c r="B5267" s="1" t="s">
        <v>14647</v>
      </c>
      <c r="C5267" s="1" t="s">
        <v>14648</v>
      </c>
      <c r="D5267" s="1" t="s">
        <v>103</v>
      </c>
      <c r="E5267" s="1" t="s">
        <v>29</v>
      </c>
      <c r="F5267" s="5">
        <v>20000.0</v>
      </c>
      <c r="G5267" s="1" t="s">
        <v>7016</v>
      </c>
      <c r="H5267" s="4">
        <v>44205.0</v>
      </c>
      <c r="I5267" s="1" t="s">
        <v>302</v>
      </c>
      <c r="K5267" s="1">
        <v>0.0</v>
      </c>
      <c r="L5267" s="1" t="s">
        <v>11159</v>
      </c>
      <c r="M5267" s="1" t="str">
        <f>VLOOKUP(L5267,'Copy of PMD Workday Constants -'!B5266:W5952,22,false)</f>
        <v>#N/A</v>
      </c>
      <c r="N5267" s="1" t="s">
        <v>32</v>
      </c>
      <c r="O5267" s="1" t="s">
        <v>33</v>
      </c>
      <c r="P5267" s="1" t="s">
        <v>222</v>
      </c>
      <c r="Q5267" s="1" t="s">
        <v>222</v>
      </c>
      <c r="R5267" s="1" t="s">
        <v>223</v>
      </c>
      <c r="S5267" s="1" t="s">
        <v>482</v>
      </c>
      <c r="T5267" s="1">
        <v>1.00602248E8</v>
      </c>
      <c r="W5267" s="1" t="s">
        <v>258</v>
      </c>
      <c r="X5267" s="1" t="s">
        <v>12065</v>
      </c>
    </row>
    <row r="5268">
      <c r="A5268" s="1" t="s">
        <v>14649</v>
      </c>
      <c r="B5268" s="1" t="s">
        <v>93</v>
      </c>
      <c r="C5268" s="1" t="s">
        <v>14650</v>
      </c>
      <c r="D5268" s="1" t="s">
        <v>51</v>
      </c>
      <c r="E5268" s="1" t="s">
        <v>29</v>
      </c>
      <c r="F5268" s="5">
        <v>20000.0</v>
      </c>
      <c r="G5268" s="1" t="s">
        <v>7016</v>
      </c>
      <c r="H5268" s="1" t="s">
        <v>5928</v>
      </c>
      <c r="I5268" s="1" t="s">
        <v>302</v>
      </c>
      <c r="K5268" s="1">
        <v>0.0</v>
      </c>
      <c r="L5268" s="1" t="s">
        <v>11159</v>
      </c>
      <c r="M5268" s="1" t="str">
        <f>VLOOKUP(L5268,'Copy of PMD Workday Constants -'!B5267:W5953,22,false)</f>
        <v>#N/A</v>
      </c>
      <c r="N5268" s="1" t="s">
        <v>32</v>
      </c>
      <c r="O5268" s="1" t="s">
        <v>33</v>
      </c>
      <c r="P5268" s="1" t="s">
        <v>222</v>
      </c>
      <c r="Q5268" s="1" t="s">
        <v>222</v>
      </c>
      <c r="R5268" s="1" t="s">
        <v>223</v>
      </c>
      <c r="S5268" s="1" t="s">
        <v>482</v>
      </c>
      <c r="T5268" s="1">
        <v>1.00602248E8</v>
      </c>
      <c r="W5268" s="1" t="s">
        <v>56</v>
      </c>
      <c r="X5268" s="1" t="s">
        <v>12989</v>
      </c>
    </row>
    <row r="5269">
      <c r="A5269" s="1" t="s">
        <v>14651</v>
      </c>
      <c r="B5269" s="1" t="s">
        <v>8738</v>
      </c>
      <c r="C5269" s="1" t="s">
        <v>14652</v>
      </c>
      <c r="D5269" s="1" t="s">
        <v>103</v>
      </c>
      <c r="E5269" s="1" t="s">
        <v>29</v>
      </c>
      <c r="F5269" s="5">
        <v>20000.0</v>
      </c>
      <c r="G5269" s="1" t="s">
        <v>7016</v>
      </c>
      <c r="H5269" s="4">
        <v>44809.0</v>
      </c>
      <c r="I5269" s="1" t="s">
        <v>80</v>
      </c>
      <c r="K5269" s="1">
        <v>0.0</v>
      </c>
      <c r="L5269" s="1" t="s">
        <v>2013</v>
      </c>
      <c r="M5269" s="1" t="str">
        <f>VLOOKUP(L5269,'Copy of PMD Workday Constants -'!B5268:W5954,22,false)</f>
        <v>#N/A</v>
      </c>
      <c r="N5269" s="1" t="s">
        <v>32</v>
      </c>
      <c r="O5269" s="1" t="s">
        <v>33</v>
      </c>
      <c r="P5269" s="1" t="s">
        <v>222</v>
      </c>
      <c r="Q5269" s="1" t="s">
        <v>222</v>
      </c>
      <c r="R5269" s="1" t="s">
        <v>223</v>
      </c>
      <c r="T5269" s="1">
        <v>1.00596618E8</v>
      </c>
      <c r="W5269" s="1" t="s">
        <v>250</v>
      </c>
      <c r="X5269" s="1" t="s">
        <v>11863</v>
      </c>
    </row>
    <row r="5270">
      <c r="A5270" s="1" t="s">
        <v>14653</v>
      </c>
      <c r="B5270" s="1" t="s">
        <v>13158</v>
      </c>
      <c r="C5270" s="1" t="s">
        <v>14654</v>
      </c>
      <c r="D5270" s="1" t="s">
        <v>51</v>
      </c>
      <c r="E5270" s="1" t="s">
        <v>29</v>
      </c>
      <c r="F5270" s="5">
        <v>20000.0</v>
      </c>
      <c r="G5270" s="1" t="s">
        <v>7016</v>
      </c>
      <c r="H5270" s="1" t="s">
        <v>1349</v>
      </c>
      <c r="I5270" s="1" t="s">
        <v>80</v>
      </c>
      <c r="K5270" s="1">
        <v>0.0</v>
      </c>
      <c r="L5270" s="1" t="s">
        <v>8193</v>
      </c>
      <c r="M5270" s="1" t="str">
        <f>VLOOKUP(L5270,'Copy of PMD Workday Constants -'!B5269:W5955,22,false)</f>
        <v>#N/A</v>
      </c>
      <c r="N5270" s="1" t="s">
        <v>32</v>
      </c>
      <c r="O5270" s="1" t="s">
        <v>33</v>
      </c>
      <c r="P5270" s="1" t="s">
        <v>222</v>
      </c>
      <c r="Q5270" s="1" t="s">
        <v>222</v>
      </c>
      <c r="R5270" s="1" t="s">
        <v>223</v>
      </c>
      <c r="S5270" s="1" t="s">
        <v>482</v>
      </c>
      <c r="T5270" s="1">
        <v>1.00589357E8</v>
      </c>
      <c r="W5270" s="1" t="s">
        <v>115</v>
      </c>
      <c r="X5270" s="1" t="s">
        <v>8193</v>
      </c>
    </row>
    <row r="5271">
      <c r="A5271" s="1" t="s">
        <v>14655</v>
      </c>
      <c r="B5271" s="1" t="s">
        <v>573</v>
      </c>
      <c r="C5271" s="1" t="s">
        <v>14656</v>
      </c>
      <c r="D5271" s="1" t="s">
        <v>28</v>
      </c>
      <c r="E5271" s="1" t="s">
        <v>29</v>
      </c>
      <c r="F5271" s="5">
        <v>20000.0</v>
      </c>
      <c r="G5271" s="1" t="s">
        <v>7016</v>
      </c>
      <c r="H5271" s="1" t="s">
        <v>1134</v>
      </c>
      <c r="I5271" s="1" t="s">
        <v>810</v>
      </c>
      <c r="K5271" s="1">
        <v>0.0</v>
      </c>
      <c r="L5271" s="1" t="s">
        <v>6578</v>
      </c>
      <c r="M5271" s="1" t="str">
        <f>VLOOKUP(L5271,'Copy of PMD Workday Constants -'!B5270:W5956,22,false)</f>
        <v>#N/A</v>
      </c>
      <c r="N5271" s="1" t="s">
        <v>32</v>
      </c>
      <c r="O5271" s="1" t="s">
        <v>33</v>
      </c>
      <c r="P5271" s="1" t="s">
        <v>222</v>
      </c>
      <c r="Q5271" s="1" t="s">
        <v>222</v>
      </c>
      <c r="R5271" s="1" t="s">
        <v>223</v>
      </c>
      <c r="T5271" s="1">
        <v>1.00597339E8</v>
      </c>
      <c r="W5271" s="1" t="s">
        <v>74</v>
      </c>
      <c r="X5271" s="1" t="s">
        <v>6579</v>
      </c>
    </row>
    <row r="5272">
      <c r="A5272" s="1" t="s">
        <v>14657</v>
      </c>
      <c r="B5272" s="1" t="s">
        <v>289</v>
      </c>
      <c r="C5272" s="1" t="s">
        <v>14658</v>
      </c>
      <c r="D5272" s="1" t="s">
        <v>28</v>
      </c>
      <c r="E5272" s="1" t="s">
        <v>29</v>
      </c>
      <c r="F5272" s="5">
        <v>20000.0</v>
      </c>
      <c r="G5272" s="1" t="s">
        <v>7016</v>
      </c>
      <c r="H5272" s="1" t="s">
        <v>434</v>
      </c>
      <c r="I5272" s="1" t="s">
        <v>302</v>
      </c>
      <c r="K5272" s="1">
        <v>0.0</v>
      </c>
      <c r="L5272" s="1" t="s">
        <v>11159</v>
      </c>
      <c r="M5272" s="1" t="str">
        <f>VLOOKUP(L5272,'Copy of PMD Workday Constants -'!B5271:W5957,22,false)</f>
        <v>#N/A</v>
      </c>
      <c r="N5272" s="1" t="s">
        <v>32</v>
      </c>
      <c r="O5272" s="1" t="s">
        <v>33</v>
      </c>
      <c r="P5272" s="1" t="s">
        <v>222</v>
      </c>
      <c r="Q5272" s="1" t="s">
        <v>222</v>
      </c>
      <c r="R5272" s="1" t="s">
        <v>223</v>
      </c>
      <c r="S5272" s="1" t="s">
        <v>482</v>
      </c>
      <c r="T5272" s="1">
        <v>1.00602248E8</v>
      </c>
      <c r="W5272" s="1" t="s">
        <v>74</v>
      </c>
      <c r="X5272" s="1" t="s">
        <v>14372</v>
      </c>
    </row>
    <row r="5273">
      <c r="A5273" s="1" t="s">
        <v>14659</v>
      </c>
      <c r="B5273" s="1" t="s">
        <v>14660</v>
      </c>
      <c r="C5273" s="1" t="s">
        <v>14661</v>
      </c>
      <c r="D5273" s="1" t="s">
        <v>103</v>
      </c>
      <c r="E5273" s="1" t="s">
        <v>29</v>
      </c>
      <c r="F5273" s="5">
        <v>20000.0</v>
      </c>
      <c r="G5273" s="1" t="s">
        <v>7016</v>
      </c>
      <c r="H5273" s="1" t="s">
        <v>434</v>
      </c>
      <c r="I5273" s="1" t="s">
        <v>510</v>
      </c>
      <c r="K5273" s="1">
        <v>0.0</v>
      </c>
      <c r="L5273" s="1" t="s">
        <v>5558</v>
      </c>
      <c r="M5273" s="1" t="str">
        <f>VLOOKUP(L5273,'Copy of PMD Workday Constants -'!B5272:W5958,22,false)</f>
        <v>#N/A</v>
      </c>
      <c r="N5273" s="1" t="s">
        <v>32</v>
      </c>
      <c r="O5273" s="1" t="s">
        <v>33</v>
      </c>
      <c r="P5273" s="1" t="s">
        <v>222</v>
      </c>
      <c r="Q5273" s="1" t="s">
        <v>222</v>
      </c>
      <c r="R5273" s="1" t="s">
        <v>223</v>
      </c>
      <c r="S5273" s="1" t="s">
        <v>482</v>
      </c>
      <c r="T5273" s="1">
        <v>1.00652479E8</v>
      </c>
      <c r="W5273" s="1" t="s">
        <v>115</v>
      </c>
      <c r="X5273" s="1" t="s">
        <v>12147</v>
      </c>
    </row>
    <row r="5274">
      <c r="A5274" s="1" t="s">
        <v>14662</v>
      </c>
      <c r="B5274" s="1" t="s">
        <v>1163</v>
      </c>
      <c r="C5274" s="1" t="s">
        <v>14663</v>
      </c>
      <c r="D5274" s="1" t="s">
        <v>51</v>
      </c>
      <c r="E5274" s="1" t="s">
        <v>29</v>
      </c>
      <c r="F5274" s="5">
        <v>20000.0</v>
      </c>
      <c r="G5274" s="1" t="s">
        <v>7016</v>
      </c>
      <c r="H5274" s="1" t="s">
        <v>13011</v>
      </c>
      <c r="I5274" s="1" t="s">
        <v>302</v>
      </c>
      <c r="K5274" s="1">
        <v>0.0</v>
      </c>
      <c r="L5274" s="1" t="s">
        <v>11159</v>
      </c>
      <c r="M5274" s="1" t="str">
        <f>VLOOKUP(L5274,'Copy of PMD Workday Constants -'!B5273:W5959,22,false)</f>
        <v>#N/A</v>
      </c>
      <c r="N5274" s="1" t="s">
        <v>32</v>
      </c>
      <c r="O5274" s="1" t="s">
        <v>33</v>
      </c>
      <c r="P5274" s="1" t="s">
        <v>222</v>
      </c>
      <c r="Q5274" s="1" t="s">
        <v>222</v>
      </c>
      <c r="R5274" s="1" t="s">
        <v>223</v>
      </c>
      <c r="S5274" s="1" t="s">
        <v>482</v>
      </c>
      <c r="T5274" s="1">
        <v>1.00602248E8</v>
      </c>
      <c r="W5274" s="1" t="s">
        <v>147</v>
      </c>
      <c r="X5274" s="1" t="s">
        <v>12065</v>
      </c>
    </row>
    <row r="5275">
      <c r="A5275" s="1" t="s">
        <v>14664</v>
      </c>
      <c r="B5275" s="1" t="s">
        <v>14665</v>
      </c>
      <c r="C5275" s="1" t="s">
        <v>14666</v>
      </c>
      <c r="D5275" s="1" t="s">
        <v>51</v>
      </c>
      <c r="E5275" s="1" t="s">
        <v>29</v>
      </c>
      <c r="F5275" s="5">
        <v>20000.0</v>
      </c>
      <c r="G5275" s="1" t="s">
        <v>7016</v>
      </c>
      <c r="H5275" s="1" t="s">
        <v>1514</v>
      </c>
      <c r="I5275" s="1" t="s">
        <v>302</v>
      </c>
      <c r="K5275" s="1">
        <v>0.0</v>
      </c>
      <c r="L5275" s="1" t="s">
        <v>11159</v>
      </c>
      <c r="M5275" s="1" t="str">
        <f>VLOOKUP(L5275,'Copy of PMD Workday Constants -'!B5274:W5960,22,false)</f>
        <v>#N/A</v>
      </c>
      <c r="N5275" s="1" t="s">
        <v>32</v>
      </c>
      <c r="O5275" s="1" t="s">
        <v>33</v>
      </c>
      <c r="P5275" s="1" t="s">
        <v>222</v>
      </c>
      <c r="Q5275" s="1" t="s">
        <v>222</v>
      </c>
      <c r="R5275" s="1" t="s">
        <v>223</v>
      </c>
      <c r="S5275" s="1" t="s">
        <v>482</v>
      </c>
      <c r="T5275" s="1">
        <v>1.00602248E8</v>
      </c>
      <c r="W5275" s="1" t="s">
        <v>74</v>
      </c>
      <c r="X5275" s="1" t="s">
        <v>12065</v>
      </c>
    </row>
    <row r="5276">
      <c r="A5276" s="1" t="s">
        <v>14667</v>
      </c>
      <c r="B5276" s="1" t="s">
        <v>14668</v>
      </c>
      <c r="C5276" s="1" t="s">
        <v>14669</v>
      </c>
      <c r="D5276" s="1" t="s">
        <v>51</v>
      </c>
      <c r="E5276" s="1" t="s">
        <v>29</v>
      </c>
      <c r="F5276" s="5">
        <v>20000.0</v>
      </c>
      <c r="G5276" s="1" t="s">
        <v>7016</v>
      </c>
      <c r="H5276" s="4">
        <v>44686.0</v>
      </c>
      <c r="I5276" s="1" t="s">
        <v>80</v>
      </c>
      <c r="K5276" s="1">
        <v>0.0</v>
      </c>
      <c r="L5276" s="1" t="s">
        <v>6578</v>
      </c>
      <c r="M5276" s="1" t="str">
        <f>VLOOKUP(L5276,'Copy of PMD Workday Constants -'!B5275:W5961,22,false)</f>
        <v>#N/A</v>
      </c>
      <c r="N5276" s="1" t="s">
        <v>32</v>
      </c>
      <c r="O5276" s="1" t="s">
        <v>33</v>
      </c>
      <c r="P5276" s="1" t="s">
        <v>222</v>
      </c>
      <c r="Q5276" s="1" t="s">
        <v>222</v>
      </c>
      <c r="R5276" s="1" t="s">
        <v>223</v>
      </c>
      <c r="S5276" s="1" t="s">
        <v>482</v>
      </c>
      <c r="T5276" s="1">
        <v>1.00597339E8</v>
      </c>
      <c r="W5276" s="1" t="s">
        <v>115</v>
      </c>
      <c r="X5276" s="1" t="s">
        <v>14670</v>
      </c>
    </row>
    <row r="5277">
      <c r="A5277" s="1" t="s">
        <v>14671</v>
      </c>
      <c r="B5277" s="1" t="s">
        <v>14672</v>
      </c>
      <c r="C5277" s="1" t="s">
        <v>14673</v>
      </c>
      <c r="D5277" s="1" t="s">
        <v>28</v>
      </c>
      <c r="E5277" s="1" t="s">
        <v>29</v>
      </c>
      <c r="F5277" s="5">
        <v>20000.0</v>
      </c>
      <c r="G5277" s="1" t="s">
        <v>7016</v>
      </c>
      <c r="H5277" s="1" t="s">
        <v>4457</v>
      </c>
      <c r="I5277" s="1" t="s">
        <v>43</v>
      </c>
      <c r="K5277" s="1">
        <v>0.0</v>
      </c>
      <c r="L5277" s="1" t="s">
        <v>11159</v>
      </c>
      <c r="M5277" s="1" t="str">
        <f>VLOOKUP(L5277,'Copy of PMD Workday Constants -'!B5276:W5962,22,false)</f>
        <v>#N/A</v>
      </c>
      <c r="N5277" s="1" t="s">
        <v>32</v>
      </c>
      <c r="O5277" s="1" t="s">
        <v>33</v>
      </c>
      <c r="P5277" s="1" t="s">
        <v>222</v>
      </c>
      <c r="Q5277" s="1" t="s">
        <v>222</v>
      </c>
      <c r="R5277" s="1" t="s">
        <v>223</v>
      </c>
      <c r="S5277" s="1" t="s">
        <v>482</v>
      </c>
      <c r="T5277" s="1">
        <v>1.00602248E8</v>
      </c>
      <c r="W5277" s="1" t="s">
        <v>47</v>
      </c>
      <c r="X5277" s="1" t="s">
        <v>12989</v>
      </c>
    </row>
    <row r="5278">
      <c r="A5278" s="1" t="s">
        <v>14674</v>
      </c>
      <c r="B5278" s="1" t="s">
        <v>1144</v>
      </c>
      <c r="C5278" s="1" t="s">
        <v>14675</v>
      </c>
      <c r="D5278" s="1" t="s">
        <v>28</v>
      </c>
      <c r="E5278" s="1" t="s">
        <v>29</v>
      </c>
      <c r="F5278" s="5">
        <v>20000.0</v>
      </c>
      <c r="G5278" s="1" t="s">
        <v>7016</v>
      </c>
      <c r="H5278" s="1" t="s">
        <v>14676</v>
      </c>
      <c r="I5278" s="1" t="s">
        <v>191</v>
      </c>
      <c r="K5278" s="1">
        <v>0.0</v>
      </c>
      <c r="L5278" s="1" t="s">
        <v>2093</v>
      </c>
      <c r="M5278" s="1" t="str">
        <f>VLOOKUP(L5278,'Copy of PMD Workday Constants -'!B5277:W5963,22,false)</f>
        <v>#N/A</v>
      </c>
      <c r="N5278" s="1" t="s">
        <v>32</v>
      </c>
      <c r="O5278" s="1" t="s">
        <v>33</v>
      </c>
      <c r="P5278" s="1" t="s">
        <v>222</v>
      </c>
      <c r="Q5278" s="1" t="s">
        <v>222</v>
      </c>
      <c r="R5278" s="1" t="s">
        <v>223</v>
      </c>
      <c r="S5278" s="1" t="s">
        <v>482</v>
      </c>
      <c r="T5278" s="1">
        <v>1.00612055E8</v>
      </c>
      <c r="W5278" s="1" t="s">
        <v>37</v>
      </c>
      <c r="X5278" s="1" t="s">
        <v>1147</v>
      </c>
    </row>
    <row r="5279">
      <c r="A5279" s="1" t="s">
        <v>14677</v>
      </c>
      <c r="B5279" s="1" t="s">
        <v>14678</v>
      </c>
      <c r="C5279" s="1" t="s">
        <v>14679</v>
      </c>
      <c r="D5279" s="1" t="s">
        <v>103</v>
      </c>
      <c r="E5279" s="1" t="s">
        <v>29</v>
      </c>
      <c r="F5279" s="5">
        <v>20000.0</v>
      </c>
      <c r="G5279" s="1" t="s">
        <v>7016</v>
      </c>
      <c r="H5279" s="1" t="s">
        <v>460</v>
      </c>
      <c r="I5279" s="1" t="s">
        <v>152</v>
      </c>
      <c r="K5279" s="1">
        <v>0.0</v>
      </c>
      <c r="L5279" s="1" t="s">
        <v>11159</v>
      </c>
      <c r="M5279" s="1" t="str">
        <f>VLOOKUP(L5279,'Copy of PMD Workday Constants -'!B5278:W5964,22,false)</f>
        <v>#N/A</v>
      </c>
      <c r="N5279" s="1" t="s">
        <v>32</v>
      </c>
      <c r="O5279" s="1" t="s">
        <v>33</v>
      </c>
      <c r="P5279" s="1" t="s">
        <v>222</v>
      </c>
      <c r="Q5279" s="1" t="s">
        <v>222</v>
      </c>
      <c r="R5279" s="1" t="s">
        <v>223</v>
      </c>
      <c r="S5279" s="1" t="s">
        <v>601</v>
      </c>
      <c r="T5279" s="1">
        <v>1.00602248E8</v>
      </c>
      <c r="W5279" s="1" t="s">
        <v>56</v>
      </c>
      <c r="X5279" s="1" t="s">
        <v>10678</v>
      </c>
    </row>
    <row r="5280">
      <c r="A5280" s="1" t="s">
        <v>14680</v>
      </c>
      <c r="B5280" s="1" t="s">
        <v>573</v>
      </c>
      <c r="C5280" s="1" t="s">
        <v>14681</v>
      </c>
      <c r="D5280" s="1" t="s">
        <v>103</v>
      </c>
      <c r="E5280" s="1" t="s">
        <v>29</v>
      </c>
      <c r="F5280" s="5">
        <v>20000.0</v>
      </c>
      <c r="G5280" s="1" t="s">
        <v>7016</v>
      </c>
      <c r="H5280" s="1" t="s">
        <v>3324</v>
      </c>
      <c r="I5280" s="1" t="s">
        <v>43</v>
      </c>
      <c r="K5280" s="1">
        <v>0.0</v>
      </c>
      <c r="L5280" s="1" t="s">
        <v>9456</v>
      </c>
      <c r="M5280" s="1" t="str">
        <f>VLOOKUP(L5280,'Copy of PMD Workday Constants -'!B5279:W5965,22,false)</f>
        <v>#N/A</v>
      </c>
      <c r="N5280" s="1" t="s">
        <v>32</v>
      </c>
      <c r="O5280" s="1" t="s">
        <v>33</v>
      </c>
      <c r="P5280" s="1" t="s">
        <v>222</v>
      </c>
      <c r="Q5280" s="1" t="s">
        <v>222</v>
      </c>
      <c r="R5280" s="1" t="s">
        <v>223</v>
      </c>
      <c r="S5280" s="1" t="s">
        <v>482</v>
      </c>
      <c r="T5280" s="1">
        <v>1.00609628E8</v>
      </c>
      <c r="W5280" s="1" t="s">
        <v>74</v>
      </c>
      <c r="X5280" s="1" t="s">
        <v>14682</v>
      </c>
    </row>
    <row r="5281">
      <c r="A5281" s="1" t="s">
        <v>14683</v>
      </c>
      <c r="B5281" s="1" t="s">
        <v>14684</v>
      </c>
      <c r="C5281" s="1" t="s">
        <v>14685</v>
      </c>
      <c r="D5281" s="1" t="s">
        <v>51</v>
      </c>
      <c r="E5281" s="1" t="s">
        <v>29</v>
      </c>
      <c r="F5281" s="5">
        <v>20000.0</v>
      </c>
      <c r="G5281" s="1" t="s">
        <v>7016</v>
      </c>
      <c r="H5281" s="4">
        <v>43932.0</v>
      </c>
      <c r="I5281" s="1" t="s">
        <v>302</v>
      </c>
      <c r="K5281" s="1">
        <v>0.0</v>
      </c>
      <c r="L5281" s="1" t="s">
        <v>11159</v>
      </c>
      <c r="M5281" s="1" t="str">
        <f>VLOOKUP(L5281,'Copy of PMD Workday Constants -'!B5280:W5966,22,false)</f>
        <v>#N/A</v>
      </c>
      <c r="N5281" s="1" t="s">
        <v>32</v>
      </c>
      <c r="O5281" s="1" t="s">
        <v>33</v>
      </c>
      <c r="P5281" s="1" t="s">
        <v>222</v>
      </c>
      <c r="Q5281" s="1" t="s">
        <v>222</v>
      </c>
      <c r="R5281" s="1" t="s">
        <v>223</v>
      </c>
      <c r="S5281" s="1" t="s">
        <v>482</v>
      </c>
      <c r="T5281" s="1">
        <v>1.00602248E8</v>
      </c>
      <c r="W5281" s="1" t="s">
        <v>250</v>
      </c>
      <c r="X5281" s="1" t="s">
        <v>12065</v>
      </c>
    </row>
    <row r="5282">
      <c r="A5282" s="1" t="s">
        <v>14686</v>
      </c>
      <c r="B5282" s="1" t="s">
        <v>14687</v>
      </c>
      <c r="C5282" s="1" t="s">
        <v>14688</v>
      </c>
      <c r="D5282" s="1" t="s">
        <v>28</v>
      </c>
      <c r="E5282" s="1" t="s">
        <v>29</v>
      </c>
      <c r="F5282" s="5">
        <v>20000.0</v>
      </c>
      <c r="G5282" s="1" t="s">
        <v>7016</v>
      </c>
      <c r="H5282" s="1" t="s">
        <v>5175</v>
      </c>
      <c r="I5282" s="1" t="s">
        <v>302</v>
      </c>
      <c r="K5282" s="1">
        <v>0.0</v>
      </c>
      <c r="L5282" s="1" t="s">
        <v>11159</v>
      </c>
      <c r="M5282" s="1" t="str">
        <f>VLOOKUP(L5282,'Copy of PMD Workday Constants -'!B5281:W5967,22,false)</f>
        <v>#N/A</v>
      </c>
      <c r="N5282" s="1" t="s">
        <v>32</v>
      </c>
      <c r="O5282" s="1" t="s">
        <v>33</v>
      </c>
      <c r="P5282" s="1" t="s">
        <v>222</v>
      </c>
      <c r="Q5282" s="1" t="s">
        <v>222</v>
      </c>
      <c r="R5282" s="1" t="s">
        <v>223</v>
      </c>
      <c r="S5282" s="1" t="s">
        <v>482</v>
      </c>
      <c r="T5282" s="1">
        <v>1.00602248E8</v>
      </c>
      <c r="W5282" s="1" t="s">
        <v>74</v>
      </c>
      <c r="X5282" s="1" t="s">
        <v>12065</v>
      </c>
    </row>
    <row r="5283">
      <c r="A5283" s="1" t="s">
        <v>14689</v>
      </c>
      <c r="B5283" s="1" t="s">
        <v>14690</v>
      </c>
      <c r="C5283" s="1" t="s">
        <v>14691</v>
      </c>
      <c r="D5283" s="1" t="s">
        <v>103</v>
      </c>
      <c r="E5283" s="1" t="s">
        <v>29</v>
      </c>
      <c r="F5283" s="5">
        <v>18000.0</v>
      </c>
      <c r="G5283" s="1" t="s">
        <v>7016</v>
      </c>
      <c r="H5283" s="1" t="s">
        <v>545</v>
      </c>
      <c r="I5283" s="1" t="s">
        <v>132</v>
      </c>
      <c r="K5283" s="1">
        <v>0.0</v>
      </c>
      <c r="L5283" s="1" t="s">
        <v>13331</v>
      </c>
      <c r="M5283" s="1" t="str">
        <f>VLOOKUP(L5283,'Copy of PMD Workday Constants -'!B5282:W5968,22,false)</f>
        <v>#N/A</v>
      </c>
      <c r="N5283" s="1" t="s">
        <v>32</v>
      </c>
      <c r="O5283" s="1" t="s">
        <v>33</v>
      </c>
      <c r="P5283" s="1" t="s">
        <v>222</v>
      </c>
      <c r="Q5283" s="1" t="s">
        <v>222</v>
      </c>
      <c r="R5283" s="1" t="s">
        <v>223</v>
      </c>
      <c r="S5283" s="1" t="s">
        <v>482</v>
      </c>
      <c r="T5283" s="1">
        <v>1.00660529E8</v>
      </c>
      <c r="W5283" s="1" t="s">
        <v>436</v>
      </c>
      <c r="X5283" s="1" t="s">
        <v>13687</v>
      </c>
    </row>
    <row r="5284">
      <c r="A5284" s="1" t="s">
        <v>14692</v>
      </c>
      <c r="B5284" s="1" t="s">
        <v>14693</v>
      </c>
      <c r="C5284" s="1" t="s">
        <v>14694</v>
      </c>
      <c r="D5284" s="1" t="s">
        <v>28</v>
      </c>
      <c r="E5284" s="1" t="s">
        <v>29</v>
      </c>
      <c r="F5284" s="5">
        <v>17000.0</v>
      </c>
      <c r="G5284" s="1" t="s">
        <v>7016</v>
      </c>
      <c r="H5284" s="4">
        <v>44450.0</v>
      </c>
      <c r="I5284" s="1" t="s">
        <v>43</v>
      </c>
      <c r="K5284" s="1">
        <v>0.0</v>
      </c>
      <c r="L5284" s="1" t="s">
        <v>11159</v>
      </c>
      <c r="M5284" s="1" t="str">
        <f>VLOOKUP(L5284,'Copy of PMD Workday Constants -'!B5283:W5969,22,false)</f>
        <v>#N/A</v>
      </c>
      <c r="N5284" s="1" t="s">
        <v>32</v>
      </c>
      <c r="O5284" s="1" t="s">
        <v>33</v>
      </c>
      <c r="P5284" s="1" t="s">
        <v>222</v>
      </c>
      <c r="Q5284" s="1" t="s">
        <v>222</v>
      </c>
      <c r="R5284" s="1" t="s">
        <v>223</v>
      </c>
      <c r="S5284" s="1" t="s">
        <v>14695</v>
      </c>
      <c r="T5284" s="1">
        <v>1.00602248E8</v>
      </c>
      <c r="W5284" s="1" t="s">
        <v>115</v>
      </c>
      <c r="X5284" s="1" t="s">
        <v>14284</v>
      </c>
    </row>
    <row r="5285">
      <c r="A5285" s="1" t="s">
        <v>14696</v>
      </c>
      <c r="B5285" s="1" t="s">
        <v>12128</v>
      </c>
      <c r="C5285" s="1" t="s">
        <v>14697</v>
      </c>
      <c r="D5285" s="1" t="s">
        <v>28</v>
      </c>
      <c r="E5285" s="1" t="s">
        <v>29</v>
      </c>
      <c r="F5285" s="5">
        <v>17000.0</v>
      </c>
      <c r="G5285" s="1" t="s">
        <v>7016</v>
      </c>
      <c r="H5285" s="1" t="s">
        <v>1433</v>
      </c>
      <c r="I5285" s="1" t="s">
        <v>43</v>
      </c>
      <c r="K5285" s="1">
        <v>0.0</v>
      </c>
      <c r="L5285" s="1" t="s">
        <v>11159</v>
      </c>
      <c r="M5285" s="1" t="str">
        <f>VLOOKUP(L5285,'Copy of PMD Workday Constants -'!B5284:W5970,22,false)</f>
        <v>#N/A</v>
      </c>
      <c r="N5285" s="1" t="s">
        <v>32</v>
      </c>
      <c r="O5285" s="1" t="s">
        <v>33</v>
      </c>
      <c r="P5285" s="1" t="s">
        <v>222</v>
      </c>
      <c r="Q5285" s="1" t="s">
        <v>222</v>
      </c>
      <c r="R5285" s="1" t="s">
        <v>223</v>
      </c>
      <c r="S5285" s="1" t="s">
        <v>482</v>
      </c>
      <c r="T5285" s="1">
        <v>1.00602248E8</v>
      </c>
      <c r="W5285" s="1" t="s">
        <v>250</v>
      </c>
      <c r="X5285" s="1" t="s">
        <v>12989</v>
      </c>
    </row>
    <row r="5286">
      <c r="A5286" s="1" t="s">
        <v>14698</v>
      </c>
      <c r="B5286" s="1" t="s">
        <v>2641</v>
      </c>
      <c r="C5286" s="1" t="s">
        <v>14699</v>
      </c>
      <c r="D5286" s="1" t="s">
        <v>51</v>
      </c>
      <c r="E5286" s="1" t="s">
        <v>29</v>
      </c>
      <c r="F5286" s="5">
        <v>17000.0</v>
      </c>
      <c r="G5286" s="1" t="s">
        <v>7016</v>
      </c>
      <c r="H5286" s="1" t="s">
        <v>1433</v>
      </c>
      <c r="I5286" s="1" t="s">
        <v>302</v>
      </c>
      <c r="K5286" s="1">
        <v>0.0</v>
      </c>
      <c r="L5286" s="1" t="s">
        <v>11159</v>
      </c>
      <c r="M5286" s="1" t="str">
        <f>VLOOKUP(L5286,'Copy of PMD Workday Constants -'!B5285:W5971,22,false)</f>
        <v>#N/A</v>
      </c>
      <c r="N5286" s="1" t="s">
        <v>32</v>
      </c>
      <c r="O5286" s="1" t="s">
        <v>33</v>
      </c>
      <c r="P5286" s="1" t="s">
        <v>222</v>
      </c>
      <c r="Q5286" s="1" t="s">
        <v>222</v>
      </c>
      <c r="R5286" s="1" t="s">
        <v>223</v>
      </c>
      <c r="S5286" s="1" t="s">
        <v>482</v>
      </c>
      <c r="T5286" s="1">
        <v>1.00602248E8</v>
      </c>
      <c r="W5286" s="1" t="s">
        <v>456</v>
      </c>
      <c r="X5286" s="1" t="s">
        <v>12065</v>
      </c>
    </row>
    <row r="5287">
      <c r="A5287" s="1" t="s">
        <v>14700</v>
      </c>
      <c r="B5287" s="1" t="s">
        <v>14701</v>
      </c>
      <c r="C5287" s="1" t="s">
        <v>14702</v>
      </c>
      <c r="D5287" s="1" t="s">
        <v>28</v>
      </c>
      <c r="E5287" s="1" t="s">
        <v>29</v>
      </c>
      <c r="F5287" s="5">
        <v>17000.0</v>
      </c>
      <c r="G5287" s="1" t="s">
        <v>7016</v>
      </c>
      <c r="H5287" s="1" t="s">
        <v>243</v>
      </c>
      <c r="I5287" s="1" t="s">
        <v>43</v>
      </c>
      <c r="K5287" s="1">
        <v>0.0</v>
      </c>
      <c r="L5287" s="1" t="s">
        <v>11159</v>
      </c>
      <c r="M5287" s="1" t="str">
        <f>VLOOKUP(L5287,'Copy of PMD Workday Constants -'!B5286:W5972,22,false)</f>
        <v>#N/A</v>
      </c>
      <c r="N5287" s="1" t="s">
        <v>32</v>
      </c>
      <c r="O5287" s="1" t="s">
        <v>33</v>
      </c>
      <c r="P5287" s="1" t="s">
        <v>222</v>
      </c>
      <c r="Q5287" s="1" t="s">
        <v>222</v>
      </c>
      <c r="R5287" s="1" t="s">
        <v>223</v>
      </c>
      <c r="S5287" s="1" t="s">
        <v>482</v>
      </c>
      <c r="T5287" s="1">
        <v>1.00602248E8</v>
      </c>
      <c r="W5287" s="1" t="s">
        <v>91</v>
      </c>
      <c r="X5287" s="1" t="s">
        <v>12989</v>
      </c>
    </row>
    <row r="5288">
      <c r="A5288" s="1" t="s">
        <v>14703</v>
      </c>
      <c r="B5288" s="1" t="s">
        <v>14704</v>
      </c>
      <c r="C5288" s="1" t="s">
        <v>14705</v>
      </c>
      <c r="D5288" s="1" t="s">
        <v>28</v>
      </c>
      <c r="E5288" s="1" t="s">
        <v>29</v>
      </c>
      <c r="F5288" s="5">
        <v>17000.0</v>
      </c>
      <c r="G5288" s="1" t="s">
        <v>7016</v>
      </c>
      <c r="H5288" s="4">
        <v>44810.0</v>
      </c>
      <c r="I5288" s="1" t="s">
        <v>302</v>
      </c>
      <c r="K5288" s="1">
        <v>0.0</v>
      </c>
      <c r="L5288" s="1" t="s">
        <v>11159</v>
      </c>
      <c r="M5288" s="1" t="str">
        <f>VLOOKUP(L5288,'Copy of PMD Workday Constants -'!B5287:W5973,22,false)</f>
        <v>#N/A</v>
      </c>
      <c r="N5288" s="1" t="s">
        <v>32</v>
      </c>
      <c r="O5288" s="1" t="s">
        <v>33</v>
      </c>
      <c r="P5288" s="1" t="s">
        <v>222</v>
      </c>
      <c r="Q5288" s="1" t="s">
        <v>222</v>
      </c>
      <c r="R5288" s="1" t="s">
        <v>223</v>
      </c>
      <c r="S5288" s="1" t="s">
        <v>14281</v>
      </c>
      <c r="T5288" s="1">
        <v>1.00602248E8</v>
      </c>
      <c r="W5288" s="1" t="s">
        <v>947</v>
      </c>
      <c r="X5288" s="1" t="s">
        <v>14284</v>
      </c>
    </row>
    <row r="5289">
      <c r="A5289" s="1" t="s">
        <v>14706</v>
      </c>
      <c r="B5289" s="1" t="s">
        <v>14707</v>
      </c>
      <c r="C5289" s="1" t="s">
        <v>14708</v>
      </c>
      <c r="D5289" s="1" t="s">
        <v>51</v>
      </c>
      <c r="E5289" s="1" t="s">
        <v>29</v>
      </c>
      <c r="F5289" s="5">
        <v>17000.0</v>
      </c>
      <c r="G5289" s="1" t="s">
        <v>7016</v>
      </c>
      <c r="H5289" s="4">
        <v>44174.0</v>
      </c>
      <c r="I5289" s="1" t="s">
        <v>302</v>
      </c>
      <c r="K5289" s="1">
        <v>0.0</v>
      </c>
      <c r="L5289" s="1" t="s">
        <v>11159</v>
      </c>
      <c r="M5289" s="1" t="str">
        <f>VLOOKUP(L5289,'Copy of PMD Workday Constants -'!B5288:W5974,22,false)</f>
        <v>#N/A</v>
      </c>
      <c r="N5289" s="1" t="s">
        <v>32</v>
      </c>
      <c r="O5289" s="1" t="s">
        <v>33</v>
      </c>
      <c r="P5289" s="1" t="s">
        <v>222</v>
      </c>
      <c r="Q5289" s="1" t="s">
        <v>222</v>
      </c>
      <c r="R5289" s="1" t="s">
        <v>223</v>
      </c>
      <c r="S5289" s="1" t="s">
        <v>482</v>
      </c>
      <c r="T5289" s="1">
        <v>1.00602248E8</v>
      </c>
      <c r="W5289" s="1" t="s">
        <v>85</v>
      </c>
      <c r="X5289" s="1" t="s">
        <v>12065</v>
      </c>
    </row>
    <row r="5290">
      <c r="A5290" s="1" t="s">
        <v>14709</v>
      </c>
      <c r="B5290" s="1" t="s">
        <v>14710</v>
      </c>
      <c r="C5290" s="1" t="s">
        <v>14711</v>
      </c>
      <c r="D5290" s="1" t="s">
        <v>51</v>
      </c>
      <c r="E5290" s="1" t="s">
        <v>29</v>
      </c>
      <c r="F5290" s="5">
        <v>17000.0</v>
      </c>
      <c r="G5290" s="1" t="s">
        <v>7016</v>
      </c>
      <c r="H5290" s="4">
        <v>44355.0</v>
      </c>
      <c r="I5290" s="1" t="s">
        <v>421</v>
      </c>
      <c r="K5290" s="1">
        <v>0.0</v>
      </c>
      <c r="L5290" s="1" t="s">
        <v>11159</v>
      </c>
      <c r="M5290" s="1" t="str">
        <f>VLOOKUP(L5290,'Copy of PMD Workday Constants -'!B5289:W5975,22,false)</f>
        <v>#N/A</v>
      </c>
      <c r="N5290" s="1" t="s">
        <v>32</v>
      </c>
      <c r="O5290" s="1" t="s">
        <v>33</v>
      </c>
      <c r="P5290" s="1" t="s">
        <v>222</v>
      </c>
      <c r="Q5290" s="1" t="s">
        <v>222</v>
      </c>
      <c r="R5290" s="1" t="s">
        <v>223</v>
      </c>
      <c r="T5290" s="1">
        <v>1.00602248E8</v>
      </c>
      <c r="W5290" s="1" t="s">
        <v>140</v>
      </c>
      <c r="X5290" s="1" t="s">
        <v>12065</v>
      </c>
    </row>
    <row r="5291">
      <c r="A5291" s="1" t="s">
        <v>14712</v>
      </c>
      <c r="B5291" s="1" t="s">
        <v>14713</v>
      </c>
      <c r="C5291" s="1" t="s">
        <v>14714</v>
      </c>
      <c r="D5291" s="1" t="s">
        <v>51</v>
      </c>
      <c r="E5291" s="1" t="s">
        <v>29</v>
      </c>
      <c r="F5291" s="5">
        <v>17000.0</v>
      </c>
      <c r="G5291" s="1" t="s">
        <v>7016</v>
      </c>
      <c r="H5291" s="4">
        <v>44481.0</v>
      </c>
      <c r="I5291" s="1" t="s">
        <v>302</v>
      </c>
      <c r="K5291" s="1">
        <v>0.0</v>
      </c>
      <c r="L5291" s="1" t="s">
        <v>11159</v>
      </c>
      <c r="M5291" s="1" t="str">
        <f>VLOOKUP(L5291,'Copy of PMD Workday Constants -'!B5290:W5976,22,false)</f>
        <v>#N/A</v>
      </c>
      <c r="N5291" s="1" t="s">
        <v>32</v>
      </c>
      <c r="O5291" s="1" t="s">
        <v>33</v>
      </c>
      <c r="P5291" s="1" t="s">
        <v>222</v>
      </c>
      <c r="Q5291" s="1" t="s">
        <v>222</v>
      </c>
      <c r="R5291" s="1" t="s">
        <v>223</v>
      </c>
      <c r="S5291" s="1" t="s">
        <v>482</v>
      </c>
      <c r="T5291" s="1">
        <v>1.00602248E8</v>
      </c>
      <c r="W5291" s="1" t="s">
        <v>85</v>
      </c>
      <c r="X5291" s="1" t="s">
        <v>12989</v>
      </c>
    </row>
    <row r="5292">
      <c r="A5292" s="1" t="s">
        <v>14715</v>
      </c>
      <c r="B5292" s="1" t="s">
        <v>14716</v>
      </c>
      <c r="C5292" s="1" t="s">
        <v>14717</v>
      </c>
      <c r="D5292" s="1" t="s">
        <v>28</v>
      </c>
      <c r="E5292" s="1" t="s">
        <v>29</v>
      </c>
      <c r="F5292" s="5">
        <v>17000.0</v>
      </c>
      <c r="G5292" s="1" t="s">
        <v>7016</v>
      </c>
      <c r="H5292" s="4">
        <v>44481.0</v>
      </c>
      <c r="I5292" s="1" t="s">
        <v>302</v>
      </c>
      <c r="K5292" s="1">
        <v>0.0</v>
      </c>
      <c r="L5292" s="1" t="s">
        <v>11159</v>
      </c>
      <c r="M5292" s="1" t="str">
        <f>VLOOKUP(L5292,'Copy of PMD Workday Constants -'!B5291:W5977,22,false)</f>
        <v>#N/A</v>
      </c>
      <c r="N5292" s="1" t="s">
        <v>32</v>
      </c>
      <c r="O5292" s="1" t="s">
        <v>33</v>
      </c>
      <c r="P5292" s="1" t="s">
        <v>222</v>
      </c>
      <c r="Q5292" s="1" t="s">
        <v>222</v>
      </c>
      <c r="R5292" s="1" t="s">
        <v>223</v>
      </c>
      <c r="S5292" s="1" t="s">
        <v>482</v>
      </c>
      <c r="T5292" s="1">
        <v>1.00602248E8</v>
      </c>
      <c r="W5292" s="1" t="s">
        <v>147</v>
      </c>
      <c r="X5292" s="1" t="s">
        <v>14284</v>
      </c>
    </row>
    <row r="5293">
      <c r="A5293" s="1" t="s">
        <v>14718</v>
      </c>
      <c r="B5293" s="1" t="s">
        <v>14719</v>
      </c>
      <c r="C5293" s="1" t="s">
        <v>14720</v>
      </c>
      <c r="D5293" s="1" t="s">
        <v>28</v>
      </c>
      <c r="E5293" s="1" t="s">
        <v>29</v>
      </c>
      <c r="F5293" s="5">
        <v>17000.0</v>
      </c>
      <c r="G5293" s="1" t="s">
        <v>7016</v>
      </c>
      <c r="H5293" s="4">
        <v>44481.0</v>
      </c>
      <c r="I5293" s="1" t="s">
        <v>43</v>
      </c>
      <c r="K5293" s="1">
        <v>0.0</v>
      </c>
      <c r="L5293" s="1" t="s">
        <v>11159</v>
      </c>
      <c r="M5293" s="1" t="str">
        <f>VLOOKUP(L5293,'Copy of PMD Workday Constants -'!B5292:W5978,22,false)</f>
        <v>#N/A</v>
      </c>
      <c r="N5293" s="1" t="s">
        <v>32</v>
      </c>
      <c r="O5293" s="1" t="s">
        <v>33</v>
      </c>
      <c r="P5293" s="1" t="s">
        <v>222</v>
      </c>
      <c r="Q5293" s="1" t="s">
        <v>222</v>
      </c>
      <c r="R5293" s="1" t="s">
        <v>223</v>
      </c>
      <c r="S5293" s="1" t="s">
        <v>482</v>
      </c>
      <c r="T5293" s="1">
        <v>1.00602248E8</v>
      </c>
      <c r="W5293" s="1" t="s">
        <v>339</v>
      </c>
      <c r="X5293" s="1" t="s">
        <v>12989</v>
      </c>
    </row>
    <row r="5294">
      <c r="A5294" s="1" t="s">
        <v>14721</v>
      </c>
      <c r="B5294" s="1" t="s">
        <v>14722</v>
      </c>
      <c r="C5294" s="1" t="s">
        <v>14723</v>
      </c>
      <c r="D5294" s="1" t="s">
        <v>28</v>
      </c>
      <c r="E5294" s="1" t="s">
        <v>29</v>
      </c>
      <c r="F5294" s="5">
        <v>17000.0</v>
      </c>
      <c r="G5294" s="1" t="s">
        <v>7016</v>
      </c>
      <c r="H5294" s="1" t="s">
        <v>556</v>
      </c>
      <c r="I5294" s="1" t="s">
        <v>302</v>
      </c>
      <c r="K5294" s="1">
        <v>0.0</v>
      </c>
      <c r="L5294" s="1" t="s">
        <v>11159</v>
      </c>
      <c r="M5294" s="1" t="str">
        <f>VLOOKUP(L5294,'Copy of PMD Workday Constants -'!B5293:W5979,22,false)</f>
        <v>#N/A</v>
      </c>
      <c r="N5294" s="1" t="s">
        <v>32</v>
      </c>
      <c r="O5294" s="1" t="s">
        <v>33</v>
      </c>
      <c r="P5294" s="1" t="s">
        <v>222</v>
      </c>
      <c r="Q5294" s="1" t="s">
        <v>222</v>
      </c>
      <c r="R5294" s="1" t="s">
        <v>223</v>
      </c>
      <c r="S5294" s="1" t="s">
        <v>14281</v>
      </c>
      <c r="T5294" s="1">
        <v>1.00602248E8</v>
      </c>
      <c r="W5294" s="1" t="s">
        <v>74</v>
      </c>
      <c r="X5294" s="1" t="s">
        <v>14284</v>
      </c>
    </row>
    <row r="5295">
      <c r="A5295" s="1" t="s">
        <v>14724</v>
      </c>
      <c r="B5295" s="1" t="s">
        <v>14725</v>
      </c>
      <c r="C5295" s="1" t="s">
        <v>14726</v>
      </c>
      <c r="D5295" s="1" t="s">
        <v>51</v>
      </c>
      <c r="E5295" s="1" t="s">
        <v>29</v>
      </c>
      <c r="F5295" s="5">
        <v>17000.0</v>
      </c>
      <c r="G5295" s="1" t="s">
        <v>7016</v>
      </c>
      <c r="H5295" s="1" t="s">
        <v>208</v>
      </c>
      <c r="I5295" s="1" t="s">
        <v>43</v>
      </c>
      <c r="K5295" s="1">
        <v>0.0</v>
      </c>
      <c r="L5295" s="1" t="s">
        <v>11159</v>
      </c>
      <c r="M5295" s="1" t="str">
        <f>VLOOKUP(L5295,'Copy of PMD Workday Constants -'!B5294:W5980,22,false)</f>
        <v>#N/A</v>
      </c>
      <c r="N5295" s="1" t="s">
        <v>32</v>
      </c>
      <c r="O5295" s="1" t="s">
        <v>33</v>
      </c>
      <c r="P5295" s="1" t="s">
        <v>222</v>
      </c>
      <c r="Q5295" s="1" t="s">
        <v>222</v>
      </c>
      <c r="R5295" s="1" t="s">
        <v>223</v>
      </c>
      <c r="S5295" s="1" t="s">
        <v>14281</v>
      </c>
      <c r="T5295" s="1">
        <v>1.00602248E8</v>
      </c>
      <c r="W5295" s="1" t="s">
        <v>74</v>
      </c>
      <c r="X5295" s="1" t="s">
        <v>12989</v>
      </c>
    </row>
    <row r="5296">
      <c r="A5296" s="1" t="s">
        <v>14727</v>
      </c>
      <c r="B5296" s="1" t="s">
        <v>14728</v>
      </c>
      <c r="C5296" s="1" t="s">
        <v>14729</v>
      </c>
      <c r="D5296" s="1" t="s">
        <v>28</v>
      </c>
      <c r="E5296" s="1" t="s">
        <v>29</v>
      </c>
      <c r="F5296" s="5">
        <v>17000.0</v>
      </c>
      <c r="G5296" s="1" t="s">
        <v>7016</v>
      </c>
      <c r="H5296" s="4">
        <v>44327.0</v>
      </c>
      <c r="I5296" s="1" t="s">
        <v>43</v>
      </c>
      <c r="K5296" s="1">
        <v>0.0</v>
      </c>
      <c r="L5296" s="1" t="s">
        <v>11159</v>
      </c>
      <c r="M5296" s="1" t="str">
        <f>VLOOKUP(L5296,'Copy of PMD Workday Constants -'!B5295:W5981,22,false)</f>
        <v>#N/A</v>
      </c>
      <c r="N5296" s="1" t="s">
        <v>32</v>
      </c>
      <c r="O5296" s="1" t="s">
        <v>33</v>
      </c>
      <c r="P5296" s="1" t="s">
        <v>222</v>
      </c>
      <c r="Q5296" s="1" t="s">
        <v>222</v>
      </c>
      <c r="R5296" s="1" t="s">
        <v>223</v>
      </c>
      <c r="S5296" s="1" t="s">
        <v>14730</v>
      </c>
      <c r="T5296" s="1">
        <v>1.00602248E8</v>
      </c>
      <c r="W5296" s="1" t="s">
        <v>74</v>
      </c>
      <c r="X5296" s="1" t="s">
        <v>14284</v>
      </c>
    </row>
    <row r="5297">
      <c r="A5297" s="1" t="s">
        <v>14731</v>
      </c>
      <c r="B5297" s="1" t="s">
        <v>14732</v>
      </c>
      <c r="C5297" s="1" t="s">
        <v>14733</v>
      </c>
      <c r="D5297" s="1" t="s">
        <v>51</v>
      </c>
      <c r="E5297" s="1" t="s">
        <v>29</v>
      </c>
      <c r="F5297" s="5">
        <v>17000.0</v>
      </c>
      <c r="G5297" s="1" t="s">
        <v>7016</v>
      </c>
      <c r="H5297" s="1" t="s">
        <v>1765</v>
      </c>
      <c r="I5297" s="1" t="s">
        <v>191</v>
      </c>
      <c r="K5297" s="1">
        <v>0.0</v>
      </c>
      <c r="L5297" s="1" t="s">
        <v>11159</v>
      </c>
      <c r="M5297" s="1" t="str">
        <f>VLOOKUP(L5297,'Copy of PMD Workday Constants -'!B5296:W5982,22,false)</f>
        <v>#N/A</v>
      </c>
      <c r="N5297" s="1" t="s">
        <v>32</v>
      </c>
      <c r="O5297" s="1" t="s">
        <v>33</v>
      </c>
      <c r="P5297" s="1" t="s">
        <v>222</v>
      </c>
      <c r="Q5297" s="1" t="s">
        <v>222</v>
      </c>
      <c r="R5297" s="1" t="s">
        <v>223</v>
      </c>
      <c r="S5297" s="1" t="s">
        <v>482</v>
      </c>
      <c r="T5297" s="1">
        <v>1.00602248E8</v>
      </c>
      <c r="W5297" s="1" t="s">
        <v>577</v>
      </c>
      <c r="X5297" s="1" t="s">
        <v>12065</v>
      </c>
    </row>
    <row r="5298">
      <c r="A5298" s="1" t="s">
        <v>14734</v>
      </c>
      <c r="B5298" s="1" t="s">
        <v>8183</v>
      </c>
      <c r="C5298" s="1" t="s">
        <v>14735</v>
      </c>
      <c r="D5298" s="1" t="s">
        <v>51</v>
      </c>
      <c r="E5298" s="1" t="s">
        <v>29</v>
      </c>
      <c r="F5298" s="5">
        <v>17000.0</v>
      </c>
      <c r="G5298" s="1" t="s">
        <v>7016</v>
      </c>
      <c r="H5298" s="1" t="s">
        <v>1215</v>
      </c>
      <c r="I5298" s="1" t="s">
        <v>302</v>
      </c>
      <c r="K5298" s="1">
        <v>0.0</v>
      </c>
      <c r="L5298" s="1" t="s">
        <v>11159</v>
      </c>
      <c r="M5298" s="1" t="str">
        <f>VLOOKUP(L5298,'Copy of PMD Workday Constants -'!B5297:W5983,22,false)</f>
        <v>#N/A</v>
      </c>
      <c r="N5298" s="1" t="s">
        <v>32</v>
      </c>
      <c r="O5298" s="1" t="s">
        <v>33</v>
      </c>
      <c r="P5298" s="1" t="s">
        <v>222</v>
      </c>
      <c r="Q5298" s="1" t="s">
        <v>222</v>
      </c>
      <c r="R5298" s="1" t="s">
        <v>223</v>
      </c>
      <c r="S5298" s="1" t="s">
        <v>482</v>
      </c>
      <c r="T5298" s="1">
        <v>1.00602248E8</v>
      </c>
      <c r="W5298" s="1" t="s">
        <v>85</v>
      </c>
      <c r="X5298" s="1" t="s">
        <v>12065</v>
      </c>
    </row>
    <row r="5299">
      <c r="A5299" s="1" t="s">
        <v>14736</v>
      </c>
      <c r="B5299" s="1" t="s">
        <v>4825</v>
      </c>
      <c r="C5299" s="1" t="s">
        <v>14737</v>
      </c>
      <c r="D5299" s="1" t="s">
        <v>28</v>
      </c>
      <c r="E5299" s="1" t="s">
        <v>29</v>
      </c>
      <c r="F5299" s="5">
        <v>17000.0</v>
      </c>
      <c r="G5299" s="1" t="s">
        <v>7016</v>
      </c>
      <c r="H5299" s="4">
        <v>44420.0</v>
      </c>
      <c r="I5299" s="1" t="s">
        <v>43</v>
      </c>
      <c r="K5299" s="1">
        <v>0.0</v>
      </c>
      <c r="L5299" s="1" t="s">
        <v>11159</v>
      </c>
      <c r="M5299" s="1" t="str">
        <f>VLOOKUP(L5299,'Copy of PMD Workday Constants -'!B5298:W5984,22,false)</f>
        <v>#N/A</v>
      </c>
      <c r="N5299" s="1" t="s">
        <v>32</v>
      </c>
      <c r="O5299" s="1" t="s">
        <v>33</v>
      </c>
      <c r="P5299" s="1" t="s">
        <v>222</v>
      </c>
      <c r="Q5299" s="1" t="s">
        <v>222</v>
      </c>
      <c r="R5299" s="1" t="s">
        <v>223</v>
      </c>
      <c r="S5299" s="1" t="s">
        <v>482</v>
      </c>
      <c r="T5299" s="1">
        <v>1.00602248E8</v>
      </c>
      <c r="W5299" s="1" t="s">
        <v>56</v>
      </c>
      <c r="X5299" s="1" t="s">
        <v>14284</v>
      </c>
    </row>
    <row r="5300">
      <c r="A5300" s="1" t="s">
        <v>14738</v>
      </c>
      <c r="B5300" s="1" t="s">
        <v>14739</v>
      </c>
      <c r="C5300" s="1" t="s">
        <v>14740</v>
      </c>
      <c r="D5300" s="1" t="s">
        <v>28</v>
      </c>
      <c r="E5300" s="1" t="s">
        <v>29</v>
      </c>
      <c r="F5300" s="5">
        <v>17000.0</v>
      </c>
      <c r="G5300" s="1" t="s">
        <v>7016</v>
      </c>
      <c r="H5300" s="4">
        <v>44296.0</v>
      </c>
      <c r="I5300" s="1" t="s">
        <v>43</v>
      </c>
      <c r="K5300" s="1">
        <v>0.0</v>
      </c>
      <c r="L5300" s="1" t="s">
        <v>11159</v>
      </c>
      <c r="M5300" s="1" t="str">
        <f>VLOOKUP(L5300,'Copy of PMD Workday Constants -'!B5299:W5985,22,false)</f>
        <v>#N/A</v>
      </c>
      <c r="N5300" s="1" t="s">
        <v>32</v>
      </c>
      <c r="O5300" s="1" t="s">
        <v>33</v>
      </c>
      <c r="P5300" s="1" t="s">
        <v>222</v>
      </c>
      <c r="Q5300" s="1" t="s">
        <v>222</v>
      </c>
      <c r="R5300" s="1" t="s">
        <v>223</v>
      </c>
      <c r="S5300" s="1" t="s">
        <v>482</v>
      </c>
      <c r="T5300" s="1">
        <v>1.00602248E8</v>
      </c>
      <c r="W5300" s="1" t="s">
        <v>308</v>
      </c>
      <c r="X5300" s="1" t="s">
        <v>12989</v>
      </c>
    </row>
    <row r="5301">
      <c r="A5301" s="1" t="s">
        <v>14741</v>
      </c>
      <c r="B5301" s="1" t="s">
        <v>6453</v>
      </c>
      <c r="C5301" s="1" t="s">
        <v>14742</v>
      </c>
      <c r="D5301" s="1" t="s">
        <v>51</v>
      </c>
      <c r="E5301" s="1" t="s">
        <v>29</v>
      </c>
      <c r="F5301" s="5">
        <v>17000.0</v>
      </c>
      <c r="G5301" s="1" t="s">
        <v>7016</v>
      </c>
      <c r="H5301" s="4">
        <v>44420.0</v>
      </c>
      <c r="I5301" s="1" t="s">
        <v>302</v>
      </c>
      <c r="K5301" s="1">
        <v>0.0</v>
      </c>
      <c r="L5301" s="1" t="s">
        <v>11159</v>
      </c>
      <c r="M5301" s="1" t="str">
        <f>VLOOKUP(L5301,'Copy of PMD Workday Constants -'!B5300:W5986,22,false)</f>
        <v>#N/A</v>
      </c>
      <c r="N5301" s="1" t="s">
        <v>32</v>
      </c>
      <c r="O5301" s="1" t="s">
        <v>33</v>
      </c>
      <c r="P5301" s="1" t="s">
        <v>222</v>
      </c>
      <c r="Q5301" s="1" t="s">
        <v>222</v>
      </c>
      <c r="R5301" s="1" t="s">
        <v>223</v>
      </c>
      <c r="S5301" s="1" t="s">
        <v>482</v>
      </c>
      <c r="T5301" s="1">
        <v>1.00602248E8</v>
      </c>
      <c r="W5301" s="1" t="s">
        <v>250</v>
      </c>
      <c r="X5301" s="1" t="s">
        <v>12989</v>
      </c>
    </row>
    <row r="5302">
      <c r="A5302" s="1" t="s">
        <v>14743</v>
      </c>
      <c r="B5302" s="1" t="s">
        <v>4968</v>
      </c>
      <c r="C5302" s="1" t="s">
        <v>14744</v>
      </c>
      <c r="D5302" s="1" t="s">
        <v>51</v>
      </c>
      <c r="E5302" s="1" t="s">
        <v>29</v>
      </c>
      <c r="F5302" s="5">
        <v>17000.0</v>
      </c>
      <c r="G5302" s="1" t="s">
        <v>7016</v>
      </c>
      <c r="H5302" s="1" t="s">
        <v>3673</v>
      </c>
      <c r="I5302" s="1" t="s">
        <v>191</v>
      </c>
      <c r="K5302" s="1">
        <v>0.0</v>
      </c>
      <c r="L5302" s="1" t="s">
        <v>11159</v>
      </c>
      <c r="M5302" s="1" t="str">
        <f>VLOOKUP(L5302,'Copy of PMD Workday Constants -'!B5301:W5987,22,false)</f>
        <v>#N/A</v>
      </c>
      <c r="N5302" s="1" t="s">
        <v>32</v>
      </c>
      <c r="O5302" s="1" t="s">
        <v>33</v>
      </c>
      <c r="P5302" s="1" t="s">
        <v>222</v>
      </c>
      <c r="Q5302" s="1" t="s">
        <v>222</v>
      </c>
      <c r="R5302" s="1" t="s">
        <v>223</v>
      </c>
      <c r="T5302" s="1">
        <v>1.00602248E8</v>
      </c>
      <c r="W5302" s="1" t="s">
        <v>456</v>
      </c>
      <c r="X5302" s="1" t="s">
        <v>12065</v>
      </c>
    </row>
    <row r="5303">
      <c r="A5303" s="1" t="s">
        <v>14745</v>
      </c>
      <c r="B5303" s="1" t="s">
        <v>14746</v>
      </c>
      <c r="C5303" s="1" t="s">
        <v>14747</v>
      </c>
      <c r="D5303" s="1" t="s">
        <v>51</v>
      </c>
      <c r="E5303" s="1" t="s">
        <v>29</v>
      </c>
      <c r="F5303" s="5">
        <v>17000.0</v>
      </c>
      <c r="G5303" s="1" t="s">
        <v>7016</v>
      </c>
      <c r="H5303" s="4">
        <v>44420.0</v>
      </c>
      <c r="I5303" s="1" t="s">
        <v>43</v>
      </c>
      <c r="K5303" s="1">
        <v>0.0</v>
      </c>
      <c r="L5303" s="1" t="s">
        <v>11159</v>
      </c>
      <c r="M5303" s="1" t="str">
        <f>VLOOKUP(L5303,'Copy of PMD Workday Constants -'!B5302:W5988,22,false)</f>
        <v>#N/A</v>
      </c>
      <c r="N5303" s="1" t="s">
        <v>32</v>
      </c>
      <c r="O5303" s="1" t="s">
        <v>33</v>
      </c>
      <c r="P5303" s="1" t="s">
        <v>222</v>
      </c>
      <c r="Q5303" s="1" t="s">
        <v>222</v>
      </c>
      <c r="R5303" s="1" t="s">
        <v>223</v>
      </c>
      <c r="S5303" s="1" t="s">
        <v>14281</v>
      </c>
      <c r="T5303" s="1">
        <v>1.00602248E8</v>
      </c>
      <c r="W5303" s="1" t="s">
        <v>56</v>
      </c>
      <c r="X5303" s="1" t="s">
        <v>12989</v>
      </c>
    </row>
    <row r="5304">
      <c r="A5304" s="1" t="s">
        <v>14748</v>
      </c>
      <c r="B5304" s="1" t="s">
        <v>13220</v>
      </c>
      <c r="C5304" s="1" t="s">
        <v>14749</v>
      </c>
      <c r="D5304" s="1" t="s">
        <v>28</v>
      </c>
      <c r="E5304" s="1" t="s">
        <v>29</v>
      </c>
      <c r="F5304" s="5">
        <v>17000.0</v>
      </c>
      <c r="G5304" s="1" t="s">
        <v>7016</v>
      </c>
      <c r="H5304" s="1" t="s">
        <v>1570</v>
      </c>
      <c r="I5304" s="1" t="s">
        <v>43</v>
      </c>
      <c r="K5304" s="1">
        <v>0.0</v>
      </c>
      <c r="L5304" s="1" t="s">
        <v>11159</v>
      </c>
      <c r="M5304" s="1" t="str">
        <f>VLOOKUP(L5304,'Copy of PMD Workday Constants -'!B5303:W5989,22,false)</f>
        <v>#N/A</v>
      </c>
      <c r="N5304" s="1" t="s">
        <v>32</v>
      </c>
      <c r="O5304" s="1" t="s">
        <v>33</v>
      </c>
      <c r="P5304" s="1" t="s">
        <v>222</v>
      </c>
      <c r="Q5304" s="1" t="s">
        <v>222</v>
      </c>
      <c r="R5304" s="1" t="s">
        <v>223</v>
      </c>
      <c r="S5304" s="1" t="s">
        <v>482</v>
      </c>
      <c r="T5304" s="1">
        <v>1.00602248E8</v>
      </c>
      <c r="W5304" s="1" t="s">
        <v>74</v>
      </c>
      <c r="X5304" s="1" t="s">
        <v>12989</v>
      </c>
    </row>
    <row r="5305">
      <c r="A5305" s="1" t="s">
        <v>14750</v>
      </c>
      <c r="B5305" s="1" t="s">
        <v>14751</v>
      </c>
      <c r="C5305" s="1" t="s">
        <v>14752</v>
      </c>
      <c r="D5305" s="1" t="s">
        <v>28</v>
      </c>
      <c r="E5305" s="1" t="s">
        <v>29</v>
      </c>
      <c r="F5305" s="5">
        <v>17000.0</v>
      </c>
      <c r="G5305" s="1" t="s">
        <v>7016</v>
      </c>
      <c r="H5305" s="1" t="s">
        <v>2837</v>
      </c>
      <c r="I5305" s="1" t="s">
        <v>43</v>
      </c>
      <c r="K5305" s="1">
        <v>0.0</v>
      </c>
      <c r="L5305" s="1" t="s">
        <v>11159</v>
      </c>
      <c r="M5305" s="1" t="str">
        <f>VLOOKUP(L5305,'Copy of PMD Workday Constants -'!B5304:W5990,22,false)</f>
        <v>#N/A</v>
      </c>
      <c r="N5305" s="1" t="s">
        <v>32</v>
      </c>
      <c r="O5305" s="1" t="s">
        <v>33</v>
      </c>
      <c r="P5305" s="1" t="s">
        <v>222</v>
      </c>
      <c r="Q5305" s="1" t="s">
        <v>222</v>
      </c>
      <c r="R5305" s="1" t="s">
        <v>223</v>
      </c>
      <c r="S5305" s="1" t="s">
        <v>14753</v>
      </c>
      <c r="T5305" s="1">
        <v>1.00602248E8</v>
      </c>
      <c r="W5305" s="1" t="s">
        <v>456</v>
      </c>
      <c r="X5305" s="1" t="s">
        <v>12989</v>
      </c>
    </row>
    <row r="5306">
      <c r="A5306" s="1" t="s">
        <v>14754</v>
      </c>
      <c r="B5306" s="1" t="s">
        <v>14755</v>
      </c>
      <c r="C5306" s="1" t="s">
        <v>14756</v>
      </c>
      <c r="D5306" s="1" t="s">
        <v>28</v>
      </c>
      <c r="E5306" s="1" t="s">
        <v>29</v>
      </c>
      <c r="F5306" s="5">
        <v>17000.0</v>
      </c>
      <c r="G5306" s="1" t="s">
        <v>7016</v>
      </c>
      <c r="H5306" s="1" t="s">
        <v>1570</v>
      </c>
      <c r="I5306" s="1" t="s">
        <v>43</v>
      </c>
      <c r="K5306" s="1">
        <v>0.0</v>
      </c>
      <c r="L5306" s="1" t="s">
        <v>11159</v>
      </c>
      <c r="M5306" s="1" t="str">
        <f>VLOOKUP(L5306,'Copy of PMD Workday Constants -'!B5305:W5991,22,false)</f>
        <v>#N/A</v>
      </c>
      <c r="N5306" s="1" t="s">
        <v>32</v>
      </c>
      <c r="O5306" s="1" t="s">
        <v>33</v>
      </c>
      <c r="P5306" s="1" t="s">
        <v>222</v>
      </c>
      <c r="Q5306" s="1" t="s">
        <v>222</v>
      </c>
      <c r="R5306" s="1" t="s">
        <v>223</v>
      </c>
      <c r="S5306" s="1" t="s">
        <v>482</v>
      </c>
      <c r="T5306" s="1">
        <v>1.00602248E8</v>
      </c>
      <c r="W5306" s="1" t="s">
        <v>2098</v>
      </c>
      <c r="X5306" s="1" t="s">
        <v>12989</v>
      </c>
    </row>
    <row r="5307">
      <c r="A5307" s="1" t="s">
        <v>14757</v>
      </c>
      <c r="B5307" s="1" t="s">
        <v>1090</v>
      </c>
      <c r="C5307" s="1" t="s">
        <v>14758</v>
      </c>
      <c r="D5307" s="1" t="s">
        <v>28</v>
      </c>
      <c r="E5307" s="1" t="s">
        <v>29</v>
      </c>
      <c r="F5307" s="5">
        <v>17000.0</v>
      </c>
      <c r="G5307" s="1" t="s">
        <v>7016</v>
      </c>
      <c r="H5307" s="1" t="s">
        <v>1015</v>
      </c>
      <c r="I5307" s="1" t="s">
        <v>43</v>
      </c>
      <c r="K5307" s="1">
        <v>0.0</v>
      </c>
      <c r="L5307" s="1" t="s">
        <v>11159</v>
      </c>
      <c r="M5307" s="1" t="str">
        <f>VLOOKUP(L5307,'Copy of PMD Workday Constants -'!B5306:W5992,22,false)</f>
        <v>#N/A</v>
      </c>
      <c r="N5307" s="1" t="s">
        <v>32</v>
      </c>
      <c r="O5307" s="1" t="s">
        <v>33</v>
      </c>
      <c r="P5307" s="1" t="s">
        <v>222</v>
      </c>
      <c r="Q5307" s="1" t="s">
        <v>222</v>
      </c>
      <c r="R5307" s="1" t="s">
        <v>223</v>
      </c>
      <c r="S5307" s="1" t="s">
        <v>482</v>
      </c>
      <c r="T5307" s="1">
        <v>1.00602248E8</v>
      </c>
      <c r="W5307" s="1" t="s">
        <v>74</v>
      </c>
      <c r="X5307" s="1" t="s">
        <v>12989</v>
      </c>
    </row>
    <row r="5308">
      <c r="A5308" s="1" t="s">
        <v>14759</v>
      </c>
      <c r="B5308" s="1" t="s">
        <v>515</v>
      </c>
      <c r="C5308" s="1" t="s">
        <v>14760</v>
      </c>
      <c r="D5308" s="1" t="s">
        <v>28</v>
      </c>
      <c r="E5308" s="1" t="s">
        <v>29</v>
      </c>
      <c r="F5308" s="5">
        <v>17000.0</v>
      </c>
      <c r="G5308" s="1" t="s">
        <v>7016</v>
      </c>
      <c r="H5308" s="4">
        <v>44297.0</v>
      </c>
      <c r="I5308" s="1" t="s">
        <v>43</v>
      </c>
      <c r="K5308" s="1">
        <v>0.0</v>
      </c>
      <c r="L5308" s="1" t="s">
        <v>11159</v>
      </c>
      <c r="M5308" s="1" t="str">
        <f>VLOOKUP(L5308,'Copy of PMD Workday Constants -'!B5307:W5993,22,false)</f>
        <v>#N/A</v>
      </c>
      <c r="N5308" s="1" t="s">
        <v>32</v>
      </c>
      <c r="O5308" s="1" t="s">
        <v>33</v>
      </c>
      <c r="P5308" s="1" t="s">
        <v>222</v>
      </c>
      <c r="Q5308" s="1" t="s">
        <v>222</v>
      </c>
      <c r="R5308" s="1" t="s">
        <v>223</v>
      </c>
      <c r="S5308" s="1" t="s">
        <v>14281</v>
      </c>
      <c r="T5308" s="1">
        <v>1.00602248E8</v>
      </c>
      <c r="W5308" s="1" t="s">
        <v>85</v>
      </c>
      <c r="X5308" s="1" t="s">
        <v>14284</v>
      </c>
    </row>
    <row r="5309">
      <c r="A5309" s="1" t="s">
        <v>14761</v>
      </c>
      <c r="B5309" s="1" t="s">
        <v>14762</v>
      </c>
      <c r="C5309" s="1" t="s">
        <v>14763</v>
      </c>
      <c r="D5309" s="1" t="s">
        <v>28</v>
      </c>
      <c r="E5309" s="1" t="s">
        <v>29</v>
      </c>
      <c r="F5309" s="5">
        <v>17000.0</v>
      </c>
      <c r="G5309" s="1" t="s">
        <v>7016</v>
      </c>
      <c r="H5309" s="4">
        <v>44297.0</v>
      </c>
      <c r="I5309" s="1" t="s">
        <v>43</v>
      </c>
      <c r="K5309" s="1">
        <v>0.0</v>
      </c>
      <c r="L5309" s="1" t="s">
        <v>11159</v>
      </c>
      <c r="M5309" s="1" t="str">
        <f>VLOOKUP(L5309,'Copy of PMD Workday Constants -'!B5308:W5994,22,false)</f>
        <v>#N/A</v>
      </c>
      <c r="N5309" s="1" t="s">
        <v>32</v>
      </c>
      <c r="O5309" s="1" t="s">
        <v>33</v>
      </c>
      <c r="P5309" s="1" t="s">
        <v>222</v>
      </c>
      <c r="Q5309" s="1" t="s">
        <v>222</v>
      </c>
      <c r="R5309" s="1" t="s">
        <v>223</v>
      </c>
      <c r="S5309" s="1" t="s">
        <v>14281</v>
      </c>
      <c r="T5309" s="1">
        <v>1.00602248E8</v>
      </c>
      <c r="W5309" s="1" t="s">
        <v>47</v>
      </c>
      <c r="X5309" s="1" t="s">
        <v>12989</v>
      </c>
    </row>
    <row r="5310">
      <c r="A5310" s="1" t="s">
        <v>14764</v>
      </c>
      <c r="B5310" s="1" t="s">
        <v>4820</v>
      </c>
      <c r="C5310" s="1" t="s">
        <v>14765</v>
      </c>
      <c r="D5310" s="1" t="s">
        <v>28</v>
      </c>
      <c r="E5310" s="1" t="s">
        <v>29</v>
      </c>
      <c r="F5310" s="5">
        <v>17000.0</v>
      </c>
      <c r="G5310" s="1" t="s">
        <v>7016</v>
      </c>
      <c r="H5310" s="1" t="s">
        <v>3042</v>
      </c>
      <c r="I5310" s="1" t="s">
        <v>43</v>
      </c>
      <c r="K5310" s="1">
        <v>0.0</v>
      </c>
      <c r="L5310" s="1" t="s">
        <v>11159</v>
      </c>
      <c r="M5310" s="1" t="str">
        <f>VLOOKUP(L5310,'Copy of PMD Workday Constants -'!B5309:W5995,22,false)</f>
        <v>#N/A</v>
      </c>
      <c r="N5310" s="1" t="s">
        <v>32</v>
      </c>
      <c r="O5310" s="1" t="s">
        <v>33</v>
      </c>
      <c r="P5310" s="1" t="s">
        <v>222</v>
      </c>
      <c r="Q5310" s="1" t="s">
        <v>222</v>
      </c>
      <c r="R5310" s="1" t="s">
        <v>223</v>
      </c>
      <c r="S5310" s="1" t="s">
        <v>482</v>
      </c>
      <c r="T5310" s="1">
        <v>1.00602248E8</v>
      </c>
      <c r="W5310" s="1" t="s">
        <v>74</v>
      </c>
      <c r="X5310" s="1" t="s">
        <v>12989</v>
      </c>
    </row>
    <row r="5311">
      <c r="A5311" s="1" t="s">
        <v>14766</v>
      </c>
      <c r="B5311" s="1" t="s">
        <v>4820</v>
      </c>
      <c r="C5311" s="1" t="s">
        <v>14765</v>
      </c>
      <c r="D5311" s="1" t="s">
        <v>51</v>
      </c>
      <c r="E5311" s="1" t="s">
        <v>29</v>
      </c>
      <c r="F5311" s="5">
        <v>17000.0</v>
      </c>
      <c r="G5311" s="1" t="s">
        <v>7016</v>
      </c>
      <c r="H5311" s="1" t="s">
        <v>3042</v>
      </c>
      <c r="I5311" s="1" t="s">
        <v>302</v>
      </c>
      <c r="K5311" s="1">
        <v>0.0</v>
      </c>
      <c r="L5311" s="1" t="s">
        <v>11159</v>
      </c>
      <c r="M5311" s="1" t="str">
        <f>VLOOKUP(L5311,'Copy of PMD Workday Constants -'!B5310:W5996,22,false)</f>
        <v>#N/A</v>
      </c>
      <c r="N5311" s="1" t="s">
        <v>32</v>
      </c>
      <c r="O5311" s="1" t="s">
        <v>33</v>
      </c>
      <c r="P5311" s="1" t="s">
        <v>222</v>
      </c>
      <c r="Q5311" s="1" t="s">
        <v>222</v>
      </c>
      <c r="R5311" s="1" t="s">
        <v>223</v>
      </c>
      <c r="S5311" s="1" t="s">
        <v>14767</v>
      </c>
      <c r="T5311" s="1">
        <v>1.00602248E8</v>
      </c>
      <c r="W5311" s="1" t="s">
        <v>74</v>
      </c>
      <c r="X5311" s="1" t="s">
        <v>12065</v>
      </c>
    </row>
    <row r="5312">
      <c r="A5312" s="1" t="s">
        <v>14768</v>
      </c>
      <c r="B5312" s="1" t="s">
        <v>14769</v>
      </c>
      <c r="C5312" s="1" t="s">
        <v>14770</v>
      </c>
      <c r="D5312" s="1" t="s">
        <v>28</v>
      </c>
      <c r="E5312" s="1" t="s">
        <v>29</v>
      </c>
      <c r="F5312" s="5">
        <v>17000.0</v>
      </c>
      <c r="G5312" s="1" t="s">
        <v>7016</v>
      </c>
      <c r="H5312" s="1" t="s">
        <v>3042</v>
      </c>
      <c r="I5312" s="1" t="s">
        <v>43</v>
      </c>
      <c r="K5312" s="1">
        <v>0.0</v>
      </c>
      <c r="L5312" s="1" t="s">
        <v>11159</v>
      </c>
      <c r="M5312" s="1" t="str">
        <f>VLOOKUP(L5312,'Copy of PMD Workday Constants -'!B5311:W5997,22,false)</f>
        <v>#N/A</v>
      </c>
      <c r="N5312" s="1" t="s">
        <v>32</v>
      </c>
      <c r="O5312" s="1" t="s">
        <v>33</v>
      </c>
      <c r="P5312" s="1" t="s">
        <v>222</v>
      </c>
      <c r="Q5312" s="1" t="s">
        <v>222</v>
      </c>
      <c r="R5312" s="1" t="s">
        <v>223</v>
      </c>
      <c r="S5312" s="1" t="s">
        <v>14767</v>
      </c>
      <c r="T5312" s="1">
        <v>1.00602248E8</v>
      </c>
      <c r="W5312" s="1" t="s">
        <v>115</v>
      </c>
      <c r="X5312" s="1" t="s">
        <v>12989</v>
      </c>
    </row>
    <row r="5313">
      <c r="A5313" s="1" t="s">
        <v>14771</v>
      </c>
      <c r="B5313" s="1" t="s">
        <v>954</v>
      </c>
      <c r="C5313" s="1" t="s">
        <v>14772</v>
      </c>
      <c r="D5313" s="1" t="s">
        <v>28</v>
      </c>
      <c r="E5313" s="1" t="s">
        <v>29</v>
      </c>
      <c r="F5313" s="5">
        <v>17000.0</v>
      </c>
      <c r="G5313" s="1" t="s">
        <v>7016</v>
      </c>
      <c r="H5313" s="1" t="s">
        <v>3042</v>
      </c>
      <c r="I5313" s="1" t="s">
        <v>421</v>
      </c>
      <c r="K5313" s="1">
        <v>0.0</v>
      </c>
      <c r="L5313" s="1" t="s">
        <v>11159</v>
      </c>
      <c r="M5313" s="1" t="str">
        <f>VLOOKUP(L5313,'Copy of PMD Workday Constants -'!B5312:W5998,22,false)</f>
        <v>#N/A</v>
      </c>
      <c r="N5313" s="1" t="s">
        <v>32</v>
      </c>
      <c r="O5313" s="1" t="s">
        <v>33</v>
      </c>
      <c r="P5313" s="1" t="s">
        <v>222</v>
      </c>
      <c r="Q5313" s="1" t="s">
        <v>222</v>
      </c>
      <c r="R5313" s="1" t="s">
        <v>223</v>
      </c>
      <c r="S5313" s="1" t="s">
        <v>14767</v>
      </c>
      <c r="T5313" s="1">
        <v>1.00602248E8</v>
      </c>
      <c r="W5313" s="1" t="s">
        <v>147</v>
      </c>
      <c r="X5313" s="1" t="s">
        <v>12065</v>
      </c>
    </row>
    <row r="5314">
      <c r="A5314" s="1" t="s">
        <v>14773</v>
      </c>
      <c r="B5314" s="1" t="s">
        <v>14774</v>
      </c>
      <c r="C5314" s="1" t="s">
        <v>14775</v>
      </c>
      <c r="D5314" s="1" t="s">
        <v>51</v>
      </c>
      <c r="E5314" s="1" t="s">
        <v>29</v>
      </c>
      <c r="F5314" s="5">
        <v>17000.0</v>
      </c>
      <c r="G5314" s="1" t="s">
        <v>7016</v>
      </c>
      <c r="H5314" s="1" t="s">
        <v>10299</v>
      </c>
      <c r="I5314" s="1" t="s">
        <v>302</v>
      </c>
      <c r="K5314" s="1">
        <v>0.0</v>
      </c>
      <c r="L5314" s="1" t="s">
        <v>11159</v>
      </c>
      <c r="M5314" s="1" t="str">
        <f>VLOOKUP(L5314,'Copy of PMD Workday Constants -'!B5313:W5999,22,false)</f>
        <v>#N/A</v>
      </c>
      <c r="N5314" s="1" t="s">
        <v>32</v>
      </c>
      <c r="O5314" s="1" t="s">
        <v>33</v>
      </c>
      <c r="P5314" s="1" t="s">
        <v>222</v>
      </c>
      <c r="Q5314" s="1" t="s">
        <v>222</v>
      </c>
      <c r="R5314" s="1" t="s">
        <v>223</v>
      </c>
      <c r="S5314" s="1" t="s">
        <v>482</v>
      </c>
      <c r="T5314" s="1">
        <v>1.00602248E8</v>
      </c>
      <c r="W5314" s="1" t="s">
        <v>2098</v>
      </c>
      <c r="X5314" s="1" t="s">
        <v>12989</v>
      </c>
    </row>
    <row r="5315">
      <c r="A5315" s="1" t="s">
        <v>14776</v>
      </c>
      <c r="B5315" s="1" t="s">
        <v>14777</v>
      </c>
      <c r="C5315" s="1" t="s">
        <v>14778</v>
      </c>
      <c r="D5315" s="1" t="s">
        <v>103</v>
      </c>
      <c r="E5315" s="1" t="s">
        <v>29</v>
      </c>
      <c r="F5315" s="5">
        <v>16537.5</v>
      </c>
      <c r="G5315" s="1" t="s">
        <v>7016</v>
      </c>
      <c r="H5315" s="1" t="s">
        <v>1287</v>
      </c>
      <c r="I5315" s="1" t="s">
        <v>865</v>
      </c>
      <c r="K5315" s="1">
        <v>0.0</v>
      </c>
      <c r="L5315" s="1" t="s">
        <v>3408</v>
      </c>
      <c r="M5315" s="1" t="str">
        <f>VLOOKUP(L5315,'Copy of PMD Workday Constants -'!B5314:W6000,22,false)</f>
        <v>#N/A</v>
      </c>
      <c r="N5315" s="1" t="s">
        <v>32</v>
      </c>
      <c r="O5315" s="1" t="s">
        <v>33</v>
      </c>
      <c r="P5315" s="1" t="s">
        <v>222</v>
      </c>
      <c r="Q5315" s="1" t="s">
        <v>222</v>
      </c>
      <c r="R5315" s="1" t="s">
        <v>223</v>
      </c>
      <c r="S5315" s="1" t="s">
        <v>482</v>
      </c>
      <c r="T5315" s="1">
        <v>1.0066189E8</v>
      </c>
      <c r="W5315" s="1" t="s">
        <v>436</v>
      </c>
      <c r="X5315" s="1" t="s">
        <v>817</v>
      </c>
    </row>
    <row r="5316">
      <c r="A5316" s="1" t="s">
        <v>14779</v>
      </c>
      <c r="B5316" s="1" t="s">
        <v>14780</v>
      </c>
      <c r="C5316" s="1" t="s">
        <v>14781</v>
      </c>
      <c r="D5316" s="1" t="s">
        <v>51</v>
      </c>
      <c r="E5316" s="1" t="s">
        <v>29</v>
      </c>
      <c r="F5316" s="5">
        <v>16000.0</v>
      </c>
      <c r="G5316" s="1" t="s">
        <v>7016</v>
      </c>
      <c r="H5316" s="4">
        <v>44779.0</v>
      </c>
      <c r="I5316" s="1" t="s">
        <v>131</v>
      </c>
      <c r="K5316" s="1">
        <v>0.0</v>
      </c>
      <c r="L5316" s="1" t="s">
        <v>8293</v>
      </c>
      <c r="M5316" s="1" t="str">
        <f>VLOOKUP(L5316,'Copy of PMD Workday Constants -'!B5315:W6001,22,false)</f>
        <v>#N/A</v>
      </c>
      <c r="N5316" s="1" t="s">
        <v>32</v>
      </c>
      <c r="O5316" s="1" t="s">
        <v>33</v>
      </c>
      <c r="P5316" s="1" t="s">
        <v>5253</v>
      </c>
      <c r="Q5316" s="1" t="s">
        <v>5253</v>
      </c>
      <c r="R5316" s="1" t="s">
        <v>65</v>
      </c>
      <c r="T5316" s="1">
        <v>1.00591676E8</v>
      </c>
      <c r="W5316" s="1" t="s">
        <v>37</v>
      </c>
      <c r="X5316" s="1" t="s">
        <v>13309</v>
      </c>
    </row>
    <row r="5317">
      <c r="A5317" s="1" t="s">
        <v>14782</v>
      </c>
      <c r="B5317" s="1" t="s">
        <v>6414</v>
      </c>
      <c r="C5317" s="1" t="s">
        <v>14783</v>
      </c>
      <c r="D5317" s="1" t="s">
        <v>103</v>
      </c>
      <c r="E5317" s="1" t="s">
        <v>29</v>
      </c>
      <c r="F5317" s="5">
        <v>15048.15</v>
      </c>
      <c r="G5317" s="1" t="s">
        <v>7016</v>
      </c>
      <c r="H5317" s="4">
        <v>44384.0</v>
      </c>
      <c r="I5317" s="1" t="s">
        <v>104</v>
      </c>
      <c r="K5317" s="1">
        <v>0.0</v>
      </c>
      <c r="L5317" s="1" t="s">
        <v>7637</v>
      </c>
      <c r="M5317" s="1" t="str">
        <f>VLOOKUP(L5317,'Copy of PMD Workday Constants -'!B5316:W6002,22,false)</f>
        <v>#N/A</v>
      </c>
      <c r="N5317" s="1" t="s">
        <v>32</v>
      </c>
      <c r="O5317" s="1" t="s">
        <v>33</v>
      </c>
      <c r="P5317" s="1" t="s">
        <v>5253</v>
      </c>
      <c r="Q5317" s="1" t="s">
        <v>5253</v>
      </c>
      <c r="R5317" s="1" t="s">
        <v>35</v>
      </c>
      <c r="S5317" s="1" t="s">
        <v>307</v>
      </c>
      <c r="T5317" s="1">
        <v>1.00613849E8</v>
      </c>
      <c r="W5317" s="1" t="s">
        <v>308</v>
      </c>
      <c r="X5317" s="1" t="s">
        <v>11895</v>
      </c>
    </row>
    <row r="5318">
      <c r="A5318" s="1" t="s">
        <v>14784</v>
      </c>
      <c r="B5318" s="1" t="s">
        <v>4980</v>
      </c>
      <c r="C5318" s="1" t="s">
        <v>14785</v>
      </c>
      <c r="D5318" s="1" t="s">
        <v>103</v>
      </c>
      <c r="E5318" s="1" t="s">
        <v>29</v>
      </c>
      <c r="F5318" s="5">
        <v>15000.0</v>
      </c>
      <c r="G5318" s="1" t="s">
        <v>7016</v>
      </c>
      <c r="H5318" s="4">
        <v>44625.0</v>
      </c>
      <c r="I5318" s="1" t="s">
        <v>526</v>
      </c>
      <c r="K5318" s="1">
        <v>0.0</v>
      </c>
      <c r="L5318" s="1" t="s">
        <v>5231</v>
      </c>
      <c r="M5318" s="1" t="str">
        <f>VLOOKUP(L5318,'Copy of PMD Workday Constants -'!B5317:W6003,22,false)</f>
        <v>#N/A</v>
      </c>
      <c r="N5318" s="1" t="s">
        <v>32</v>
      </c>
      <c r="O5318" s="1" t="s">
        <v>33</v>
      </c>
      <c r="P5318" s="1" t="s">
        <v>64</v>
      </c>
      <c r="Q5318" s="1" t="s">
        <v>64</v>
      </c>
      <c r="R5318" s="1" t="s">
        <v>65</v>
      </c>
      <c r="T5318" s="1">
        <v>1.01090224E8</v>
      </c>
      <c r="U5318" s="1" t="s">
        <v>14786</v>
      </c>
      <c r="V5318" s="1" t="s">
        <v>781</v>
      </c>
      <c r="W5318" s="1" t="s">
        <v>85</v>
      </c>
      <c r="X5318" s="1" t="s">
        <v>14787</v>
      </c>
    </row>
    <row r="5319">
      <c r="A5319" s="1" t="s">
        <v>14788</v>
      </c>
      <c r="B5319" s="1" t="s">
        <v>14789</v>
      </c>
      <c r="C5319" s="1" t="s">
        <v>14790</v>
      </c>
      <c r="D5319" s="1" t="s">
        <v>28</v>
      </c>
      <c r="E5319" s="1" t="s">
        <v>29</v>
      </c>
      <c r="F5319" s="5">
        <v>14500.0</v>
      </c>
      <c r="G5319" s="1" t="s">
        <v>7016</v>
      </c>
      <c r="H5319" s="1" t="s">
        <v>5552</v>
      </c>
      <c r="I5319" s="1" t="s">
        <v>302</v>
      </c>
      <c r="K5319" s="1">
        <v>0.0</v>
      </c>
      <c r="L5319" s="1" t="s">
        <v>11159</v>
      </c>
      <c r="M5319" s="1" t="str">
        <f>VLOOKUP(L5319,'Copy of PMD Workday Constants -'!B5318:W6004,22,false)</f>
        <v>#N/A</v>
      </c>
      <c r="N5319" s="1" t="s">
        <v>32</v>
      </c>
      <c r="O5319" s="1" t="s">
        <v>33</v>
      </c>
      <c r="P5319" s="1" t="s">
        <v>222</v>
      </c>
      <c r="Q5319" s="1" t="s">
        <v>222</v>
      </c>
      <c r="R5319" s="1" t="s">
        <v>223</v>
      </c>
      <c r="S5319" s="1" t="s">
        <v>482</v>
      </c>
      <c r="T5319" s="1">
        <v>1.00602248E8</v>
      </c>
      <c r="W5319" s="1" t="s">
        <v>140</v>
      </c>
      <c r="X5319" s="1" t="s">
        <v>12065</v>
      </c>
    </row>
    <row r="5320">
      <c r="A5320" s="1" t="s">
        <v>14791</v>
      </c>
      <c r="B5320" s="1" t="s">
        <v>1257</v>
      </c>
      <c r="C5320" s="1" t="s">
        <v>14792</v>
      </c>
      <c r="D5320" s="1" t="s">
        <v>28</v>
      </c>
      <c r="E5320" s="1" t="s">
        <v>29</v>
      </c>
      <c r="F5320" s="5">
        <v>14500.0</v>
      </c>
      <c r="G5320" s="1" t="s">
        <v>7016</v>
      </c>
      <c r="H5320" s="4">
        <v>44686.0</v>
      </c>
      <c r="I5320" s="1" t="s">
        <v>43</v>
      </c>
      <c r="K5320" s="1">
        <v>0.0</v>
      </c>
      <c r="L5320" s="1" t="s">
        <v>11159</v>
      </c>
      <c r="M5320" s="1" t="str">
        <f>VLOOKUP(L5320,'Copy of PMD Workday Constants -'!B5319:W6005,22,false)</f>
        <v>#N/A</v>
      </c>
      <c r="N5320" s="1" t="s">
        <v>32</v>
      </c>
      <c r="O5320" s="1" t="s">
        <v>33</v>
      </c>
      <c r="P5320" s="1" t="s">
        <v>222</v>
      </c>
      <c r="Q5320" s="1" t="s">
        <v>222</v>
      </c>
      <c r="R5320" s="1" t="s">
        <v>223</v>
      </c>
      <c r="S5320" s="1" t="s">
        <v>482</v>
      </c>
      <c r="T5320" s="1">
        <v>1.00602248E8</v>
      </c>
      <c r="W5320" s="1" t="s">
        <v>56</v>
      </c>
      <c r="X5320" s="1" t="s">
        <v>14372</v>
      </c>
    </row>
    <row r="5321">
      <c r="A5321" s="1" t="s">
        <v>14793</v>
      </c>
      <c r="B5321" s="1" t="s">
        <v>14794</v>
      </c>
      <c r="C5321" s="1" t="s">
        <v>14795</v>
      </c>
      <c r="D5321" s="1" t="s">
        <v>28</v>
      </c>
      <c r="E5321" s="1" t="s">
        <v>29</v>
      </c>
      <c r="F5321" s="5">
        <v>14500.0</v>
      </c>
      <c r="G5321" s="1" t="s">
        <v>7016</v>
      </c>
      <c r="H5321" s="1" t="s">
        <v>2360</v>
      </c>
      <c r="I5321" s="1" t="s">
        <v>302</v>
      </c>
      <c r="K5321" s="1">
        <v>0.0</v>
      </c>
      <c r="L5321" s="1" t="s">
        <v>11159</v>
      </c>
      <c r="M5321" s="1" t="str">
        <f>VLOOKUP(L5321,'Copy of PMD Workday Constants -'!B5320:W6006,22,false)</f>
        <v>#N/A</v>
      </c>
      <c r="N5321" s="1" t="s">
        <v>32</v>
      </c>
      <c r="O5321" s="1" t="s">
        <v>33</v>
      </c>
      <c r="P5321" s="1" t="s">
        <v>222</v>
      </c>
      <c r="Q5321" s="1" t="s">
        <v>222</v>
      </c>
      <c r="R5321" s="1" t="s">
        <v>223</v>
      </c>
      <c r="S5321" s="1" t="s">
        <v>482</v>
      </c>
      <c r="T5321" s="1">
        <v>1.00602248E8</v>
      </c>
      <c r="W5321" s="1" t="s">
        <v>456</v>
      </c>
      <c r="X5321" s="1" t="s">
        <v>14284</v>
      </c>
    </row>
    <row r="5322">
      <c r="A5322" s="1" t="s">
        <v>14796</v>
      </c>
      <c r="B5322" s="1" t="s">
        <v>14797</v>
      </c>
      <c r="C5322" s="1" t="s">
        <v>14798</v>
      </c>
      <c r="D5322" s="1" t="s">
        <v>51</v>
      </c>
      <c r="E5322" s="1" t="s">
        <v>29</v>
      </c>
      <c r="F5322" s="5">
        <v>14500.0</v>
      </c>
      <c r="G5322" s="1" t="s">
        <v>7016</v>
      </c>
      <c r="H5322" s="1" t="s">
        <v>3496</v>
      </c>
      <c r="I5322" s="1" t="s">
        <v>302</v>
      </c>
      <c r="K5322" s="1">
        <v>0.0</v>
      </c>
      <c r="L5322" s="1" t="s">
        <v>11159</v>
      </c>
      <c r="M5322" s="1" t="str">
        <f>VLOOKUP(L5322,'Copy of PMD Workday Constants -'!B5321:W6007,22,false)</f>
        <v>#N/A</v>
      </c>
      <c r="N5322" s="1" t="s">
        <v>32</v>
      </c>
      <c r="O5322" s="1" t="s">
        <v>33</v>
      </c>
      <c r="P5322" s="1" t="s">
        <v>222</v>
      </c>
      <c r="Q5322" s="1" t="s">
        <v>222</v>
      </c>
      <c r="R5322" s="1" t="s">
        <v>223</v>
      </c>
      <c r="S5322" s="1" t="s">
        <v>14281</v>
      </c>
      <c r="T5322" s="1">
        <v>1.00602248E8</v>
      </c>
      <c r="W5322" s="1" t="s">
        <v>947</v>
      </c>
      <c r="X5322" s="1" t="s">
        <v>12989</v>
      </c>
    </row>
    <row r="5323">
      <c r="A5323" s="1" t="s">
        <v>14799</v>
      </c>
      <c r="B5323" s="1" t="s">
        <v>9246</v>
      </c>
      <c r="C5323" s="1" t="s">
        <v>14800</v>
      </c>
      <c r="D5323" s="1" t="s">
        <v>51</v>
      </c>
      <c r="E5323" s="1" t="s">
        <v>29</v>
      </c>
      <c r="F5323" s="5">
        <v>14500.0</v>
      </c>
      <c r="G5323" s="1" t="s">
        <v>7016</v>
      </c>
      <c r="H5323" s="4">
        <v>44870.0</v>
      </c>
      <c r="I5323" s="1" t="s">
        <v>43</v>
      </c>
      <c r="K5323" s="1">
        <v>0.0</v>
      </c>
      <c r="L5323" s="1" t="s">
        <v>11159</v>
      </c>
      <c r="M5323" s="1" t="str">
        <f>VLOOKUP(L5323,'Copy of PMD Workday Constants -'!B5322:W6008,22,false)</f>
        <v>#N/A</v>
      </c>
      <c r="N5323" s="1" t="s">
        <v>32</v>
      </c>
      <c r="O5323" s="1" t="s">
        <v>33</v>
      </c>
      <c r="P5323" s="1" t="s">
        <v>222</v>
      </c>
      <c r="Q5323" s="1" t="s">
        <v>222</v>
      </c>
      <c r="R5323" s="1" t="s">
        <v>223</v>
      </c>
      <c r="S5323" s="1" t="s">
        <v>482</v>
      </c>
      <c r="T5323" s="1">
        <v>1.00602248E8</v>
      </c>
      <c r="W5323" s="1" t="s">
        <v>56</v>
      </c>
      <c r="X5323" s="1" t="s">
        <v>12989</v>
      </c>
    </row>
    <row r="5324">
      <c r="A5324" s="1" t="s">
        <v>14801</v>
      </c>
      <c r="B5324" s="1" t="s">
        <v>8268</v>
      </c>
      <c r="C5324" s="1" t="s">
        <v>14802</v>
      </c>
      <c r="D5324" s="1" t="s">
        <v>51</v>
      </c>
      <c r="E5324" s="1" t="s">
        <v>29</v>
      </c>
      <c r="F5324" s="5">
        <v>14500.0</v>
      </c>
      <c r="G5324" s="1" t="s">
        <v>7016</v>
      </c>
      <c r="H5324" s="4">
        <v>44807.0</v>
      </c>
      <c r="I5324" s="1" t="s">
        <v>302</v>
      </c>
      <c r="K5324" s="1">
        <v>0.0</v>
      </c>
      <c r="L5324" s="1" t="s">
        <v>11159</v>
      </c>
      <c r="M5324" s="1" t="str">
        <f>VLOOKUP(L5324,'Copy of PMD Workday Constants -'!B5323:W6009,22,false)</f>
        <v>#N/A</v>
      </c>
      <c r="N5324" s="1" t="s">
        <v>32</v>
      </c>
      <c r="O5324" s="1" t="s">
        <v>33</v>
      </c>
      <c r="P5324" s="1" t="s">
        <v>222</v>
      </c>
      <c r="Q5324" s="1" t="s">
        <v>222</v>
      </c>
      <c r="R5324" s="1" t="s">
        <v>223</v>
      </c>
      <c r="S5324" s="1" t="s">
        <v>482</v>
      </c>
      <c r="T5324" s="1">
        <v>1.00602248E8</v>
      </c>
      <c r="W5324" s="1" t="s">
        <v>74</v>
      </c>
      <c r="X5324" s="1" t="s">
        <v>12989</v>
      </c>
    </row>
    <row r="5325">
      <c r="A5325" s="1" t="s">
        <v>14803</v>
      </c>
      <c r="B5325" s="1" t="s">
        <v>14804</v>
      </c>
      <c r="C5325" s="1" t="s">
        <v>14805</v>
      </c>
      <c r="D5325" s="1" t="s">
        <v>51</v>
      </c>
      <c r="E5325" s="1" t="s">
        <v>29</v>
      </c>
      <c r="F5325" s="5">
        <v>14500.0</v>
      </c>
      <c r="G5325" s="1" t="s">
        <v>7016</v>
      </c>
      <c r="H5325" s="4">
        <v>44807.0</v>
      </c>
      <c r="I5325" s="1" t="s">
        <v>302</v>
      </c>
      <c r="K5325" s="1">
        <v>0.0</v>
      </c>
      <c r="L5325" s="1" t="s">
        <v>11159</v>
      </c>
      <c r="M5325" s="1" t="str">
        <f>VLOOKUP(L5325,'Copy of PMD Workday Constants -'!B5324:W6010,22,false)</f>
        <v>#N/A</v>
      </c>
      <c r="N5325" s="1" t="s">
        <v>32</v>
      </c>
      <c r="O5325" s="1" t="s">
        <v>33</v>
      </c>
      <c r="P5325" s="1" t="s">
        <v>222</v>
      </c>
      <c r="Q5325" s="1" t="s">
        <v>222</v>
      </c>
      <c r="R5325" s="1" t="s">
        <v>223</v>
      </c>
      <c r="S5325" s="1" t="s">
        <v>482</v>
      </c>
      <c r="T5325" s="1">
        <v>1.00602248E8</v>
      </c>
      <c r="W5325" s="1" t="s">
        <v>85</v>
      </c>
      <c r="X5325" s="1" t="s">
        <v>12989</v>
      </c>
    </row>
    <row r="5326">
      <c r="A5326" s="1" t="s">
        <v>14806</v>
      </c>
      <c r="B5326" s="1" t="s">
        <v>14807</v>
      </c>
      <c r="C5326" s="1" t="s">
        <v>14808</v>
      </c>
      <c r="D5326" s="1" t="s">
        <v>51</v>
      </c>
      <c r="E5326" s="1" t="s">
        <v>29</v>
      </c>
      <c r="F5326" s="5">
        <v>14500.0</v>
      </c>
      <c r="G5326" s="1" t="s">
        <v>7016</v>
      </c>
      <c r="H5326" s="1" t="s">
        <v>1849</v>
      </c>
      <c r="I5326" s="1" t="s">
        <v>302</v>
      </c>
      <c r="K5326" s="1">
        <v>0.0</v>
      </c>
      <c r="L5326" s="1" t="s">
        <v>11159</v>
      </c>
      <c r="M5326" s="1" t="str">
        <f>VLOOKUP(L5326,'Copy of PMD Workday Constants -'!B5325:W6011,22,false)</f>
        <v>#N/A</v>
      </c>
      <c r="N5326" s="1" t="s">
        <v>32</v>
      </c>
      <c r="O5326" s="1" t="s">
        <v>33</v>
      </c>
      <c r="P5326" s="1" t="s">
        <v>222</v>
      </c>
      <c r="Q5326" s="1" t="s">
        <v>222</v>
      </c>
      <c r="R5326" s="1" t="s">
        <v>223</v>
      </c>
      <c r="S5326" s="1" t="s">
        <v>482</v>
      </c>
      <c r="T5326" s="1">
        <v>1.00602248E8</v>
      </c>
      <c r="W5326" s="1" t="s">
        <v>74</v>
      </c>
      <c r="X5326" s="1" t="s">
        <v>12065</v>
      </c>
    </row>
    <row r="5327">
      <c r="A5327" s="1" t="s">
        <v>14809</v>
      </c>
      <c r="B5327" s="1" t="s">
        <v>14810</v>
      </c>
      <c r="C5327" s="1" t="s">
        <v>14811</v>
      </c>
      <c r="D5327" s="1" t="s">
        <v>51</v>
      </c>
      <c r="E5327" s="1" t="s">
        <v>29</v>
      </c>
      <c r="F5327" s="5">
        <v>14500.0</v>
      </c>
      <c r="G5327" s="1" t="s">
        <v>7016</v>
      </c>
      <c r="H5327" s="1" t="s">
        <v>14262</v>
      </c>
      <c r="I5327" s="1" t="s">
        <v>80</v>
      </c>
      <c r="K5327" s="1">
        <v>0.0</v>
      </c>
      <c r="L5327" s="1" t="s">
        <v>8868</v>
      </c>
      <c r="M5327" s="1" t="str">
        <f>VLOOKUP(L5327,'Copy of PMD Workday Constants -'!B5326:W6012,22,false)</f>
        <v>#N/A</v>
      </c>
      <c r="N5327" s="1" t="s">
        <v>32</v>
      </c>
      <c r="O5327" s="1" t="s">
        <v>33</v>
      </c>
      <c r="P5327" s="1" t="s">
        <v>222</v>
      </c>
      <c r="Q5327" s="1" t="s">
        <v>222</v>
      </c>
      <c r="R5327" s="1" t="s">
        <v>223</v>
      </c>
      <c r="S5327" s="1" t="s">
        <v>482</v>
      </c>
      <c r="T5327" s="1">
        <v>1.00612509E8</v>
      </c>
      <c r="W5327" s="1" t="s">
        <v>115</v>
      </c>
      <c r="X5327" s="1" t="s">
        <v>12065</v>
      </c>
    </row>
    <row r="5328">
      <c r="A5328" s="1" t="s">
        <v>14812</v>
      </c>
      <c r="B5328" s="1" t="s">
        <v>14813</v>
      </c>
      <c r="C5328" s="1" t="s">
        <v>14814</v>
      </c>
      <c r="D5328" s="1" t="s">
        <v>51</v>
      </c>
      <c r="E5328" s="1" t="s">
        <v>29</v>
      </c>
      <c r="F5328" s="5">
        <v>14500.0</v>
      </c>
      <c r="G5328" s="1" t="s">
        <v>7016</v>
      </c>
      <c r="H5328" s="1" t="s">
        <v>3496</v>
      </c>
      <c r="I5328" s="1" t="s">
        <v>302</v>
      </c>
      <c r="K5328" s="1">
        <v>0.0</v>
      </c>
      <c r="L5328" s="1" t="s">
        <v>11159</v>
      </c>
      <c r="M5328" s="1" t="str">
        <f>VLOOKUP(L5328,'Copy of PMD Workday Constants -'!B5327:W6013,22,false)</f>
        <v>#N/A</v>
      </c>
      <c r="N5328" s="1" t="s">
        <v>32</v>
      </c>
      <c r="O5328" s="1" t="s">
        <v>33</v>
      </c>
      <c r="P5328" s="1" t="s">
        <v>222</v>
      </c>
      <c r="Q5328" s="1" t="s">
        <v>222</v>
      </c>
      <c r="R5328" s="1" t="s">
        <v>223</v>
      </c>
      <c r="S5328" s="1" t="s">
        <v>482</v>
      </c>
      <c r="T5328" s="1">
        <v>1.00602248E8</v>
      </c>
      <c r="W5328" s="1" t="s">
        <v>456</v>
      </c>
      <c r="X5328" s="1" t="s">
        <v>14284</v>
      </c>
    </row>
    <row r="5329">
      <c r="A5329" s="1" t="s">
        <v>14815</v>
      </c>
      <c r="B5329" s="1" t="s">
        <v>14816</v>
      </c>
      <c r="C5329" s="1" t="s">
        <v>14817</v>
      </c>
      <c r="D5329" s="1" t="s">
        <v>28</v>
      </c>
      <c r="E5329" s="1" t="s">
        <v>29</v>
      </c>
      <c r="F5329" s="5">
        <v>14500.0</v>
      </c>
      <c r="G5329" s="1" t="s">
        <v>7016</v>
      </c>
      <c r="H5329" s="1" t="s">
        <v>460</v>
      </c>
      <c r="I5329" s="1" t="s">
        <v>302</v>
      </c>
      <c r="K5329" s="1">
        <v>0.0</v>
      </c>
      <c r="L5329" s="1" t="s">
        <v>11159</v>
      </c>
      <c r="M5329" s="1" t="str">
        <f>VLOOKUP(L5329,'Copy of PMD Workday Constants -'!B5328:W6014,22,false)</f>
        <v>#N/A</v>
      </c>
      <c r="N5329" s="1" t="s">
        <v>32</v>
      </c>
      <c r="O5329" s="1" t="s">
        <v>33</v>
      </c>
      <c r="P5329" s="1" t="s">
        <v>222</v>
      </c>
      <c r="Q5329" s="1" t="s">
        <v>222</v>
      </c>
      <c r="R5329" s="1" t="s">
        <v>223</v>
      </c>
      <c r="S5329" s="1" t="s">
        <v>482</v>
      </c>
      <c r="T5329" s="1">
        <v>1.00602248E8</v>
      </c>
      <c r="W5329" s="1" t="s">
        <v>258</v>
      </c>
      <c r="X5329" s="1" t="s">
        <v>14372</v>
      </c>
    </row>
    <row r="5330">
      <c r="A5330" s="1" t="s">
        <v>14818</v>
      </c>
      <c r="B5330" s="1" t="s">
        <v>14819</v>
      </c>
      <c r="C5330" s="1" t="s">
        <v>14820</v>
      </c>
      <c r="D5330" s="1" t="s">
        <v>51</v>
      </c>
      <c r="E5330" s="1" t="s">
        <v>29</v>
      </c>
      <c r="F5330" s="5">
        <v>14500.0</v>
      </c>
      <c r="G5330" s="1" t="s">
        <v>7016</v>
      </c>
      <c r="H5330" s="1" t="s">
        <v>3496</v>
      </c>
      <c r="I5330" s="1" t="s">
        <v>302</v>
      </c>
      <c r="K5330" s="1">
        <v>0.0</v>
      </c>
      <c r="L5330" s="1" t="s">
        <v>11159</v>
      </c>
      <c r="M5330" s="1" t="str">
        <f>VLOOKUP(L5330,'Copy of PMD Workday Constants -'!B5329:W6015,22,false)</f>
        <v>#N/A</v>
      </c>
      <c r="N5330" s="1" t="s">
        <v>32</v>
      </c>
      <c r="O5330" s="1" t="s">
        <v>33</v>
      </c>
      <c r="P5330" s="1" t="s">
        <v>222</v>
      </c>
      <c r="Q5330" s="1" t="s">
        <v>222</v>
      </c>
      <c r="R5330" s="1" t="s">
        <v>223</v>
      </c>
      <c r="S5330" s="1" t="s">
        <v>482</v>
      </c>
      <c r="T5330" s="1">
        <v>1.00602248E8</v>
      </c>
      <c r="W5330" s="1" t="s">
        <v>456</v>
      </c>
      <c r="X5330" s="1" t="s">
        <v>12989</v>
      </c>
    </row>
    <row r="5331">
      <c r="A5331" s="1" t="s">
        <v>14821</v>
      </c>
      <c r="B5331" s="1" t="s">
        <v>2882</v>
      </c>
      <c r="C5331" s="1" t="s">
        <v>14822</v>
      </c>
      <c r="D5331" s="1" t="s">
        <v>28</v>
      </c>
      <c r="E5331" s="1" t="s">
        <v>29</v>
      </c>
      <c r="F5331" s="5">
        <v>14500.0</v>
      </c>
      <c r="G5331" s="1" t="s">
        <v>7016</v>
      </c>
      <c r="H5331" s="4">
        <v>44656.0</v>
      </c>
      <c r="I5331" s="1" t="s">
        <v>43</v>
      </c>
      <c r="K5331" s="1">
        <v>0.0</v>
      </c>
      <c r="L5331" s="1" t="s">
        <v>11159</v>
      </c>
      <c r="M5331" s="1" t="str">
        <f>VLOOKUP(L5331,'Copy of PMD Workday Constants -'!B5330:W6016,22,false)</f>
        <v>#N/A</v>
      </c>
      <c r="N5331" s="1" t="s">
        <v>32</v>
      </c>
      <c r="O5331" s="1" t="s">
        <v>33</v>
      </c>
      <c r="P5331" s="1" t="s">
        <v>222</v>
      </c>
      <c r="Q5331" s="1" t="s">
        <v>222</v>
      </c>
      <c r="R5331" s="1" t="s">
        <v>223</v>
      </c>
      <c r="S5331" s="1" t="s">
        <v>482</v>
      </c>
      <c r="T5331" s="1">
        <v>1.00602248E8</v>
      </c>
      <c r="W5331" s="1" t="s">
        <v>56</v>
      </c>
      <c r="X5331" s="1" t="s">
        <v>14372</v>
      </c>
    </row>
    <row r="5332">
      <c r="A5332" s="1" t="s">
        <v>14823</v>
      </c>
      <c r="B5332" s="1" t="s">
        <v>14824</v>
      </c>
      <c r="C5332" s="1" t="s">
        <v>14825</v>
      </c>
      <c r="D5332" s="1" t="s">
        <v>28</v>
      </c>
      <c r="E5332" s="1" t="s">
        <v>29</v>
      </c>
      <c r="F5332" s="5">
        <v>14500.0</v>
      </c>
      <c r="G5332" s="1" t="s">
        <v>7016</v>
      </c>
      <c r="H5332" s="1" t="s">
        <v>2510</v>
      </c>
      <c r="I5332" s="1" t="s">
        <v>302</v>
      </c>
      <c r="K5332" s="1">
        <v>0.0</v>
      </c>
      <c r="L5332" s="1" t="s">
        <v>11159</v>
      </c>
      <c r="M5332" s="1" t="str">
        <f>VLOOKUP(L5332,'Copy of PMD Workday Constants -'!B5331:W6017,22,false)</f>
        <v>#N/A</v>
      </c>
      <c r="N5332" s="1" t="s">
        <v>32</v>
      </c>
      <c r="O5332" s="1" t="s">
        <v>33</v>
      </c>
      <c r="P5332" s="1" t="s">
        <v>222</v>
      </c>
      <c r="Q5332" s="1" t="s">
        <v>222</v>
      </c>
      <c r="R5332" s="1" t="s">
        <v>223</v>
      </c>
      <c r="S5332" s="1" t="s">
        <v>482</v>
      </c>
      <c r="T5332" s="1">
        <v>1.00602248E8</v>
      </c>
      <c r="W5332" s="1" t="s">
        <v>140</v>
      </c>
      <c r="X5332" s="1" t="s">
        <v>14284</v>
      </c>
    </row>
    <row r="5333">
      <c r="A5333" s="1" t="s">
        <v>14826</v>
      </c>
      <c r="B5333" s="1" t="s">
        <v>14827</v>
      </c>
      <c r="C5333" s="1" t="s">
        <v>14828</v>
      </c>
      <c r="D5333" s="1" t="s">
        <v>51</v>
      </c>
      <c r="E5333" s="1" t="s">
        <v>29</v>
      </c>
      <c r="F5333" s="5">
        <v>14500.0</v>
      </c>
      <c r="G5333" s="1" t="s">
        <v>7016</v>
      </c>
      <c r="H5333" s="4">
        <v>44743.0</v>
      </c>
      <c r="I5333" s="1" t="s">
        <v>302</v>
      </c>
      <c r="K5333" s="1">
        <v>0.0</v>
      </c>
      <c r="L5333" s="1" t="s">
        <v>11159</v>
      </c>
      <c r="M5333" s="1" t="str">
        <f>VLOOKUP(L5333,'Copy of PMD Workday Constants -'!B5332:W6018,22,false)</f>
        <v>#N/A</v>
      </c>
      <c r="N5333" s="1" t="s">
        <v>32</v>
      </c>
      <c r="O5333" s="1" t="s">
        <v>33</v>
      </c>
      <c r="P5333" s="1" t="s">
        <v>222</v>
      </c>
      <c r="Q5333" s="1" t="s">
        <v>222</v>
      </c>
      <c r="R5333" s="1" t="s">
        <v>223</v>
      </c>
      <c r="S5333" s="1" t="s">
        <v>482</v>
      </c>
      <c r="T5333" s="1">
        <v>1.00602248E8</v>
      </c>
      <c r="W5333" s="1" t="s">
        <v>85</v>
      </c>
      <c r="X5333" s="1" t="s">
        <v>12989</v>
      </c>
    </row>
    <row r="5334">
      <c r="A5334" s="1" t="s">
        <v>14829</v>
      </c>
      <c r="B5334" s="1" t="s">
        <v>14830</v>
      </c>
      <c r="C5334" s="1" t="s">
        <v>14831</v>
      </c>
      <c r="D5334" s="1" t="s">
        <v>28</v>
      </c>
      <c r="E5334" s="1" t="s">
        <v>29</v>
      </c>
      <c r="F5334" s="5">
        <v>14500.0</v>
      </c>
      <c r="G5334" s="1" t="s">
        <v>7016</v>
      </c>
      <c r="H5334" s="1" t="s">
        <v>14262</v>
      </c>
      <c r="I5334" s="1" t="s">
        <v>43</v>
      </c>
      <c r="K5334" s="1">
        <v>0.0</v>
      </c>
      <c r="L5334" s="1" t="s">
        <v>11159</v>
      </c>
      <c r="M5334" s="1" t="str">
        <f>VLOOKUP(L5334,'Copy of PMD Workday Constants -'!B5333:W6019,22,false)</f>
        <v>#N/A</v>
      </c>
      <c r="N5334" s="1" t="s">
        <v>32</v>
      </c>
      <c r="O5334" s="1" t="s">
        <v>33</v>
      </c>
      <c r="P5334" s="1" t="s">
        <v>222</v>
      </c>
      <c r="Q5334" s="1" t="s">
        <v>222</v>
      </c>
      <c r="R5334" s="1" t="s">
        <v>223</v>
      </c>
      <c r="S5334" s="1" t="s">
        <v>482</v>
      </c>
      <c r="T5334" s="1">
        <v>1.00602248E8</v>
      </c>
      <c r="W5334" s="1" t="s">
        <v>85</v>
      </c>
      <c r="X5334" s="1" t="s">
        <v>12989</v>
      </c>
    </row>
    <row r="5335">
      <c r="A5335" s="1" t="s">
        <v>14832</v>
      </c>
      <c r="B5335" s="1" t="s">
        <v>14833</v>
      </c>
      <c r="C5335" s="1" t="s">
        <v>14834</v>
      </c>
      <c r="D5335" s="1" t="s">
        <v>51</v>
      </c>
      <c r="E5335" s="1" t="s">
        <v>29</v>
      </c>
      <c r="F5335" s="5">
        <v>14500.0</v>
      </c>
      <c r="G5335" s="1" t="s">
        <v>7016</v>
      </c>
      <c r="H5335" s="1" t="s">
        <v>3034</v>
      </c>
      <c r="I5335" s="1" t="s">
        <v>80</v>
      </c>
      <c r="K5335" s="1">
        <v>0.0</v>
      </c>
      <c r="L5335" s="1" t="s">
        <v>2093</v>
      </c>
      <c r="M5335" s="1" t="str">
        <f>VLOOKUP(L5335,'Copy of PMD Workday Constants -'!B5334:W6020,22,false)</f>
        <v>#N/A</v>
      </c>
      <c r="N5335" s="1" t="s">
        <v>32</v>
      </c>
      <c r="O5335" s="1" t="s">
        <v>33</v>
      </c>
      <c r="P5335" s="1" t="s">
        <v>222</v>
      </c>
      <c r="Q5335" s="1" t="s">
        <v>222</v>
      </c>
      <c r="R5335" s="1" t="s">
        <v>223</v>
      </c>
      <c r="S5335" s="1" t="s">
        <v>482</v>
      </c>
      <c r="T5335" s="1">
        <v>1.00612055E8</v>
      </c>
      <c r="W5335" s="1" t="s">
        <v>308</v>
      </c>
      <c r="X5335" s="1" t="s">
        <v>12065</v>
      </c>
    </row>
    <row r="5336">
      <c r="A5336" s="1" t="s">
        <v>14835</v>
      </c>
      <c r="B5336" s="1" t="s">
        <v>14836</v>
      </c>
      <c r="C5336" s="1" t="s">
        <v>14837</v>
      </c>
      <c r="D5336" s="1" t="s">
        <v>28</v>
      </c>
      <c r="E5336" s="1" t="s">
        <v>29</v>
      </c>
      <c r="F5336" s="5">
        <v>14500.0</v>
      </c>
      <c r="G5336" s="1" t="s">
        <v>7016</v>
      </c>
      <c r="H5336" s="1" t="s">
        <v>4084</v>
      </c>
      <c r="I5336" s="1" t="s">
        <v>43</v>
      </c>
      <c r="K5336" s="1">
        <v>0.0</v>
      </c>
      <c r="L5336" s="1" t="s">
        <v>11159</v>
      </c>
      <c r="M5336" s="1" t="str">
        <f>VLOOKUP(L5336,'Copy of PMD Workday Constants -'!B5335:W6021,22,false)</f>
        <v>#N/A</v>
      </c>
      <c r="N5336" s="1" t="s">
        <v>32</v>
      </c>
      <c r="O5336" s="1" t="s">
        <v>33</v>
      </c>
      <c r="P5336" s="1" t="s">
        <v>222</v>
      </c>
      <c r="Q5336" s="1" t="s">
        <v>222</v>
      </c>
      <c r="R5336" s="1" t="s">
        <v>223</v>
      </c>
      <c r="S5336" s="1" t="s">
        <v>482</v>
      </c>
      <c r="T5336" s="1">
        <v>1.00602248E8</v>
      </c>
      <c r="W5336" s="1" t="s">
        <v>47</v>
      </c>
      <c r="X5336" s="1" t="s">
        <v>12989</v>
      </c>
    </row>
    <row r="5337">
      <c r="A5337" s="1" t="s">
        <v>14838</v>
      </c>
      <c r="B5337" s="1" t="s">
        <v>14839</v>
      </c>
      <c r="C5337" s="1" t="s">
        <v>14840</v>
      </c>
      <c r="D5337" s="1" t="s">
        <v>28</v>
      </c>
      <c r="E5337" s="1" t="s">
        <v>29</v>
      </c>
      <c r="F5337" s="5">
        <v>14500.0</v>
      </c>
      <c r="G5337" s="1" t="s">
        <v>7016</v>
      </c>
      <c r="H5337" s="1" t="s">
        <v>556</v>
      </c>
      <c r="I5337" s="1" t="s">
        <v>191</v>
      </c>
      <c r="K5337" s="1">
        <v>0.0</v>
      </c>
      <c r="L5337" s="1" t="s">
        <v>11159</v>
      </c>
      <c r="M5337" s="1" t="str">
        <f>VLOOKUP(L5337,'Copy of PMD Workday Constants -'!B5336:W6022,22,false)</f>
        <v>#N/A</v>
      </c>
      <c r="N5337" s="1" t="s">
        <v>32</v>
      </c>
      <c r="O5337" s="1" t="s">
        <v>33</v>
      </c>
      <c r="P5337" s="1" t="s">
        <v>222</v>
      </c>
      <c r="Q5337" s="1" t="s">
        <v>222</v>
      </c>
      <c r="R5337" s="1" t="s">
        <v>223</v>
      </c>
      <c r="S5337" s="1" t="s">
        <v>482</v>
      </c>
      <c r="T5337" s="1">
        <v>1.00602248E8</v>
      </c>
      <c r="W5337" s="1" t="s">
        <v>56</v>
      </c>
      <c r="X5337" s="1" t="s">
        <v>14372</v>
      </c>
    </row>
    <row r="5338">
      <c r="A5338" s="1" t="s">
        <v>14841</v>
      </c>
      <c r="B5338" s="1" t="s">
        <v>10403</v>
      </c>
      <c r="C5338" s="1" t="s">
        <v>14842</v>
      </c>
      <c r="D5338" s="1" t="s">
        <v>51</v>
      </c>
      <c r="E5338" s="1" t="s">
        <v>29</v>
      </c>
      <c r="F5338" s="5">
        <v>14500.0</v>
      </c>
      <c r="G5338" s="1" t="s">
        <v>7016</v>
      </c>
      <c r="H5338" s="1" t="s">
        <v>110</v>
      </c>
      <c r="I5338" s="1" t="s">
        <v>302</v>
      </c>
      <c r="K5338" s="1">
        <v>0.0</v>
      </c>
      <c r="L5338" s="1" t="s">
        <v>11159</v>
      </c>
      <c r="M5338" s="1" t="str">
        <f>VLOOKUP(L5338,'Copy of PMD Workday Constants -'!B5337:W6023,22,false)</f>
        <v>#N/A</v>
      </c>
      <c r="N5338" s="1" t="s">
        <v>32</v>
      </c>
      <c r="O5338" s="1" t="s">
        <v>33</v>
      </c>
      <c r="P5338" s="1" t="s">
        <v>222</v>
      </c>
      <c r="Q5338" s="1" t="s">
        <v>222</v>
      </c>
      <c r="R5338" s="1" t="s">
        <v>223</v>
      </c>
      <c r="S5338" s="1" t="s">
        <v>14843</v>
      </c>
      <c r="T5338" s="1">
        <v>1.00602248E8</v>
      </c>
      <c r="W5338" s="1" t="s">
        <v>85</v>
      </c>
      <c r="X5338" s="1" t="s">
        <v>14284</v>
      </c>
    </row>
    <row r="5339">
      <c r="A5339" s="1" t="s">
        <v>14844</v>
      </c>
      <c r="B5339" s="1" t="s">
        <v>14845</v>
      </c>
      <c r="C5339" s="1" t="s">
        <v>14846</v>
      </c>
      <c r="D5339" s="1" t="s">
        <v>51</v>
      </c>
      <c r="E5339" s="1" t="s">
        <v>29</v>
      </c>
      <c r="F5339" s="5">
        <v>14500.0</v>
      </c>
      <c r="G5339" s="1" t="s">
        <v>7016</v>
      </c>
      <c r="H5339" s="1" t="s">
        <v>110</v>
      </c>
      <c r="I5339" s="1" t="s">
        <v>302</v>
      </c>
      <c r="K5339" s="1">
        <v>0.0</v>
      </c>
      <c r="L5339" s="1" t="s">
        <v>11159</v>
      </c>
      <c r="M5339" s="1" t="str">
        <f>VLOOKUP(L5339,'Copy of PMD Workday Constants -'!B5338:W6024,22,false)</f>
        <v>#N/A</v>
      </c>
      <c r="N5339" s="1" t="s">
        <v>32</v>
      </c>
      <c r="O5339" s="1" t="s">
        <v>33</v>
      </c>
      <c r="P5339" s="1" t="s">
        <v>222</v>
      </c>
      <c r="Q5339" s="1" t="s">
        <v>222</v>
      </c>
      <c r="R5339" s="1" t="s">
        <v>223</v>
      </c>
      <c r="S5339" s="1" t="s">
        <v>14281</v>
      </c>
      <c r="T5339" s="1">
        <v>1.00602248E8</v>
      </c>
      <c r="W5339" s="1" t="s">
        <v>250</v>
      </c>
      <c r="X5339" s="1" t="s">
        <v>14284</v>
      </c>
    </row>
    <row r="5340">
      <c r="A5340" s="1" t="s">
        <v>14847</v>
      </c>
      <c r="B5340" s="1" t="s">
        <v>776</v>
      </c>
      <c r="C5340" s="1" t="s">
        <v>14848</v>
      </c>
      <c r="D5340" s="1" t="s">
        <v>51</v>
      </c>
      <c r="E5340" s="1" t="s">
        <v>29</v>
      </c>
      <c r="F5340" s="5">
        <v>14500.0</v>
      </c>
      <c r="G5340" s="1" t="s">
        <v>7016</v>
      </c>
      <c r="H5340" s="1" t="s">
        <v>110</v>
      </c>
      <c r="I5340" s="1" t="s">
        <v>302</v>
      </c>
      <c r="K5340" s="1">
        <v>0.0</v>
      </c>
      <c r="L5340" s="1" t="s">
        <v>11159</v>
      </c>
      <c r="M5340" s="1" t="str">
        <f>VLOOKUP(L5340,'Copy of PMD Workday Constants -'!B5339:W6025,22,false)</f>
        <v>#N/A</v>
      </c>
      <c r="N5340" s="1" t="s">
        <v>32</v>
      </c>
      <c r="O5340" s="1" t="s">
        <v>33</v>
      </c>
      <c r="P5340" s="1" t="s">
        <v>222</v>
      </c>
      <c r="Q5340" s="1" t="s">
        <v>222</v>
      </c>
      <c r="R5340" s="1" t="s">
        <v>223</v>
      </c>
      <c r="S5340" s="1" t="s">
        <v>14849</v>
      </c>
      <c r="T5340" s="1">
        <v>1.00602248E8</v>
      </c>
      <c r="W5340" s="1" t="s">
        <v>74</v>
      </c>
      <c r="X5340" s="1" t="s">
        <v>14284</v>
      </c>
    </row>
    <row r="5341">
      <c r="A5341" s="1" t="s">
        <v>14850</v>
      </c>
      <c r="B5341" s="1" t="s">
        <v>1339</v>
      </c>
      <c r="C5341" s="1" t="s">
        <v>14851</v>
      </c>
      <c r="D5341" s="1" t="s">
        <v>28</v>
      </c>
      <c r="E5341" s="1" t="s">
        <v>29</v>
      </c>
      <c r="F5341" s="5">
        <v>14500.0</v>
      </c>
      <c r="G5341" s="1" t="s">
        <v>7016</v>
      </c>
      <c r="H5341" s="4">
        <v>44656.0</v>
      </c>
      <c r="I5341" s="1" t="s">
        <v>43</v>
      </c>
      <c r="K5341" s="1">
        <v>0.0</v>
      </c>
      <c r="L5341" s="1" t="s">
        <v>11159</v>
      </c>
      <c r="M5341" s="1" t="str">
        <f>VLOOKUP(L5341,'Copy of PMD Workday Constants -'!B5340:W6026,22,false)</f>
        <v>#N/A</v>
      </c>
      <c r="N5341" s="1" t="s">
        <v>32</v>
      </c>
      <c r="O5341" s="1" t="s">
        <v>33</v>
      </c>
      <c r="P5341" s="1" t="s">
        <v>222</v>
      </c>
      <c r="Q5341" s="1" t="s">
        <v>222</v>
      </c>
      <c r="R5341" s="1" t="s">
        <v>223</v>
      </c>
      <c r="S5341" s="1" t="s">
        <v>482</v>
      </c>
      <c r="T5341" s="1">
        <v>1.00602248E8</v>
      </c>
      <c r="W5341" s="1" t="s">
        <v>56</v>
      </c>
      <c r="X5341" s="1" t="s">
        <v>14372</v>
      </c>
    </row>
    <row r="5342">
      <c r="A5342" s="1" t="s">
        <v>14852</v>
      </c>
      <c r="B5342" s="1" t="s">
        <v>14853</v>
      </c>
      <c r="C5342" s="1" t="s">
        <v>14854</v>
      </c>
      <c r="D5342" s="1" t="s">
        <v>28</v>
      </c>
      <c r="E5342" s="1" t="s">
        <v>29</v>
      </c>
      <c r="F5342" s="5">
        <v>14500.0</v>
      </c>
      <c r="G5342" s="1" t="s">
        <v>7016</v>
      </c>
      <c r="H5342" s="4">
        <v>44839.0</v>
      </c>
      <c r="I5342" s="1" t="s">
        <v>191</v>
      </c>
      <c r="K5342" s="1">
        <v>0.0</v>
      </c>
      <c r="L5342" s="1" t="s">
        <v>2093</v>
      </c>
      <c r="M5342" s="1" t="str">
        <f>VLOOKUP(L5342,'Copy of PMD Workday Constants -'!B5341:W6027,22,false)</f>
        <v>#N/A</v>
      </c>
      <c r="N5342" s="1" t="s">
        <v>32</v>
      </c>
      <c r="O5342" s="1" t="s">
        <v>33</v>
      </c>
      <c r="P5342" s="1" t="s">
        <v>222</v>
      </c>
      <c r="Q5342" s="1" t="s">
        <v>222</v>
      </c>
      <c r="R5342" s="1" t="s">
        <v>223</v>
      </c>
      <c r="S5342" s="1" t="s">
        <v>482</v>
      </c>
      <c r="T5342" s="1">
        <v>1.00612055E8</v>
      </c>
      <c r="W5342" s="1" t="s">
        <v>947</v>
      </c>
      <c r="X5342" s="1" t="s">
        <v>12065</v>
      </c>
    </row>
    <row r="5343">
      <c r="A5343" s="1" t="s">
        <v>14855</v>
      </c>
      <c r="B5343" s="1" t="s">
        <v>14856</v>
      </c>
      <c r="C5343" s="1" t="s">
        <v>14857</v>
      </c>
      <c r="D5343" s="1" t="s">
        <v>51</v>
      </c>
      <c r="E5343" s="1" t="s">
        <v>29</v>
      </c>
      <c r="F5343" s="5">
        <v>14500.0</v>
      </c>
      <c r="G5343" s="1" t="s">
        <v>7016</v>
      </c>
      <c r="H5343" s="1" t="s">
        <v>110</v>
      </c>
      <c r="I5343" s="1" t="s">
        <v>302</v>
      </c>
      <c r="K5343" s="1">
        <v>0.0</v>
      </c>
      <c r="L5343" s="1" t="s">
        <v>11159</v>
      </c>
      <c r="M5343" s="1" t="str">
        <f>VLOOKUP(L5343,'Copy of PMD Workday Constants -'!B5342:W6028,22,false)</f>
        <v>#N/A</v>
      </c>
      <c r="N5343" s="1" t="s">
        <v>32</v>
      </c>
      <c r="O5343" s="1" t="s">
        <v>33</v>
      </c>
      <c r="P5343" s="1" t="s">
        <v>222</v>
      </c>
      <c r="Q5343" s="1" t="s">
        <v>222</v>
      </c>
      <c r="R5343" s="1" t="s">
        <v>223</v>
      </c>
      <c r="S5343" s="1" t="s">
        <v>14849</v>
      </c>
      <c r="T5343" s="1">
        <v>1.00602248E8</v>
      </c>
      <c r="W5343" s="1" t="s">
        <v>456</v>
      </c>
      <c r="X5343" s="1" t="s">
        <v>12989</v>
      </c>
    </row>
    <row r="5344">
      <c r="A5344" s="1" t="s">
        <v>14858</v>
      </c>
      <c r="B5344" s="1" t="s">
        <v>432</v>
      </c>
      <c r="C5344" s="1" t="s">
        <v>14859</v>
      </c>
      <c r="D5344" s="1" t="s">
        <v>51</v>
      </c>
      <c r="E5344" s="1" t="s">
        <v>29</v>
      </c>
      <c r="F5344" s="5">
        <v>14500.0</v>
      </c>
      <c r="G5344" s="1" t="s">
        <v>7016</v>
      </c>
      <c r="H5344" s="4">
        <v>44625.0</v>
      </c>
      <c r="I5344" s="1" t="s">
        <v>43</v>
      </c>
      <c r="K5344" s="1">
        <v>0.0</v>
      </c>
      <c r="L5344" s="1" t="s">
        <v>11159</v>
      </c>
      <c r="M5344" s="1" t="str">
        <f>VLOOKUP(L5344,'Copy of PMD Workday Constants -'!B5343:W6029,22,false)</f>
        <v>#N/A</v>
      </c>
      <c r="N5344" s="1" t="s">
        <v>32</v>
      </c>
      <c r="O5344" s="1" t="s">
        <v>33</v>
      </c>
      <c r="P5344" s="1" t="s">
        <v>222</v>
      </c>
      <c r="Q5344" s="1" t="s">
        <v>222</v>
      </c>
      <c r="R5344" s="1" t="s">
        <v>223</v>
      </c>
      <c r="S5344" s="1" t="s">
        <v>482</v>
      </c>
      <c r="T5344" s="1">
        <v>1.00602248E8</v>
      </c>
      <c r="W5344" s="1" t="s">
        <v>436</v>
      </c>
      <c r="X5344" s="1" t="s">
        <v>14372</v>
      </c>
    </row>
    <row r="5345">
      <c r="A5345" s="1" t="s">
        <v>14860</v>
      </c>
      <c r="B5345" s="1" t="s">
        <v>623</v>
      </c>
      <c r="C5345" s="1" t="s">
        <v>14861</v>
      </c>
      <c r="D5345" s="1" t="s">
        <v>51</v>
      </c>
      <c r="E5345" s="1" t="s">
        <v>29</v>
      </c>
      <c r="F5345" s="5">
        <v>14500.0</v>
      </c>
      <c r="G5345" s="1" t="s">
        <v>7016</v>
      </c>
      <c r="H5345" s="1" t="s">
        <v>110</v>
      </c>
      <c r="I5345" s="1" t="s">
        <v>302</v>
      </c>
      <c r="K5345" s="1">
        <v>0.0</v>
      </c>
      <c r="L5345" s="1" t="s">
        <v>11159</v>
      </c>
      <c r="M5345" s="1" t="str">
        <f>VLOOKUP(L5345,'Copy of PMD Workday Constants -'!B5344:W6030,22,false)</f>
        <v>#N/A</v>
      </c>
      <c r="N5345" s="1" t="s">
        <v>32</v>
      </c>
      <c r="O5345" s="1" t="s">
        <v>33</v>
      </c>
      <c r="P5345" s="1" t="s">
        <v>222</v>
      </c>
      <c r="Q5345" s="1" t="s">
        <v>222</v>
      </c>
      <c r="R5345" s="1" t="s">
        <v>223</v>
      </c>
      <c r="S5345" s="1" t="s">
        <v>14843</v>
      </c>
      <c r="T5345" s="1">
        <v>1.00602248E8</v>
      </c>
      <c r="W5345" s="1" t="s">
        <v>115</v>
      </c>
      <c r="X5345" s="1" t="s">
        <v>14284</v>
      </c>
    </row>
    <row r="5346">
      <c r="A5346" s="1" t="s">
        <v>14862</v>
      </c>
      <c r="B5346" s="1" t="s">
        <v>9622</v>
      </c>
      <c r="C5346" s="1" t="s">
        <v>14863</v>
      </c>
      <c r="D5346" s="1" t="s">
        <v>28</v>
      </c>
      <c r="E5346" s="1" t="s">
        <v>29</v>
      </c>
      <c r="F5346" s="5">
        <v>14500.0</v>
      </c>
      <c r="G5346" s="1" t="s">
        <v>7016</v>
      </c>
      <c r="H5346" s="1" t="s">
        <v>810</v>
      </c>
      <c r="I5346" s="1" t="s">
        <v>43</v>
      </c>
      <c r="K5346" s="1">
        <v>0.0</v>
      </c>
      <c r="L5346" s="1" t="s">
        <v>11159</v>
      </c>
      <c r="M5346" s="1" t="str">
        <f>VLOOKUP(L5346,'Copy of PMD Workday Constants -'!B5345:W6031,22,false)</f>
        <v>#N/A</v>
      </c>
      <c r="N5346" s="1" t="s">
        <v>32</v>
      </c>
      <c r="O5346" s="1" t="s">
        <v>33</v>
      </c>
      <c r="P5346" s="1" t="s">
        <v>222</v>
      </c>
      <c r="Q5346" s="1" t="s">
        <v>222</v>
      </c>
      <c r="R5346" s="1" t="s">
        <v>223</v>
      </c>
      <c r="S5346" s="1" t="s">
        <v>482</v>
      </c>
      <c r="T5346" s="1">
        <v>1.00602248E8</v>
      </c>
      <c r="W5346" s="1" t="s">
        <v>493</v>
      </c>
      <c r="X5346" s="1" t="s">
        <v>14284</v>
      </c>
    </row>
    <row r="5347">
      <c r="A5347" s="1" t="s">
        <v>14864</v>
      </c>
      <c r="B5347" s="1" t="s">
        <v>14865</v>
      </c>
      <c r="C5347" s="1" t="s">
        <v>14866</v>
      </c>
      <c r="D5347" s="1" t="s">
        <v>51</v>
      </c>
      <c r="E5347" s="1" t="s">
        <v>29</v>
      </c>
      <c r="F5347" s="5">
        <v>14500.0</v>
      </c>
      <c r="G5347" s="1" t="s">
        <v>7016</v>
      </c>
      <c r="H5347" s="1" t="s">
        <v>5610</v>
      </c>
      <c r="I5347" s="1" t="s">
        <v>421</v>
      </c>
      <c r="K5347" s="1">
        <v>0.0</v>
      </c>
      <c r="L5347" s="1" t="s">
        <v>11159</v>
      </c>
      <c r="M5347" s="1" t="str">
        <f>VLOOKUP(L5347,'Copy of PMD Workday Constants -'!B5346:W6032,22,false)</f>
        <v>#N/A</v>
      </c>
      <c r="N5347" s="1" t="s">
        <v>32</v>
      </c>
      <c r="O5347" s="1" t="s">
        <v>33</v>
      </c>
      <c r="P5347" s="1" t="s">
        <v>222</v>
      </c>
      <c r="Q5347" s="1" t="s">
        <v>222</v>
      </c>
      <c r="R5347" s="1" t="s">
        <v>223</v>
      </c>
      <c r="T5347" s="1">
        <v>1.00602248E8</v>
      </c>
      <c r="W5347" s="1" t="s">
        <v>147</v>
      </c>
      <c r="X5347" s="1" t="s">
        <v>12065</v>
      </c>
    </row>
    <row r="5348">
      <c r="A5348" s="1" t="s">
        <v>14867</v>
      </c>
      <c r="B5348" s="1" t="s">
        <v>14868</v>
      </c>
      <c r="C5348" s="1" t="s">
        <v>14869</v>
      </c>
      <c r="D5348" s="1" t="s">
        <v>51</v>
      </c>
      <c r="E5348" s="1" t="s">
        <v>29</v>
      </c>
      <c r="F5348" s="5">
        <v>14500.0</v>
      </c>
      <c r="G5348" s="1" t="s">
        <v>7016</v>
      </c>
      <c r="H5348" s="1" t="s">
        <v>810</v>
      </c>
      <c r="I5348" s="1" t="s">
        <v>43</v>
      </c>
      <c r="K5348" s="1">
        <v>0.0</v>
      </c>
      <c r="L5348" s="1" t="s">
        <v>11159</v>
      </c>
      <c r="M5348" s="1" t="str">
        <f>VLOOKUP(L5348,'Copy of PMD Workday Constants -'!B5347:W6033,22,false)</f>
        <v>#N/A</v>
      </c>
      <c r="N5348" s="1" t="s">
        <v>32</v>
      </c>
      <c r="O5348" s="1" t="s">
        <v>33</v>
      </c>
      <c r="P5348" s="1" t="s">
        <v>222</v>
      </c>
      <c r="Q5348" s="1" t="s">
        <v>222</v>
      </c>
      <c r="R5348" s="1" t="s">
        <v>223</v>
      </c>
      <c r="S5348" s="1" t="s">
        <v>482</v>
      </c>
      <c r="T5348" s="1">
        <v>1.00602248E8</v>
      </c>
      <c r="W5348" s="1" t="s">
        <v>91</v>
      </c>
      <c r="X5348" s="1" t="s">
        <v>14284</v>
      </c>
    </row>
    <row r="5349">
      <c r="A5349" s="1" t="s">
        <v>14870</v>
      </c>
      <c r="B5349" s="1" t="s">
        <v>14871</v>
      </c>
      <c r="C5349" s="1" t="s">
        <v>14872</v>
      </c>
      <c r="D5349" s="1" t="s">
        <v>28</v>
      </c>
      <c r="E5349" s="1" t="s">
        <v>29</v>
      </c>
      <c r="F5349" s="5">
        <v>14500.0</v>
      </c>
      <c r="G5349" s="1" t="s">
        <v>7016</v>
      </c>
      <c r="H5349" s="1" t="s">
        <v>110</v>
      </c>
      <c r="I5349" s="1" t="s">
        <v>302</v>
      </c>
      <c r="K5349" s="1">
        <v>0.0</v>
      </c>
      <c r="L5349" s="1" t="s">
        <v>11159</v>
      </c>
      <c r="M5349" s="1" t="str">
        <f>VLOOKUP(L5349,'Copy of PMD Workday Constants -'!B5348:W6034,22,false)</f>
        <v>#N/A</v>
      </c>
      <c r="N5349" s="1" t="s">
        <v>32</v>
      </c>
      <c r="O5349" s="1" t="s">
        <v>33</v>
      </c>
      <c r="P5349" s="1" t="s">
        <v>222</v>
      </c>
      <c r="Q5349" s="1" t="s">
        <v>222</v>
      </c>
      <c r="R5349" s="1" t="s">
        <v>223</v>
      </c>
      <c r="S5349" s="1" t="s">
        <v>14281</v>
      </c>
      <c r="T5349" s="1">
        <v>1.00602248E8</v>
      </c>
      <c r="W5349" s="1" t="s">
        <v>4719</v>
      </c>
      <c r="X5349" s="1" t="s">
        <v>14284</v>
      </c>
    </row>
    <row r="5350">
      <c r="A5350" s="1" t="s">
        <v>14873</v>
      </c>
      <c r="B5350" s="1" t="s">
        <v>14874</v>
      </c>
      <c r="C5350" s="1" t="s">
        <v>14875</v>
      </c>
      <c r="D5350" s="1" t="s">
        <v>28</v>
      </c>
      <c r="E5350" s="1" t="s">
        <v>29</v>
      </c>
      <c r="F5350" s="5">
        <v>14500.0</v>
      </c>
      <c r="G5350" s="1" t="s">
        <v>7016</v>
      </c>
      <c r="H5350" s="1" t="s">
        <v>810</v>
      </c>
      <c r="I5350" s="1" t="s">
        <v>43</v>
      </c>
      <c r="K5350" s="1">
        <v>0.0</v>
      </c>
      <c r="L5350" s="1" t="s">
        <v>11159</v>
      </c>
      <c r="M5350" s="1" t="str">
        <f>VLOOKUP(L5350,'Copy of PMD Workday Constants -'!B5349:W6035,22,false)</f>
        <v>#N/A</v>
      </c>
      <c r="N5350" s="1" t="s">
        <v>32</v>
      </c>
      <c r="O5350" s="1" t="s">
        <v>33</v>
      </c>
      <c r="P5350" s="1" t="s">
        <v>222</v>
      </c>
      <c r="Q5350" s="1" t="s">
        <v>222</v>
      </c>
      <c r="R5350" s="1" t="s">
        <v>223</v>
      </c>
      <c r="S5350" s="1" t="s">
        <v>482</v>
      </c>
      <c r="T5350" s="1">
        <v>1.00602248E8</v>
      </c>
      <c r="W5350" s="1" t="s">
        <v>37</v>
      </c>
      <c r="X5350" s="1" t="s">
        <v>14284</v>
      </c>
    </row>
    <row r="5351">
      <c r="A5351" s="1" t="s">
        <v>14876</v>
      </c>
      <c r="B5351" s="1" t="s">
        <v>903</v>
      </c>
      <c r="C5351" s="1" t="s">
        <v>14877</v>
      </c>
      <c r="D5351" s="1" t="s">
        <v>28</v>
      </c>
      <c r="E5351" s="1" t="s">
        <v>29</v>
      </c>
      <c r="F5351" s="5">
        <v>14500.0</v>
      </c>
      <c r="G5351" s="1" t="s">
        <v>7016</v>
      </c>
      <c r="H5351" s="1" t="s">
        <v>14461</v>
      </c>
      <c r="I5351" s="1" t="s">
        <v>43</v>
      </c>
      <c r="K5351" s="1">
        <v>0.0</v>
      </c>
      <c r="L5351" s="1" t="s">
        <v>11159</v>
      </c>
      <c r="M5351" s="1" t="str">
        <f>VLOOKUP(L5351,'Copy of PMD Workday Constants -'!B5350:W6036,22,false)</f>
        <v>#N/A</v>
      </c>
      <c r="N5351" s="1" t="s">
        <v>32</v>
      </c>
      <c r="O5351" s="1" t="s">
        <v>33</v>
      </c>
      <c r="P5351" s="1" t="s">
        <v>222</v>
      </c>
      <c r="Q5351" s="1" t="s">
        <v>222</v>
      </c>
      <c r="R5351" s="1" t="s">
        <v>223</v>
      </c>
      <c r="S5351" s="1" t="s">
        <v>482</v>
      </c>
      <c r="T5351" s="1">
        <v>1.00602248E8</v>
      </c>
      <c r="W5351" s="1" t="s">
        <v>85</v>
      </c>
      <c r="X5351" s="1" t="s">
        <v>12989</v>
      </c>
    </row>
    <row r="5352">
      <c r="A5352" s="1" t="s">
        <v>14878</v>
      </c>
      <c r="B5352" s="1" t="s">
        <v>14879</v>
      </c>
      <c r="C5352" s="1" t="s">
        <v>14880</v>
      </c>
      <c r="D5352" s="1" t="s">
        <v>103</v>
      </c>
      <c r="E5352" s="1" t="s">
        <v>29</v>
      </c>
      <c r="F5352" s="5">
        <v>14500.0</v>
      </c>
      <c r="G5352" s="1" t="s">
        <v>7016</v>
      </c>
      <c r="H5352" s="1" t="s">
        <v>3034</v>
      </c>
      <c r="I5352" s="1" t="s">
        <v>302</v>
      </c>
      <c r="K5352" s="1">
        <v>0.0</v>
      </c>
      <c r="L5352" s="1" t="s">
        <v>11159</v>
      </c>
      <c r="M5352" s="1" t="str">
        <f>VLOOKUP(L5352,'Copy of PMD Workday Constants -'!B5351:W6037,22,false)</f>
        <v>#N/A</v>
      </c>
      <c r="N5352" s="1" t="s">
        <v>32</v>
      </c>
      <c r="O5352" s="1" t="s">
        <v>33</v>
      </c>
      <c r="P5352" s="1" t="s">
        <v>222</v>
      </c>
      <c r="Q5352" s="1" t="s">
        <v>222</v>
      </c>
      <c r="R5352" s="1" t="s">
        <v>223</v>
      </c>
      <c r="S5352" s="1" t="s">
        <v>482</v>
      </c>
      <c r="T5352" s="1">
        <v>1.00602248E8</v>
      </c>
      <c r="W5352" s="1" t="s">
        <v>85</v>
      </c>
      <c r="X5352" s="1" t="s">
        <v>14372</v>
      </c>
    </row>
    <row r="5353">
      <c r="A5353" s="1" t="s">
        <v>14881</v>
      </c>
      <c r="B5353" s="1" t="s">
        <v>3743</v>
      </c>
      <c r="C5353" s="1" t="s">
        <v>14882</v>
      </c>
      <c r="D5353" s="1" t="s">
        <v>28</v>
      </c>
      <c r="E5353" s="1" t="s">
        <v>29</v>
      </c>
      <c r="F5353" s="5">
        <v>14500.0</v>
      </c>
      <c r="G5353" s="1" t="s">
        <v>7016</v>
      </c>
      <c r="H5353" s="1" t="s">
        <v>537</v>
      </c>
      <c r="I5353" s="1" t="s">
        <v>302</v>
      </c>
      <c r="K5353" s="1">
        <v>0.0</v>
      </c>
      <c r="L5353" s="1" t="s">
        <v>11159</v>
      </c>
      <c r="M5353" s="1" t="str">
        <f>VLOOKUP(L5353,'Copy of PMD Workday Constants -'!B5352:W6038,22,false)</f>
        <v>#N/A</v>
      </c>
      <c r="N5353" s="1" t="s">
        <v>32</v>
      </c>
      <c r="O5353" s="1" t="s">
        <v>33</v>
      </c>
      <c r="P5353" s="1" t="s">
        <v>222</v>
      </c>
      <c r="Q5353" s="1" t="s">
        <v>222</v>
      </c>
      <c r="R5353" s="1" t="s">
        <v>223</v>
      </c>
      <c r="S5353" s="1" t="s">
        <v>482</v>
      </c>
      <c r="T5353" s="1">
        <v>1.00602248E8</v>
      </c>
      <c r="W5353" s="1" t="s">
        <v>56</v>
      </c>
      <c r="X5353" s="1" t="s">
        <v>14372</v>
      </c>
    </row>
    <row r="5354">
      <c r="A5354" s="1" t="s">
        <v>14883</v>
      </c>
      <c r="B5354" s="1" t="s">
        <v>10724</v>
      </c>
      <c r="C5354" s="1" t="s">
        <v>14884</v>
      </c>
      <c r="D5354" s="1" t="s">
        <v>79</v>
      </c>
      <c r="E5354" s="1" t="s">
        <v>29</v>
      </c>
      <c r="F5354" s="5">
        <v>14500.0</v>
      </c>
      <c r="G5354" s="1" t="s">
        <v>7016</v>
      </c>
      <c r="H5354" s="1" t="s">
        <v>4625</v>
      </c>
      <c r="I5354" s="1" t="s">
        <v>421</v>
      </c>
      <c r="K5354" s="1">
        <v>0.0</v>
      </c>
      <c r="L5354" s="1" t="s">
        <v>11159</v>
      </c>
      <c r="M5354" s="1" t="str">
        <f>VLOOKUP(L5354,'Copy of PMD Workday Constants -'!B5353:W6039,22,false)</f>
        <v>#N/A</v>
      </c>
      <c r="N5354" s="1" t="s">
        <v>32</v>
      </c>
      <c r="O5354" s="1" t="s">
        <v>33</v>
      </c>
      <c r="P5354" s="1" t="s">
        <v>222</v>
      </c>
      <c r="Q5354" s="1" t="s">
        <v>222</v>
      </c>
      <c r="R5354" s="1" t="s">
        <v>223</v>
      </c>
      <c r="S5354" s="1" t="s">
        <v>482</v>
      </c>
      <c r="T5354" s="1">
        <v>1.00602248E8</v>
      </c>
      <c r="W5354" s="1" t="s">
        <v>56</v>
      </c>
      <c r="X5354" s="1" t="s">
        <v>14372</v>
      </c>
    </row>
    <row r="5355">
      <c r="A5355" s="1" t="s">
        <v>14885</v>
      </c>
      <c r="B5355" s="1" t="s">
        <v>1072</v>
      </c>
      <c r="C5355" s="1" t="s">
        <v>14886</v>
      </c>
      <c r="D5355" s="1" t="s">
        <v>28</v>
      </c>
      <c r="E5355" s="1" t="s">
        <v>29</v>
      </c>
      <c r="F5355" s="5">
        <v>14500.0</v>
      </c>
      <c r="G5355" s="1" t="s">
        <v>7016</v>
      </c>
      <c r="H5355" s="1" t="s">
        <v>399</v>
      </c>
      <c r="I5355" s="1" t="s">
        <v>43</v>
      </c>
      <c r="K5355" s="1">
        <v>0.0</v>
      </c>
      <c r="L5355" s="1" t="s">
        <v>11159</v>
      </c>
      <c r="M5355" s="1" t="str">
        <f>VLOOKUP(L5355,'Copy of PMD Workday Constants -'!B5354:W6040,22,false)</f>
        <v>#N/A</v>
      </c>
      <c r="N5355" s="1" t="s">
        <v>32</v>
      </c>
      <c r="O5355" s="1" t="s">
        <v>33</v>
      </c>
      <c r="P5355" s="1" t="s">
        <v>222</v>
      </c>
      <c r="Q5355" s="1" t="s">
        <v>222</v>
      </c>
      <c r="R5355" s="1" t="s">
        <v>223</v>
      </c>
      <c r="T5355" s="1">
        <v>1.00602248E8</v>
      </c>
      <c r="W5355" s="1" t="s">
        <v>91</v>
      </c>
      <c r="X5355" s="1" t="s">
        <v>12989</v>
      </c>
    </row>
    <row r="5356">
      <c r="A5356" s="1" t="s">
        <v>14887</v>
      </c>
      <c r="B5356" s="1" t="s">
        <v>14888</v>
      </c>
      <c r="C5356" s="1" t="s">
        <v>14889</v>
      </c>
      <c r="D5356" s="1" t="s">
        <v>51</v>
      </c>
      <c r="E5356" s="1" t="s">
        <v>29</v>
      </c>
      <c r="F5356" s="5">
        <v>14500.0</v>
      </c>
      <c r="G5356" s="1" t="s">
        <v>7016</v>
      </c>
      <c r="H5356" s="4">
        <v>44595.0</v>
      </c>
      <c r="I5356" s="1" t="s">
        <v>302</v>
      </c>
      <c r="K5356" s="1">
        <v>0.0</v>
      </c>
      <c r="L5356" s="1" t="s">
        <v>11159</v>
      </c>
      <c r="M5356" s="1" t="str">
        <f>VLOOKUP(L5356,'Copy of PMD Workday Constants -'!B5355:W6041,22,false)</f>
        <v>#N/A</v>
      </c>
      <c r="N5356" s="1" t="s">
        <v>32</v>
      </c>
      <c r="O5356" s="1" t="s">
        <v>33</v>
      </c>
      <c r="P5356" s="1" t="s">
        <v>222</v>
      </c>
      <c r="Q5356" s="1" t="s">
        <v>222</v>
      </c>
      <c r="R5356" s="1" t="s">
        <v>223</v>
      </c>
      <c r="S5356" s="1" t="s">
        <v>482</v>
      </c>
      <c r="T5356" s="1">
        <v>1.00602248E8</v>
      </c>
      <c r="W5356" s="1" t="s">
        <v>74</v>
      </c>
      <c r="X5356" s="1" t="s">
        <v>14284</v>
      </c>
    </row>
    <row r="5357">
      <c r="A5357" s="1" t="s">
        <v>14890</v>
      </c>
      <c r="B5357" s="1" t="s">
        <v>14891</v>
      </c>
      <c r="C5357" s="1" t="s">
        <v>14892</v>
      </c>
      <c r="D5357" s="1" t="s">
        <v>28</v>
      </c>
      <c r="E5357" s="1" t="s">
        <v>29</v>
      </c>
      <c r="F5357" s="5">
        <v>14500.0</v>
      </c>
      <c r="G5357" s="1" t="s">
        <v>7016</v>
      </c>
      <c r="H5357" s="1" t="s">
        <v>1341</v>
      </c>
      <c r="I5357" s="1" t="s">
        <v>43</v>
      </c>
      <c r="K5357" s="1">
        <v>0.0</v>
      </c>
      <c r="L5357" s="1" t="s">
        <v>11159</v>
      </c>
      <c r="M5357" s="1" t="str">
        <f>VLOOKUP(L5357,'Copy of PMD Workday Constants -'!B5356:W6042,22,false)</f>
        <v>#N/A</v>
      </c>
      <c r="N5357" s="1" t="s">
        <v>32</v>
      </c>
      <c r="O5357" s="1" t="s">
        <v>33</v>
      </c>
      <c r="P5357" s="1" t="s">
        <v>222</v>
      </c>
      <c r="Q5357" s="1" t="s">
        <v>222</v>
      </c>
      <c r="R5357" s="1" t="s">
        <v>223</v>
      </c>
      <c r="T5357" s="1">
        <v>1.00602248E8</v>
      </c>
      <c r="W5357" s="1" t="s">
        <v>74</v>
      </c>
      <c r="X5357" s="1" t="s">
        <v>12989</v>
      </c>
    </row>
    <row r="5358">
      <c r="A5358" s="1" t="s">
        <v>14893</v>
      </c>
      <c r="B5358" s="1" t="s">
        <v>7145</v>
      </c>
      <c r="C5358" s="1" t="s">
        <v>14894</v>
      </c>
      <c r="D5358" s="1" t="s">
        <v>51</v>
      </c>
      <c r="E5358" s="1" t="s">
        <v>29</v>
      </c>
      <c r="F5358" s="5">
        <v>14500.0</v>
      </c>
      <c r="G5358" s="1" t="s">
        <v>7016</v>
      </c>
      <c r="H5358" s="4">
        <v>44597.0</v>
      </c>
      <c r="I5358" s="1" t="s">
        <v>302</v>
      </c>
      <c r="K5358" s="1">
        <v>0.0</v>
      </c>
      <c r="L5358" s="1" t="s">
        <v>11159</v>
      </c>
      <c r="M5358" s="1" t="str">
        <f>VLOOKUP(L5358,'Copy of PMD Workday Constants -'!B5357:W6043,22,false)</f>
        <v>#N/A</v>
      </c>
      <c r="N5358" s="1" t="s">
        <v>32</v>
      </c>
      <c r="O5358" s="1" t="s">
        <v>33</v>
      </c>
      <c r="P5358" s="1" t="s">
        <v>222</v>
      </c>
      <c r="Q5358" s="1" t="s">
        <v>222</v>
      </c>
      <c r="R5358" s="1" t="s">
        <v>223</v>
      </c>
      <c r="S5358" s="1" t="s">
        <v>14843</v>
      </c>
      <c r="T5358" s="1">
        <v>1.00602248E8</v>
      </c>
      <c r="W5358" s="1" t="s">
        <v>85</v>
      </c>
      <c r="X5358" s="1" t="s">
        <v>12989</v>
      </c>
    </row>
    <row r="5359">
      <c r="A5359" s="1" t="s">
        <v>14895</v>
      </c>
      <c r="B5359" s="1" t="s">
        <v>14896</v>
      </c>
      <c r="C5359" s="1" t="s">
        <v>14897</v>
      </c>
      <c r="D5359" s="1" t="s">
        <v>28</v>
      </c>
      <c r="E5359" s="1" t="s">
        <v>29</v>
      </c>
      <c r="F5359" s="5">
        <v>14500.0</v>
      </c>
      <c r="G5359" s="1" t="s">
        <v>7016</v>
      </c>
      <c r="H5359" s="4">
        <v>44597.0</v>
      </c>
      <c r="I5359" s="1" t="s">
        <v>302</v>
      </c>
      <c r="K5359" s="1">
        <v>0.0</v>
      </c>
      <c r="L5359" s="1" t="s">
        <v>11159</v>
      </c>
      <c r="M5359" s="1" t="str">
        <f>VLOOKUP(L5359,'Copy of PMD Workday Constants -'!B5358:W6044,22,false)</f>
        <v>#N/A</v>
      </c>
      <c r="N5359" s="1" t="s">
        <v>32</v>
      </c>
      <c r="O5359" s="1" t="s">
        <v>33</v>
      </c>
      <c r="P5359" s="1" t="s">
        <v>222</v>
      </c>
      <c r="Q5359" s="1" t="s">
        <v>222</v>
      </c>
      <c r="R5359" s="1" t="s">
        <v>223</v>
      </c>
      <c r="S5359" s="1" t="s">
        <v>482</v>
      </c>
      <c r="T5359" s="1">
        <v>1.00602248E8</v>
      </c>
      <c r="W5359" s="1" t="s">
        <v>115</v>
      </c>
      <c r="X5359" s="1" t="s">
        <v>14284</v>
      </c>
    </row>
    <row r="5360">
      <c r="A5360" s="1" t="s">
        <v>14898</v>
      </c>
      <c r="B5360" s="1" t="s">
        <v>14899</v>
      </c>
      <c r="C5360" s="1" t="s">
        <v>14900</v>
      </c>
      <c r="D5360" s="1" t="s">
        <v>51</v>
      </c>
      <c r="E5360" s="1" t="s">
        <v>29</v>
      </c>
      <c r="F5360" s="5">
        <v>14500.0</v>
      </c>
      <c r="G5360" s="1" t="s">
        <v>7016</v>
      </c>
      <c r="H5360" s="4">
        <v>44597.0</v>
      </c>
      <c r="I5360" s="1" t="s">
        <v>132</v>
      </c>
      <c r="K5360" s="1">
        <v>0.0</v>
      </c>
      <c r="L5360" s="1" t="s">
        <v>11159</v>
      </c>
      <c r="M5360" s="1" t="str">
        <f>VLOOKUP(L5360,'Copy of PMD Workday Constants -'!B5359:W6045,22,false)</f>
        <v>#N/A</v>
      </c>
      <c r="N5360" s="1" t="s">
        <v>32</v>
      </c>
      <c r="O5360" s="1" t="s">
        <v>33</v>
      </c>
      <c r="P5360" s="1" t="s">
        <v>222</v>
      </c>
      <c r="Q5360" s="1" t="s">
        <v>222</v>
      </c>
      <c r="R5360" s="1" t="s">
        <v>223</v>
      </c>
      <c r="S5360" s="1" t="s">
        <v>14843</v>
      </c>
      <c r="T5360" s="1">
        <v>1.00602248E8</v>
      </c>
      <c r="W5360" s="1" t="s">
        <v>85</v>
      </c>
      <c r="X5360" s="1" t="s">
        <v>12989</v>
      </c>
    </row>
    <row r="5361">
      <c r="A5361" s="1" t="s">
        <v>14901</v>
      </c>
      <c r="B5361" s="1" t="s">
        <v>14902</v>
      </c>
      <c r="C5361" s="1" t="s">
        <v>14903</v>
      </c>
      <c r="D5361" s="1" t="s">
        <v>51</v>
      </c>
      <c r="E5361" s="1" t="s">
        <v>29</v>
      </c>
      <c r="F5361" s="5">
        <v>14500.0</v>
      </c>
      <c r="G5361" s="1" t="s">
        <v>7016</v>
      </c>
      <c r="H5361" s="4">
        <v>43871.0</v>
      </c>
      <c r="I5361" s="1" t="s">
        <v>302</v>
      </c>
      <c r="K5361" s="1">
        <v>0.0</v>
      </c>
      <c r="L5361" s="1" t="s">
        <v>11159</v>
      </c>
      <c r="M5361" s="1" t="str">
        <f>VLOOKUP(L5361,'Copy of PMD Workday Constants -'!B5360:W6046,22,false)</f>
        <v>#N/A</v>
      </c>
      <c r="N5361" s="1" t="s">
        <v>32</v>
      </c>
      <c r="O5361" s="1" t="s">
        <v>33</v>
      </c>
      <c r="P5361" s="1" t="s">
        <v>222</v>
      </c>
      <c r="Q5361" s="1" t="s">
        <v>222</v>
      </c>
      <c r="R5361" s="1" t="s">
        <v>223</v>
      </c>
      <c r="S5361" s="1" t="s">
        <v>482</v>
      </c>
      <c r="T5361" s="1">
        <v>1.00602248E8</v>
      </c>
      <c r="W5361" s="1" t="s">
        <v>947</v>
      </c>
      <c r="X5361" s="1" t="s">
        <v>14284</v>
      </c>
    </row>
    <row r="5362">
      <c r="A5362" s="1" t="s">
        <v>14904</v>
      </c>
      <c r="B5362" s="1" t="s">
        <v>14905</v>
      </c>
      <c r="C5362" s="1" t="s">
        <v>14906</v>
      </c>
      <c r="D5362" s="1" t="s">
        <v>28</v>
      </c>
      <c r="E5362" s="1" t="s">
        <v>29</v>
      </c>
      <c r="F5362" s="5">
        <v>14500.0</v>
      </c>
      <c r="G5362" s="1" t="s">
        <v>7016</v>
      </c>
      <c r="H5362" s="4">
        <v>44478.0</v>
      </c>
      <c r="I5362" s="1" t="s">
        <v>43</v>
      </c>
      <c r="K5362" s="1">
        <v>0.0</v>
      </c>
      <c r="L5362" s="1" t="s">
        <v>11159</v>
      </c>
      <c r="M5362" s="1" t="str">
        <f>VLOOKUP(L5362,'Copy of PMD Workday Constants -'!B5361:W6047,22,false)</f>
        <v>#N/A</v>
      </c>
      <c r="N5362" s="1" t="s">
        <v>32</v>
      </c>
      <c r="O5362" s="1" t="s">
        <v>33</v>
      </c>
      <c r="P5362" s="1" t="s">
        <v>222</v>
      </c>
      <c r="Q5362" s="1" t="s">
        <v>222</v>
      </c>
      <c r="R5362" s="1" t="s">
        <v>223</v>
      </c>
      <c r="S5362" s="1" t="s">
        <v>482</v>
      </c>
      <c r="T5362" s="1">
        <v>1.00602248E8</v>
      </c>
      <c r="W5362" s="1" t="s">
        <v>56</v>
      </c>
      <c r="X5362" s="1" t="s">
        <v>12989</v>
      </c>
    </row>
    <row r="5363">
      <c r="A5363" s="1" t="s">
        <v>14907</v>
      </c>
      <c r="B5363" s="1" t="s">
        <v>14908</v>
      </c>
      <c r="C5363" s="1" t="s">
        <v>14909</v>
      </c>
      <c r="D5363" s="1" t="s">
        <v>51</v>
      </c>
      <c r="E5363" s="1" t="s">
        <v>29</v>
      </c>
      <c r="F5363" s="5">
        <v>14500.0</v>
      </c>
      <c r="G5363" s="1" t="s">
        <v>7016</v>
      </c>
      <c r="H5363" s="4">
        <v>44597.0</v>
      </c>
      <c r="I5363" s="1" t="s">
        <v>302</v>
      </c>
      <c r="K5363" s="1">
        <v>0.0</v>
      </c>
      <c r="L5363" s="1" t="s">
        <v>11159</v>
      </c>
      <c r="M5363" s="1" t="str">
        <f>VLOOKUP(L5363,'Copy of PMD Workday Constants -'!B5362:W6048,22,false)</f>
        <v>#N/A</v>
      </c>
      <c r="N5363" s="1" t="s">
        <v>32</v>
      </c>
      <c r="O5363" s="1" t="s">
        <v>33</v>
      </c>
      <c r="P5363" s="1" t="s">
        <v>222</v>
      </c>
      <c r="Q5363" s="1" t="s">
        <v>222</v>
      </c>
      <c r="R5363" s="1" t="s">
        <v>223</v>
      </c>
      <c r="S5363" s="1" t="s">
        <v>14843</v>
      </c>
      <c r="T5363" s="1">
        <v>1.00602248E8</v>
      </c>
      <c r="W5363" s="1" t="s">
        <v>85</v>
      </c>
      <c r="X5363" s="1" t="s">
        <v>12989</v>
      </c>
    </row>
    <row r="5364">
      <c r="A5364" s="1" t="s">
        <v>14910</v>
      </c>
      <c r="B5364" s="1" t="s">
        <v>14911</v>
      </c>
      <c r="C5364" s="1" t="s">
        <v>14912</v>
      </c>
      <c r="D5364" s="1" t="s">
        <v>51</v>
      </c>
      <c r="E5364" s="1" t="s">
        <v>29</v>
      </c>
      <c r="F5364" s="5">
        <v>14500.0</v>
      </c>
      <c r="G5364" s="1" t="s">
        <v>7016</v>
      </c>
      <c r="H5364" s="4">
        <v>43932.0</v>
      </c>
      <c r="I5364" s="1" t="s">
        <v>302</v>
      </c>
      <c r="K5364" s="1">
        <v>0.0</v>
      </c>
      <c r="L5364" s="1" t="s">
        <v>11159</v>
      </c>
      <c r="M5364" s="1" t="str">
        <f>VLOOKUP(L5364,'Copy of PMD Workday Constants -'!B5363:W6049,22,false)</f>
        <v>#N/A</v>
      </c>
      <c r="N5364" s="1" t="s">
        <v>32</v>
      </c>
      <c r="O5364" s="1" t="s">
        <v>33</v>
      </c>
      <c r="P5364" s="1" t="s">
        <v>222</v>
      </c>
      <c r="Q5364" s="1" t="s">
        <v>222</v>
      </c>
      <c r="R5364" s="1" t="s">
        <v>223</v>
      </c>
      <c r="S5364" s="1" t="s">
        <v>482</v>
      </c>
      <c r="T5364" s="1">
        <v>1.00602248E8</v>
      </c>
      <c r="W5364" s="1" t="s">
        <v>436</v>
      </c>
      <c r="X5364" s="1" t="s">
        <v>12065</v>
      </c>
    </row>
    <row r="5365">
      <c r="A5365" s="1" t="s">
        <v>14913</v>
      </c>
      <c r="B5365" s="1" t="s">
        <v>14914</v>
      </c>
      <c r="C5365" s="1" t="s">
        <v>14915</v>
      </c>
      <c r="D5365" s="1" t="s">
        <v>51</v>
      </c>
      <c r="E5365" s="1" t="s">
        <v>29</v>
      </c>
      <c r="F5365" s="5">
        <v>14500.0</v>
      </c>
      <c r="G5365" s="1" t="s">
        <v>7016</v>
      </c>
      <c r="H5365" s="4">
        <v>44478.0</v>
      </c>
      <c r="I5365" s="1" t="s">
        <v>302</v>
      </c>
      <c r="K5365" s="1">
        <v>0.0</v>
      </c>
      <c r="L5365" s="1" t="s">
        <v>11159</v>
      </c>
      <c r="M5365" s="1" t="str">
        <f>VLOOKUP(L5365,'Copy of PMD Workday Constants -'!B5364:W6050,22,false)</f>
        <v>#N/A</v>
      </c>
      <c r="N5365" s="1" t="s">
        <v>32</v>
      </c>
      <c r="O5365" s="1" t="s">
        <v>33</v>
      </c>
      <c r="P5365" s="1" t="s">
        <v>222</v>
      </c>
      <c r="Q5365" s="1" t="s">
        <v>222</v>
      </c>
      <c r="R5365" s="1" t="s">
        <v>223</v>
      </c>
      <c r="S5365" s="1" t="s">
        <v>482</v>
      </c>
      <c r="T5365" s="1">
        <v>1.00602248E8</v>
      </c>
      <c r="W5365" s="1" t="s">
        <v>456</v>
      </c>
      <c r="X5365" s="1" t="s">
        <v>12065</v>
      </c>
    </row>
    <row r="5366">
      <c r="A5366" s="1" t="s">
        <v>14916</v>
      </c>
      <c r="B5366" s="1" t="s">
        <v>14917</v>
      </c>
      <c r="C5366" s="1" t="s">
        <v>14918</v>
      </c>
      <c r="D5366" s="1" t="s">
        <v>51</v>
      </c>
      <c r="E5366" s="1" t="s">
        <v>29</v>
      </c>
      <c r="F5366" s="5">
        <v>14500.0</v>
      </c>
      <c r="G5366" s="1" t="s">
        <v>7016</v>
      </c>
      <c r="H5366" s="4">
        <v>44900.0</v>
      </c>
      <c r="I5366" s="1" t="s">
        <v>43</v>
      </c>
      <c r="K5366" s="1">
        <v>0.0</v>
      </c>
      <c r="L5366" s="1" t="s">
        <v>11159</v>
      </c>
      <c r="M5366" s="1" t="str">
        <f>VLOOKUP(L5366,'Copy of PMD Workday Constants -'!B5365:W6051,22,false)</f>
        <v>#N/A</v>
      </c>
      <c r="N5366" s="1" t="s">
        <v>32</v>
      </c>
      <c r="O5366" s="1" t="s">
        <v>33</v>
      </c>
      <c r="P5366" s="1" t="s">
        <v>222</v>
      </c>
      <c r="Q5366" s="1" t="s">
        <v>222</v>
      </c>
      <c r="R5366" s="1" t="s">
        <v>223</v>
      </c>
      <c r="S5366" s="1" t="s">
        <v>14919</v>
      </c>
      <c r="T5366" s="1">
        <v>1.00602248E8</v>
      </c>
      <c r="W5366" s="1" t="s">
        <v>250</v>
      </c>
      <c r="X5366" s="1" t="s">
        <v>14284</v>
      </c>
    </row>
    <row r="5367">
      <c r="A5367" s="1" t="s">
        <v>14920</v>
      </c>
      <c r="B5367" s="1" t="s">
        <v>14707</v>
      </c>
      <c r="C5367" s="1" t="s">
        <v>14921</v>
      </c>
      <c r="D5367" s="1" t="s">
        <v>51</v>
      </c>
      <c r="E5367" s="1" t="s">
        <v>29</v>
      </c>
      <c r="F5367" s="5">
        <v>14500.0</v>
      </c>
      <c r="G5367" s="1" t="s">
        <v>7016</v>
      </c>
      <c r="H5367" s="4">
        <v>44319.0</v>
      </c>
      <c r="I5367" s="1" t="s">
        <v>421</v>
      </c>
      <c r="K5367" s="1">
        <v>0.0</v>
      </c>
      <c r="L5367" s="1" t="s">
        <v>11159</v>
      </c>
      <c r="M5367" s="1" t="str">
        <f>VLOOKUP(L5367,'Copy of PMD Workday Constants -'!B5366:W6052,22,false)</f>
        <v>#N/A</v>
      </c>
      <c r="N5367" s="1" t="s">
        <v>32</v>
      </c>
      <c r="O5367" s="1" t="s">
        <v>33</v>
      </c>
      <c r="P5367" s="1" t="s">
        <v>222</v>
      </c>
      <c r="Q5367" s="1" t="s">
        <v>222</v>
      </c>
      <c r="R5367" s="1" t="s">
        <v>223</v>
      </c>
      <c r="T5367" s="1">
        <v>1.00602248E8</v>
      </c>
      <c r="W5367" s="1" t="s">
        <v>258</v>
      </c>
      <c r="X5367" s="1" t="s">
        <v>12065</v>
      </c>
    </row>
    <row r="5368">
      <c r="A5368" s="1" t="s">
        <v>14922</v>
      </c>
      <c r="B5368" s="1" t="s">
        <v>4129</v>
      </c>
      <c r="C5368" s="1" t="s">
        <v>14923</v>
      </c>
      <c r="D5368" s="1" t="s">
        <v>51</v>
      </c>
      <c r="E5368" s="1" t="s">
        <v>29</v>
      </c>
      <c r="F5368" s="5">
        <v>14500.0</v>
      </c>
      <c r="G5368" s="1" t="s">
        <v>7016</v>
      </c>
      <c r="H5368" s="4">
        <v>44478.0</v>
      </c>
      <c r="I5368" s="1" t="s">
        <v>302</v>
      </c>
      <c r="K5368" s="1">
        <v>0.0</v>
      </c>
      <c r="L5368" s="1" t="s">
        <v>11159</v>
      </c>
      <c r="M5368" s="1" t="str">
        <f>VLOOKUP(L5368,'Copy of PMD Workday Constants -'!B5367:W6053,22,false)</f>
        <v>#N/A</v>
      </c>
      <c r="N5368" s="1" t="s">
        <v>32</v>
      </c>
      <c r="O5368" s="1" t="s">
        <v>33</v>
      </c>
      <c r="P5368" s="1" t="s">
        <v>222</v>
      </c>
      <c r="Q5368" s="1" t="s">
        <v>222</v>
      </c>
      <c r="R5368" s="1" t="s">
        <v>223</v>
      </c>
      <c r="S5368" s="1" t="s">
        <v>482</v>
      </c>
      <c r="T5368" s="1">
        <v>1.00602248E8</v>
      </c>
      <c r="W5368" s="1" t="s">
        <v>258</v>
      </c>
      <c r="X5368" s="1" t="s">
        <v>12065</v>
      </c>
    </row>
    <row r="5369">
      <c r="A5369" s="1" t="s">
        <v>14924</v>
      </c>
      <c r="B5369" s="1" t="s">
        <v>5315</v>
      </c>
      <c r="C5369" s="1" t="s">
        <v>14925</v>
      </c>
      <c r="D5369" s="1" t="s">
        <v>51</v>
      </c>
      <c r="E5369" s="1" t="s">
        <v>29</v>
      </c>
      <c r="F5369" s="5">
        <v>14500.0</v>
      </c>
      <c r="G5369" s="1" t="s">
        <v>7016</v>
      </c>
      <c r="H5369" s="4">
        <v>44532.0</v>
      </c>
      <c r="I5369" s="1" t="s">
        <v>421</v>
      </c>
      <c r="K5369" s="1">
        <v>0.0</v>
      </c>
      <c r="L5369" s="1" t="s">
        <v>11159</v>
      </c>
      <c r="M5369" s="1" t="str">
        <f>VLOOKUP(L5369,'Copy of PMD Workday Constants -'!B5368:W6054,22,false)</f>
        <v>#N/A</v>
      </c>
      <c r="N5369" s="1" t="s">
        <v>32</v>
      </c>
      <c r="O5369" s="1" t="s">
        <v>33</v>
      </c>
      <c r="P5369" s="1" t="s">
        <v>222</v>
      </c>
      <c r="Q5369" s="1" t="s">
        <v>222</v>
      </c>
      <c r="R5369" s="1" t="s">
        <v>223</v>
      </c>
      <c r="T5369" s="1">
        <v>1.00602248E8</v>
      </c>
      <c r="W5369" s="1" t="s">
        <v>533</v>
      </c>
      <c r="X5369" s="1" t="s">
        <v>12065</v>
      </c>
    </row>
    <row r="5370">
      <c r="A5370" s="1" t="s">
        <v>14926</v>
      </c>
      <c r="B5370" s="1" t="s">
        <v>3126</v>
      </c>
      <c r="C5370" s="1" t="s">
        <v>14927</v>
      </c>
      <c r="D5370" s="1" t="s">
        <v>51</v>
      </c>
      <c r="E5370" s="1" t="s">
        <v>29</v>
      </c>
      <c r="F5370" s="5">
        <v>14500.0</v>
      </c>
      <c r="G5370" s="1" t="s">
        <v>7016</v>
      </c>
      <c r="H5370" s="1" t="s">
        <v>322</v>
      </c>
      <c r="I5370" s="1" t="s">
        <v>302</v>
      </c>
      <c r="K5370" s="1">
        <v>0.0</v>
      </c>
      <c r="L5370" s="1" t="s">
        <v>11159</v>
      </c>
      <c r="M5370" s="1" t="str">
        <f>VLOOKUP(L5370,'Copy of PMD Workday Constants -'!B5369:W6055,22,false)</f>
        <v>#N/A</v>
      </c>
      <c r="N5370" s="1" t="s">
        <v>32</v>
      </c>
      <c r="O5370" s="1" t="s">
        <v>33</v>
      </c>
      <c r="P5370" s="1" t="s">
        <v>222</v>
      </c>
      <c r="Q5370" s="1" t="s">
        <v>222</v>
      </c>
      <c r="R5370" s="1" t="s">
        <v>223</v>
      </c>
      <c r="S5370" s="1" t="s">
        <v>14281</v>
      </c>
      <c r="T5370" s="1">
        <v>1.00602248E8</v>
      </c>
      <c r="W5370" s="1" t="s">
        <v>115</v>
      </c>
      <c r="X5370" s="1" t="s">
        <v>14284</v>
      </c>
    </row>
    <row r="5371">
      <c r="A5371" s="1" t="s">
        <v>14928</v>
      </c>
      <c r="B5371" s="1" t="s">
        <v>14929</v>
      </c>
      <c r="C5371" s="1" t="s">
        <v>14930</v>
      </c>
      <c r="D5371" s="1" t="s">
        <v>28</v>
      </c>
      <c r="E5371" s="1" t="s">
        <v>29</v>
      </c>
      <c r="F5371" s="5">
        <v>14500.0</v>
      </c>
      <c r="G5371" s="1" t="s">
        <v>7016</v>
      </c>
      <c r="H5371" s="1" t="s">
        <v>1842</v>
      </c>
      <c r="I5371" s="1" t="s">
        <v>43</v>
      </c>
      <c r="K5371" s="1">
        <v>0.0</v>
      </c>
      <c r="L5371" s="1" t="s">
        <v>11159</v>
      </c>
      <c r="M5371" s="1" t="str">
        <f>VLOOKUP(L5371,'Copy of PMD Workday Constants -'!B5370:W6056,22,false)</f>
        <v>#N/A</v>
      </c>
      <c r="N5371" s="1" t="s">
        <v>32</v>
      </c>
      <c r="O5371" s="1" t="s">
        <v>33</v>
      </c>
      <c r="P5371" s="1" t="s">
        <v>222</v>
      </c>
      <c r="Q5371" s="1" t="s">
        <v>222</v>
      </c>
      <c r="R5371" s="1" t="s">
        <v>223</v>
      </c>
      <c r="S5371" s="1" t="s">
        <v>482</v>
      </c>
      <c r="T5371" s="1">
        <v>1.00602248E8</v>
      </c>
      <c r="W5371" s="1" t="s">
        <v>74</v>
      </c>
      <c r="X5371" s="1" t="s">
        <v>14284</v>
      </c>
    </row>
    <row r="5372">
      <c r="A5372" s="1" t="s">
        <v>14931</v>
      </c>
      <c r="B5372" s="1" t="s">
        <v>14932</v>
      </c>
      <c r="C5372" s="1" t="s">
        <v>14933</v>
      </c>
      <c r="D5372" s="1" t="s">
        <v>28</v>
      </c>
      <c r="E5372" s="1" t="s">
        <v>29</v>
      </c>
      <c r="F5372" s="5">
        <v>14500.0</v>
      </c>
      <c r="G5372" s="1" t="s">
        <v>7016</v>
      </c>
      <c r="H5372" s="1" t="s">
        <v>1042</v>
      </c>
      <c r="I5372" s="1" t="s">
        <v>43</v>
      </c>
      <c r="K5372" s="1">
        <v>0.0</v>
      </c>
      <c r="L5372" s="1" t="s">
        <v>8868</v>
      </c>
      <c r="M5372" s="1" t="str">
        <f>VLOOKUP(L5372,'Copy of PMD Workday Constants -'!B5371:W6057,22,false)</f>
        <v>#N/A</v>
      </c>
      <c r="N5372" s="1" t="s">
        <v>32</v>
      </c>
      <c r="O5372" s="1" t="s">
        <v>33</v>
      </c>
      <c r="P5372" s="1" t="s">
        <v>222</v>
      </c>
      <c r="Q5372" s="1" t="s">
        <v>222</v>
      </c>
      <c r="R5372" s="1" t="s">
        <v>223</v>
      </c>
      <c r="S5372" s="1" t="s">
        <v>482</v>
      </c>
      <c r="T5372" s="1">
        <v>1.00612509E8</v>
      </c>
      <c r="W5372" s="1" t="s">
        <v>258</v>
      </c>
      <c r="X5372" s="1" t="s">
        <v>12989</v>
      </c>
    </row>
    <row r="5373">
      <c r="A5373" s="1" t="s">
        <v>14934</v>
      </c>
      <c r="B5373" s="1" t="s">
        <v>430</v>
      </c>
      <c r="C5373" s="1" t="s">
        <v>14935</v>
      </c>
      <c r="D5373" s="1" t="s">
        <v>103</v>
      </c>
      <c r="E5373" s="1" t="s">
        <v>29</v>
      </c>
      <c r="F5373" s="5">
        <v>14500.0</v>
      </c>
      <c r="G5373" s="1" t="s">
        <v>7016</v>
      </c>
      <c r="H5373" s="4">
        <v>44564.0</v>
      </c>
      <c r="I5373" s="1" t="s">
        <v>302</v>
      </c>
      <c r="K5373" s="1">
        <v>0.0</v>
      </c>
      <c r="L5373" s="1" t="s">
        <v>11159</v>
      </c>
      <c r="M5373" s="1" t="str">
        <f>VLOOKUP(L5373,'Copy of PMD Workday Constants -'!B5372:W6058,22,false)</f>
        <v>#N/A</v>
      </c>
      <c r="N5373" s="1" t="s">
        <v>32</v>
      </c>
      <c r="O5373" s="1" t="s">
        <v>33</v>
      </c>
      <c r="P5373" s="1" t="s">
        <v>222</v>
      </c>
      <c r="Q5373" s="1" t="s">
        <v>222</v>
      </c>
      <c r="R5373" s="1" t="s">
        <v>223</v>
      </c>
      <c r="S5373" s="1" t="s">
        <v>482</v>
      </c>
      <c r="T5373" s="1">
        <v>1.00602248E8</v>
      </c>
      <c r="W5373" s="1" t="s">
        <v>85</v>
      </c>
      <c r="X5373" s="1" t="s">
        <v>12065</v>
      </c>
    </row>
    <row r="5374">
      <c r="A5374" s="1" t="s">
        <v>14936</v>
      </c>
      <c r="B5374" s="1" t="s">
        <v>14937</v>
      </c>
      <c r="C5374" s="1" t="s">
        <v>14938</v>
      </c>
      <c r="D5374" s="1" t="s">
        <v>28</v>
      </c>
      <c r="E5374" s="1" t="s">
        <v>29</v>
      </c>
      <c r="F5374" s="5">
        <v>14500.0</v>
      </c>
      <c r="G5374" s="1" t="s">
        <v>7016</v>
      </c>
      <c r="H5374" s="1" t="s">
        <v>1161</v>
      </c>
      <c r="I5374" s="1" t="s">
        <v>43</v>
      </c>
      <c r="K5374" s="1">
        <v>0.0</v>
      </c>
      <c r="L5374" s="1" t="s">
        <v>11159</v>
      </c>
      <c r="M5374" s="1" t="str">
        <f>VLOOKUP(L5374,'Copy of PMD Workday Constants -'!B5373:W6059,22,false)</f>
        <v>#N/A</v>
      </c>
      <c r="N5374" s="1" t="s">
        <v>32</v>
      </c>
      <c r="O5374" s="1" t="s">
        <v>33</v>
      </c>
      <c r="P5374" s="1" t="s">
        <v>222</v>
      </c>
      <c r="Q5374" s="1" t="s">
        <v>222</v>
      </c>
      <c r="R5374" s="1" t="s">
        <v>223</v>
      </c>
      <c r="T5374" s="1">
        <v>1.00602248E8</v>
      </c>
      <c r="W5374" s="1" t="s">
        <v>74</v>
      </c>
      <c r="X5374" s="1" t="s">
        <v>12989</v>
      </c>
    </row>
    <row r="5375">
      <c r="A5375" s="1" t="s">
        <v>14939</v>
      </c>
      <c r="B5375" s="1" t="s">
        <v>13593</v>
      </c>
      <c r="C5375" s="1" t="s">
        <v>14940</v>
      </c>
      <c r="D5375" s="1" t="s">
        <v>28</v>
      </c>
      <c r="E5375" s="1" t="s">
        <v>29</v>
      </c>
      <c r="F5375" s="5">
        <v>14500.0</v>
      </c>
      <c r="G5375" s="1" t="s">
        <v>7016</v>
      </c>
      <c r="H5375" s="1" t="s">
        <v>1161</v>
      </c>
      <c r="I5375" s="1" t="s">
        <v>43</v>
      </c>
      <c r="K5375" s="1">
        <v>0.0</v>
      </c>
      <c r="L5375" s="1" t="s">
        <v>11159</v>
      </c>
      <c r="M5375" s="1" t="str">
        <f>VLOOKUP(L5375,'Copy of PMD Workday Constants -'!B5374:W6060,22,false)</f>
        <v>#N/A</v>
      </c>
      <c r="N5375" s="1" t="s">
        <v>32</v>
      </c>
      <c r="O5375" s="1" t="s">
        <v>33</v>
      </c>
      <c r="P5375" s="1" t="s">
        <v>222</v>
      </c>
      <c r="Q5375" s="1" t="s">
        <v>222</v>
      </c>
      <c r="R5375" s="1" t="s">
        <v>223</v>
      </c>
      <c r="T5375" s="1">
        <v>1.00602248E8</v>
      </c>
      <c r="W5375" s="1" t="s">
        <v>74</v>
      </c>
      <c r="X5375" s="1" t="s">
        <v>12989</v>
      </c>
    </row>
    <row r="5376">
      <c r="A5376" s="1" t="s">
        <v>14941</v>
      </c>
      <c r="B5376" s="1" t="s">
        <v>1968</v>
      </c>
      <c r="C5376" s="1" t="s">
        <v>14942</v>
      </c>
      <c r="D5376" s="1" t="s">
        <v>51</v>
      </c>
      <c r="E5376" s="1" t="s">
        <v>29</v>
      </c>
      <c r="F5376" s="5">
        <v>14500.0</v>
      </c>
      <c r="G5376" s="1" t="s">
        <v>7016</v>
      </c>
      <c r="H5376" s="1" t="s">
        <v>5396</v>
      </c>
      <c r="I5376" s="1" t="s">
        <v>166</v>
      </c>
      <c r="K5376" s="1">
        <v>0.0</v>
      </c>
      <c r="L5376" s="1" t="s">
        <v>11159</v>
      </c>
      <c r="M5376" s="1" t="str">
        <f>VLOOKUP(L5376,'Copy of PMD Workday Constants -'!B5375:W6061,22,false)</f>
        <v>#N/A</v>
      </c>
      <c r="N5376" s="1" t="s">
        <v>32</v>
      </c>
      <c r="O5376" s="1" t="s">
        <v>33</v>
      </c>
      <c r="P5376" s="1" t="s">
        <v>222</v>
      </c>
      <c r="Q5376" s="1" t="s">
        <v>222</v>
      </c>
      <c r="R5376" s="1" t="s">
        <v>223</v>
      </c>
      <c r="S5376" s="1" t="s">
        <v>482</v>
      </c>
      <c r="T5376" s="1">
        <v>1.00602248E8</v>
      </c>
      <c r="W5376" s="1" t="s">
        <v>85</v>
      </c>
      <c r="X5376" s="1" t="s">
        <v>12065</v>
      </c>
    </row>
    <row r="5377">
      <c r="A5377" s="1" t="s">
        <v>14943</v>
      </c>
      <c r="B5377" s="1" t="s">
        <v>3267</v>
      </c>
      <c r="C5377" s="1" t="s">
        <v>14944</v>
      </c>
      <c r="D5377" s="1" t="s">
        <v>28</v>
      </c>
      <c r="E5377" s="1" t="s">
        <v>29</v>
      </c>
      <c r="F5377" s="5">
        <v>14500.0</v>
      </c>
      <c r="G5377" s="1" t="s">
        <v>7016</v>
      </c>
      <c r="H5377" s="1" t="s">
        <v>4625</v>
      </c>
      <c r="I5377" s="1" t="s">
        <v>43</v>
      </c>
      <c r="K5377" s="1">
        <v>0.0</v>
      </c>
      <c r="L5377" s="1" t="s">
        <v>11159</v>
      </c>
      <c r="M5377" s="1" t="str">
        <f>VLOOKUP(L5377,'Copy of PMD Workday Constants -'!B5376:W6062,22,false)</f>
        <v>#N/A</v>
      </c>
      <c r="N5377" s="1" t="s">
        <v>32</v>
      </c>
      <c r="O5377" s="1" t="s">
        <v>33</v>
      </c>
      <c r="P5377" s="1" t="s">
        <v>222</v>
      </c>
      <c r="Q5377" s="1" t="s">
        <v>222</v>
      </c>
      <c r="R5377" s="1" t="s">
        <v>223</v>
      </c>
      <c r="S5377" s="1" t="s">
        <v>482</v>
      </c>
      <c r="T5377" s="1">
        <v>1.00602248E8</v>
      </c>
      <c r="W5377" s="1" t="s">
        <v>258</v>
      </c>
      <c r="X5377" s="1" t="s">
        <v>14372</v>
      </c>
    </row>
    <row r="5378">
      <c r="A5378" s="1" t="s">
        <v>14945</v>
      </c>
      <c r="B5378" s="1" t="s">
        <v>14946</v>
      </c>
      <c r="C5378" s="1" t="s">
        <v>14947</v>
      </c>
      <c r="D5378" s="1" t="s">
        <v>51</v>
      </c>
      <c r="E5378" s="1" t="s">
        <v>29</v>
      </c>
      <c r="F5378" s="5">
        <v>14500.0</v>
      </c>
      <c r="G5378" s="1" t="s">
        <v>7016</v>
      </c>
      <c r="H5378" s="4">
        <v>44746.0</v>
      </c>
      <c r="I5378" s="1" t="s">
        <v>302</v>
      </c>
      <c r="K5378" s="1">
        <v>0.0</v>
      </c>
      <c r="L5378" s="1" t="s">
        <v>11159</v>
      </c>
      <c r="M5378" s="1" t="str">
        <f>VLOOKUP(L5378,'Copy of PMD Workday Constants -'!B5377:W6063,22,false)</f>
        <v>#N/A</v>
      </c>
      <c r="N5378" s="1" t="s">
        <v>32</v>
      </c>
      <c r="O5378" s="1" t="s">
        <v>33</v>
      </c>
      <c r="P5378" s="1" t="s">
        <v>222</v>
      </c>
      <c r="Q5378" s="1" t="s">
        <v>222</v>
      </c>
      <c r="R5378" s="1" t="s">
        <v>223</v>
      </c>
      <c r="S5378" s="1" t="s">
        <v>14281</v>
      </c>
      <c r="T5378" s="1">
        <v>1.00602248E8</v>
      </c>
      <c r="W5378" s="1" t="s">
        <v>1181</v>
      </c>
      <c r="X5378" s="1" t="s">
        <v>12989</v>
      </c>
    </row>
    <row r="5379">
      <c r="A5379" s="1" t="s">
        <v>14948</v>
      </c>
      <c r="B5379" s="1" t="s">
        <v>14949</v>
      </c>
      <c r="C5379" s="1" t="s">
        <v>14950</v>
      </c>
      <c r="D5379" s="1" t="s">
        <v>28</v>
      </c>
      <c r="E5379" s="1" t="s">
        <v>29</v>
      </c>
      <c r="F5379" s="5">
        <v>14500.0</v>
      </c>
      <c r="G5379" s="1" t="s">
        <v>7016</v>
      </c>
      <c r="H5379" s="4">
        <v>44746.0</v>
      </c>
      <c r="I5379" s="1" t="s">
        <v>191</v>
      </c>
      <c r="K5379" s="1">
        <v>0.0</v>
      </c>
      <c r="L5379" s="1" t="s">
        <v>11159</v>
      </c>
      <c r="M5379" s="1" t="str">
        <f>VLOOKUP(L5379,'Copy of PMD Workday Constants -'!B5378:W6064,22,false)</f>
        <v>#N/A</v>
      </c>
      <c r="N5379" s="1" t="s">
        <v>32</v>
      </c>
      <c r="O5379" s="1" t="s">
        <v>33</v>
      </c>
      <c r="P5379" s="1" t="s">
        <v>222</v>
      </c>
      <c r="Q5379" s="1" t="s">
        <v>222</v>
      </c>
      <c r="R5379" s="1" t="s">
        <v>223</v>
      </c>
      <c r="S5379" s="1" t="s">
        <v>14849</v>
      </c>
      <c r="T5379" s="1">
        <v>1.00602248E8</v>
      </c>
      <c r="W5379" s="1" t="s">
        <v>140</v>
      </c>
      <c r="X5379" s="1" t="s">
        <v>14284</v>
      </c>
    </row>
    <row r="5380">
      <c r="A5380" s="1" t="s">
        <v>14951</v>
      </c>
      <c r="B5380" s="1" t="s">
        <v>9381</v>
      </c>
      <c r="C5380" s="1" t="s">
        <v>14952</v>
      </c>
      <c r="D5380" s="1" t="s">
        <v>28</v>
      </c>
      <c r="E5380" s="1" t="s">
        <v>29</v>
      </c>
      <c r="F5380" s="5">
        <v>14500.0</v>
      </c>
      <c r="G5380" s="1" t="s">
        <v>7016</v>
      </c>
      <c r="H5380" s="4">
        <v>44597.0</v>
      </c>
      <c r="I5380" s="1" t="s">
        <v>302</v>
      </c>
      <c r="K5380" s="1">
        <v>0.0</v>
      </c>
      <c r="L5380" s="1" t="s">
        <v>11159</v>
      </c>
      <c r="M5380" s="1" t="str">
        <f>VLOOKUP(L5380,'Copy of PMD Workday Constants -'!B5379:W6065,22,false)</f>
        <v>#N/A</v>
      </c>
      <c r="N5380" s="1" t="s">
        <v>32</v>
      </c>
      <c r="O5380" s="1" t="s">
        <v>33</v>
      </c>
      <c r="P5380" s="1" t="s">
        <v>222</v>
      </c>
      <c r="Q5380" s="1" t="s">
        <v>222</v>
      </c>
      <c r="R5380" s="1" t="s">
        <v>223</v>
      </c>
      <c r="S5380" s="1" t="s">
        <v>14849</v>
      </c>
      <c r="T5380" s="1">
        <v>1.00602248E8</v>
      </c>
      <c r="W5380" s="1" t="s">
        <v>74</v>
      </c>
      <c r="X5380" s="1" t="s">
        <v>14284</v>
      </c>
    </row>
    <row r="5381">
      <c r="A5381" s="1" t="s">
        <v>14953</v>
      </c>
      <c r="B5381" s="1" t="s">
        <v>14954</v>
      </c>
      <c r="C5381" s="1" t="s">
        <v>14955</v>
      </c>
      <c r="D5381" s="1" t="s">
        <v>51</v>
      </c>
      <c r="E5381" s="1" t="s">
        <v>29</v>
      </c>
      <c r="F5381" s="5">
        <v>14500.0</v>
      </c>
      <c r="G5381" s="1" t="s">
        <v>7016</v>
      </c>
      <c r="H5381" s="4">
        <v>44597.0</v>
      </c>
      <c r="I5381" s="1" t="s">
        <v>302</v>
      </c>
      <c r="K5381" s="1">
        <v>0.0</v>
      </c>
      <c r="L5381" s="1" t="s">
        <v>11159</v>
      </c>
      <c r="M5381" s="1" t="str">
        <f>VLOOKUP(L5381,'Copy of PMD Workday Constants -'!B5380:W6066,22,false)</f>
        <v>#N/A</v>
      </c>
      <c r="N5381" s="1" t="s">
        <v>32</v>
      </c>
      <c r="O5381" s="1" t="s">
        <v>33</v>
      </c>
      <c r="P5381" s="1" t="s">
        <v>222</v>
      </c>
      <c r="Q5381" s="1" t="s">
        <v>222</v>
      </c>
      <c r="R5381" s="1" t="s">
        <v>223</v>
      </c>
      <c r="S5381" s="1" t="s">
        <v>14919</v>
      </c>
      <c r="T5381" s="1">
        <v>1.00602248E8</v>
      </c>
      <c r="W5381" s="1" t="s">
        <v>74</v>
      </c>
      <c r="X5381" s="1" t="s">
        <v>12989</v>
      </c>
    </row>
    <row r="5382">
      <c r="A5382" s="1" t="s">
        <v>14956</v>
      </c>
      <c r="B5382" s="1" t="s">
        <v>4669</v>
      </c>
      <c r="C5382" s="1" t="s">
        <v>14957</v>
      </c>
      <c r="D5382" s="1" t="s">
        <v>28</v>
      </c>
      <c r="E5382" s="1" t="s">
        <v>29</v>
      </c>
      <c r="F5382" s="5">
        <v>14500.0</v>
      </c>
      <c r="G5382" s="1" t="s">
        <v>7016</v>
      </c>
      <c r="H5382" s="4">
        <v>44625.0</v>
      </c>
      <c r="I5382" s="1" t="s">
        <v>302</v>
      </c>
      <c r="K5382" s="1">
        <v>0.0</v>
      </c>
      <c r="L5382" s="1" t="s">
        <v>11159</v>
      </c>
      <c r="M5382" s="1" t="str">
        <f>VLOOKUP(L5382,'Copy of PMD Workday Constants -'!B5381:W6067,22,false)</f>
        <v>#N/A</v>
      </c>
      <c r="N5382" s="1" t="s">
        <v>32</v>
      </c>
      <c r="O5382" s="1" t="s">
        <v>33</v>
      </c>
      <c r="P5382" s="1" t="s">
        <v>222</v>
      </c>
      <c r="Q5382" s="1" t="s">
        <v>222</v>
      </c>
      <c r="R5382" s="1" t="s">
        <v>223</v>
      </c>
      <c r="S5382" s="1" t="s">
        <v>14919</v>
      </c>
      <c r="T5382" s="1">
        <v>1.00602248E8</v>
      </c>
      <c r="W5382" s="1" t="s">
        <v>74</v>
      </c>
      <c r="X5382" s="1" t="s">
        <v>14284</v>
      </c>
    </row>
    <row r="5383">
      <c r="A5383" s="1" t="s">
        <v>14958</v>
      </c>
      <c r="B5383" s="1" t="s">
        <v>7797</v>
      </c>
      <c r="C5383" s="1" t="s">
        <v>14959</v>
      </c>
      <c r="D5383" s="1" t="s">
        <v>51</v>
      </c>
      <c r="E5383" s="1" t="s">
        <v>29</v>
      </c>
      <c r="F5383" s="5">
        <v>14500.0</v>
      </c>
      <c r="G5383" s="1" t="s">
        <v>7016</v>
      </c>
      <c r="H5383" s="4">
        <v>44597.0</v>
      </c>
      <c r="I5383" s="1" t="s">
        <v>302</v>
      </c>
      <c r="K5383" s="1">
        <v>0.0</v>
      </c>
      <c r="L5383" s="1" t="s">
        <v>11159</v>
      </c>
      <c r="M5383" s="1" t="str">
        <f>VLOOKUP(L5383,'Copy of PMD Workday Constants -'!B5382:W6068,22,false)</f>
        <v>#N/A</v>
      </c>
      <c r="N5383" s="1" t="s">
        <v>32</v>
      </c>
      <c r="O5383" s="1" t="s">
        <v>33</v>
      </c>
      <c r="P5383" s="1" t="s">
        <v>222</v>
      </c>
      <c r="Q5383" s="1" t="s">
        <v>222</v>
      </c>
      <c r="R5383" s="1" t="s">
        <v>223</v>
      </c>
      <c r="S5383" s="1" t="s">
        <v>14919</v>
      </c>
      <c r="T5383" s="1">
        <v>1.00602248E8</v>
      </c>
      <c r="W5383" s="1" t="s">
        <v>56</v>
      </c>
      <c r="X5383" s="1" t="s">
        <v>12989</v>
      </c>
    </row>
    <row r="5384">
      <c r="A5384" s="1" t="s">
        <v>14960</v>
      </c>
      <c r="B5384" s="1" t="s">
        <v>9877</v>
      </c>
      <c r="C5384" s="1" t="s">
        <v>14961</v>
      </c>
      <c r="D5384" s="1" t="s">
        <v>28</v>
      </c>
      <c r="E5384" s="1" t="s">
        <v>29</v>
      </c>
      <c r="F5384" s="5">
        <v>14500.0</v>
      </c>
      <c r="G5384" s="1" t="s">
        <v>7016</v>
      </c>
      <c r="H5384" s="4">
        <v>44448.0</v>
      </c>
      <c r="I5384" s="1" t="s">
        <v>43</v>
      </c>
      <c r="K5384" s="1">
        <v>0.0</v>
      </c>
      <c r="L5384" s="1" t="s">
        <v>11159</v>
      </c>
      <c r="M5384" s="1" t="str">
        <f>VLOOKUP(L5384,'Copy of PMD Workday Constants -'!B5383:W6069,22,false)</f>
        <v>#N/A</v>
      </c>
      <c r="N5384" s="1" t="s">
        <v>32</v>
      </c>
      <c r="O5384" s="1" t="s">
        <v>33</v>
      </c>
      <c r="P5384" s="1" t="s">
        <v>222</v>
      </c>
      <c r="Q5384" s="1" t="s">
        <v>222</v>
      </c>
      <c r="R5384" s="1" t="s">
        <v>223</v>
      </c>
      <c r="S5384" s="1" t="s">
        <v>482</v>
      </c>
      <c r="T5384" s="1">
        <v>1.00602248E8</v>
      </c>
      <c r="W5384" s="1" t="s">
        <v>85</v>
      </c>
      <c r="X5384" s="1" t="s">
        <v>12989</v>
      </c>
    </row>
    <row r="5385">
      <c r="A5385" s="1" t="s">
        <v>14962</v>
      </c>
      <c r="B5385" s="1" t="s">
        <v>14963</v>
      </c>
      <c r="C5385" s="1" t="s">
        <v>14964</v>
      </c>
      <c r="D5385" s="1" t="s">
        <v>28</v>
      </c>
      <c r="E5385" s="1" t="s">
        <v>29</v>
      </c>
      <c r="F5385" s="5">
        <v>14500.0</v>
      </c>
      <c r="G5385" s="1" t="s">
        <v>7016</v>
      </c>
      <c r="H5385" s="1" t="s">
        <v>681</v>
      </c>
      <c r="I5385" s="1" t="s">
        <v>43</v>
      </c>
      <c r="K5385" s="1">
        <v>0.0</v>
      </c>
      <c r="L5385" s="1" t="s">
        <v>11159</v>
      </c>
      <c r="M5385" s="1" t="str">
        <f>VLOOKUP(L5385,'Copy of PMD Workday Constants -'!B5384:W6070,22,false)</f>
        <v>#N/A</v>
      </c>
      <c r="N5385" s="1" t="s">
        <v>32</v>
      </c>
      <c r="O5385" s="1" t="s">
        <v>33</v>
      </c>
      <c r="P5385" s="1" t="s">
        <v>222</v>
      </c>
      <c r="Q5385" s="1" t="s">
        <v>222</v>
      </c>
      <c r="R5385" s="1" t="s">
        <v>223</v>
      </c>
      <c r="S5385" s="1" t="s">
        <v>482</v>
      </c>
      <c r="T5385" s="1">
        <v>1.00602248E8</v>
      </c>
      <c r="W5385" s="1" t="s">
        <v>74</v>
      </c>
      <c r="X5385" s="1" t="s">
        <v>12989</v>
      </c>
    </row>
    <row r="5386">
      <c r="A5386" s="1" t="s">
        <v>14965</v>
      </c>
      <c r="B5386" s="1" t="s">
        <v>10474</v>
      </c>
      <c r="C5386" s="1" t="s">
        <v>14966</v>
      </c>
      <c r="D5386" s="1" t="s">
        <v>51</v>
      </c>
      <c r="E5386" s="1" t="s">
        <v>29</v>
      </c>
      <c r="F5386" s="5">
        <v>14500.0</v>
      </c>
      <c r="G5386" s="1" t="s">
        <v>7016</v>
      </c>
      <c r="H5386" s="1" t="s">
        <v>14967</v>
      </c>
      <c r="I5386" s="1" t="s">
        <v>302</v>
      </c>
      <c r="K5386" s="1">
        <v>0.0</v>
      </c>
      <c r="L5386" s="1" t="s">
        <v>11159</v>
      </c>
      <c r="M5386" s="1" t="str">
        <f>VLOOKUP(L5386,'Copy of PMD Workday Constants -'!B5385:W6071,22,false)</f>
        <v>#N/A</v>
      </c>
      <c r="N5386" s="1" t="s">
        <v>32</v>
      </c>
      <c r="O5386" s="1" t="s">
        <v>33</v>
      </c>
      <c r="P5386" s="1" t="s">
        <v>222</v>
      </c>
      <c r="Q5386" s="1" t="s">
        <v>222</v>
      </c>
      <c r="R5386" s="1" t="s">
        <v>223</v>
      </c>
      <c r="S5386" s="1" t="s">
        <v>482</v>
      </c>
      <c r="T5386" s="1">
        <v>1.00602248E8</v>
      </c>
      <c r="W5386" s="1" t="s">
        <v>308</v>
      </c>
      <c r="X5386" s="1" t="s">
        <v>12065</v>
      </c>
    </row>
    <row r="5387">
      <c r="A5387" s="1" t="s">
        <v>14968</v>
      </c>
      <c r="B5387" s="1" t="s">
        <v>13945</v>
      </c>
      <c r="C5387" s="1" t="s">
        <v>14969</v>
      </c>
      <c r="D5387" s="1" t="s">
        <v>28</v>
      </c>
      <c r="E5387" s="1" t="s">
        <v>29</v>
      </c>
      <c r="F5387" s="5">
        <v>14500.0</v>
      </c>
      <c r="G5387" s="1" t="s">
        <v>7016</v>
      </c>
      <c r="H5387" s="4">
        <v>44597.0</v>
      </c>
      <c r="I5387" s="1" t="s">
        <v>302</v>
      </c>
      <c r="K5387" s="1">
        <v>0.0</v>
      </c>
      <c r="L5387" s="1" t="s">
        <v>11159</v>
      </c>
      <c r="M5387" s="1" t="str">
        <f>VLOOKUP(L5387,'Copy of PMD Workday Constants -'!B5386:W6072,22,false)</f>
        <v>#N/A</v>
      </c>
      <c r="N5387" s="1" t="s">
        <v>32</v>
      </c>
      <c r="O5387" s="1" t="s">
        <v>33</v>
      </c>
      <c r="P5387" s="1" t="s">
        <v>222</v>
      </c>
      <c r="Q5387" s="1" t="s">
        <v>222</v>
      </c>
      <c r="R5387" s="1" t="s">
        <v>223</v>
      </c>
      <c r="S5387" s="1" t="s">
        <v>14843</v>
      </c>
      <c r="T5387" s="1">
        <v>1.00602248E8</v>
      </c>
      <c r="W5387" s="1" t="s">
        <v>85</v>
      </c>
      <c r="X5387" s="1" t="s">
        <v>14284</v>
      </c>
    </row>
    <row r="5388">
      <c r="A5388" s="1" t="s">
        <v>14970</v>
      </c>
      <c r="B5388" s="1" t="s">
        <v>1516</v>
      </c>
      <c r="C5388" s="1" t="s">
        <v>14971</v>
      </c>
      <c r="D5388" s="1" t="s">
        <v>28</v>
      </c>
      <c r="E5388" s="1" t="s">
        <v>29</v>
      </c>
      <c r="F5388" s="5">
        <v>14500.0</v>
      </c>
      <c r="G5388" s="1" t="s">
        <v>7016</v>
      </c>
      <c r="H5388" s="1" t="s">
        <v>42</v>
      </c>
      <c r="I5388" s="1" t="s">
        <v>302</v>
      </c>
      <c r="K5388" s="1">
        <v>0.0</v>
      </c>
      <c r="L5388" s="1" t="s">
        <v>11159</v>
      </c>
      <c r="M5388" s="1" t="str">
        <f>VLOOKUP(L5388,'Copy of PMD Workday Constants -'!B5387:W6073,22,false)</f>
        <v>#N/A</v>
      </c>
      <c r="N5388" s="1" t="s">
        <v>32</v>
      </c>
      <c r="O5388" s="1" t="s">
        <v>33</v>
      </c>
      <c r="P5388" s="1" t="s">
        <v>222</v>
      </c>
      <c r="Q5388" s="1" t="s">
        <v>222</v>
      </c>
      <c r="R5388" s="1" t="s">
        <v>223</v>
      </c>
      <c r="S5388" s="1" t="s">
        <v>482</v>
      </c>
      <c r="T5388" s="1">
        <v>1.00602248E8</v>
      </c>
      <c r="W5388" s="1" t="s">
        <v>456</v>
      </c>
      <c r="X5388" s="1" t="s">
        <v>12989</v>
      </c>
    </row>
    <row r="5389">
      <c r="A5389" s="1" t="s">
        <v>14972</v>
      </c>
      <c r="B5389" s="1" t="s">
        <v>14973</v>
      </c>
      <c r="C5389" s="1" t="s">
        <v>14974</v>
      </c>
      <c r="D5389" s="1" t="s">
        <v>51</v>
      </c>
      <c r="E5389" s="1" t="s">
        <v>29</v>
      </c>
      <c r="F5389" s="5">
        <v>14500.0</v>
      </c>
      <c r="G5389" s="1" t="s">
        <v>7016</v>
      </c>
      <c r="H5389" s="4">
        <v>44564.0</v>
      </c>
      <c r="I5389" s="1" t="s">
        <v>302</v>
      </c>
      <c r="K5389" s="1">
        <v>0.0</v>
      </c>
      <c r="L5389" s="1" t="s">
        <v>11159</v>
      </c>
      <c r="M5389" s="1" t="str">
        <f>VLOOKUP(L5389,'Copy of PMD Workday Constants -'!B5388:W6074,22,false)</f>
        <v>#N/A</v>
      </c>
      <c r="N5389" s="1" t="s">
        <v>32</v>
      </c>
      <c r="O5389" s="1" t="s">
        <v>33</v>
      </c>
      <c r="P5389" s="1" t="s">
        <v>222</v>
      </c>
      <c r="Q5389" s="1" t="s">
        <v>222</v>
      </c>
      <c r="R5389" s="1" t="s">
        <v>223</v>
      </c>
      <c r="S5389" s="1" t="s">
        <v>482</v>
      </c>
      <c r="T5389" s="1">
        <v>1.00602248E8</v>
      </c>
      <c r="W5389" s="1" t="s">
        <v>74</v>
      </c>
      <c r="X5389" s="1" t="s">
        <v>12989</v>
      </c>
    </row>
    <row r="5390">
      <c r="A5390" s="1" t="s">
        <v>14975</v>
      </c>
      <c r="B5390" s="1" t="s">
        <v>14976</v>
      </c>
      <c r="C5390" s="1" t="s">
        <v>14977</v>
      </c>
      <c r="D5390" s="1" t="s">
        <v>51</v>
      </c>
      <c r="E5390" s="1" t="s">
        <v>29</v>
      </c>
      <c r="F5390" s="5">
        <v>14500.0</v>
      </c>
      <c r="G5390" s="1" t="s">
        <v>7016</v>
      </c>
      <c r="H5390" s="1" t="s">
        <v>2360</v>
      </c>
      <c r="I5390" s="1" t="s">
        <v>302</v>
      </c>
      <c r="K5390" s="1">
        <v>0.0</v>
      </c>
      <c r="L5390" s="1" t="s">
        <v>11159</v>
      </c>
      <c r="M5390" s="1" t="str">
        <f>VLOOKUP(L5390,'Copy of PMD Workday Constants -'!B5389:W6075,22,false)</f>
        <v>#N/A</v>
      </c>
      <c r="N5390" s="1" t="s">
        <v>32</v>
      </c>
      <c r="O5390" s="1" t="s">
        <v>33</v>
      </c>
      <c r="P5390" s="1" t="s">
        <v>222</v>
      </c>
      <c r="Q5390" s="1" t="s">
        <v>222</v>
      </c>
      <c r="R5390" s="1" t="s">
        <v>223</v>
      </c>
      <c r="S5390" s="1" t="s">
        <v>482</v>
      </c>
      <c r="T5390" s="1">
        <v>1.00602248E8</v>
      </c>
      <c r="W5390" s="1" t="s">
        <v>115</v>
      </c>
      <c r="X5390" s="1" t="s">
        <v>12989</v>
      </c>
    </row>
    <row r="5391">
      <c r="A5391" s="1" t="s">
        <v>14978</v>
      </c>
      <c r="B5391" s="1" t="s">
        <v>14979</v>
      </c>
      <c r="C5391" s="1" t="s">
        <v>14980</v>
      </c>
      <c r="D5391" s="1" t="s">
        <v>51</v>
      </c>
      <c r="E5391" s="1" t="s">
        <v>29</v>
      </c>
      <c r="F5391" s="5">
        <v>14500.0</v>
      </c>
      <c r="G5391" s="1" t="s">
        <v>7016</v>
      </c>
      <c r="H5391" s="1" t="s">
        <v>2069</v>
      </c>
      <c r="I5391" s="1" t="s">
        <v>43</v>
      </c>
      <c r="K5391" s="1">
        <v>0.0</v>
      </c>
      <c r="L5391" s="1" t="s">
        <v>11159</v>
      </c>
      <c r="M5391" s="1" t="str">
        <f>VLOOKUP(L5391,'Copy of PMD Workday Constants -'!B5390:W6076,22,false)</f>
        <v>#N/A</v>
      </c>
      <c r="N5391" s="1" t="s">
        <v>32</v>
      </c>
      <c r="O5391" s="1" t="s">
        <v>33</v>
      </c>
      <c r="P5391" s="1" t="s">
        <v>222</v>
      </c>
      <c r="Q5391" s="1" t="s">
        <v>222</v>
      </c>
      <c r="R5391" s="1" t="s">
        <v>223</v>
      </c>
      <c r="S5391" s="1" t="s">
        <v>482</v>
      </c>
      <c r="T5391" s="1">
        <v>1.00602248E8</v>
      </c>
      <c r="W5391" s="1" t="s">
        <v>74</v>
      </c>
      <c r="X5391" s="1" t="s">
        <v>12989</v>
      </c>
    </row>
    <row r="5392">
      <c r="A5392" s="1" t="s">
        <v>14981</v>
      </c>
      <c r="B5392" s="1" t="s">
        <v>2375</v>
      </c>
      <c r="C5392" s="1" t="s">
        <v>14982</v>
      </c>
      <c r="D5392" s="1" t="s">
        <v>51</v>
      </c>
      <c r="E5392" s="1" t="s">
        <v>29</v>
      </c>
      <c r="F5392" s="5">
        <v>14500.0</v>
      </c>
      <c r="G5392" s="1" t="s">
        <v>7016</v>
      </c>
      <c r="H5392" s="4">
        <v>44899.0</v>
      </c>
      <c r="I5392" s="1" t="s">
        <v>302</v>
      </c>
      <c r="K5392" s="1">
        <v>0.0</v>
      </c>
      <c r="L5392" s="1" t="s">
        <v>11159</v>
      </c>
      <c r="M5392" s="1" t="str">
        <f>VLOOKUP(L5392,'Copy of PMD Workday Constants -'!B5391:W6077,22,false)</f>
        <v>#N/A</v>
      </c>
      <c r="N5392" s="1" t="s">
        <v>32</v>
      </c>
      <c r="O5392" s="1" t="s">
        <v>33</v>
      </c>
      <c r="P5392" s="1" t="s">
        <v>222</v>
      </c>
      <c r="Q5392" s="1" t="s">
        <v>222</v>
      </c>
      <c r="R5392" s="1" t="s">
        <v>223</v>
      </c>
      <c r="S5392" s="1" t="s">
        <v>482</v>
      </c>
      <c r="T5392" s="1">
        <v>1.00602248E8</v>
      </c>
      <c r="W5392" s="1" t="s">
        <v>258</v>
      </c>
      <c r="X5392" s="1" t="s">
        <v>3462</v>
      </c>
    </row>
    <row r="5393">
      <c r="A5393" s="1" t="s">
        <v>14983</v>
      </c>
      <c r="B5393" s="1" t="s">
        <v>14984</v>
      </c>
      <c r="C5393" s="1" t="s">
        <v>14985</v>
      </c>
      <c r="D5393" s="1" t="s">
        <v>28</v>
      </c>
      <c r="E5393" s="1" t="s">
        <v>29</v>
      </c>
      <c r="F5393" s="5">
        <v>14500.0</v>
      </c>
      <c r="G5393" s="1" t="s">
        <v>7016</v>
      </c>
      <c r="H5393" s="1" t="s">
        <v>1404</v>
      </c>
      <c r="I5393" s="1" t="s">
        <v>302</v>
      </c>
      <c r="K5393" s="1">
        <v>0.0</v>
      </c>
      <c r="L5393" s="1" t="s">
        <v>11159</v>
      </c>
      <c r="M5393" s="1" t="str">
        <f>VLOOKUP(L5393,'Copy of PMD Workday Constants -'!B5392:W6078,22,false)</f>
        <v>#N/A</v>
      </c>
      <c r="N5393" s="1" t="s">
        <v>32</v>
      </c>
      <c r="O5393" s="1" t="s">
        <v>33</v>
      </c>
      <c r="P5393" s="1" t="s">
        <v>222</v>
      </c>
      <c r="Q5393" s="1" t="s">
        <v>222</v>
      </c>
      <c r="R5393" s="1" t="s">
        <v>223</v>
      </c>
      <c r="S5393" s="1" t="s">
        <v>482</v>
      </c>
      <c r="T5393" s="1">
        <v>1.00602248E8</v>
      </c>
      <c r="X5393" s="1" t="s">
        <v>12065</v>
      </c>
    </row>
    <row r="5394">
      <c r="A5394" s="1" t="s">
        <v>14986</v>
      </c>
      <c r="B5394" s="1" t="s">
        <v>14987</v>
      </c>
      <c r="C5394" s="1" t="s">
        <v>14988</v>
      </c>
      <c r="D5394" s="1" t="s">
        <v>28</v>
      </c>
      <c r="E5394" s="1" t="s">
        <v>29</v>
      </c>
      <c r="F5394" s="5">
        <v>14500.0</v>
      </c>
      <c r="G5394" s="1" t="s">
        <v>7016</v>
      </c>
      <c r="H5394" s="4">
        <v>44598.0</v>
      </c>
      <c r="I5394" s="1" t="s">
        <v>191</v>
      </c>
      <c r="K5394" s="1">
        <v>0.0</v>
      </c>
      <c r="L5394" s="1" t="s">
        <v>11159</v>
      </c>
      <c r="M5394" s="1" t="str">
        <f>VLOOKUP(L5394,'Copy of PMD Workday Constants -'!B5393:W6079,22,false)</f>
        <v>#N/A</v>
      </c>
      <c r="N5394" s="1" t="s">
        <v>32</v>
      </c>
      <c r="O5394" s="1" t="s">
        <v>33</v>
      </c>
      <c r="P5394" s="1" t="s">
        <v>222</v>
      </c>
      <c r="Q5394" s="1" t="s">
        <v>222</v>
      </c>
      <c r="R5394" s="1" t="s">
        <v>223</v>
      </c>
      <c r="S5394" s="1" t="s">
        <v>482</v>
      </c>
      <c r="T5394" s="1">
        <v>1.00602248E8</v>
      </c>
      <c r="W5394" s="1" t="s">
        <v>456</v>
      </c>
      <c r="X5394" s="1" t="s">
        <v>12065</v>
      </c>
    </row>
    <row r="5395">
      <c r="A5395" s="1" t="s">
        <v>14989</v>
      </c>
      <c r="B5395" s="1" t="s">
        <v>11409</v>
      </c>
      <c r="C5395" s="1" t="s">
        <v>14990</v>
      </c>
      <c r="D5395" s="1" t="s">
        <v>51</v>
      </c>
      <c r="E5395" s="1" t="s">
        <v>29</v>
      </c>
      <c r="F5395" s="5">
        <v>14500.0</v>
      </c>
      <c r="G5395" s="1" t="s">
        <v>7016</v>
      </c>
      <c r="H5395" s="1" t="s">
        <v>4838</v>
      </c>
      <c r="I5395" s="1" t="s">
        <v>302</v>
      </c>
      <c r="K5395" s="1">
        <v>0.0</v>
      </c>
      <c r="L5395" s="1" t="s">
        <v>11159</v>
      </c>
      <c r="M5395" s="1" t="str">
        <f>VLOOKUP(L5395,'Copy of PMD Workday Constants -'!B5394:W6080,22,false)</f>
        <v>#N/A</v>
      </c>
      <c r="N5395" s="1" t="s">
        <v>32</v>
      </c>
      <c r="O5395" s="1" t="s">
        <v>33</v>
      </c>
      <c r="P5395" s="1" t="s">
        <v>222</v>
      </c>
      <c r="Q5395" s="1" t="s">
        <v>222</v>
      </c>
      <c r="R5395" s="1" t="s">
        <v>223</v>
      </c>
      <c r="S5395" s="1" t="s">
        <v>482</v>
      </c>
      <c r="T5395" s="1">
        <v>1.00602248E8</v>
      </c>
      <c r="W5395" s="1" t="s">
        <v>436</v>
      </c>
      <c r="X5395" s="1" t="s">
        <v>12065</v>
      </c>
    </row>
    <row r="5396">
      <c r="A5396" s="1" t="s">
        <v>14991</v>
      </c>
      <c r="B5396" s="1" t="s">
        <v>14992</v>
      </c>
      <c r="C5396" s="1" t="s">
        <v>14993</v>
      </c>
      <c r="D5396" s="1" t="s">
        <v>28</v>
      </c>
      <c r="E5396" s="1" t="s">
        <v>29</v>
      </c>
      <c r="F5396" s="5">
        <v>14500.0</v>
      </c>
      <c r="G5396" s="1" t="s">
        <v>7016</v>
      </c>
      <c r="H5396" s="1" t="s">
        <v>2890</v>
      </c>
      <c r="I5396" s="1" t="s">
        <v>43</v>
      </c>
      <c r="K5396" s="1">
        <v>0.0</v>
      </c>
      <c r="L5396" s="1" t="s">
        <v>11159</v>
      </c>
      <c r="M5396" s="1" t="str">
        <f>VLOOKUP(L5396,'Copy of PMD Workday Constants -'!B5395:W6081,22,false)</f>
        <v>#N/A</v>
      </c>
      <c r="N5396" s="1" t="s">
        <v>32</v>
      </c>
      <c r="O5396" s="1" t="s">
        <v>33</v>
      </c>
      <c r="P5396" s="1" t="s">
        <v>222</v>
      </c>
      <c r="Q5396" s="1" t="s">
        <v>222</v>
      </c>
      <c r="R5396" s="1" t="s">
        <v>223</v>
      </c>
      <c r="T5396" s="1">
        <v>1.00602248E8</v>
      </c>
      <c r="W5396" s="1" t="s">
        <v>37</v>
      </c>
      <c r="X5396" s="1" t="s">
        <v>12989</v>
      </c>
    </row>
    <row r="5397">
      <c r="A5397" s="1" t="s">
        <v>14994</v>
      </c>
      <c r="B5397" s="1" t="s">
        <v>14995</v>
      </c>
      <c r="C5397" s="1" t="s">
        <v>14996</v>
      </c>
      <c r="D5397" s="1" t="s">
        <v>28</v>
      </c>
      <c r="E5397" s="1" t="s">
        <v>29</v>
      </c>
      <c r="F5397" s="5">
        <v>14500.0</v>
      </c>
      <c r="G5397" s="1" t="s">
        <v>7016</v>
      </c>
      <c r="H5397" s="4">
        <v>44508.0</v>
      </c>
      <c r="I5397" s="1" t="s">
        <v>43</v>
      </c>
      <c r="K5397" s="1">
        <v>0.0</v>
      </c>
      <c r="L5397" s="1" t="s">
        <v>11159</v>
      </c>
      <c r="M5397" s="1" t="str">
        <f>VLOOKUP(L5397,'Copy of PMD Workday Constants -'!B5396:W6082,22,false)</f>
        <v>#N/A</v>
      </c>
      <c r="N5397" s="1" t="s">
        <v>32</v>
      </c>
      <c r="O5397" s="1" t="s">
        <v>33</v>
      </c>
      <c r="P5397" s="1" t="s">
        <v>222</v>
      </c>
      <c r="Q5397" s="1" t="s">
        <v>222</v>
      </c>
      <c r="R5397" s="1" t="s">
        <v>223</v>
      </c>
      <c r="S5397" s="1" t="s">
        <v>482</v>
      </c>
      <c r="T5397" s="1">
        <v>1.00602248E8</v>
      </c>
      <c r="W5397" s="1" t="s">
        <v>85</v>
      </c>
      <c r="X5397" s="1" t="s">
        <v>12989</v>
      </c>
    </row>
    <row r="5398">
      <c r="A5398" s="1" t="s">
        <v>14997</v>
      </c>
      <c r="B5398" s="1" t="s">
        <v>3293</v>
      </c>
      <c r="C5398" s="1" t="s">
        <v>14998</v>
      </c>
      <c r="D5398" s="1" t="s">
        <v>51</v>
      </c>
      <c r="E5398" s="1" t="s">
        <v>29</v>
      </c>
      <c r="F5398" s="5">
        <v>14500.0</v>
      </c>
      <c r="G5398" s="1" t="s">
        <v>7016</v>
      </c>
      <c r="H5398" s="4">
        <v>44202.0</v>
      </c>
      <c r="I5398" s="1" t="s">
        <v>302</v>
      </c>
      <c r="K5398" s="1">
        <v>0.0</v>
      </c>
      <c r="L5398" s="1" t="s">
        <v>11159</v>
      </c>
      <c r="M5398" s="1" t="str">
        <f>VLOOKUP(L5398,'Copy of PMD Workday Constants -'!B5397:W6083,22,false)</f>
        <v>#N/A</v>
      </c>
      <c r="N5398" s="1" t="s">
        <v>32</v>
      </c>
      <c r="O5398" s="1" t="s">
        <v>33</v>
      </c>
      <c r="P5398" s="1" t="s">
        <v>222</v>
      </c>
      <c r="Q5398" s="1" t="s">
        <v>222</v>
      </c>
      <c r="R5398" s="1" t="s">
        <v>223</v>
      </c>
      <c r="S5398" s="1" t="s">
        <v>482</v>
      </c>
      <c r="T5398" s="1">
        <v>1.00602248E8</v>
      </c>
      <c r="W5398" s="1" t="s">
        <v>56</v>
      </c>
      <c r="X5398" s="1" t="s">
        <v>14284</v>
      </c>
    </row>
    <row r="5399">
      <c r="A5399" s="1" t="s">
        <v>14999</v>
      </c>
      <c r="B5399" s="1" t="s">
        <v>7174</v>
      </c>
      <c r="C5399" s="1" t="s">
        <v>15000</v>
      </c>
      <c r="D5399" s="1" t="s">
        <v>51</v>
      </c>
      <c r="E5399" s="1" t="s">
        <v>29</v>
      </c>
      <c r="F5399" s="5">
        <v>14500.0</v>
      </c>
      <c r="G5399" s="1" t="s">
        <v>7016</v>
      </c>
      <c r="H5399" s="1" t="s">
        <v>3755</v>
      </c>
      <c r="I5399" s="1" t="s">
        <v>421</v>
      </c>
      <c r="K5399" s="1">
        <v>0.0</v>
      </c>
      <c r="L5399" s="1" t="s">
        <v>11159</v>
      </c>
      <c r="M5399" s="1" t="str">
        <f>VLOOKUP(L5399,'Copy of PMD Workday Constants -'!B5398:W6084,22,false)</f>
        <v>#N/A</v>
      </c>
      <c r="N5399" s="1" t="s">
        <v>32</v>
      </c>
      <c r="O5399" s="1" t="s">
        <v>33</v>
      </c>
      <c r="P5399" s="1" t="s">
        <v>222</v>
      </c>
      <c r="Q5399" s="1" t="s">
        <v>222</v>
      </c>
      <c r="R5399" s="1" t="s">
        <v>223</v>
      </c>
      <c r="T5399" s="1">
        <v>1.00602248E8</v>
      </c>
      <c r="W5399" s="1" t="s">
        <v>140</v>
      </c>
      <c r="X5399" s="1" t="s">
        <v>12065</v>
      </c>
    </row>
    <row r="5400">
      <c r="A5400" s="1" t="s">
        <v>15001</v>
      </c>
      <c r="B5400" s="1" t="s">
        <v>15002</v>
      </c>
      <c r="C5400" s="1" t="s">
        <v>15003</v>
      </c>
      <c r="D5400" s="1" t="s">
        <v>51</v>
      </c>
      <c r="E5400" s="1" t="s">
        <v>29</v>
      </c>
      <c r="F5400" s="5">
        <v>14500.0</v>
      </c>
      <c r="G5400" s="1" t="s">
        <v>7016</v>
      </c>
      <c r="H5400" s="4">
        <v>44415.0</v>
      </c>
      <c r="I5400" s="1" t="s">
        <v>302</v>
      </c>
      <c r="K5400" s="1">
        <v>0.0</v>
      </c>
      <c r="L5400" s="1" t="s">
        <v>11159</v>
      </c>
      <c r="M5400" s="1" t="str">
        <f>VLOOKUP(L5400,'Copy of PMD Workday Constants -'!B5399:W6085,22,false)</f>
        <v>#N/A</v>
      </c>
      <c r="N5400" s="1" t="s">
        <v>32</v>
      </c>
      <c r="O5400" s="1" t="s">
        <v>33</v>
      </c>
      <c r="P5400" s="1" t="s">
        <v>222</v>
      </c>
      <c r="Q5400" s="1" t="s">
        <v>222</v>
      </c>
      <c r="R5400" s="1" t="s">
        <v>223</v>
      </c>
      <c r="S5400" s="1" t="s">
        <v>14281</v>
      </c>
      <c r="T5400" s="1">
        <v>1.00602248E8</v>
      </c>
      <c r="W5400" s="1" t="s">
        <v>456</v>
      </c>
      <c r="X5400" s="1" t="s">
        <v>14284</v>
      </c>
    </row>
    <row r="5401">
      <c r="A5401" s="1" t="s">
        <v>15004</v>
      </c>
      <c r="B5401" s="1" t="s">
        <v>15005</v>
      </c>
      <c r="C5401" s="1" t="s">
        <v>15006</v>
      </c>
      <c r="D5401" s="1" t="s">
        <v>28</v>
      </c>
      <c r="E5401" s="1" t="s">
        <v>29</v>
      </c>
      <c r="F5401" s="5">
        <v>14500.0</v>
      </c>
      <c r="G5401" s="1" t="s">
        <v>7016</v>
      </c>
      <c r="H5401" s="4">
        <v>44686.0</v>
      </c>
      <c r="I5401" s="1" t="s">
        <v>302</v>
      </c>
      <c r="K5401" s="1">
        <v>0.0</v>
      </c>
      <c r="L5401" s="1" t="s">
        <v>11159</v>
      </c>
      <c r="M5401" s="1" t="str">
        <f>VLOOKUP(L5401,'Copy of PMD Workday Constants -'!B5400:W6086,22,false)</f>
        <v>#N/A</v>
      </c>
      <c r="N5401" s="1" t="s">
        <v>32</v>
      </c>
      <c r="O5401" s="1" t="s">
        <v>33</v>
      </c>
      <c r="P5401" s="1" t="s">
        <v>222</v>
      </c>
      <c r="Q5401" s="1" t="s">
        <v>222</v>
      </c>
      <c r="R5401" s="1" t="s">
        <v>223</v>
      </c>
      <c r="S5401" s="1" t="s">
        <v>14919</v>
      </c>
      <c r="T5401" s="1">
        <v>1.00602248E8</v>
      </c>
      <c r="W5401" s="1" t="s">
        <v>74</v>
      </c>
      <c r="X5401" s="1" t="s">
        <v>14284</v>
      </c>
    </row>
    <row r="5402">
      <c r="A5402" s="1" t="s">
        <v>15007</v>
      </c>
      <c r="B5402" s="1" t="s">
        <v>15008</v>
      </c>
      <c r="C5402" s="1" t="s">
        <v>15009</v>
      </c>
      <c r="D5402" s="1" t="s">
        <v>28</v>
      </c>
      <c r="E5402" s="1" t="s">
        <v>29</v>
      </c>
      <c r="F5402" s="5">
        <v>14500.0</v>
      </c>
      <c r="G5402" s="1" t="s">
        <v>7016</v>
      </c>
      <c r="H5402" s="4">
        <v>44415.0</v>
      </c>
      <c r="I5402" s="1" t="s">
        <v>43</v>
      </c>
      <c r="K5402" s="1">
        <v>0.0</v>
      </c>
      <c r="L5402" s="1" t="s">
        <v>11159</v>
      </c>
      <c r="M5402" s="1" t="str">
        <f>VLOOKUP(L5402,'Copy of PMD Workday Constants -'!B5401:W6087,22,false)</f>
        <v>#N/A</v>
      </c>
      <c r="N5402" s="1" t="s">
        <v>32</v>
      </c>
      <c r="O5402" s="1" t="s">
        <v>33</v>
      </c>
      <c r="P5402" s="1" t="s">
        <v>222</v>
      </c>
      <c r="Q5402" s="1" t="s">
        <v>222</v>
      </c>
      <c r="R5402" s="1" t="s">
        <v>223</v>
      </c>
      <c r="T5402" s="1">
        <v>1.00602248E8</v>
      </c>
      <c r="W5402" s="1" t="s">
        <v>436</v>
      </c>
      <c r="X5402" s="1" t="s">
        <v>12989</v>
      </c>
    </row>
    <row r="5403">
      <c r="A5403" s="1" t="s">
        <v>15010</v>
      </c>
      <c r="B5403" s="1" t="s">
        <v>12031</v>
      </c>
      <c r="C5403" s="1" t="s">
        <v>15011</v>
      </c>
      <c r="D5403" s="1" t="s">
        <v>51</v>
      </c>
      <c r="E5403" s="1" t="s">
        <v>29</v>
      </c>
      <c r="F5403" s="5">
        <v>14500.0</v>
      </c>
      <c r="G5403" s="1" t="s">
        <v>7016</v>
      </c>
      <c r="H5403" s="4">
        <v>44686.0</v>
      </c>
      <c r="I5403" s="1" t="s">
        <v>302</v>
      </c>
      <c r="K5403" s="1">
        <v>0.0</v>
      </c>
      <c r="L5403" s="1" t="s">
        <v>11159</v>
      </c>
      <c r="M5403" s="1" t="str">
        <f>VLOOKUP(L5403,'Copy of PMD Workday Constants -'!B5402:W6088,22,false)</f>
        <v>#N/A</v>
      </c>
      <c r="N5403" s="1" t="s">
        <v>32</v>
      </c>
      <c r="O5403" s="1" t="s">
        <v>33</v>
      </c>
      <c r="P5403" s="1" t="s">
        <v>222</v>
      </c>
      <c r="Q5403" s="1" t="s">
        <v>222</v>
      </c>
      <c r="R5403" s="1" t="s">
        <v>223</v>
      </c>
      <c r="S5403" s="1" t="s">
        <v>482</v>
      </c>
      <c r="T5403" s="1">
        <v>1.00602248E8</v>
      </c>
      <c r="W5403" s="1" t="s">
        <v>115</v>
      </c>
      <c r="X5403" s="1" t="s">
        <v>12989</v>
      </c>
    </row>
    <row r="5404">
      <c r="A5404" s="1" t="s">
        <v>15012</v>
      </c>
      <c r="B5404" s="1" t="s">
        <v>13685</v>
      </c>
      <c r="C5404" s="1" t="s">
        <v>15013</v>
      </c>
      <c r="D5404" s="1" t="s">
        <v>28</v>
      </c>
      <c r="E5404" s="1" t="s">
        <v>29</v>
      </c>
      <c r="F5404" s="5">
        <v>14500.0</v>
      </c>
      <c r="G5404" s="1" t="s">
        <v>7016</v>
      </c>
      <c r="H5404" s="4">
        <v>44622.0</v>
      </c>
      <c r="I5404" s="1" t="s">
        <v>43</v>
      </c>
      <c r="K5404" s="1">
        <v>0.0</v>
      </c>
      <c r="L5404" s="1" t="s">
        <v>11159</v>
      </c>
      <c r="M5404" s="1" t="str">
        <f>VLOOKUP(L5404,'Copy of PMD Workday Constants -'!B5403:W6089,22,false)</f>
        <v>#N/A</v>
      </c>
      <c r="N5404" s="1" t="s">
        <v>32</v>
      </c>
      <c r="O5404" s="1" t="s">
        <v>33</v>
      </c>
      <c r="P5404" s="1" t="s">
        <v>222</v>
      </c>
      <c r="Q5404" s="1" t="s">
        <v>222</v>
      </c>
      <c r="R5404" s="1" t="s">
        <v>223</v>
      </c>
      <c r="S5404" s="1" t="s">
        <v>482</v>
      </c>
      <c r="T5404" s="1">
        <v>1.00602248E8</v>
      </c>
      <c r="W5404" s="1" t="s">
        <v>56</v>
      </c>
      <c r="X5404" s="1" t="s">
        <v>14372</v>
      </c>
    </row>
    <row r="5405">
      <c r="A5405" s="1" t="s">
        <v>15014</v>
      </c>
      <c r="B5405" s="1" t="s">
        <v>15015</v>
      </c>
      <c r="C5405" s="1" t="s">
        <v>15016</v>
      </c>
      <c r="D5405" s="1" t="s">
        <v>51</v>
      </c>
      <c r="E5405" s="1" t="s">
        <v>29</v>
      </c>
      <c r="F5405" s="5">
        <v>14500.0</v>
      </c>
      <c r="G5405" s="1" t="s">
        <v>7016</v>
      </c>
      <c r="H5405" s="1" t="s">
        <v>413</v>
      </c>
      <c r="I5405" s="1" t="s">
        <v>302</v>
      </c>
      <c r="K5405" s="1">
        <v>0.0</v>
      </c>
      <c r="L5405" s="1" t="s">
        <v>11159</v>
      </c>
      <c r="M5405" s="1" t="str">
        <f>VLOOKUP(L5405,'Copy of PMD Workday Constants -'!B5404:W6090,22,false)</f>
        <v>#N/A</v>
      </c>
      <c r="N5405" s="1" t="s">
        <v>32</v>
      </c>
      <c r="O5405" s="1" t="s">
        <v>33</v>
      </c>
      <c r="P5405" s="1" t="s">
        <v>222</v>
      </c>
      <c r="Q5405" s="1" t="s">
        <v>222</v>
      </c>
      <c r="R5405" s="1" t="s">
        <v>223</v>
      </c>
      <c r="S5405" s="1" t="s">
        <v>482</v>
      </c>
      <c r="T5405" s="1">
        <v>1.00602248E8</v>
      </c>
      <c r="W5405" s="1" t="s">
        <v>47</v>
      </c>
      <c r="X5405" s="1" t="s">
        <v>12065</v>
      </c>
    </row>
    <row r="5406">
      <c r="A5406" s="1" t="s">
        <v>15017</v>
      </c>
      <c r="B5406" s="1" t="s">
        <v>13559</v>
      </c>
      <c r="C5406" s="1" t="s">
        <v>15018</v>
      </c>
      <c r="D5406" s="1" t="s">
        <v>28</v>
      </c>
      <c r="E5406" s="1" t="s">
        <v>29</v>
      </c>
      <c r="F5406" s="5">
        <v>14500.0</v>
      </c>
      <c r="G5406" s="1" t="s">
        <v>7016</v>
      </c>
      <c r="H5406" s="1" t="s">
        <v>413</v>
      </c>
      <c r="I5406" s="1" t="s">
        <v>43</v>
      </c>
      <c r="K5406" s="1">
        <v>0.0</v>
      </c>
      <c r="L5406" s="1" t="s">
        <v>11159</v>
      </c>
      <c r="M5406" s="1" t="str">
        <f>VLOOKUP(L5406,'Copy of PMD Workday Constants -'!B5405:W6091,22,false)</f>
        <v>#N/A</v>
      </c>
      <c r="N5406" s="1" t="s">
        <v>32</v>
      </c>
      <c r="O5406" s="1" t="s">
        <v>33</v>
      </c>
      <c r="P5406" s="1" t="s">
        <v>222</v>
      </c>
      <c r="Q5406" s="1" t="s">
        <v>222</v>
      </c>
      <c r="R5406" s="1" t="s">
        <v>223</v>
      </c>
      <c r="S5406" s="1" t="s">
        <v>482</v>
      </c>
      <c r="T5406" s="1">
        <v>1.00602248E8</v>
      </c>
      <c r="W5406" s="1" t="s">
        <v>74</v>
      </c>
      <c r="X5406" s="1" t="s">
        <v>12989</v>
      </c>
    </row>
    <row r="5407">
      <c r="A5407" s="1" t="s">
        <v>15019</v>
      </c>
      <c r="B5407" s="1" t="s">
        <v>15020</v>
      </c>
      <c r="C5407" s="1" t="s">
        <v>15021</v>
      </c>
      <c r="D5407" s="1" t="s">
        <v>28</v>
      </c>
      <c r="E5407" s="1" t="s">
        <v>29</v>
      </c>
      <c r="F5407" s="5">
        <v>14500.0</v>
      </c>
      <c r="G5407" s="1" t="s">
        <v>7016</v>
      </c>
      <c r="H5407" s="1" t="s">
        <v>1433</v>
      </c>
      <c r="I5407" s="1" t="s">
        <v>43</v>
      </c>
      <c r="K5407" s="1">
        <v>0.0</v>
      </c>
      <c r="L5407" s="1" t="s">
        <v>11159</v>
      </c>
      <c r="M5407" s="1" t="str">
        <f>VLOOKUP(L5407,'Copy of PMD Workday Constants -'!B5406:W6092,22,false)</f>
        <v>#N/A</v>
      </c>
      <c r="N5407" s="1" t="s">
        <v>32</v>
      </c>
      <c r="O5407" s="1" t="s">
        <v>33</v>
      </c>
      <c r="P5407" s="1" t="s">
        <v>222</v>
      </c>
      <c r="Q5407" s="1" t="s">
        <v>222</v>
      </c>
      <c r="R5407" s="1" t="s">
        <v>223</v>
      </c>
      <c r="S5407" s="1" t="s">
        <v>482</v>
      </c>
      <c r="T5407" s="1">
        <v>1.00602248E8</v>
      </c>
      <c r="W5407" s="1" t="s">
        <v>2098</v>
      </c>
      <c r="X5407" s="1" t="s">
        <v>12989</v>
      </c>
    </row>
    <row r="5408">
      <c r="A5408" s="1" t="s">
        <v>15022</v>
      </c>
      <c r="B5408" s="1" t="s">
        <v>637</v>
      </c>
      <c r="C5408" s="1" t="s">
        <v>15023</v>
      </c>
      <c r="D5408" s="1" t="s">
        <v>28</v>
      </c>
      <c r="E5408" s="1" t="s">
        <v>29</v>
      </c>
      <c r="F5408" s="5">
        <v>14500.0</v>
      </c>
      <c r="G5408" s="1" t="s">
        <v>7016</v>
      </c>
      <c r="H5408" s="4">
        <v>44870.0</v>
      </c>
      <c r="I5408" s="1" t="s">
        <v>43</v>
      </c>
      <c r="K5408" s="1">
        <v>0.0</v>
      </c>
      <c r="L5408" s="1" t="s">
        <v>11159</v>
      </c>
      <c r="M5408" s="1" t="str">
        <f>VLOOKUP(L5408,'Copy of PMD Workday Constants -'!B5407:W6093,22,false)</f>
        <v>#N/A</v>
      </c>
      <c r="N5408" s="1" t="s">
        <v>32</v>
      </c>
      <c r="O5408" s="1" t="s">
        <v>33</v>
      </c>
      <c r="P5408" s="1" t="s">
        <v>222</v>
      </c>
      <c r="Q5408" s="1" t="s">
        <v>222</v>
      </c>
      <c r="R5408" s="1" t="s">
        <v>223</v>
      </c>
      <c r="S5408" s="1" t="s">
        <v>15024</v>
      </c>
      <c r="T5408" s="1">
        <v>1.00602248E8</v>
      </c>
      <c r="W5408" s="1" t="s">
        <v>56</v>
      </c>
      <c r="X5408" s="1" t="s">
        <v>14284</v>
      </c>
    </row>
    <row r="5409">
      <c r="A5409" s="1" t="s">
        <v>15025</v>
      </c>
      <c r="B5409" s="1" t="s">
        <v>15026</v>
      </c>
      <c r="C5409" s="1" t="s">
        <v>15027</v>
      </c>
      <c r="D5409" s="1" t="s">
        <v>51</v>
      </c>
      <c r="E5409" s="1" t="s">
        <v>29</v>
      </c>
      <c r="F5409" s="5">
        <v>14500.0</v>
      </c>
      <c r="G5409" s="1" t="s">
        <v>7016</v>
      </c>
      <c r="H5409" s="1" t="s">
        <v>545</v>
      </c>
      <c r="I5409" s="1" t="s">
        <v>104</v>
      </c>
      <c r="K5409" s="1">
        <v>0.0</v>
      </c>
      <c r="L5409" s="1" t="s">
        <v>11159</v>
      </c>
      <c r="M5409" s="1" t="str">
        <f>VLOOKUP(L5409,'Copy of PMD Workday Constants -'!B5408:W6094,22,false)</f>
        <v>#N/A</v>
      </c>
      <c r="N5409" s="1" t="s">
        <v>32</v>
      </c>
      <c r="O5409" s="1" t="s">
        <v>33</v>
      </c>
      <c r="P5409" s="1" t="s">
        <v>222</v>
      </c>
      <c r="Q5409" s="1" t="s">
        <v>222</v>
      </c>
      <c r="R5409" s="1" t="s">
        <v>223</v>
      </c>
      <c r="S5409" s="1" t="s">
        <v>14281</v>
      </c>
      <c r="T5409" s="1">
        <v>1.00602248E8</v>
      </c>
      <c r="W5409" s="1" t="s">
        <v>74</v>
      </c>
      <c r="X5409" s="1" t="s">
        <v>12989</v>
      </c>
    </row>
    <row r="5410">
      <c r="A5410" s="1" t="s">
        <v>15028</v>
      </c>
      <c r="B5410" s="1" t="s">
        <v>8318</v>
      </c>
      <c r="C5410" s="1" t="s">
        <v>15029</v>
      </c>
      <c r="D5410" s="1" t="s">
        <v>51</v>
      </c>
      <c r="E5410" s="1" t="s">
        <v>29</v>
      </c>
      <c r="F5410" s="5">
        <v>14500.0</v>
      </c>
      <c r="G5410" s="1" t="s">
        <v>7016</v>
      </c>
      <c r="H5410" s="1" t="s">
        <v>6768</v>
      </c>
      <c r="I5410" s="1" t="s">
        <v>302</v>
      </c>
      <c r="K5410" s="1">
        <v>0.0</v>
      </c>
      <c r="L5410" s="1" t="s">
        <v>11159</v>
      </c>
      <c r="M5410" s="1" t="str">
        <f>VLOOKUP(L5410,'Copy of PMD Workday Constants -'!B5409:W6095,22,false)</f>
        <v>#N/A</v>
      </c>
      <c r="N5410" s="1" t="s">
        <v>32</v>
      </c>
      <c r="O5410" s="1" t="s">
        <v>33</v>
      </c>
      <c r="P5410" s="1" t="s">
        <v>222</v>
      </c>
      <c r="Q5410" s="1" t="s">
        <v>222</v>
      </c>
      <c r="R5410" s="1" t="s">
        <v>223</v>
      </c>
      <c r="S5410" s="1" t="s">
        <v>14281</v>
      </c>
      <c r="T5410" s="1">
        <v>1.00602248E8</v>
      </c>
      <c r="W5410" s="1" t="s">
        <v>140</v>
      </c>
      <c r="X5410" s="1" t="s">
        <v>12989</v>
      </c>
    </row>
    <row r="5411">
      <c r="A5411" s="1" t="s">
        <v>15030</v>
      </c>
      <c r="B5411" s="1" t="s">
        <v>6924</v>
      </c>
      <c r="C5411" s="1" t="s">
        <v>15031</v>
      </c>
      <c r="D5411" s="1" t="s">
        <v>28</v>
      </c>
      <c r="E5411" s="1" t="s">
        <v>29</v>
      </c>
      <c r="F5411" s="5">
        <v>14500.0</v>
      </c>
      <c r="G5411" s="1" t="s">
        <v>7016</v>
      </c>
      <c r="H5411" s="1" t="s">
        <v>6768</v>
      </c>
      <c r="I5411" s="1" t="s">
        <v>302</v>
      </c>
      <c r="K5411" s="1">
        <v>0.0</v>
      </c>
      <c r="L5411" s="1" t="s">
        <v>11159</v>
      </c>
      <c r="M5411" s="1" t="str">
        <f>VLOOKUP(L5411,'Copy of PMD Workday Constants -'!B5410:W6096,22,false)</f>
        <v>#N/A</v>
      </c>
      <c r="N5411" s="1" t="s">
        <v>32</v>
      </c>
      <c r="O5411" s="1" t="s">
        <v>33</v>
      </c>
      <c r="P5411" s="1" t="s">
        <v>222</v>
      </c>
      <c r="Q5411" s="1" t="s">
        <v>222</v>
      </c>
      <c r="R5411" s="1" t="s">
        <v>223</v>
      </c>
      <c r="S5411" s="1" t="s">
        <v>482</v>
      </c>
      <c r="T5411" s="1">
        <v>1.00602248E8</v>
      </c>
      <c r="W5411" s="1" t="s">
        <v>258</v>
      </c>
      <c r="X5411" s="1" t="s">
        <v>12989</v>
      </c>
    </row>
    <row r="5412">
      <c r="A5412" s="1" t="s">
        <v>15032</v>
      </c>
      <c r="B5412" s="1" t="s">
        <v>8738</v>
      </c>
      <c r="C5412" s="1" t="s">
        <v>15033</v>
      </c>
      <c r="D5412" s="1" t="s">
        <v>28</v>
      </c>
      <c r="E5412" s="1" t="s">
        <v>29</v>
      </c>
      <c r="F5412" s="5">
        <v>14500.0</v>
      </c>
      <c r="G5412" s="1" t="s">
        <v>7016</v>
      </c>
      <c r="H5412" s="4">
        <v>44445.0</v>
      </c>
      <c r="I5412" s="1" t="s">
        <v>302</v>
      </c>
      <c r="K5412" s="1">
        <v>0.0</v>
      </c>
      <c r="L5412" s="1" t="s">
        <v>11159</v>
      </c>
      <c r="M5412" s="1" t="str">
        <f>VLOOKUP(L5412,'Copy of PMD Workday Constants -'!B5411:W6097,22,false)</f>
        <v>#N/A</v>
      </c>
      <c r="N5412" s="1" t="s">
        <v>32</v>
      </c>
      <c r="O5412" s="1" t="s">
        <v>33</v>
      </c>
      <c r="P5412" s="1" t="s">
        <v>222</v>
      </c>
      <c r="Q5412" s="1" t="s">
        <v>222</v>
      </c>
      <c r="R5412" s="1" t="s">
        <v>223</v>
      </c>
      <c r="S5412" s="1" t="s">
        <v>482</v>
      </c>
      <c r="T5412" s="1">
        <v>1.00602248E8</v>
      </c>
      <c r="W5412" s="1" t="s">
        <v>250</v>
      </c>
      <c r="X5412" s="1" t="s">
        <v>12065</v>
      </c>
    </row>
    <row r="5413">
      <c r="A5413" s="1" t="s">
        <v>15034</v>
      </c>
      <c r="B5413" s="1" t="s">
        <v>15035</v>
      </c>
      <c r="C5413" s="1" t="s">
        <v>15036</v>
      </c>
      <c r="D5413" s="1" t="s">
        <v>51</v>
      </c>
      <c r="E5413" s="1" t="s">
        <v>29</v>
      </c>
      <c r="F5413" s="5">
        <v>14500.0</v>
      </c>
      <c r="G5413" s="1" t="s">
        <v>7016</v>
      </c>
      <c r="H5413" s="1" t="s">
        <v>1436</v>
      </c>
      <c r="I5413" s="1" t="s">
        <v>302</v>
      </c>
      <c r="K5413" s="1">
        <v>0.0</v>
      </c>
      <c r="L5413" s="1" t="s">
        <v>11159</v>
      </c>
      <c r="M5413" s="1" t="str">
        <f>VLOOKUP(L5413,'Copy of PMD Workday Constants -'!B5412:W6098,22,false)</f>
        <v>#N/A</v>
      </c>
      <c r="N5413" s="1" t="s">
        <v>32</v>
      </c>
      <c r="O5413" s="1" t="s">
        <v>33</v>
      </c>
      <c r="P5413" s="1" t="s">
        <v>222</v>
      </c>
      <c r="Q5413" s="1" t="s">
        <v>222</v>
      </c>
      <c r="R5413" s="1" t="s">
        <v>223</v>
      </c>
      <c r="S5413" s="1" t="s">
        <v>482</v>
      </c>
      <c r="T5413" s="1">
        <v>1.00602248E8</v>
      </c>
      <c r="W5413" s="1" t="s">
        <v>456</v>
      </c>
      <c r="X5413" s="1" t="s">
        <v>12065</v>
      </c>
    </row>
    <row r="5414">
      <c r="A5414" s="1" t="s">
        <v>15037</v>
      </c>
      <c r="B5414" s="1" t="s">
        <v>5784</v>
      </c>
      <c r="C5414" s="1" t="s">
        <v>15038</v>
      </c>
      <c r="D5414" s="1" t="s">
        <v>51</v>
      </c>
      <c r="E5414" s="1" t="s">
        <v>29</v>
      </c>
      <c r="F5414" s="5">
        <v>14500.0</v>
      </c>
      <c r="G5414" s="1" t="s">
        <v>7016</v>
      </c>
      <c r="H5414" s="1" t="s">
        <v>1161</v>
      </c>
      <c r="I5414" s="1" t="s">
        <v>421</v>
      </c>
      <c r="K5414" s="1">
        <v>0.0</v>
      </c>
      <c r="L5414" s="1" t="s">
        <v>11159</v>
      </c>
      <c r="M5414" s="1" t="str">
        <f>VLOOKUP(L5414,'Copy of PMD Workday Constants -'!B5413:W6099,22,false)</f>
        <v>#N/A</v>
      </c>
      <c r="N5414" s="1" t="s">
        <v>32</v>
      </c>
      <c r="O5414" s="1" t="s">
        <v>33</v>
      </c>
      <c r="P5414" s="1" t="s">
        <v>222</v>
      </c>
      <c r="Q5414" s="1" t="s">
        <v>222</v>
      </c>
      <c r="R5414" s="1" t="s">
        <v>223</v>
      </c>
      <c r="T5414" s="1">
        <v>1.00602248E8</v>
      </c>
      <c r="W5414" s="1" t="s">
        <v>456</v>
      </c>
      <c r="X5414" s="1" t="s">
        <v>12065</v>
      </c>
    </row>
    <row r="5415">
      <c r="A5415" s="1" t="s">
        <v>15039</v>
      </c>
      <c r="B5415" s="1" t="s">
        <v>14678</v>
      </c>
      <c r="C5415" s="1" t="s">
        <v>15040</v>
      </c>
      <c r="D5415" s="1" t="s">
        <v>28</v>
      </c>
      <c r="E5415" s="1" t="s">
        <v>29</v>
      </c>
      <c r="F5415" s="5">
        <v>14500.0</v>
      </c>
      <c r="G5415" s="1" t="s">
        <v>7016</v>
      </c>
      <c r="H5415" s="1" t="s">
        <v>5674</v>
      </c>
      <c r="I5415" s="1" t="s">
        <v>264</v>
      </c>
      <c r="K5415" s="1">
        <v>0.0</v>
      </c>
      <c r="L5415" s="1" t="s">
        <v>11159</v>
      </c>
      <c r="M5415" s="1" t="str">
        <f>VLOOKUP(L5415,'Copy of PMD Workday Constants -'!B5414:W6100,22,false)</f>
        <v>#N/A</v>
      </c>
      <c r="N5415" s="1" t="s">
        <v>32</v>
      </c>
      <c r="O5415" s="1" t="s">
        <v>33</v>
      </c>
      <c r="P5415" s="1" t="s">
        <v>222</v>
      </c>
      <c r="Q5415" s="1" t="s">
        <v>222</v>
      </c>
      <c r="R5415" s="1" t="s">
        <v>223</v>
      </c>
      <c r="S5415" s="1" t="s">
        <v>482</v>
      </c>
      <c r="T5415" s="1">
        <v>1.00602248E8</v>
      </c>
      <c r="W5415" s="1" t="s">
        <v>56</v>
      </c>
      <c r="X5415" s="1" t="s">
        <v>14372</v>
      </c>
    </row>
    <row r="5416">
      <c r="A5416" s="1" t="s">
        <v>15041</v>
      </c>
      <c r="B5416" s="1" t="s">
        <v>15042</v>
      </c>
      <c r="C5416" s="1" t="s">
        <v>15043</v>
      </c>
      <c r="D5416" s="1" t="s">
        <v>28</v>
      </c>
      <c r="E5416" s="1" t="s">
        <v>29</v>
      </c>
      <c r="F5416" s="5">
        <v>14500.0</v>
      </c>
      <c r="G5416" s="1" t="s">
        <v>7016</v>
      </c>
      <c r="H5416" s="1" t="s">
        <v>42</v>
      </c>
      <c r="I5416" s="1" t="s">
        <v>302</v>
      </c>
      <c r="K5416" s="1">
        <v>0.0</v>
      </c>
      <c r="L5416" s="1" t="s">
        <v>11159</v>
      </c>
      <c r="M5416" s="1" t="str">
        <f>VLOOKUP(L5416,'Copy of PMD Workday Constants -'!B5415:W6101,22,false)</f>
        <v>#N/A</v>
      </c>
      <c r="N5416" s="1" t="s">
        <v>32</v>
      </c>
      <c r="O5416" s="1" t="s">
        <v>33</v>
      </c>
      <c r="P5416" s="1" t="s">
        <v>222</v>
      </c>
      <c r="Q5416" s="1" t="s">
        <v>222</v>
      </c>
      <c r="R5416" s="1" t="s">
        <v>223</v>
      </c>
      <c r="S5416" s="1" t="s">
        <v>482</v>
      </c>
      <c r="T5416" s="1">
        <v>1.00602248E8</v>
      </c>
      <c r="W5416" s="1" t="s">
        <v>37</v>
      </c>
      <c r="X5416" s="1" t="s">
        <v>12989</v>
      </c>
    </row>
    <row r="5417">
      <c r="A5417" s="1" t="s">
        <v>15044</v>
      </c>
      <c r="B5417" s="1" t="s">
        <v>15045</v>
      </c>
      <c r="C5417" s="1" t="s">
        <v>15046</v>
      </c>
      <c r="D5417" s="1" t="s">
        <v>28</v>
      </c>
      <c r="E5417" s="1" t="s">
        <v>29</v>
      </c>
      <c r="F5417" s="5">
        <v>14500.0</v>
      </c>
      <c r="G5417" s="1" t="s">
        <v>7016</v>
      </c>
      <c r="H5417" s="4">
        <v>44594.0</v>
      </c>
      <c r="I5417" s="1" t="s">
        <v>302</v>
      </c>
      <c r="K5417" s="1">
        <v>0.0</v>
      </c>
      <c r="L5417" s="1" t="s">
        <v>11159</v>
      </c>
      <c r="M5417" s="1" t="str">
        <f>VLOOKUP(L5417,'Copy of PMD Workday Constants -'!B5416:W6102,22,false)</f>
        <v>#N/A</v>
      </c>
      <c r="N5417" s="1" t="s">
        <v>32</v>
      </c>
      <c r="O5417" s="1" t="s">
        <v>33</v>
      </c>
      <c r="P5417" s="1" t="s">
        <v>222</v>
      </c>
      <c r="Q5417" s="1" t="s">
        <v>222</v>
      </c>
      <c r="R5417" s="1" t="s">
        <v>223</v>
      </c>
      <c r="S5417" s="1" t="s">
        <v>482</v>
      </c>
      <c r="T5417" s="1">
        <v>1.00602248E8</v>
      </c>
      <c r="X5417" s="1" t="s">
        <v>14372</v>
      </c>
    </row>
    <row r="5418">
      <c r="A5418" s="1" t="s">
        <v>15047</v>
      </c>
      <c r="B5418" s="1" t="s">
        <v>15048</v>
      </c>
      <c r="C5418" s="1" t="s">
        <v>15049</v>
      </c>
      <c r="D5418" s="1" t="s">
        <v>51</v>
      </c>
      <c r="E5418" s="1" t="s">
        <v>29</v>
      </c>
      <c r="F5418" s="5">
        <v>14500.0</v>
      </c>
      <c r="G5418" s="1" t="s">
        <v>7016</v>
      </c>
      <c r="H5418" s="4">
        <v>44384.0</v>
      </c>
      <c r="I5418" s="1" t="s">
        <v>302</v>
      </c>
      <c r="K5418" s="1">
        <v>0.0</v>
      </c>
      <c r="L5418" s="1" t="s">
        <v>11159</v>
      </c>
      <c r="M5418" s="1" t="str">
        <f>VLOOKUP(L5418,'Copy of PMD Workday Constants -'!B5417:W6103,22,false)</f>
        <v>#N/A</v>
      </c>
      <c r="N5418" s="1" t="s">
        <v>32</v>
      </c>
      <c r="O5418" s="1" t="s">
        <v>33</v>
      </c>
      <c r="P5418" s="1" t="s">
        <v>222</v>
      </c>
      <c r="Q5418" s="1" t="s">
        <v>222</v>
      </c>
      <c r="R5418" s="1" t="s">
        <v>223</v>
      </c>
      <c r="S5418" s="1" t="s">
        <v>482</v>
      </c>
      <c r="T5418" s="1">
        <v>1.00602248E8</v>
      </c>
      <c r="W5418" s="1" t="s">
        <v>85</v>
      </c>
      <c r="X5418" s="1" t="s">
        <v>12065</v>
      </c>
    </row>
    <row r="5419">
      <c r="A5419" s="1" t="s">
        <v>15050</v>
      </c>
      <c r="B5419" s="1" t="s">
        <v>15051</v>
      </c>
      <c r="C5419" s="1" t="s">
        <v>15052</v>
      </c>
      <c r="D5419" s="1" t="s">
        <v>51</v>
      </c>
      <c r="E5419" s="1" t="s">
        <v>29</v>
      </c>
      <c r="F5419" s="5">
        <v>14500.0</v>
      </c>
      <c r="G5419" s="1" t="s">
        <v>7016</v>
      </c>
      <c r="H5419" s="4">
        <v>44417.0</v>
      </c>
      <c r="I5419" s="1" t="s">
        <v>421</v>
      </c>
      <c r="K5419" s="1">
        <v>0.0</v>
      </c>
      <c r="L5419" s="1" t="s">
        <v>11159</v>
      </c>
      <c r="M5419" s="1" t="str">
        <f>VLOOKUP(L5419,'Copy of PMD Workday Constants -'!B5418:W6104,22,false)</f>
        <v>#N/A</v>
      </c>
      <c r="N5419" s="1" t="s">
        <v>32</v>
      </c>
      <c r="O5419" s="1" t="s">
        <v>33</v>
      </c>
      <c r="P5419" s="1" t="s">
        <v>222</v>
      </c>
      <c r="Q5419" s="1" t="s">
        <v>222</v>
      </c>
      <c r="R5419" s="1" t="s">
        <v>223</v>
      </c>
      <c r="T5419" s="1">
        <v>1.00602248E8</v>
      </c>
      <c r="W5419" s="1" t="s">
        <v>250</v>
      </c>
      <c r="X5419" s="1" t="s">
        <v>12065</v>
      </c>
    </row>
    <row r="5420">
      <c r="A5420" s="1" t="s">
        <v>15053</v>
      </c>
      <c r="B5420" s="1" t="s">
        <v>15054</v>
      </c>
      <c r="C5420" s="1" t="s">
        <v>15055</v>
      </c>
      <c r="D5420" s="1" t="s">
        <v>51</v>
      </c>
      <c r="E5420" s="1" t="s">
        <v>29</v>
      </c>
      <c r="F5420" s="5">
        <v>14500.0</v>
      </c>
      <c r="G5420" s="1" t="s">
        <v>7016</v>
      </c>
      <c r="H5420" s="4">
        <v>44415.0</v>
      </c>
      <c r="I5420" s="1" t="s">
        <v>80</v>
      </c>
      <c r="K5420" s="1">
        <v>0.0</v>
      </c>
      <c r="L5420" s="1" t="s">
        <v>8868</v>
      </c>
      <c r="M5420" s="1" t="str">
        <f>VLOOKUP(L5420,'Copy of PMD Workday Constants -'!B5419:W6105,22,false)</f>
        <v>#N/A</v>
      </c>
      <c r="N5420" s="1" t="s">
        <v>32</v>
      </c>
      <c r="O5420" s="1" t="s">
        <v>33</v>
      </c>
      <c r="P5420" s="1" t="s">
        <v>222</v>
      </c>
      <c r="Q5420" s="1" t="s">
        <v>222</v>
      </c>
      <c r="R5420" s="1" t="s">
        <v>223</v>
      </c>
      <c r="S5420" s="1" t="s">
        <v>482</v>
      </c>
      <c r="T5420" s="1">
        <v>1.00612509E8</v>
      </c>
      <c r="W5420" s="1" t="s">
        <v>85</v>
      </c>
      <c r="X5420" s="1" t="s">
        <v>12065</v>
      </c>
    </row>
    <row r="5421">
      <c r="A5421" s="1" t="s">
        <v>15056</v>
      </c>
      <c r="B5421" s="1" t="s">
        <v>1868</v>
      </c>
      <c r="C5421" s="1" t="s">
        <v>15057</v>
      </c>
      <c r="D5421" s="1" t="s">
        <v>28</v>
      </c>
      <c r="E5421" s="1" t="s">
        <v>29</v>
      </c>
      <c r="F5421" s="5">
        <v>14500.0</v>
      </c>
      <c r="G5421" s="1" t="s">
        <v>7016</v>
      </c>
      <c r="H5421" s="4">
        <v>44415.0</v>
      </c>
      <c r="I5421" s="1" t="s">
        <v>43</v>
      </c>
      <c r="K5421" s="1">
        <v>0.0</v>
      </c>
      <c r="L5421" s="1" t="s">
        <v>11159</v>
      </c>
      <c r="M5421" s="1" t="str">
        <f>VLOOKUP(L5421,'Copy of PMD Workday Constants -'!B5420:W6106,22,false)</f>
        <v>#N/A</v>
      </c>
      <c r="N5421" s="1" t="s">
        <v>32</v>
      </c>
      <c r="O5421" s="1" t="s">
        <v>33</v>
      </c>
      <c r="P5421" s="1" t="s">
        <v>222</v>
      </c>
      <c r="Q5421" s="1" t="s">
        <v>222</v>
      </c>
      <c r="R5421" s="1" t="s">
        <v>223</v>
      </c>
      <c r="T5421" s="1">
        <v>1.00602248E8</v>
      </c>
      <c r="W5421" s="1" t="s">
        <v>74</v>
      </c>
      <c r="X5421" s="1" t="s">
        <v>12989</v>
      </c>
    </row>
    <row r="5422">
      <c r="A5422" s="1" t="s">
        <v>15058</v>
      </c>
      <c r="B5422" s="1" t="s">
        <v>15059</v>
      </c>
      <c r="C5422" s="1" t="s">
        <v>15060</v>
      </c>
      <c r="D5422" s="1" t="s">
        <v>28</v>
      </c>
      <c r="E5422" s="1" t="s">
        <v>29</v>
      </c>
      <c r="F5422" s="5">
        <v>14500.0</v>
      </c>
      <c r="G5422" s="1" t="s">
        <v>7016</v>
      </c>
      <c r="H5422" s="4">
        <v>44205.0</v>
      </c>
      <c r="I5422" s="1" t="s">
        <v>191</v>
      </c>
      <c r="K5422" s="1">
        <v>0.0</v>
      </c>
      <c r="L5422" s="1" t="s">
        <v>8868</v>
      </c>
      <c r="M5422" s="1" t="str">
        <f>VLOOKUP(L5422,'Copy of PMD Workday Constants -'!B5421:W6107,22,false)</f>
        <v>#N/A</v>
      </c>
      <c r="N5422" s="1" t="s">
        <v>32</v>
      </c>
      <c r="O5422" s="1" t="s">
        <v>33</v>
      </c>
      <c r="P5422" s="1" t="s">
        <v>222</v>
      </c>
      <c r="Q5422" s="1" t="s">
        <v>222</v>
      </c>
      <c r="R5422" s="1" t="s">
        <v>223</v>
      </c>
      <c r="S5422" s="1" t="s">
        <v>482</v>
      </c>
      <c r="T5422" s="1">
        <v>1.00612509E8</v>
      </c>
      <c r="W5422" s="1" t="s">
        <v>85</v>
      </c>
      <c r="X5422" s="1" t="s">
        <v>12065</v>
      </c>
    </row>
    <row r="5423">
      <c r="A5423" s="1" t="s">
        <v>15061</v>
      </c>
      <c r="B5423" s="1" t="s">
        <v>15062</v>
      </c>
      <c r="C5423" s="1" t="s">
        <v>15063</v>
      </c>
      <c r="D5423" s="1" t="s">
        <v>28</v>
      </c>
      <c r="E5423" s="1" t="s">
        <v>29</v>
      </c>
      <c r="F5423" s="5">
        <v>14500.0</v>
      </c>
      <c r="G5423" s="1" t="s">
        <v>7016</v>
      </c>
      <c r="H5423" s="4">
        <v>44205.0</v>
      </c>
      <c r="I5423" s="1" t="s">
        <v>43</v>
      </c>
      <c r="K5423" s="1">
        <v>0.0</v>
      </c>
      <c r="L5423" s="1" t="s">
        <v>8868</v>
      </c>
      <c r="M5423" s="1" t="str">
        <f>VLOOKUP(L5423,'Copy of PMD Workday Constants -'!B5422:W6108,22,false)</f>
        <v>#N/A</v>
      </c>
      <c r="N5423" s="1" t="s">
        <v>32</v>
      </c>
      <c r="O5423" s="1" t="s">
        <v>33</v>
      </c>
      <c r="P5423" s="1" t="s">
        <v>222</v>
      </c>
      <c r="Q5423" s="1" t="s">
        <v>222</v>
      </c>
      <c r="R5423" s="1" t="s">
        <v>223</v>
      </c>
      <c r="S5423" s="1" t="s">
        <v>482</v>
      </c>
      <c r="T5423" s="1">
        <v>1.00612509E8</v>
      </c>
      <c r="W5423" s="1" t="s">
        <v>140</v>
      </c>
      <c r="X5423" s="1" t="s">
        <v>12989</v>
      </c>
    </row>
    <row r="5424">
      <c r="A5424" s="1" t="s">
        <v>15064</v>
      </c>
      <c r="B5424" s="1" t="s">
        <v>15065</v>
      </c>
      <c r="C5424" s="1" t="s">
        <v>15066</v>
      </c>
      <c r="D5424" s="1" t="s">
        <v>28</v>
      </c>
      <c r="E5424" s="1" t="s">
        <v>29</v>
      </c>
      <c r="F5424" s="5">
        <v>14500.0</v>
      </c>
      <c r="G5424" s="1" t="s">
        <v>7016</v>
      </c>
      <c r="H5424" s="4">
        <v>44415.0</v>
      </c>
      <c r="I5424" s="1" t="s">
        <v>43</v>
      </c>
      <c r="K5424" s="1">
        <v>0.0</v>
      </c>
      <c r="L5424" s="1" t="s">
        <v>11159</v>
      </c>
      <c r="M5424" s="1" t="str">
        <f>VLOOKUP(L5424,'Copy of PMD Workday Constants -'!B5423:W6109,22,false)</f>
        <v>#N/A</v>
      </c>
      <c r="N5424" s="1" t="s">
        <v>32</v>
      </c>
      <c r="O5424" s="1" t="s">
        <v>33</v>
      </c>
      <c r="P5424" s="1" t="s">
        <v>222</v>
      </c>
      <c r="Q5424" s="1" t="s">
        <v>222</v>
      </c>
      <c r="R5424" s="1" t="s">
        <v>223</v>
      </c>
      <c r="T5424" s="1">
        <v>1.00602248E8</v>
      </c>
      <c r="X5424" s="1" t="s">
        <v>12989</v>
      </c>
    </row>
    <row r="5425">
      <c r="A5425" s="1" t="s">
        <v>15067</v>
      </c>
      <c r="B5425" s="1" t="s">
        <v>15068</v>
      </c>
      <c r="C5425" s="1" t="s">
        <v>15069</v>
      </c>
      <c r="D5425" s="1" t="s">
        <v>51</v>
      </c>
      <c r="E5425" s="1" t="s">
        <v>29</v>
      </c>
      <c r="F5425" s="5">
        <v>14500.0</v>
      </c>
      <c r="G5425" s="1" t="s">
        <v>7016</v>
      </c>
      <c r="H5425" s="1" t="s">
        <v>2125</v>
      </c>
      <c r="I5425" s="1" t="s">
        <v>421</v>
      </c>
      <c r="K5425" s="1">
        <v>0.0</v>
      </c>
      <c r="L5425" s="1" t="s">
        <v>11159</v>
      </c>
      <c r="M5425" s="1" t="str">
        <f>VLOOKUP(L5425,'Copy of PMD Workday Constants -'!B5424:W6110,22,false)</f>
        <v>#N/A</v>
      </c>
      <c r="N5425" s="1" t="s">
        <v>32</v>
      </c>
      <c r="O5425" s="1" t="s">
        <v>33</v>
      </c>
      <c r="P5425" s="1" t="s">
        <v>222</v>
      </c>
      <c r="Q5425" s="1" t="s">
        <v>222</v>
      </c>
      <c r="R5425" s="1" t="s">
        <v>223</v>
      </c>
      <c r="T5425" s="1">
        <v>1.00602248E8</v>
      </c>
      <c r="W5425" s="1" t="s">
        <v>56</v>
      </c>
      <c r="X5425" s="1" t="s">
        <v>12065</v>
      </c>
    </row>
    <row r="5426">
      <c r="A5426" s="1" t="s">
        <v>15070</v>
      </c>
      <c r="B5426" s="1" t="s">
        <v>15071</v>
      </c>
      <c r="C5426" s="1" t="s">
        <v>15072</v>
      </c>
      <c r="D5426" s="1" t="s">
        <v>51</v>
      </c>
      <c r="E5426" s="1" t="s">
        <v>29</v>
      </c>
      <c r="F5426" s="5">
        <v>14500.0</v>
      </c>
      <c r="G5426" s="1" t="s">
        <v>7016</v>
      </c>
      <c r="H5426" s="1" t="s">
        <v>785</v>
      </c>
      <c r="I5426" s="1" t="s">
        <v>302</v>
      </c>
      <c r="K5426" s="1">
        <v>0.0</v>
      </c>
      <c r="L5426" s="1" t="s">
        <v>11159</v>
      </c>
      <c r="M5426" s="1" t="str">
        <f>VLOOKUP(L5426,'Copy of PMD Workday Constants -'!B5425:W6111,22,false)</f>
        <v>#N/A</v>
      </c>
      <c r="N5426" s="1" t="s">
        <v>32</v>
      </c>
      <c r="O5426" s="1" t="s">
        <v>33</v>
      </c>
      <c r="P5426" s="1" t="s">
        <v>222</v>
      </c>
      <c r="Q5426" s="1" t="s">
        <v>222</v>
      </c>
      <c r="R5426" s="1" t="s">
        <v>223</v>
      </c>
      <c r="S5426" s="1" t="s">
        <v>14281</v>
      </c>
      <c r="T5426" s="1">
        <v>1.00602248E8</v>
      </c>
      <c r="W5426" s="1" t="s">
        <v>250</v>
      </c>
      <c r="X5426" s="1" t="s">
        <v>12989</v>
      </c>
    </row>
    <row r="5427">
      <c r="A5427" s="1" t="s">
        <v>15073</v>
      </c>
      <c r="B5427" s="1" t="s">
        <v>15074</v>
      </c>
      <c r="C5427" s="1" t="s">
        <v>15075</v>
      </c>
      <c r="D5427" s="1" t="s">
        <v>28</v>
      </c>
      <c r="E5427" s="1" t="s">
        <v>29</v>
      </c>
      <c r="F5427" s="5">
        <v>14500.0</v>
      </c>
      <c r="G5427" s="1" t="s">
        <v>7016</v>
      </c>
      <c r="H5427" s="1" t="s">
        <v>2360</v>
      </c>
      <c r="I5427" s="1" t="s">
        <v>302</v>
      </c>
      <c r="K5427" s="1">
        <v>0.0</v>
      </c>
      <c r="L5427" s="1" t="s">
        <v>11159</v>
      </c>
      <c r="M5427" s="1" t="str">
        <f>VLOOKUP(L5427,'Copy of PMD Workday Constants -'!B5426:W6112,22,false)</f>
        <v>#N/A</v>
      </c>
      <c r="N5427" s="1" t="s">
        <v>32</v>
      </c>
      <c r="O5427" s="1" t="s">
        <v>33</v>
      </c>
      <c r="P5427" s="1" t="s">
        <v>222</v>
      </c>
      <c r="Q5427" s="1" t="s">
        <v>222</v>
      </c>
      <c r="R5427" s="1" t="s">
        <v>223</v>
      </c>
      <c r="S5427" s="1" t="s">
        <v>482</v>
      </c>
      <c r="T5427" s="1">
        <v>1.00602248E8</v>
      </c>
      <c r="W5427" s="1" t="s">
        <v>250</v>
      </c>
      <c r="X5427" s="1" t="s">
        <v>12989</v>
      </c>
    </row>
    <row r="5428">
      <c r="A5428" s="1" t="s">
        <v>15076</v>
      </c>
      <c r="B5428" s="1" t="s">
        <v>15077</v>
      </c>
      <c r="C5428" s="1" t="s">
        <v>15078</v>
      </c>
      <c r="D5428" s="1" t="s">
        <v>51</v>
      </c>
      <c r="E5428" s="1" t="s">
        <v>29</v>
      </c>
      <c r="F5428" s="5">
        <v>14500.0</v>
      </c>
      <c r="G5428" s="1" t="s">
        <v>7016</v>
      </c>
      <c r="H5428" s="1" t="s">
        <v>1082</v>
      </c>
      <c r="I5428" s="1" t="s">
        <v>191</v>
      </c>
      <c r="K5428" s="1">
        <v>0.0</v>
      </c>
      <c r="L5428" s="1" t="s">
        <v>11159</v>
      </c>
      <c r="M5428" s="1" t="str">
        <f>VLOOKUP(L5428,'Copy of PMD Workday Constants -'!B5427:W6113,22,false)</f>
        <v>#N/A</v>
      </c>
      <c r="N5428" s="1" t="s">
        <v>32</v>
      </c>
      <c r="O5428" s="1" t="s">
        <v>33</v>
      </c>
      <c r="P5428" s="1" t="s">
        <v>222</v>
      </c>
      <c r="Q5428" s="1" t="s">
        <v>222</v>
      </c>
      <c r="R5428" s="1" t="s">
        <v>223</v>
      </c>
      <c r="S5428" s="1" t="s">
        <v>482</v>
      </c>
      <c r="T5428" s="1">
        <v>1.00602248E8</v>
      </c>
      <c r="W5428" s="1" t="s">
        <v>85</v>
      </c>
      <c r="X5428" s="1" t="s">
        <v>12065</v>
      </c>
    </row>
    <row r="5429">
      <c r="A5429" s="1" t="s">
        <v>15079</v>
      </c>
      <c r="B5429" s="1" t="s">
        <v>3954</v>
      </c>
      <c r="C5429" s="1" t="s">
        <v>15080</v>
      </c>
      <c r="D5429" s="1" t="s">
        <v>28</v>
      </c>
      <c r="E5429" s="1" t="s">
        <v>29</v>
      </c>
      <c r="F5429" s="5">
        <v>14500.0</v>
      </c>
      <c r="G5429" s="1" t="s">
        <v>7016</v>
      </c>
      <c r="H5429" s="4">
        <v>44810.0</v>
      </c>
      <c r="I5429" s="1" t="s">
        <v>43</v>
      </c>
      <c r="K5429" s="1">
        <v>0.0</v>
      </c>
      <c r="L5429" s="1" t="s">
        <v>11159</v>
      </c>
      <c r="M5429" s="1" t="str">
        <f>VLOOKUP(L5429,'Copy of PMD Workday Constants -'!B5428:W6114,22,false)</f>
        <v>#N/A</v>
      </c>
      <c r="N5429" s="1" t="s">
        <v>32</v>
      </c>
      <c r="O5429" s="1" t="s">
        <v>33</v>
      </c>
      <c r="P5429" s="1" t="s">
        <v>222</v>
      </c>
      <c r="Q5429" s="1" t="s">
        <v>222</v>
      </c>
      <c r="R5429" s="1" t="s">
        <v>223</v>
      </c>
      <c r="S5429" s="1" t="s">
        <v>14281</v>
      </c>
      <c r="T5429" s="1">
        <v>1.00602248E8</v>
      </c>
      <c r="W5429" s="1" t="s">
        <v>436</v>
      </c>
      <c r="X5429" s="1" t="s">
        <v>14284</v>
      </c>
    </row>
    <row r="5430">
      <c r="A5430" s="1" t="s">
        <v>15081</v>
      </c>
      <c r="B5430" s="1" t="s">
        <v>15082</v>
      </c>
      <c r="C5430" s="1" t="s">
        <v>15083</v>
      </c>
      <c r="D5430" s="1" t="s">
        <v>28</v>
      </c>
      <c r="E5430" s="1" t="s">
        <v>29</v>
      </c>
      <c r="F5430" s="5">
        <v>14500.0</v>
      </c>
      <c r="G5430" s="1" t="s">
        <v>7016</v>
      </c>
      <c r="H5430" s="4">
        <v>44810.0</v>
      </c>
      <c r="I5430" s="1" t="s">
        <v>43</v>
      </c>
      <c r="K5430" s="1">
        <v>0.0</v>
      </c>
      <c r="L5430" s="1" t="s">
        <v>11159</v>
      </c>
      <c r="M5430" s="1" t="str">
        <f>VLOOKUP(L5430,'Copy of PMD Workday Constants -'!B5429:W6115,22,false)</f>
        <v>#N/A</v>
      </c>
      <c r="N5430" s="1" t="s">
        <v>32</v>
      </c>
      <c r="O5430" s="1" t="s">
        <v>33</v>
      </c>
      <c r="P5430" s="1" t="s">
        <v>222</v>
      </c>
      <c r="Q5430" s="1" t="s">
        <v>222</v>
      </c>
      <c r="R5430" s="1" t="s">
        <v>223</v>
      </c>
      <c r="S5430" s="1" t="s">
        <v>14281</v>
      </c>
      <c r="T5430" s="1">
        <v>1.00602248E8</v>
      </c>
      <c r="W5430" s="1" t="s">
        <v>115</v>
      </c>
      <c r="X5430" s="1" t="s">
        <v>14284</v>
      </c>
    </row>
    <row r="5431">
      <c r="A5431" s="1" t="s">
        <v>15084</v>
      </c>
      <c r="B5431" s="1" t="s">
        <v>15085</v>
      </c>
      <c r="C5431" s="1" t="s">
        <v>15086</v>
      </c>
      <c r="D5431" s="1" t="s">
        <v>51</v>
      </c>
      <c r="E5431" s="1" t="s">
        <v>29</v>
      </c>
      <c r="F5431" s="5">
        <v>14500.0</v>
      </c>
      <c r="G5431" s="1" t="s">
        <v>7016</v>
      </c>
      <c r="H5431" s="4">
        <v>44447.0</v>
      </c>
      <c r="I5431" s="1" t="s">
        <v>421</v>
      </c>
      <c r="K5431" s="1">
        <v>0.0</v>
      </c>
      <c r="L5431" s="1" t="s">
        <v>11159</v>
      </c>
      <c r="M5431" s="1" t="str">
        <f>VLOOKUP(L5431,'Copy of PMD Workday Constants -'!B5430:W6116,22,false)</f>
        <v>#N/A</v>
      </c>
      <c r="N5431" s="1" t="s">
        <v>32</v>
      </c>
      <c r="O5431" s="1" t="s">
        <v>33</v>
      </c>
      <c r="P5431" s="1" t="s">
        <v>222</v>
      </c>
      <c r="Q5431" s="1" t="s">
        <v>222</v>
      </c>
      <c r="R5431" s="1" t="s">
        <v>223</v>
      </c>
      <c r="T5431" s="1">
        <v>1.00602248E8</v>
      </c>
      <c r="W5431" s="1" t="s">
        <v>74</v>
      </c>
      <c r="X5431" s="1" t="s">
        <v>12065</v>
      </c>
    </row>
    <row r="5432">
      <c r="A5432" s="1" t="s">
        <v>15087</v>
      </c>
      <c r="B5432" s="1" t="s">
        <v>15088</v>
      </c>
      <c r="C5432" s="1" t="s">
        <v>15089</v>
      </c>
      <c r="D5432" s="1" t="s">
        <v>51</v>
      </c>
      <c r="E5432" s="1" t="s">
        <v>29</v>
      </c>
      <c r="F5432" s="5">
        <v>14500.0</v>
      </c>
      <c r="G5432" s="1" t="s">
        <v>7016</v>
      </c>
      <c r="H5432" s="1" t="s">
        <v>2360</v>
      </c>
      <c r="I5432" s="1" t="s">
        <v>406</v>
      </c>
      <c r="K5432" s="1">
        <v>0.0</v>
      </c>
      <c r="L5432" s="1" t="s">
        <v>11159</v>
      </c>
      <c r="M5432" s="1" t="str">
        <f>VLOOKUP(L5432,'Copy of PMD Workday Constants -'!B5431:W6117,22,false)</f>
        <v>#N/A</v>
      </c>
      <c r="N5432" s="1" t="s">
        <v>32</v>
      </c>
      <c r="O5432" s="1" t="s">
        <v>33</v>
      </c>
      <c r="P5432" s="1" t="s">
        <v>222</v>
      </c>
      <c r="Q5432" s="1" t="s">
        <v>222</v>
      </c>
      <c r="R5432" s="1" t="s">
        <v>223</v>
      </c>
      <c r="S5432" s="1" t="s">
        <v>482</v>
      </c>
      <c r="T5432" s="1">
        <v>1.00602248E8</v>
      </c>
      <c r="X5432" s="1" t="s">
        <v>12989</v>
      </c>
    </row>
    <row r="5433">
      <c r="A5433" s="1" t="s">
        <v>15090</v>
      </c>
      <c r="B5433" s="1" t="s">
        <v>15091</v>
      </c>
      <c r="C5433" s="1" t="s">
        <v>15092</v>
      </c>
      <c r="D5433" s="1" t="s">
        <v>51</v>
      </c>
      <c r="E5433" s="1" t="s">
        <v>29</v>
      </c>
      <c r="F5433" s="5">
        <v>14500.0</v>
      </c>
      <c r="G5433" s="1" t="s">
        <v>7016</v>
      </c>
      <c r="H5433" s="1" t="s">
        <v>6738</v>
      </c>
      <c r="I5433" s="1" t="s">
        <v>302</v>
      </c>
      <c r="K5433" s="1">
        <v>0.0</v>
      </c>
      <c r="L5433" s="1" t="s">
        <v>11159</v>
      </c>
      <c r="M5433" s="1" t="str">
        <f>VLOOKUP(L5433,'Copy of PMD Workday Constants -'!B5432:W6118,22,false)</f>
        <v>#N/A</v>
      </c>
      <c r="N5433" s="1" t="s">
        <v>32</v>
      </c>
      <c r="O5433" s="1" t="s">
        <v>33</v>
      </c>
      <c r="P5433" s="1" t="s">
        <v>222</v>
      </c>
      <c r="Q5433" s="1" t="s">
        <v>222</v>
      </c>
      <c r="R5433" s="1" t="s">
        <v>223</v>
      </c>
      <c r="S5433" s="1" t="s">
        <v>482</v>
      </c>
      <c r="T5433" s="1">
        <v>1.00602248E8</v>
      </c>
      <c r="W5433" s="1" t="s">
        <v>456</v>
      </c>
      <c r="X5433" s="1" t="s">
        <v>12065</v>
      </c>
    </row>
    <row r="5434">
      <c r="A5434" s="1" t="s">
        <v>15093</v>
      </c>
      <c r="B5434" s="1" t="s">
        <v>15094</v>
      </c>
      <c r="C5434" s="1" t="s">
        <v>15095</v>
      </c>
      <c r="D5434" s="1" t="s">
        <v>28</v>
      </c>
      <c r="E5434" s="1" t="s">
        <v>29</v>
      </c>
      <c r="F5434" s="5">
        <v>14500.0</v>
      </c>
      <c r="G5434" s="1" t="s">
        <v>7016</v>
      </c>
      <c r="H5434" s="4">
        <v>44810.0</v>
      </c>
      <c r="I5434" s="1" t="s">
        <v>43</v>
      </c>
      <c r="K5434" s="1">
        <v>0.0</v>
      </c>
      <c r="L5434" s="1" t="s">
        <v>11159</v>
      </c>
      <c r="M5434" s="1" t="str">
        <f>VLOOKUP(L5434,'Copy of PMD Workday Constants -'!B5433:W6119,22,false)</f>
        <v>#N/A</v>
      </c>
      <c r="N5434" s="1" t="s">
        <v>32</v>
      </c>
      <c r="O5434" s="1" t="s">
        <v>33</v>
      </c>
      <c r="P5434" s="1" t="s">
        <v>222</v>
      </c>
      <c r="Q5434" s="1" t="s">
        <v>222</v>
      </c>
      <c r="R5434" s="1" t="s">
        <v>223</v>
      </c>
      <c r="S5434" s="1" t="s">
        <v>482</v>
      </c>
      <c r="T5434" s="1">
        <v>1.00602248E8</v>
      </c>
      <c r="W5434" s="1" t="s">
        <v>85</v>
      </c>
      <c r="X5434" s="1" t="s">
        <v>14284</v>
      </c>
    </row>
    <row r="5435">
      <c r="A5435" s="1" t="s">
        <v>15096</v>
      </c>
      <c r="B5435" s="1" t="s">
        <v>7281</v>
      </c>
      <c r="C5435" s="1" t="s">
        <v>15097</v>
      </c>
      <c r="D5435" s="1" t="s">
        <v>28</v>
      </c>
      <c r="E5435" s="1" t="s">
        <v>29</v>
      </c>
      <c r="F5435" s="5">
        <v>14500.0</v>
      </c>
      <c r="G5435" s="1" t="s">
        <v>7016</v>
      </c>
      <c r="H5435" s="4">
        <v>44415.0</v>
      </c>
      <c r="I5435" s="1" t="s">
        <v>43</v>
      </c>
      <c r="K5435" s="1">
        <v>0.0</v>
      </c>
      <c r="L5435" s="1" t="s">
        <v>11159</v>
      </c>
      <c r="M5435" s="1" t="str">
        <f>VLOOKUP(L5435,'Copy of PMD Workday Constants -'!B5434:W6120,22,false)</f>
        <v>#N/A</v>
      </c>
      <c r="N5435" s="1" t="s">
        <v>32</v>
      </c>
      <c r="O5435" s="1" t="s">
        <v>33</v>
      </c>
      <c r="P5435" s="1" t="s">
        <v>222</v>
      </c>
      <c r="Q5435" s="1" t="s">
        <v>222</v>
      </c>
      <c r="R5435" s="1" t="s">
        <v>223</v>
      </c>
      <c r="T5435" s="1">
        <v>1.00602248E8</v>
      </c>
      <c r="X5435" s="1" t="s">
        <v>12989</v>
      </c>
    </row>
    <row r="5436">
      <c r="A5436" s="1" t="s">
        <v>15098</v>
      </c>
      <c r="B5436" s="1" t="s">
        <v>15099</v>
      </c>
      <c r="C5436" s="1" t="s">
        <v>15100</v>
      </c>
      <c r="D5436" s="1" t="s">
        <v>28</v>
      </c>
      <c r="E5436" s="1" t="s">
        <v>29</v>
      </c>
      <c r="F5436" s="5">
        <v>14500.0</v>
      </c>
      <c r="G5436" s="1" t="s">
        <v>7016</v>
      </c>
      <c r="H5436" s="4">
        <v>44810.0</v>
      </c>
      <c r="I5436" s="1" t="s">
        <v>43</v>
      </c>
      <c r="K5436" s="1">
        <v>0.0</v>
      </c>
      <c r="L5436" s="1" t="s">
        <v>11159</v>
      </c>
      <c r="M5436" s="1" t="str">
        <f>VLOOKUP(L5436,'Copy of PMD Workday Constants -'!B5435:W6121,22,false)</f>
        <v>#N/A</v>
      </c>
      <c r="N5436" s="1" t="s">
        <v>32</v>
      </c>
      <c r="O5436" s="1" t="s">
        <v>33</v>
      </c>
      <c r="P5436" s="1" t="s">
        <v>222</v>
      </c>
      <c r="Q5436" s="1" t="s">
        <v>222</v>
      </c>
      <c r="R5436" s="1" t="s">
        <v>223</v>
      </c>
      <c r="S5436" s="1" t="s">
        <v>14281</v>
      </c>
      <c r="T5436" s="1">
        <v>1.00602248E8</v>
      </c>
      <c r="W5436" s="1" t="s">
        <v>147</v>
      </c>
      <c r="X5436" s="1" t="s">
        <v>14284</v>
      </c>
    </row>
    <row r="5437">
      <c r="A5437" s="1" t="s">
        <v>15101</v>
      </c>
      <c r="B5437" s="1" t="s">
        <v>15102</v>
      </c>
      <c r="C5437" s="1" t="s">
        <v>15103</v>
      </c>
      <c r="D5437" s="1" t="s">
        <v>51</v>
      </c>
      <c r="E5437" s="1" t="s">
        <v>29</v>
      </c>
      <c r="F5437" s="5">
        <v>14500.0</v>
      </c>
      <c r="G5437" s="1" t="s">
        <v>7016</v>
      </c>
      <c r="H5437" s="4">
        <v>43901.0</v>
      </c>
      <c r="I5437" s="1" t="s">
        <v>302</v>
      </c>
      <c r="K5437" s="1">
        <v>0.0</v>
      </c>
      <c r="L5437" s="1" t="s">
        <v>11159</v>
      </c>
      <c r="M5437" s="1" t="str">
        <f>VLOOKUP(L5437,'Copy of PMD Workday Constants -'!B5436:W6122,22,false)</f>
        <v>#N/A</v>
      </c>
      <c r="N5437" s="1" t="s">
        <v>32</v>
      </c>
      <c r="O5437" s="1" t="s">
        <v>33</v>
      </c>
      <c r="P5437" s="1" t="s">
        <v>222</v>
      </c>
      <c r="Q5437" s="1" t="s">
        <v>222</v>
      </c>
      <c r="R5437" s="1" t="s">
        <v>223</v>
      </c>
      <c r="S5437" s="1" t="s">
        <v>482</v>
      </c>
      <c r="T5437" s="1">
        <v>1.00602248E8</v>
      </c>
      <c r="W5437" s="1" t="s">
        <v>140</v>
      </c>
      <c r="X5437" s="1" t="s">
        <v>12065</v>
      </c>
    </row>
    <row r="5438">
      <c r="A5438" s="1" t="s">
        <v>15104</v>
      </c>
      <c r="B5438" s="1" t="s">
        <v>15105</v>
      </c>
      <c r="C5438" s="1" t="s">
        <v>15106</v>
      </c>
      <c r="D5438" s="1" t="s">
        <v>28</v>
      </c>
      <c r="E5438" s="1" t="s">
        <v>29</v>
      </c>
      <c r="F5438" s="5">
        <v>14500.0</v>
      </c>
      <c r="G5438" s="1" t="s">
        <v>7016</v>
      </c>
      <c r="H5438" s="1" t="s">
        <v>842</v>
      </c>
      <c r="I5438" s="1" t="s">
        <v>43</v>
      </c>
      <c r="K5438" s="1">
        <v>0.0</v>
      </c>
      <c r="L5438" s="1" t="s">
        <v>11159</v>
      </c>
      <c r="M5438" s="1" t="str">
        <f>VLOOKUP(L5438,'Copy of PMD Workday Constants -'!B5437:W6123,22,false)</f>
        <v>#N/A</v>
      </c>
      <c r="N5438" s="1" t="s">
        <v>32</v>
      </c>
      <c r="O5438" s="1" t="s">
        <v>33</v>
      </c>
      <c r="P5438" s="1" t="s">
        <v>222</v>
      </c>
      <c r="Q5438" s="1" t="s">
        <v>222</v>
      </c>
      <c r="R5438" s="1" t="s">
        <v>223</v>
      </c>
      <c r="S5438" s="1" t="s">
        <v>482</v>
      </c>
      <c r="T5438" s="1">
        <v>1.00602248E8</v>
      </c>
      <c r="W5438" s="1" t="s">
        <v>91</v>
      </c>
      <c r="X5438" s="1" t="s">
        <v>12989</v>
      </c>
    </row>
    <row r="5439">
      <c r="A5439" s="1" t="s">
        <v>15107</v>
      </c>
      <c r="B5439" s="1" t="s">
        <v>15108</v>
      </c>
      <c r="C5439" s="1" t="s">
        <v>15109</v>
      </c>
      <c r="D5439" s="1" t="s">
        <v>51</v>
      </c>
      <c r="E5439" s="1" t="s">
        <v>29</v>
      </c>
      <c r="F5439" s="5">
        <v>14500.0</v>
      </c>
      <c r="G5439" s="1" t="s">
        <v>7016</v>
      </c>
      <c r="H5439" s="1" t="s">
        <v>842</v>
      </c>
      <c r="I5439" s="1" t="s">
        <v>302</v>
      </c>
      <c r="K5439" s="1">
        <v>0.0</v>
      </c>
      <c r="L5439" s="1" t="s">
        <v>11159</v>
      </c>
      <c r="M5439" s="1" t="str">
        <f>VLOOKUP(L5439,'Copy of PMD Workday Constants -'!B5438:W6124,22,false)</f>
        <v>#N/A</v>
      </c>
      <c r="N5439" s="1" t="s">
        <v>32</v>
      </c>
      <c r="O5439" s="1" t="s">
        <v>33</v>
      </c>
      <c r="P5439" s="1" t="s">
        <v>222</v>
      </c>
      <c r="Q5439" s="1" t="s">
        <v>222</v>
      </c>
      <c r="R5439" s="1" t="s">
        <v>223</v>
      </c>
      <c r="S5439" s="1" t="s">
        <v>482</v>
      </c>
      <c r="T5439" s="1">
        <v>1.00602248E8</v>
      </c>
      <c r="W5439" s="1" t="s">
        <v>47</v>
      </c>
      <c r="X5439" s="1" t="s">
        <v>12065</v>
      </c>
    </row>
    <row r="5440">
      <c r="A5440" s="1" t="s">
        <v>15110</v>
      </c>
      <c r="B5440" s="1" t="s">
        <v>15111</v>
      </c>
      <c r="C5440" s="1" t="s">
        <v>15112</v>
      </c>
      <c r="D5440" s="1" t="s">
        <v>28</v>
      </c>
      <c r="E5440" s="1" t="s">
        <v>29</v>
      </c>
      <c r="F5440" s="5">
        <v>14500.0</v>
      </c>
      <c r="G5440" s="1" t="s">
        <v>7016</v>
      </c>
      <c r="H5440" s="1" t="s">
        <v>4988</v>
      </c>
      <c r="I5440" s="1" t="s">
        <v>43</v>
      </c>
      <c r="K5440" s="1">
        <v>0.0</v>
      </c>
      <c r="L5440" s="1" t="s">
        <v>8868</v>
      </c>
      <c r="M5440" s="1" t="str">
        <f>VLOOKUP(L5440,'Copy of PMD Workday Constants -'!B5439:W6125,22,false)</f>
        <v>#N/A</v>
      </c>
      <c r="N5440" s="1" t="s">
        <v>32</v>
      </c>
      <c r="O5440" s="1" t="s">
        <v>33</v>
      </c>
      <c r="P5440" s="1" t="s">
        <v>222</v>
      </c>
      <c r="Q5440" s="1" t="s">
        <v>222</v>
      </c>
      <c r="R5440" s="1" t="s">
        <v>223</v>
      </c>
      <c r="S5440" s="1" t="s">
        <v>482</v>
      </c>
      <c r="T5440" s="1">
        <v>1.00612509E8</v>
      </c>
      <c r="W5440" s="1" t="s">
        <v>85</v>
      </c>
      <c r="X5440" s="1" t="s">
        <v>12989</v>
      </c>
    </row>
    <row r="5441">
      <c r="A5441" s="1" t="s">
        <v>15113</v>
      </c>
      <c r="B5441" s="1" t="s">
        <v>15114</v>
      </c>
      <c r="C5441" s="1" t="s">
        <v>15115</v>
      </c>
      <c r="D5441" s="1" t="s">
        <v>28</v>
      </c>
      <c r="E5441" s="1" t="s">
        <v>29</v>
      </c>
      <c r="F5441" s="5">
        <v>14500.0</v>
      </c>
      <c r="G5441" s="1" t="s">
        <v>7016</v>
      </c>
      <c r="H5441" s="1" t="s">
        <v>322</v>
      </c>
      <c r="I5441" s="1" t="s">
        <v>43</v>
      </c>
      <c r="K5441" s="1">
        <v>0.0</v>
      </c>
      <c r="L5441" s="1" t="s">
        <v>11159</v>
      </c>
      <c r="M5441" s="1" t="str">
        <f>VLOOKUP(L5441,'Copy of PMD Workday Constants -'!B5440:W6126,22,false)</f>
        <v>#N/A</v>
      </c>
      <c r="N5441" s="1" t="s">
        <v>32</v>
      </c>
      <c r="O5441" s="1" t="s">
        <v>33</v>
      </c>
      <c r="P5441" s="1" t="s">
        <v>222</v>
      </c>
      <c r="Q5441" s="1" t="s">
        <v>222</v>
      </c>
      <c r="R5441" s="1" t="s">
        <v>223</v>
      </c>
      <c r="S5441" s="1" t="s">
        <v>14281</v>
      </c>
      <c r="T5441" s="1">
        <v>1.00602248E8</v>
      </c>
      <c r="W5441" s="1" t="s">
        <v>74</v>
      </c>
      <c r="X5441" s="1" t="s">
        <v>14284</v>
      </c>
    </row>
    <row r="5442">
      <c r="A5442" s="1" t="s">
        <v>15116</v>
      </c>
      <c r="B5442" s="1" t="s">
        <v>10119</v>
      </c>
      <c r="C5442" s="1" t="s">
        <v>15117</v>
      </c>
      <c r="D5442" s="1" t="s">
        <v>28</v>
      </c>
      <c r="E5442" s="1" t="s">
        <v>29</v>
      </c>
      <c r="F5442" s="5">
        <v>14500.0</v>
      </c>
      <c r="G5442" s="1" t="s">
        <v>7016</v>
      </c>
      <c r="H5442" s="1" t="s">
        <v>1082</v>
      </c>
      <c r="I5442" s="1" t="s">
        <v>43</v>
      </c>
      <c r="K5442" s="1">
        <v>0.0</v>
      </c>
      <c r="L5442" s="1" t="s">
        <v>11159</v>
      </c>
      <c r="M5442" s="1" t="str">
        <f>VLOOKUP(L5442,'Copy of PMD Workday Constants -'!B5441:W6127,22,false)</f>
        <v>#N/A</v>
      </c>
      <c r="N5442" s="1" t="s">
        <v>32</v>
      </c>
      <c r="O5442" s="1" t="s">
        <v>33</v>
      </c>
      <c r="P5442" s="1" t="s">
        <v>222</v>
      </c>
      <c r="Q5442" s="1" t="s">
        <v>222</v>
      </c>
      <c r="R5442" s="1" t="s">
        <v>223</v>
      </c>
      <c r="S5442" s="1" t="s">
        <v>482</v>
      </c>
      <c r="T5442" s="1">
        <v>1.00602248E8</v>
      </c>
      <c r="W5442" s="1" t="s">
        <v>140</v>
      </c>
      <c r="X5442" s="1" t="s">
        <v>12989</v>
      </c>
    </row>
    <row r="5443">
      <c r="A5443" s="1" t="s">
        <v>15118</v>
      </c>
      <c r="B5443" s="1" t="s">
        <v>15119</v>
      </c>
      <c r="C5443" s="1" t="s">
        <v>15120</v>
      </c>
      <c r="D5443" s="1" t="s">
        <v>103</v>
      </c>
      <c r="E5443" s="1" t="s">
        <v>29</v>
      </c>
      <c r="F5443" s="5">
        <v>14500.0</v>
      </c>
      <c r="G5443" s="1" t="s">
        <v>7016</v>
      </c>
      <c r="H5443" s="1" t="s">
        <v>2696</v>
      </c>
      <c r="I5443" s="1" t="s">
        <v>302</v>
      </c>
      <c r="K5443" s="1">
        <v>0.0</v>
      </c>
      <c r="L5443" s="1" t="s">
        <v>11159</v>
      </c>
      <c r="M5443" s="1" t="str">
        <f>VLOOKUP(L5443,'Copy of PMD Workday Constants -'!B5442:W6128,22,false)</f>
        <v>#N/A</v>
      </c>
      <c r="N5443" s="1" t="s">
        <v>32</v>
      </c>
      <c r="O5443" s="1" t="s">
        <v>33</v>
      </c>
      <c r="P5443" s="1" t="s">
        <v>222</v>
      </c>
      <c r="Q5443" s="1" t="s">
        <v>222</v>
      </c>
      <c r="R5443" s="1" t="s">
        <v>223</v>
      </c>
      <c r="S5443" s="1" t="s">
        <v>482</v>
      </c>
      <c r="T5443" s="1">
        <v>1.00602248E8</v>
      </c>
      <c r="W5443" s="1" t="s">
        <v>115</v>
      </c>
      <c r="X5443" s="1" t="s">
        <v>12065</v>
      </c>
    </row>
    <row r="5444">
      <c r="A5444" s="1" t="s">
        <v>15121</v>
      </c>
      <c r="B5444" s="1" t="s">
        <v>6446</v>
      </c>
      <c r="C5444" s="1" t="s">
        <v>15122</v>
      </c>
      <c r="D5444" s="1" t="s">
        <v>103</v>
      </c>
      <c r="E5444" s="1" t="s">
        <v>29</v>
      </c>
      <c r="F5444" s="5">
        <v>14500.0</v>
      </c>
      <c r="G5444" s="1" t="s">
        <v>7016</v>
      </c>
      <c r="H5444" s="1" t="s">
        <v>2696</v>
      </c>
      <c r="I5444" s="1" t="s">
        <v>302</v>
      </c>
      <c r="K5444" s="1">
        <v>0.0</v>
      </c>
      <c r="L5444" s="1" t="s">
        <v>11159</v>
      </c>
      <c r="M5444" s="1" t="str">
        <f>VLOOKUP(L5444,'Copy of PMD Workday Constants -'!B5443:W6129,22,false)</f>
        <v>#N/A</v>
      </c>
      <c r="N5444" s="1" t="s">
        <v>32</v>
      </c>
      <c r="O5444" s="1" t="s">
        <v>33</v>
      </c>
      <c r="P5444" s="1" t="s">
        <v>222</v>
      </c>
      <c r="Q5444" s="1" t="s">
        <v>222</v>
      </c>
      <c r="R5444" s="1" t="s">
        <v>223</v>
      </c>
      <c r="S5444" s="1" t="s">
        <v>482</v>
      </c>
      <c r="T5444" s="1">
        <v>1.00602248E8</v>
      </c>
      <c r="W5444" s="1" t="s">
        <v>258</v>
      </c>
      <c r="X5444" s="1" t="s">
        <v>12065</v>
      </c>
    </row>
    <row r="5445">
      <c r="A5445" s="1" t="s">
        <v>15123</v>
      </c>
      <c r="B5445" s="1" t="s">
        <v>14992</v>
      </c>
      <c r="C5445" s="1" t="s">
        <v>15124</v>
      </c>
      <c r="D5445" s="1" t="s">
        <v>51</v>
      </c>
      <c r="E5445" s="1" t="s">
        <v>29</v>
      </c>
      <c r="F5445" s="5">
        <v>14500.0</v>
      </c>
      <c r="G5445" s="1" t="s">
        <v>7016</v>
      </c>
      <c r="H5445" s="1" t="s">
        <v>4988</v>
      </c>
      <c r="I5445" s="1" t="s">
        <v>421</v>
      </c>
      <c r="K5445" s="1">
        <v>0.0</v>
      </c>
      <c r="L5445" s="1" t="s">
        <v>11159</v>
      </c>
      <c r="M5445" s="1" t="str">
        <f>VLOOKUP(L5445,'Copy of PMD Workday Constants -'!B5444:W6130,22,false)</f>
        <v>#N/A</v>
      </c>
      <c r="N5445" s="1" t="s">
        <v>32</v>
      </c>
      <c r="O5445" s="1" t="s">
        <v>33</v>
      </c>
      <c r="P5445" s="1" t="s">
        <v>222</v>
      </c>
      <c r="Q5445" s="1" t="s">
        <v>222</v>
      </c>
      <c r="R5445" s="1" t="s">
        <v>223</v>
      </c>
      <c r="T5445" s="1">
        <v>1.00602248E8</v>
      </c>
      <c r="W5445" s="1" t="s">
        <v>37</v>
      </c>
      <c r="X5445" s="1" t="s">
        <v>12065</v>
      </c>
    </row>
    <row r="5446">
      <c r="A5446" s="1" t="s">
        <v>15125</v>
      </c>
      <c r="B5446" s="1" t="s">
        <v>15126</v>
      </c>
      <c r="C5446" s="1" t="s">
        <v>15127</v>
      </c>
      <c r="D5446" s="1" t="s">
        <v>28</v>
      </c>
      <c r="E5446" s="1" t="s">
        <v>29</v>
      </c>
      <c r="F5446" s="5">
        <v>14500.0</v>
      </c>
      <c r="G5446" s="1" t="s">
        <v>7016</v>
      </c>
      <c r="H5446" s="4">
        <v>44386.0</v>
      </c>
      <c r="I5446" s="1" t="s">
        <v>43</v>
      </c>
      <c r="K5446" s="1">
        <v>0.0</v>
      </c>
      <c r="L5446" s="1" t="s">
        <v>11159</v>
      </c>
      <c r="M5446" s="1" t="str">
        <f>VLOOKUP(L5446,'Copy of PMD Workday Constants -'!B5445:W6131,22,false)</f>
        <v>#N/A</v>
      </c>
      <c r="N5446" s="1" t="s">
        <v>32</v>
      </c>
      <c r="O5446" s="1" t="s">
        <v>33</v>
      </c>
      <c r="P5446" s="1" t="s">
        <v>222</v>
      </c>
      <c r="Q5446" s="1" t="s">
        <v>222</v>
      </c>
      <c r="R5446" s="1" t="s">
        <v>223</v>
      </c>
      <c r="S5446" s="1" t="s">
        <v>482</v>
      </c>
      <c r="T5446" s="1">
        <v>1.00602248E8</v>
      </c>
      <c r="W5446" s="1" t="s">
        <v>436</v>
      </c>
      <c r="X5446" s="1" t="s">
        <v>12989</v>
      </c>
    </row>
    <row r="5447">
      <c r="A5447" s="1" t="s">
        <v>15128</v>
      </c>
      <c r="B5447" s="1" t="s">
        <v>1539</v>
      </c>
      <c r="C5447" s="1" t="s">
        <v>15129</v>
      </c>
      <c r="D5447" s="1" t="s">
        <v>51</v>
      </c>
      <c r="E5447" s="1" t="s">
        <v>29</v>
      </c>
      <c r="F5447" s="5">
        <v>14500.0</v>
      </c>
      <c r="G5447" s="1" t="s">
        <v>7016</v>
      </c>
      <c r="H5447" s="4">
        <v>44382.0</v>
      </c>
      <c r="I5447" s="1" t="s">
        <v>421</v>
      </c>
      <c r="K5447" s="1">
        <v>0.0</v>
      </c>
      <c r="L5447" s="1" t="s">
        <v>11159</v>
      </c>
      <c r="M5447" s="1" t="str">
        <f>VLOOKUP(L5447,'Copy of PMD Workday Constants -'!B5446:W6132,22,false)</f>
        <v>#N/A</v>
      </c>
      <c r="N5447" s="1" t="s">
        <v>32</v>
      </c>
      <c r="O5447" s="1" t="s">
        <v>33</v>
      </c>
      <c r="P5447" s="1" t="s">
        <v>222</v>
      </c>
      <c r="Q5447" s="1" t="s">
        <v>222</v>
      </c>
      <c r="R5447" s="1" t="s">
        <v>223</v>
      </c>
      <c r="T5447" s="1">
        <v>1.00602248E8</v>
      </c>
      <c r="W5447" s="1" t="s">
        <v>456</v>
      </c>
      <c r="X5447" s="1" t="s">
        <v>12065</v>
      </c>
    </row>
    <row r="5448">
      <c r="A5448" s="1" t="s">
        <v>15130</v>
      </c>
      <c r="B5448" s="1" t="s">
        <v>7535</v>
      </c>
      <c r="C5448" s="1" t="s">
        <v>15131</v>
      </c>
      <c r="D5448" s="1" t="s">
        <v>51</v>
      </c>
      <c r="E5448" s="1" t="s">
        <v>29</v>
      </c>
      <c r="F5448" s="5">
        <v>14500.0</v>
      </c>
      <c r="G5448" s="1" t="s">
        <v>7016</v>
      </c>
      <c r="H5448" s="1" t="s">
        <v>283</v>
      </c>
      <c r="I5448" s="1" t="s">
        <v>302</v>
      </c>
      <c r="K5448" s="1">
        <v>0.0</v>
      </c>
      <c r="L5448" s="1" t="s">
        <v>11159</v>
      </c>
      <c r="M5448" s="1" t="str">
        <f>VLOOKUP(L5448,'Copy of PMD Workday Constants -'!B5447:W6133,22,false)</f>
        <v>#N/A</v>
      </c>
      <c r="N5448" s="1" t="s">
        <v>32</v>
      </c>
      <c r="O5448" s="1" t="s">
        <v>33</v>
      </c>
      <c r="P5448" s="1" t="s">
        <v>222</v>
      </c>
      <c r="Q5448" s="1" t="s">
        <v>222</v>
      </c>
      <c r="R5448" s="1" t="s">
        <v>223</v>
      </c>
      <c r="S5448" s="1" t="s">
        <v>482</v>
      </c>
      <c r="T5448" s="1">
        <v>1.00602248E8</v>
      </c>
      <c r="W5448" s="1" t="s">
        <v>74</v>
      </c>
      <c r="X5448" s="1" t="s">
        <v>12989</v>
      </c>
    </row>
    <row r="5449">
      <c r="A5449" s="1" t="s">
        <v>15132</v>
      </c>
      <c r="B5449" s="1" t="s">
        <v>15133</v>
      </c>
      <c r="C5449" s="1" t="s">
        <v>15134</v>
      </c>
      <c r="D5449" s="1" t="s">
        <v>28</v>
      </c>
      <c r="E5449" s="1" t="s">
        <v>29</v>
      </c>
      <c r="F5449" s="5">
        <v>14500.0</v>
      </c>
      <c r="G5449" s="1" t="s">
        <v>7016</v>
      </c>
      <c r="H5449" s="1" t="s">
        <v>2241</v>
      </c>
      <c r="I5449" s="1" t="s">
        <v>43</v>
      </c>
      <c r="K5449" s="1">
        <v>0.0</v>
      </c>
      <c r="L5449" s="1" t="s">
        <v>8868</v>
      </c>
      <c r="M5449" s="1" t="str">
        <f>VLOOKUP(L5449,'Copy of PMD Workday Constants -'!B5448:W6134,22,false)</f>
        <v>#N/A</v>
      </c>
      <c r="N5449" s="1" t="s">
        <v>32</v>
      </c>
      <c r="O5449" s="1" t="s">
        <v>33</v>
      </c>
      <c r="P5449" s="1" t="s">
        <v>222</v>
      </c>
      <c r="Q5449" s="1" t="s">
        <v>222</v>
      </c>
      <c r="R5449" s="1" t="s">
        <v>223</v>
      </c>
      <c r="S5449" s="1" t="s">
        <v>482</v>
      </c>
      <c r="T5449" s="1">
        <v>1.00612509E8</v>
      </c>
      <c r="W5449" s="1" t="s">
        <v>2098</v>
      </c>
      <c r="X5449" s="1" t="s">
        <v>12989</v>
      </c>
    </row>
    <row r="5450">
      <c r="A5450" s="1" t="s">
        <v>15135</v>
      </c>
      <c r="B5450" s="1" t="s">
        <v>137</v>
      </c>
      <c r="C5450" s="1" t="s">
        <v>15136</v>
      </c>
      <c r="D5450" s="1" t="s">
        <v>51</v>
      </c>
      <c r="E5450" s="1" t="s">
        <v>29</v>
      </c>
      <c r="F5450" s="5">
        <v>14500.0</v>
      </c>
      <c r="G5450" s="1" t="s">
        <v>7016</v>
      </c>
      <c r="H5450" s="1" t="s">
        <v>197</v>
      </c>
      <c r="I5450" s="1" t="s">
        <v>302</v>
      </c>
      <c r="K5450" s="1">
        <v>0.0</v>
      </c>
      <c r="L5450" s="1" t="s">
        <v>11159</v>
      </c>
      <c r="M5450" s="1" t="str">
        <f>VLOOKUP(L5450,'Copy of PMD Workday Constants -'!B5449:W6135,22,false)</f>
        <v>#N/A</v>
      </c>
      <c r="N5450" s="1" t="s">
        <v>32</v>
      </c>
      <c r="O5450" s="1" t="s">
        <v>33</v>
      </c>
      <c r="P5450" s="1" t="s">
        <v>222</v>
      </c>
      <c r="Q5450" s="1" t="s">
        <v>222</v>
      </c>
      <c r="R5450" s="1" t="s">
        <v>223</v>
      </c>
      <c r="S5450" s="1" t="s">
        <v>482</v>
      </c>
      <c r="T5450" s="1">
        <v>1.00602248E8</v>
      </c>
      <c r="W5450" s="1" t="s">
        <v>140</v>
      </c>
      <c r="X5450" s="1" t="s">
        <v>12065</v>
      </c>
    </row>
    <row r="5451">
      <c r="A5451" s="1" t="s">
        <v>15137</v>
      </c>
      <c r="B5451" s="1" t="s">
        <v>15138</v>
      </c>
      <c r="C5451" s="1" t="s">
        <v>15139</v>
      </c>
      <c r="D5451" s="1" t="s">
        <v>28</v>
      </c>
      <c r="E5451" s="1" t="s">
        <v>29</v>
      </c>
      <c r="F5451" s="5">
        <v>14500.0</v>
      </c>
      <c r="G5451" s="1" t="s">
        <v>7016</v>
      </c>
      <c r="H5451" s="1" t="s">
        <v>2787</v>
      </c>
      <c r="I5451" s="1" t="s">
        <v>43</v>
      </c>
      <c r="K5451" s="1">
        <v>0.0</v>
      </c>
      <c r="L5451" s="1" t="s">
        <v>11159</v>
      </c>
      <c r="M5451" s="1" t="str">
        <f>VLOOKUP(L5451,'Copy of PMD Workday Constants -'!B5450:W6136,22,false)</f>
        <v>#N/A</v>
      </c>
      <c r="N5451" s="1" t="s">
        <v>32</v>
      </c>
      <c r="O5451" s="1" t="s">
        <v>33</v>
      </c>
      <c r="P5451" s="1" t="s">
        <v>222</v>
      </c>
      <c r="Q5451" s="1" t="s">
        <v>222</v>
      </c>
      <c r="R5451" s="1" t="s">
        <v>223</v>
      </c>
      <c r="S5451" s="1" t="s">
        <v>482</v>
      </c>
      <c r="T5451" s="1">
        <v>1.00602248E8</v>
      </c>
      <c r="W5451" s="1" t="s">
        <v>456</v>
      </c>
      <c r="X5451" s="1" t="s">
        <v>12065</v>
      </c>
    </row>
    <row r="5452">
      <c r="A5452" s="1" t="s">
        <v>15140</v>
      </c>
      <c r="B5452" s="1" t="s">
        <v>15141</v>
      </c>
      <c r="C5452" s="1" t="s">
        <v>15142</v>
      </c>
      <c r="D5452" s="1" t="s">
        <v>28</v>
      </c>
      <c r="E5452" s="1" t="s">
        <v>29</v>
      </c>
      <c r="F5452" s="5">
        <v>14500.0</v>
      </c>
      <c r="G5452" s="1" t="s">
        <v>7016</v>
      </c>
      <c r="H5452" s="1" t="s">
        <v>1681</v>
      </c>
      <c r="I5452" s="1" t="s">
        <v>43</v>
      </c>
      <c r="K5452" s="1">
        <v>0.0</v>
      </c>
      <c r="L5452" s="1" t="s">
        <v>11159</v>
      </c>
      <c r="M5452" s="1" t="str">
        <f>VLOOKUP(L5452,'Copy of PMD Workday Constants -'!B5451:W6137,22,false)</f>
        <v>#N/A</v>
      </c>
      <c r="N5452" s="1" t="s">
        <v>32</v>
      </c>
      <c r="O5452" s="1" t="s">
        <v>33</v>
      </c>
      <c r="P5452" s="1" t="s">
        <v>222</v>
      </c>
      <c r="Q5452" s="1" t="s">
        <v>222</v>
      </c>
      <c r="R5452" s="1" t="s">
        <v>223</v>
      </c>
      <c r="S5452" s="1" t="s">
        <v>482</v>
      </c>
      <c r="T5452" s="1">
        <v>1.00602248E8</v>
      </c>
      <c r="W5452" s="1" t="s">
        <v>91</v>
      </c>
      <c r="X5452" s="1" t="s">
        <v>12065</v>
      </c>
    </row>
    <row r="5453">
      <c r="A5453" s="1" t="s">
        <v>15143</v>
      </c>
      <c r="B5453" s="1" t="s">
        <v>15144</v>
      </c>
      <c r="C5453" s="1" t="s">
        <v>15145</v>
      </c>
      <c r="D5453" s="1" t="s">
        <v>28</v>
      </c>
      <c r="E5453" s="1" t="s">
        <v>29</v>
      </c>
      <c r="F5453" s="5">
        <v>14500.0</v>
      </c>
      <c r="G5453" s="1" t="s">
        <v>7016</v>
      </c>
      <c r="H5453" s="1" t="s">
        <v>2069</v>
      </c>
      <c r="I5453" s="1" t="s">
        <v>302</v>
      </c>
      <c r="K5453" s="1">
        <v>0.0</v>
      </c>
      <c r="L5453" s="1" t="s">
        <v>11159</v>
      </c>
      <c r="M5453" s="1" t="str">
        <f>VLOOKUP(L5453,'Copy of PMD Workday Constants -'!B5452:W6138,22,false)</f>
        <v>#N/A</v>
      </c>
      <c r="N5453" s="1" t="s">
        <v>32</v>
      </c>
      <c r="O5453" s="1" t="s">
        <v>33</v>
      </c>
      <c r="P5453" s="1" t="s">
        <v>222</v>
      </c>
      <c r="Q5453" s="1" t="s">
        <v>222</v>
      </c>
      <c r="R5453" s="1" t="s">
        <v>223</v>
      </c>
      <c r="S5453" s="1" t="s">
        <v>482</v>
      </c>
      <c r="T5453" s="1">
        <v>1.00602248E8</v>
      </c>
      <c r="W5453" s="1" t="s">
        <v>47</v>
      </c>
      <c r="X5453" s="1" t="s">
        <v>12065</v>
      </c>
    </row>
    <row r="5454">
      <c r="A5454" s="1" t="s">
        <v>15146</v>
      </c>
      <c r="B5454" s="1" t="s">
        <v>15147</v>
      </c>
      <c r="C5454" s="1" t="s">
        <v>15148</v>
      </c>
      <c r="D5454" s="1" t="s">
        <v>79</v>
      </c>
      <c r="E5454" s="1" t="s">
        <v>29</v>
      </c>
      <c r="F5454" s="5">
        <v>14500.0</v>
      </c>
      <c r="G5454" s="1" t="s">
        <v>7016</v>
      </c>
      <c r="H5454" s="1" t="s">
        <v>2318</v>
      </c>
      <c r="I5454" s="1" t="s">
        <v>80</v>
      </c>
      <c r="K5454" s="1">
        <v>0.0</v>
      </c>
      <c r="L5454" s="1" t="s">
        <v>11159</v>
      </c>
      <c r="M5454" s="1" t="str">
        <f>VLOOKUP(L5454,'Copy of PMD Workday Constants -'!B5453:W6139,22,false)</f>
        <v>#N/A</v>
      </c>
      <c r="N5454" s="1" t="s">
        <v>32</v>
      </c>
      <c r="O5454" s="1" t="s">
        <v>33</v>
      </c>
      <c r="P5454" s="1" t="s">
        <v>222</v>
      </c>
      <c r="Q5454" s="1" t="s">
        <v>222</v>
      </c>
      <c r="R5454" s="1" t="s">
        <v>223</v>
      </c>
      <c r="S5454" s="1" t="s">
        <v>482</v>
      </c>
      <c r="T5454" s="1">
        <v>1.00602248E8</v>
      </c>
      <c r="W5454" s="1" t="s">
        <v>74</v>
      </c>
      <c r="X5454" s="1" t="s">
        <v>12989</v>
      </c>
    </row>
    <row r="5455">
      <c r="A5455" s="1" t="s">
        <v>15149</v>
      </c>
      <c r="B5455" s="1" t="s">
        <v>15150</v>
      </c>
      <c r="C5455" s="1" t="s">
        <v>15151</v>
      </c>
      <c r="D5455" s="1" t="s">
        <v>28</v>
      </c>
      <c r="E5455" s="1" t="s">
        <v>29</v>
      </c>
      <c r="F5455" s="5">
        <v>14500.0</v>
      </c>
      <c r="G5455" s="1" t="s">
        <v>7016</v>
      </c>
      <c r="H5455" s="4">
        <v>44263.0</v>
      </c>
      <c r="I5455" s="1" t="s">
        <v>43</v>
      </c>
      <c r="K5455" s="1">
        <v>0.0</v>
      </c>
      <c r="L5455" s="1" t="s">
        <v>11159</v>
      </c>
      <c r="M5455" s="1" t="str">
        <f>VLOOKUP(L5455,'Copy of PMD Workday Constants -'!B5454:W6140,22,false)</f>
        <v>#N/A</v>
      </c>
      <c r="N5455" s="1" t="s">
        <v>32</v>
      </c>
      <c r="O5455" s="1" t="s">
        <v>33</v>
      </c>
      <c r="P5455" s="1" t="s">
        <v>222</v>
      </c>
      <c r="Q5455" s="1" t="s">
        <v>222</v>
      </c>
      <c r="R5455" s="1" t="s">
        <v>223</v>
      </c>
      <c r="S5455" s="1" t="s">
        <v>482</v>
      </c>
      <c r="T5455" s="1">
        <v>1.00602248E8</v>
      </c>
      <c r="W5455" s="1" t="s">
        <v>85</v>
      </c>
      <c r="X5455" s="1" t="s">
        <v>12989</v>
      </c>
    </row>
    <row r="5456">
      <c r="A5456" s="1" t="s">
        <v>15152</v>
      </c>
      <c r="B5456" s="1" t="s">
        <v>15153</v>
      </c>
      <c r="C5456" s="1" t="s">
        <v>15154</v>
      </c>
      <c r="D5456" s="1" t="s">
        <v>28</v>
      </c>
      <c r="E5456" s="1" t="s">
        <v>29</v>
      </c>
      <c r="F5456" s="5">
        <v>14500.0</v>
      </c>
      <c r="G5456" s="1" t="s">
        <v>7016</v>
      </c>
      <c r="H5456" s="1" t="s">
        <v>4892</v>
      </c>
      <c r="I5456" s="1" t="s">
        <v>43</v>
      </c>
      <c r="K5456" s="1">
        <v>0.0</v>
      </c>
      <c r="L5456" s="1" t="s">
        <v>11159</v>
      </c>
      <c r="M5456" s="1" t="str">
        <f>VLOOKUP(L5456,'Copy of PMD Workday Constants -'!B5455:W6141,22,false)</f>
        <v>#N/A</v>
      </c>
      <c r="N5456" s="1" t="s">
        <v>32</v>
      </c>
      <c r="O5456" s="1" t="s">
        <v>33</v>
      </c>
      <c r="P5456" s="1" t="s">
        <v>222</v>
      </c>
      <c r="Q5456" s="1" t="s">
        <v>222</v>
      </c>
      <c r="R5456" s="1" t="s">
        <v>223</v>
      </c>
      <c r="S5456" s="1" t="s">
        <v>482</v>
      </c>
      <c r="T5456" s="1">
        <v>1.00602248E8</v>
      </c>
      <c r="W5456" s="1" t="s">
        <v>258</v>
      </c>
      <c r="X5456" s="1" t="s">
        <v>12989</v>
      </c>
    </row>
    <row r="5457">
      <c r="A5457" s="1" t="s">
        <v>15155</v>
      </c>
      <c r="B5457" s="1" t="s">
        <v>13140</v>
      </c>
      <c r="C5457" s="1" t="s">
        <v>15156</v>
      </c>
      <c r="D5457" s="1" t="s">
        <v>28</v>
      </c>
      <c r="E5457" s="1" t="s">
        <v>29</v>
      </c>
      <c r="F5457" s="5">
        <v>14500.0</v>
      </c>
      <c r="G5457" s="1" t="s">
        <v>7016</v>
      </c>
      <c r="H5457" s="4">
        <v>44235.0</v>
      </c>
      <c r="I5457" s="1" t="s">
        <v>43</v>
      </c>
      <c r="K5457" s="1">
        <v>0.0</v>
      </c>
      <c r="L5457" s="1" t="s">
        <v>11159</v>
      </c>
      <c r="M5457" s="1" t="str">
        <f>VLOOKUP(L5457,'Copy of PMD Workday Constants -'!B5456:W6142,22,false)</f>
        <v>#N/A</v>
      </c>
      <c r="N5457" s="1" t="s">
        <v>32</v>
      </c>
      <c r="O5457" s="1" t="s">
        <v>33</v>
      </c>
      <c r="P5457" s="1" t="s">
        <v>222</v>
      </c>
      <c r="Q5457" s="1" t="s">
        <v>222</v>
      </c>
      <c r="R5457" s="1" t="s">
        <v>223</v>
      </c>
      <c r="T5457" s="1">
        <v>1.00602248E8</v>
      </c>
      <c r="W5457" s="1" t="s">
        <v>74</v>
      </c>
      <c r="X5457" s="1" t="s">
        <v>12989</v>
      </c>
    </row>
    <row r="5458">
      <c r="A5458" s="1" t="s">
        <v>15157</v>
      </c>
      <c r="B5458" s="1" t="s">
        <v>4610</v>
      </c>
      <c r="C5458" s="1" t="s">
        <v>15158</v>
      </c>
      <c r="D5458" s="1" t="s">
        <v>28</v>
      </c>
      <c r="E5458" s="1" t="s">
        <v>29</v>
      </c>
      <c r="F5458" s="5">
        <v>14500.0</v>
      </c>
      <c r="G5458" s="1" t="s">
        <v>7016</v>
      </c>
      <c r="H5458" s="1" t="s">
        <v>556</v>
      </c>
      <c r="I5458" s="1" t="s">
        <v>302</v>
      </c>
      <c r="K5458" s="1">
        <v>0.0</v>
      </c>
      <c r="L5458" s="1" t="s">
        <v>11159</v>
      </c>
      <c r="M5458" s="1" t="str">
        <f>VLOOKUP(L5458,'Copy of PMD Workday Constants -'!B5457:W6143,22,false)</f>
        <v>#N/A</v>
      </c>
      <c r="N5458" s="1" t="s">
        <v>32</v>
      </c>
      <c r="O5458" s="1" t="s">
        <v>33</v>
      </c>
      <c r="P5458" s="1" t="s">
        <v>222</v>
      </c>
      <c r="Q5458" s="1" t="s">
        <v>222</v>
      </c>
      <c r="R5458" s="1" t="s">
        <v>223</v>
      </c>
      <c r="S5458" s="1" t="s">
        <v>482</v>
      </c>
      <c r="T5458" s="1">
        <v>1.00602248E8</v>
      </c>
      <c r="W5458" s="1" t="s">
        <v>140</v>
      </c>
      <c r="X5458" s="1" t="s">
        <v>14284</v>
      </c>
    </row>
    <row r="5459">
      <c r="A5459" s="1" t="s">
        <v>15159</v>
      </c>
      <c r="B5459" s="1" t="s">
        <v>1539</v>
      </c>
      <c r="C5459" s="1" t="s">
        <v>15160</v>
      </c>
      <c r="D5459" s="1" t="s">
        <v>28</v>
      </c>
      <c r="E5459" s="1" t="s">
        <v>29</v>
      </c>
      <c r="F5459" s="5">
        <v>14500.0</v>
      </c>
      <c r="G5459" s="1" t="s">
        <v>7016</v>
      </c>
      <c r="H5459" s="1" t="s">
        <v>556</v>
      </c>
      <c r="I5459" s="1" t="s">
        <v>43</v>
      </c>
      <c r="K5459" s="1">
        <v>0.0</v>
      </c>
      <c r="L5459" s="1" t="s">
        <v>11159</v>
      </c>
      <c r="M5459" s="1" t="str">
        <f>VLOOKUP(L5459,'Copy of PMD Workday Constants -'!B5458:W6144,22,false)</f>
        <v>#N/A</v>
      </c>
      <c r="N5459" s="1" t="s">
        <v>32</v>
      </c>
      <c r="O5459" s="1" t="s">
        <v>33</v>
      </c>
      <c r="P5459" s="1" t="s">
        <v>222</v>
      </c>
      <c r="Q5459" s="1" t="s">
        <v>222</v>
      </c>
      <c r="R5459" s="1" t="s">
        <v>223</v>
      </c>
      <c r="S5459" s="1" t="s">
        <v>14281</v>
      </c>
      <c r="T5459" s="1">
        <v>1.00602248E8</v>
      </c>
      <c r="W5459" s="1" t="s">
        <v>456</v>
      </c>
      <c r="X5459" s="1" t="s">
        <v>14284</v>
      </c>
    </row>
    <row r="5460">
      <c r="A5460" s="1" t="s">
        <v>15161</v>
      </c>
      <c r="B5460" s="1" t="s">
        <v>15162</v>
      </c>
      <c r="C5460" s="1" t="s">
        <v>15163</v>
      </c>
      <c r="D5460" s="1" t="s">
        <v>51</v>
      </c>
      <c r="E5460" s="1" t="s">
        <v>29</v>
      </c>
      <c r="F5460" s="5">
        <v>14500.0</v>
      </c>
      <c r="G5460" s="1" t="s">
        <v>7016</v>
      </c>
      <c r="H5460" s="1" t="s">
        <v>865</v>
      </c>
      <c r="I5460" s="1" t="s">
        <v>302</v>
      </c>
      <c r="K5460" s="1">
        <v>0.0</v>
      </c>
      <c r="L5460" s="1" t="s">
        <v>11159</v>
      </c>
      <c r="M5460" s="1" t="str">
        <f>VLOOKUP(L5460,'Copy of PMD Workday Constants -'!B5459:W6145,22,false)</f>
        <v>#N/A</v>
      </c>
      <c r="N5460" s="1" t="s">
        <v>32</v>
      </c>
      <c r="O5460" s="1" t="s">
        <v>33</v>
      </c>
      <c r="P5460" s="1" t="s">
        <v>222</v>
      </c>
      <c r="Q5460" s="1" t="s">
        <v>222</v>
      </c>
      <c r="R5460" s="1" t="s">
        <v>223</v>
      </c>
      <c r="S5460" s="1" t="s">
        <v>14767</v>
      </c>
      <c r="T5460" s="1">
        <v>1.00602248E8</v>
      </c>
      <c r="W5460" s="1" t="s">
        <v>436</v>
      </c>
      <c r="X5460" s="1" t="s">
        <v>14284</v>
      </c>
    </row>
    <row r="5461">
      <c r="A5461" s="1" t="s">
        <v>15164</v>
      </c>
      <c r="B5461" s="1" t="s">
        <v>40</v>
      </c>
      <c r="C5461" s="1" t="s">
        <v>15165</v>
      </c>
      <c r="D5461" s="1" t="s">
        <v>28</v>
      </c>
      <c r="E5461" s="1" t="s">
        <v>29</v>
      </c>
      <c r="F5461" s="5">
        <v>14500.0</v>
      </c>
      <c r="G5461" s="1" t="s">
        <v>7016</v>
      </c>
      <c r="H5461" s="1" t="s">
        <v>865</v>
      </c>
      <c r="I5461" s="1" t="s">
        <v>302</v>
      </c>
      <c r="K5461" s="1">
        <v>0.0</v>
      </c>
      <c r="L5461" s="1" t="s">
        <v>11159</v>
      </c>
      <c r="M5461" s="1" t="str">
        <f>VLOOKUP(L5461,'Copy of PMD Workday Constants -'!B5460:W6146,22,false)</f>
        <v>#N/A</v>
      </c>
      <c r="N5461" s="1" t="s">
        <v>32</v>
      </c>
      <c r="O5461" s="1" t="s">
        <v>33</v>
      </c>
      <c r="P5461" s="1" t="s">
        <v>222</v>
      </c>
      <c r="Q5461" s="1" t="s">
        <v>222</v>
      </c>
      <c r="R5461" s="1" t="s">
        <v>223</v>
      </c>
      <c r="S5461" s="1" t="s">
        <v>14843</v>
      </c>
      <c r="T5461" s="1">
        <v>1.00602248E8</v>
      </c>
      <c r="W5461" s="1" t="s">
        <v>456</v>
      </c>
      <c r="X5461" s="1" t="s">
        <v>14284</v>
      </c>
    </row>
    <row r="5462">
      <c r="A5462" s="1" t="s">
        <v>15166</v>
      </c>
      <c r="B5462" s="1" t="s">
        <v>15167</v>
      </c>
      <c r="C5462" s="1" t="s">
        <v>15168</v>
      </c>
      <c r="D5462" s="1" t="s">
        <v>51</v>
      </c>
      <c r="E5462" s="1" t="s">
        <v>29</v>
      </c>
      <c r="F5462" s="5">
        <v>14500.0</v>
      </c>
      <c r="G5462" s="1" t="s">
        <v>7016</v>
      </c>
      <c r="H5462" s="4">
        <v>43900.0</v>
      </c>
      <c r="I5462" s="1" t="s">
        <v>421</v>
      </c>
      <c r="K5462" s="1">
        <v>0.0</v>
      </c>
      <c r="L5462" s="1" t="s">
        <v>11159</v>
      </c>
      <c r="M5462" s="1" t="str">
        <f>VLOOKUP(L5462,'Copy of PMD Workday Constants -'!B5461:W6147,22,false)</f>
        <v>#N/A</v>
      </c>
      <c r="N5462" s="1" t="s">
        <v>32</v>
      </c>
      <c r="O5462" s="1" t="s">
        <v>33</v>
      </c>
      <c r="P5462" s="1" t="s">
        <v>222</v>
      </c>
      <c r="Q5462" s="1" t="s">
        <v>222</v>
      </c>
      <c r="R5462" s="1" t="s">
        <v>223</v>
      </c>
      <c r="T5462" s="1">
        <v>1.00602248E8</v>
      </c>
      <c r="W5462" s="1" t="s">
        <v>533</v>
      </c>
      <c r="X5462" s="1" t="s">
        <v>12065</v>
      </c>
    </row>
    <row r="5463">
      <c r="A5463" s="1" t="s">
        <v>15169</v>
      </c>
      <c r="B5463" s="1" t="s">
        <v>1367</v>
      </c>
      <c r="C5463" s="1" t="s">
        <v>15170</v>
      </c>
      <c r="D5463" s="1" t="s">
        <v>51</v>
      </c>
      <c r="E5463" s="1" t="s">
        <v>29</v>
      </c>
      <c r="F5463" s="5">
        <v>14500.0</v>
      </c>
      <c r="G5463" s="1" t="s">
        <v>7016</v>
      </c>
      <c r="H5463" s="4">
        <v>44384.0</v>
      </c>
      <c r="I5463" s="1" t="s">
        <v>421</v>
      </c>
      <c r="K5463" s="1">
        <v>0.0</v>
      </c>
      <c r="L5463" s="1" t="s">
        <v>11159</v>
      </c>
      <c r="M5463" s="1" t="str">
        <f>VLOOKUP(L5463,'Copy of PMD Workday Constants -'!B5462:W6148,22,false)</f>
        <v>#N/A</v>
      </c>
      <c r="N5463" s="1" t="s">
        <v>32</v>
      </c>
      <c r="O5463" s="1" t="s">
        <v>33</v>
      </c>
      <c r="P5463" s="1" t="s">
        <v>222</v>
      </c>
      <c r="Q5463" s="1" t="s">
        <v>222</v>
      </c>
      <c r="R5463" s="1" t="s">
        <v>223</v>
      </c>
      <c r="T5463" s="1">
        <v>1.00602248E8</v>
      </c>
      <c r="W5463" s="1" t="s">
        <v>47</v>
      </c>
      <c r="X5463" s="1" t="s">
        <v>12065</v>
      </c>
    </row>
    <row r="5464">
      <c r="A5464" s="1" t="s">
        <v>15171</v>
      </c>
      <c r="B5464" s="1" t="s">
        <v>15172</v>
      </c>
      <c r="C5464" s="1" t="s">
        <v>15173</v>
      </c>
      <c r="D5464" s="1" t="s">
        <v>28</v>
      </c>
      <c r="E5464" s="1" t="s">
        <v>29</v>
      </c>
      <c r="F5464" s="5">
        <v>14500.0</v>
      </c>
      <c r="G5464" s="1" t="s">
        <v>7016</v>
      </c>
      <c r="H5464" s="4">
        <v>44563.0</v>
      </c>
      <c r="I5464" s="1" t="s">
        <v>302</v>
      </c>
      <c r="K5464" s="1">
        <v>0.0</v>
      </c>
      <c r="L5464" s="1" t="s">
        <v>11159</v>
      </c>
      <c r="M5464" s="1" t="str">
        <f>VLOOKUP(L5464,'Copy of PMD Workday Constants -'!B5463:W6149,22,false)</f>
        <v>#N/A</v>
      </c>
      <c r="N5464" s="1" t="s">
        <v>32</v>
      </c>
      <c r="O5464" s="1" t="s">
        <v>33</v>
      </c>
      <c r="P5464" s="1" t="s">
        <v>222</v>
      </c>
      <c r="Q5464" s="1" t="s">
        <v>222</v>
      </c>
      <c r="R5464" s="1" t="s">
        <v>223</v>
      </c>
      <c r="S5464" s="1" t="s">
        <v>482</v>
      </c>
      <c r="T5464" s="1">
        <v>1.00602248E8</v>
      </c>
      <c r="W5464" s="1" t="s">
        <v>56</v>
      </c>
      <c r="X5464" s="1" t="s">
        <v>14372</v>
      </c>
    </row>
    <row r="5465">
      <c r="A5465" s="1" t="s">
        <v>15174</v>
      </c>
      <c r="B5465" s="1" t="s">
        <v>2323</v>
      </c>
      <c r="C5465" s="1" t="s">
        <v>15175</v>
      </c>
      <c r="D5465" s="1" t="s">
        <v>28</v>
      </c>
      <c r="E5465" s="1" t="s">
        <v>29</v>
      </c>
      <c r="F5465" s="5">
        <v>14500.0</v>
      </c>
      <c r="G5465" s="1" t="s">
        <v>7016</v>
      </c>
      <c r="H5465" s="4">
        <v>44409.0</v>
      </c>
      <c r="I5465" s="1" t="s">
        <v>43</v>
      </c>
      <c r="K5465" s="1">
        <v>0.0</v>
      </c>
      <c r="L5465" s="1" t="s">
        <v>11159</v>
      </c>
      <c r="M5465" s="1" t="str">
        <f>VLOOKUP(L5465,'Copy of PMD Workday Constants -'!B5464:W6150,22,false)</f>
        <v>#N/A</v>
      </c>
      <c r="N5465" s="1" t="s">
        <v>32</v>
      </c>
      <c r="O5465" s="1" t="s">
        <v>33</v>
      </c>
      <c r="P5465" s="1" t="s">
        <v>222</v>
      </c>
      <c r="Q5465" s="1" t="s">
        <v>222</v>
      </c>
      <c r="R5465" s="1" t="s">
        <v>223</v>
      </c>
      <c r="S5465" s="1" t="s">
        <v>482</v>
      </c>
      <c r="T5465" s="1">
        <v>1.00602248E8</v>
      </c>
      <c r="W5465" s="1" t="s">
        <v>85</v>
      </c>
      <c r="X5465" s="1" t="s">
        <v>12989</v>
      </c>
    </row>
    <row r="5466">
      <c r="A5466" s="1" t="s">
        <v>15176</v>
      </c>
      <c r="B5466" s="1" t="s">
        <v>1449</v>
      </c>
      <c r="C5466" s="1" t="s">
        <v>15177</v>
      </c>
      <c r="D5466" s="1" t="s">
        <v>28</v>
      </c>
      <c r="E5466" s="1" t="s">
        <v>29</v>
      </c>
      <c r="F5466" s="5">
        <v>14500.0</v>
      </c>
      <c r="G5466" s="1" t="s">
        <v>7016</v>
      </c>
      <c r="H5466" s="1" t="s">
        <v>480</v>
      </c>
      <c r="I5466" s="1" t="s">
        <v>43</v>
      </c>
      <c r="K5466" s="1">
        <v>0.0</v>
      </c>
      <c r="L5466" s="1" t="s">
        <v>11159</v>
      </c>
      <c r="M5466" s="1" t="str">
        <f>VLOOKUP(L5466,'Copy of PMD Workday Constants -'!B5465:W6151,22,false)</f>
        <v>#N/A</v>
      </c>
      <c r="N5466" s="1" t="s">
        <v>32</v>
      </c>
      <c r="O5466" s="1" t="s">
        <v>33</v>
      </c>
      <c r="P5466" s="1" t="s">
        <v>222</v>
      </c>
      <c r="Q5466" s="1" t="s">
        <v>222</v>
      </c>
      <c r="R5466" s="1" t="s">
        <v>223</v>
      </c>
      <c r="T5466" s="1">
        <v>1.00602248E8</v>
      </c>
      <c r="W5466" s="1" t="s">
        <v>493</v>
      </c>
      <c r="X5466" s="1" t="s">
        <v>12989</v>
      </c>
    </row>
    <row r="5467">
      <c r="A5467" s="1" t="s">
        <v>15178</v>
      </c>
      <c r="B5467" s="1" t="s">
        <v>1234</v>
      </c>
      <c r="C5467" s="1" t="s">
        <v>15179</v>
      </c>
      <c r="D5467" s="1" t="s">
        <v>28</v>
      </c>
      <c r="E5467" s="1" t="s">
        <v>29</v>
      </c>
      <c r="F5467" s="5">
        <v>14500.0</v>
      </c>
      <c r="G5467" s="1" t="s">
        <v>7016</v>
      </c>
      <c r="H5467" s="1" t="s">
        <v>208</v>
      </c>
      <c r="I5467" s="1" t="s">
        <v>43</v>
      </c>
      <c r="K5467" s="1">
        <v>0.0</v>
      </c>
      <c r="L5467" s="1" t="s">
        <v>11159</v>
      </c>
      <c r="M5467" s="1" t="str">
        <f>VLOOKUP(L5467,'Copy of PMD Workday Constants -'!B5466:W6152,22,false)</f>
        <v>#N/A</v>
      </c>
      <c r="N5467" s="1" t="s">
        <v>32</v>
      </c>
      <c r="O5467" s="1" t="s">
        <v>33</v>
      </c>
      <c r="P5467" s="1" t="s">
        <v>222</v>
      </c>
      <c r="Q5467" s="1" t="s">
        <v>222</v>
      </c>
      <c r="R5467" s="1" t="s">
        <v>223</v>
      </c>
      <c r="S5467" s="1" t="s">
        <v>14281</v>
      </c>
      <c r="T5467" s="1">
        <v>1.00602248E8</v>
      </c>
      <c r="W5467" s="1" t="s">
        <v>85</v>
      </c>
      <c r="X5467" s="1" t="s">
        <v>14284</v>
      </c>
    </row>
    <row r="5468">
      <c r="A5468" s="1" t="s">
        <v>15180</v>
      </c>
      <c r="B5468" s="1" t="s">
        <v>15181</v>
      </c>
      <c r="C5468" s="1" t="s">
        <v>15182</v>
      </c>
      <c r="D5468" s="1" t="s">
        <v>28</v>
      </c>
      <c r="E5468" s="1" t="s">
        <v>29</v>
      </c>
      <c r="F5468" s="5">
        <v>14500.0</v>
      </c>
      <c r="G5468" s="1" t="s">
        <v>7016</v>
      </c>
      <c r="H5468" s="1" t="s">
        <v>208</v>
      </c>
      <c r="I5468" s="1" t="s">
        <v>43</v>
      </c>
      <c r="K5468" s="1">
        <v>0.0</v>
      </c>
      <c r="L5468" s="1" t="s">
        <v>11159</v>
      </c>
      <c r="M5468" s="1" t="str">
        <f>VLOOKUP(L5468,'Copy of PMD Workday Constants -'!B5467:W6153,22,false)</f>
        <v>#N/A</v>
      </c>
      <c r="N5468" s="1" t="s">
        <v>32</v>
      </c>
      <c r="O5468" s="1" t="s">
        <v>33</v>
      </c>
      <c r="P5468" s="1" t="s">
        <v>222</v>
      </c>
      <c r="Q5468" s="1" t="s">
        <v>222</v>
      </c>
      <c r="R5468" s="1" t="s">
        <v>223</v>
      </c>
      <c r="S5468" s="1" t="s">
        <v>14767</v>
      </c>
      <c r="T5468" s="1">
        <v>1.00602248E8</v>
      </c>
      <c r="W5468" s="1" t="s">
        <v>140</v>
      </c>
      <c r="X5468" s="1" t="s">
        <v>14284</v>
      </c>
    </row>
    <row r="5469">
      <c r="A5469" s="1" t="s">
        <v>15183</v>
      </c>
      <c r="B5469" s="1" t="s">
        <v>15184</v>
      </c>
      <c r="C5469" s="1" t="s">
        <v>15185</v>
      </c>
      <c r="D5469" s="1" t="s">
        <v>51</v>
      </c>
      <c r="E5469" s="1" t="s">
        <v>29</v>
      </c>
      <c r="F5469" s="5">
        <v>14500.0</v>
      </c>
      <c r="G5469" s="1" t="s">
        <v>7016</v>
      </c>
      <c r="H5469" s="1" t="s">
        <v>4103</v>
      </c>
      <c r="I5469" s="1" t="s">
        <v>302</v>
      </c>
      <c r="K5469" s="1">
        <v>0.0</v>
      </c>
      <c r="L5469" s="1" t="s">
        <v>11159</v>
      </c>
      <c r="M5469" s="1" t="str">
        <f>VLOOKUP(L5469,'Copy of PMD Workday Constants -'!B5468:W6154,22,false)</f>
        <v>#N/A</v>
      </c>
      <c r="N5469" s="1" t="s">
        <v>32</v>
      </c>
      <c r="O5469" s="1" t="s">
        <v>33</v>
      </c>
      <c r="P5469" s="1" t="s">
        <v>222</v>
      </c>
      <c r="Q5469" s="1" t="s">
        <v>222</v>
      </c>
      <c r="R5469" s="1" t="s">
        <v>223</v>
      </c>
      <c r="S5469" s="1" t="s">
        <v>482</v>
      </c>
      <c r="T5469" s="1">
        <v>1.00602248E8</v>
      </c>
      <c r="W5469" s="1" t="s">
        <v>115</v>
      </c>
      <c r="X5469" s="1" t="s">
        <v>12065</v>
      </c>
    </row>
    <row r="5470">
      <c r="A5470" s="1" t="s">
        <v>15186</v>
      </c>
      <c r="B5470" s="1" t="s">
        <v>15187</v>
      </c>
      <c r="C5470" s="1" t="s">
        <v>15188</v>
      </c>
      <c r="D5470" s="1" t="s">
        <v>51</v>
      </c>
      <c r="E5470" s="1" t="s">
        <v>29</v>
      </c>
      <c r="F5470" s="5">
        <v>14500.0</v>
      </c>
      <c r="G5470" s="1" t="s">
        <v>7016</v>
      </c>
      <c r="H5470" s="4">
        <v>43990.0</v>
      </c>
      <c r="I5470" s="1" t="s">
        <v>302</v>
      </c>
      <c r="K5470" s="1">
        <v>0.0</v>
      </c>
      <c r="L5470" s="1" t="s">
        <v>11159</v>
      </c>
      <c r="M5470" s="1" t="str">
        <f>VLOOKUP(L5470,'Copy of PMD Workday Constants -'!B5469:W6155,22,false)</f>
        <v>#N/A</v>
      </c>
      <c r="N5470" s="1" t="s">
        <v>32</v>
      </c>
      <c r="O5470" s="1" t="s">
        <v>33</v>
      </c>
      <c r="P5470" s="1" t="s">
        <v>222</v>
      </c>
      <c r="Q5470" s="1" t="s">
        <v>222</v>
      </c>
      <c r="R5470" s="1" t="s">
        <v>223</v>
      </c>
      <c r="S5470" s="1" t="s">
        <v>482</v>
      </c>
      <c r="T5470" s="1">
        <v>1.00602248E8</v>
      </c>
      <c r="W5470" s="1" t="s">
        <v>74</v>
      </c>
      <c r="X5470" s="1" t="s">
        <v>12065</v>
      </c>
    </row>
    <row r="5471">
      <c r="A5471" s="1" t="s">
        <v>15189</v>
      </c>
      <c r="B5471" s="1" t="s">
        <v>15190</v>
      </c>
      <c r="C5471" s="1" t="s">
        <v>15191</v>
      </c>
      <c r="D5471" s="1" t="s">
        <v>28</v>
      </c>
      <c r="E5471" s="1" t="s">
        <v>29</v>
      </c>
      <c r="F5471" s="5">
        <v>14500.0</v>
      </c>
      <c r="G5471" s="1" t="s">
        <v>7016</v>
      </c>
      <c r="H5471" s="1" t="s">
        <v>2125</v>
      </c>
      <c r="I5471" s="1" t="s">
        <v>43</v>
      </c>
      <c r="K5471" s="1">
        <v>0.0</v>
      </c>
      <c r="L5471" s="1" t="s">
        <v>11159</v>
      </c>
      <c r="M5471" s="1" t="str">
        <f>VLOOKUP(L5471,'Copy of PMD Workday Constants -'!B5470:W6156,22,false)</f>
        <v>#N/A</v>
      </c>
      <c r="N5471" s="1" t="s">
        <v>32</v>
      </c>
      <c r="O5471" s="1" t="s">
        <v>33</v>
      </c>
      <c r="P5471" s="1" t="s">
        <v>222</v>
      </c>
      <c r="Q5471" s="1" t="s">
        <v>222</v>
      </c>
      <c r="R5471" s="1" t="s">
        <v>223</v>
      </c>
      <c r="T5471" s="1">
        <v>1.00602248E8</v>
      </c>
      <c r="W5471" s="1" t="s">
        <v>1801</v>
      </c>
      <c r="X5471" s="1" t="s">
        <v>12989</v>
      </c>
    </row>
    <row r="5472">
      <c r="A5472" s="1" t="s">
        <v>15192</v>
      </c>
      <c r="B5472" s="1" t="s">
        <v>15193</v>
      </c>
      <c r="C5472" s="1" t="s">
        <v>15194</v>
      </c>
      <c r="D5472" s="1" t="s">
        <v>28</v>
      </c>
      <c r="E5472" s="1" t="s">
        <v>29</v>
      </c>
      <c r="F5472" s="5">
        <v>14500.0</v>
      </c>
      <c r="G5472" s="1" t="s">
        <v>7016</v>
      </c>
      <c r="H5472" s="1" t="s">
        <v>4388</v>
      </c>
      <c r="I5472" s="1" t="s">
        <v>43</v>
      </c>
      <c r="K5472" s="1">
        <v>0.0</v>
      </c>
      <c r="L5472" s="1" t="s">
        <v>11159</v>
      </c>
      <c r="M5472" s="1" t="str">
        <f>VLOOKUP(L5472,'Copy of PMD Workday Constants -'!B5471:W6157,22,false)</f>
        <v>#N/A</v>
      </c>
      <c r="N5472" s="1" t="s">
        <v>32</v>
      </c>
      <c r="O5472" s="1" t="s">
        <v>33</v>
      </c>
      <c r="P5472" s="1" t="s">
        <v>222</v>
      </c>
      <c r="Q5472" s="1" t="s">
        <v>222</v>
      </c>
      <c r="R5472" s="1" t="s">
        <v>223</v>
      </c>
      <c r="T5472" s="1">
        <v>1.00602248E8</v>
      </c>
      <c r="W5472" s="1" t="s">
        <v>1801</v>
      </c>
      <c r="X5472" s="1" t="s">
        <v>12989</v>
      </c>
    </row>
    <row r="5473">
      <c r="A5473" s="1" t="s">
        <v>15195</v>
      </c>
      <c r="B5473" s="1" t="s">
        <v>15196</v>
      </c>
      <c r="C5473" s="1" t="s">
        <v>15197</v>
      </c>
      <c r="D5473" s="1" t="s">
        <v>51</v>
      </c>
      <c r="E5473" s="1" t="s">
        <v>29</v>
      </c>
      <c r="F5473" s="5">
        <v>14500.0</v>
      </c>
      <c r="G5473" s="1" t="s">
        <v>7016</v>
      </c>
      <c r="H5473" s="1" t="s">
        <v>3007</v>
      </c>
      <c r="I5473" s="1" t="s">
        <v>421</v>
      </c>
      <c r="K5473" s="1">
        <v>0.0</v>
      </c>
      <c r="L5473" s="1" t="s">
        <v>11159</v>
      </c>
      <c r="M5473" s="1" t="str">
        <f>VLOOKUP(L5473,'Copy of PMD Workday Constants -'!B5472:W6158,22,false)</f>
        <v>#N/A</v>
      </c>
      <c r="N5473" s="1" t="s">
        <v>32</v>
      </c>
      <c r="O5473" s="1" t="s">
        <v>33</v>
      </c>
      <c r="P5473" s="1" t="s">
        <v>222</v>
      </c>
      <c r="Q5473" s="1" t="s">
        <v>222</v>
      </c>
      <c r="R5473" s="1" t="s">
        <v>223</v>
      </c>
      <c r="T5473" s="1">
        <v>1.00602248E8</v>
      </c>
      <c r="W5473" s="1" t="s">
        <v>47</v>
      </c>
      <c r="X5473" s="1" t="s">
        <v>12065</v>
      </c>
    </row>
    <row r="5474">
      <c r="A5474" s="1" t="s">
        <v>15198</v>
      </c>
      <c r="B5474" s="1" t="s">
        <v>15199</v>
      </c>
      <c r="C5474" s="1" t="s">
        <v>15200</v>
      </c>
      <c r="D5474" s="1" t="s">
        <v>28</v>
      </c>
      <c r="E5474" s="1" t="s">
        <v>29</v>
      </c>
      <c r="F5474" s="5">
        <v>14500.0</v>
      </c>
      <c r="G5474" s="1" t="s">
        <v>7016</v>
      </c>
      <c r="H5474" s="4">
        <v>44292.0</v>
      </c>
      <c r="I5474" s="1" t="s">
        <v>43</v>
      </c>
      <c r="K5474" s="1">
        <v>0.0</v>
      </c>
      <c r="L5474" s="1" t="s">
        <v>11159</v>
      </c>
      <c r="M5474" s="1" t="str">
        <f>VLOOKUP(L5474,'Copy of PMD Workday Constants -'!B5473:W6159,22,false)</f>
        <v>#N/A</v>
      </c>
      <c r="N5474" s="1" t="s">
        <v>32</v>
      </c>
      <c r="O5474" s="1" t="s">
        <v>33</v>
      </c>
      <c r="P5474" s="1" t="s">
        <v>222</v>
      </c>
      <c r="Q5474" s="1" t="s">
        <v>222</v>
      </c>
      <c r="R5474" s="1" t="s">
        <v>223</v>
      </c>
      <c r="S5474" s="1" t="s">
        <v>482</v>
      </c>
      <c r="T5474" s="1">
        <v>1.00602248E8</v>
      </c>
      <c r="W5474" s="1" t="s">
        <v>287</v>
      </c>
      <c r="X5474" s="1" t="s">
        <v>12989</v>
      </c>
    </row>
    <row r="5475">
      <c r="A5475" s="1" t="s">
        <v>15201</v>
      </c>
      <c r="B5475" s="1" t="s">
        <v>246</v>
      </c>
      <c r="C5475" s="1" t="s">
        <v>15202</v>
      </c>
      <c r="D5475" s="1" t="s">
        <v>51</v>
      </c>
      <c r="E5475" s="1" t="s">
        <v>29</v>
      </c>
      <c r="F5475" s="5">
        <v>14500.0</v>
      </c>
      <c r="G5475" s="1" t="s">
        <v>7016</v>
      </c>
      <c r="H5475" s="4">
        <v>44441.0</v>
      </c>
      <c r="I5475" s="1" t="s">
        <v>302</v>
      </c>
      <c r="K5475" s="1">
        <v>0.0</v>
      </c>
      <c r="L5475" s="1" t="s">
        <v>11159</v>
      </c>
      <c r="M5475" s="1" t="str">
        <f>VLOOKUP(L5475,'Copy of PMD Workday Constants -'!B5474:W6160,22,false)</f>
        <v>#N/A</v>
      </c>
      <c r="N5475" s="1" t="s">
        <v>32</v>
      </c>
      <c r="O5475" s="1" t="s">
        <v>33</v>
      </c>
      <c r="P5475" s="1" t="s">
        <v>222</v>
      </c>
      <c r="Q5475" s="1" t="s">
        <v>222</v>
      </c>
      <c r="R5475" s="1" t="s">
        <v>223</v>
      </c>
      <c r="S5475" s="1" t="s">
        <v>482</v>
      </c>
      <c r="T5475" s="1">
        <v>1.00602248E8</v>
      </c>
      <c r="W5475" s="1" t="s">
        <v>250</v>
      </c>
      <c r="X5475" s="1" t="s">
        <v>14284</v>
      </c>
    </row>
    <row r="5476">
      <c r="A5476" s="1" t="s">
        <v>15203</v>
      </c>
      <c r="B5476" s="1" t="s">
        <v>15204</v>
      </c>
      <c r="C5476" s="1" t="s">
        <v>15205</v>
      </c>
      <c r="D5476" s="1" t="s">
        <v>28</v>
      </c>
      <c r="E5476" s="1" t="s">
        <v>29</v>
      </c>
      <c r="F5476" s="5">
        <v>14500.0</v>
      </c>
      <c r="G5476" s="1" t="s">
        <v>7016</v>
      </c>
      <c r="H5476" s="1" t="s">
        <v>4593</v>
      </c>
      <c r="I5476" s="1" t="s">
        <v>43</v>
      </c>
      <c r="K5476" s="1">
        <v>0.0</v>
      </c>
      <c r="L5476" s="1" t="s">
        <v>11159</v>
      </c>
      <c r="M5476" s="1" t="str">
        <f>VLOOKUP(L5476,'Copy of PMD Workday Constants -'!B5475:W6161,22,false)</f>
        <v>#N/A</v>
      </c>
      <c r="N5476" s="1" t="s">
        <v>32</v>
      </c>
      <c r="O5476" s="1" t="s">
        <v>33</v>
      </c>
      <c r="P5476" s="1" t="s">
        <v>222</v>
      </c>
      <c r="Q5476" s="1" t="s">
        <v>222</v>
      </c>
      <c r="R5476" s="1" t="s">
        <v>223</v>
      </c>
      <c r="S5476" s="1" t="s">
        <v>482</v>
      </c>
      <c r="T5476" s="1">
        <v>1.00602248E8</v>
      </c>
      <c r="W5476" s="1" t="s">
        <v>456</v>
      </c>
      <c r="X5476" s="1" t="s">
        <v>12989</v>
      </c>
    </row>
    <row r="5477">
      <c r="A5477" s="1" t="s">
        <v>15206</v>
      </c>
      <c r="B5477" s="1" t="s">
        <v>7288</v>
      </c>
      <c r="C5477" s="1" t="s">
        <v>15207</v>
      </c>
      <c r="D5477" s="1" t="s">
        <v>28</v>
      </c>
      <c r="E5477" s="1" t="s">
        <v>29</v>
      </c>
      <c r="F5477" s="5">
        <v>14500.0</v>
      </c>
      <c r="G5477" s="1" t="s">
        <v>7016</v>
      </c>
      <c r="H5477" s="1" t="s">
        <v>6683</v>
      </c>
      <c r="I5477" s="1" t="s">
        <v>43</v>
      </c>
      <c r="K5477" s="1">
        <v>0.0</v>
      </c>
      <c r="L5477" s="1" t="s">
        <v>11159</v>
      </c>
      <c r="M5477" s="1" t="str">
        <f>VLOOKUP(L5477,'Copy of PMD Workday Constants -'!B5476:W6162,22,false)</f>
        <v>#N/A</v>
      </c>
      <c r="N5477" s="1" t="s">
        <v>32</v>
      </c>
      <c r="O5477" s="1" t="s">
        <v>33</v>
      </c>
      <c r="P5477" s="1" t="s">
        <v>222</v>
      </c>
      <c r="Q5477" s="1" t="s">
        <v>222</v>
      </c>
      <c r="R5477" s="1" t="s">
        <v>223</v>
      </c>
      <c r="S5477" s="1" t="s">
        <v>482</v>
      </c>
      <c r="T5477" s="1">
        <v>1.00602248E8</v>
      </c>
      <c r="W5477" s="1" t="s">
        <v>287</v>
      </c>
      <c r="X5477" s="1" t="s">
        <v>12989</v>
      </c>
    </row>
    <row r="5478">
      <c r="A5478" s="1" t="s">
        <v>15208</v>
      </c>
      <c r="B5478" s="1" t="s">
        <v>15209</v>
      </c>
      <c r="C5478" s="1" t="s">
        <v>15210</v>
      </c>
      <c r="D5478" s="1" t="s">
        <v>28</v>
      </c>
      <c r="E5478" s="1" t="s">
        <v>29</v>
      </c>
      <c r="F5478" s="5">
        <v>14500.0</v>
      </c>
      <c r="G5478" s="1" t="s">
        <v>7016</v>
      </c>
      <c r="H5478" s="1" t="s">
        <v>1015</v>
      </c>
      <c r="I5478" s="1" t="s">
        <v>43</v>
      </c>
      <c r="K5478" s="1">
        <v>0.0</v>
      </c>
      <c r="L5478" s="1" t="s">
        <v>11159</v>
      </c>
      <c r="M5478" s="1" t="str">
        <f>VLOOKUP(L5478,'Copy of PMD Workday Constants -'!B5477:W6163,22,false)</f>
        <v>#N/A</v>
      </c>
      <c r="N5478" s="1" t="s">
        <v>32</v>
      </c>
      <c r="O5478" s="1" t="s">
        <v>33</v>
      </c>
      <c r="P5478" s="1" t="s">
        <v>222</v>
      </c>
      <c r="Q5478" s="1" t="s">
        <v>222</v>
      </c>
      <c r="R5478" s="1" t="s">
        <v>223</v>
      </c>
      <c r="S5478" s="1" t="s">
        <v>482</v>
      </c>
      <c r="T5478" s="1">
        <v>1.00602248E8</v>
      </c>
      <c r="W5478" s="1" t="s">
        <v>287</v>
      </c>
      <c r="X5478" s="1" t="s">
        <v>12989</v>
      </c>
    </row>
    <row r="5479">
      <c r="A5479" s="1" t="s">
        <v>15211</v>
      </c>
      <c r="B5479" s="1" t="s">
        <v>15212</v>
      </c>
      <c r="C5479" s="1" t="s">
        <v>15213</v>
      </c>
      <c r="D5479" s="1" t="s">
        <v>28</v>
      </c>
      <c r="E5479" s="1" t="s">
        <v>29</v>
      </c>
      <c r="F5479" s="5">
        <v>14500.0</v>
      </c>
      <c r="G5479" s="1" t="s">
        <v>7016</v>
      </c>
      <c r="H5479" s="1" t="s">
        <v>14448</v>
      </c>
      <c r="I5479" s="1" t="s">
        <v>43</v>
      </c>
      <c r="K5479" s="1">
        <v>0.0</v>
      </c>
      <c r="L5479" s="1" t="s">
        <v>11159</v>
      </c>
      <c r="M5479" s="1" t="str">
        <f>VLOOKUP(L5479,'Copy of PMD Workday Constants -'!B5478:W6164,22,false)</f>
        <v>#N/A</v>
      </c>
      <c r="N5479" s="1" t="s">
        <v>32</v>
      </c>
      <c r="O5479" s="1" t="s">
        <v>33</v>
      </c>
      <c r="P5479" s="1" t="s">
        <v>222</v>
      </c>
      <c r="Q5479" s="1" t="s">
        <v>222</v>
      </c>
      <c r="R5479" s="1" t="s">
        <v>223</v>
      </c>
      <c r="S5479" s="1" t="s">
        <v>482</v>
      </c>
      <c r="T5479" s="1">
        <v>1.00602248E8</v>
      </c>
      <c r="W5479" s="1" t="s">
        <v>456</v>
      </c>
      <c r="X5479" s="1" t="s">
        <v>14284</v>
      </c>
    </row>
    <row r="5480">
      <c r="A5480" s="1" t="s">
        <v>15214</v>
      </c>
      <c r="B5480" s="1" t="s">
        <v>26</v>
      </c>
      <c r="C5480" s="1" t="s">
        <v>15215</v>
      </c>
      <c r="D5480" s="1" t="s">
        <v>28</v>
      </c>
      <c r="E5480" s="1" t="s">
        <v>29</v>
      </c>
      <c r="F5480" s="5">
        <v>14500.0</v>
      </c>
      <c r="G5480" s="1" t="s">
        <v>7016</v>
      </c>
      <c r="H5480" s="1" t="s">
        <v>15216</v>
      </c>
      <c r="I5480" s="1" t="s">
        <v>43</v>
      </c>
      <c r="K5480" s="1">
        <v>0.0</v>
      </c>
      <c r="L5480" s="1" t="s">
        <v>11159</v>
      </c>
      <c r="M5480" s="1" t="str">
        <f>VLOOKUP(L5480,'Copy of PMD Workday Constants -'!B5479:W6165,22,false)</f>
        <v>#N/A</v>
      </c>
      <c r="N5480" s="1" t="s">
        <v>32</v>
      </c>
      <c r="O5480" s="1" t="s">
        <v>33</v>
      </c>
      <c r="P5480" s="1" t="s">
        <v>222</v>
      </c>
      <c r="Q5480" s="1" t="s">
        <v>222</v>
      </c>
      <c r="R5480" s="1" t="s">
        <v>223</v>
      </c>
      <c r="S5480" s="1" t="s">
        <v>482</v>
      </c>
      <c r="T5480" s="1">
        <v>1.00602248E8</v>
      </c>
      <c r="W5480" s="1" t="s">
        <v>37</v>
      </c>
      <c r="X5480" s="1" t="s">
        <v>12989</v>
      </c>
    </row>
    <row r="5481">
      <c r="A5481" s="1" t="s">
        <v>15217</v>
      </c>
      <c r="B5481" s="1" t="s">
        <v>1373</v>
      </c>
      <c r="C5481" s="1" t="s">
        <v>15218</v>
      </c>
      <c r="D5481" s="1" t="s">
        <v>28</v>
      </c>
      <c r="E5481" s="1" t="s">
        <v>29</v>
      </c>
      <c r="F5481" s="5">
        <v>14500.0</v>
      </c>
      <c r="G5481" s="1" t="s">
        <v>7016</v>
      </c>
      <c r="H5481" s="4">
        <v>44538.0</v>
      </c>
      <c r="I5481" s="1" t="s">
        <v>43</v>
      </c>
      <c r="K5481" s="1">
        <v>0.0</v>
      </c>
      <c r="L5481" s="1" t="s">
        <v>11159</v>
      </c>
      <c r="M5481" s="1" t="str">
        <f>VLOOKUP(L5481,'Copy of PMD Workday Constants -'!B5480:W6166,22,false)</f>
        <v>#N/A</v>
      </c>
      <c r="N5481" s="1" t="s">
        <v>32</v>
      </c>
      <c r="O5481" s="1" t="s">
        <v>33</v>
      </c>
      <c r="P5481" s="1" t="s">
        <v>222</v>
      </c>
      <c r="Q5481" s="1" t="s">
        <v>222</v>
      </c>
      <c r="R5481" s="1" t="s">
        <v>223</v>
      </c>
      <c r="T5481" s="1">
        <v>1.00602248E8</v>
      </c>
      <c r="W5481" s="1" t="s">
        <v>74</v>
      </c>
      <c r="X5481" s="1" t="s">
        <v>12989</v>
      </c>
    </row>
    <row r="5482">
      <c r="A5482" s="1" t="s">
        <v>15219</v>
      </c>
      <c r="B5482" s="1" t="s">
        <v>15220</v>
      </c>
      <c r="C5482" s="1" t="s">
        <v>15221</v>
      </c>
      <c r="D5482" s="1" t="s">
        <v>51</v>
      </c>
      <c r="E5482" s="1" t="s">
        <v>29</v>
      </c>
      <c r="F5482" s="5">
        <v>14500.0</v>
      </c>
      <c r="G5482" s="1" t="s">
        <v>7016</v>
      </c>
      <c r="H5482" s="1" t="s">
        <v>14053</v>
      </c>
      <c r="I5482" s="1" t="s">
        <v>302</v>
      </c>
      <c r="K5482" s="1">
        <v>0.0</v>
      </c>
      <c r="L5482" s="1" t="s">
        <v>11159</v>
      </c>
      <c r="M5482" s="1" t="str">
        <f>VLOOKUP(L5482,'Copy of PMD Workday Constants -'!B5481:W6167,22,false)</f>
        <v>#N/A</v>
      </c>
      <c r="N5482" s="1" t="s">
        <v>32</v>
      </c>
      <c r="O5482" s="1" t="s">
        <v>33</v>
      </c>
      <c r="P5482" s="1" t="s">
        <v>222</v>
      </c>
      <c r="Q5482" s="1" t="s">
        <v>222</v>
      </c>
      <c r="R5482" s="1" t="s">
        <v>223</v>
      </c>
      <c r="S5482" s="1" t="s">
        <v>482</v>
      </c>
      <c r="T5482" s="1">
        <v>1.00602248E8</v>
      </c>
      <c r="W5482" s="1" t="s">
        <v>56</v>
      </c>
      <c r="X5482" s="1" t="s">
        <v>14284</v>
      </c>
    </row>
    <row r="5483">
      <c r="A5483" s="1" t="s">
        <v>15222</v>
      </c>
      <c r="B5483" s="1" t="s">
        <v>10384</v>
      </c>
      <c r="C5483" s="1" t="s">
        <v>15223</v>
      </c>
      <c r="D5483" s="1" t="s">
        <v>28</v>
      </c>
      <c r="E5483" s="1" t="s">
        <v>29</v>
      </c>
      <c r="F5483" s="5">
        <v>14500.0</v>
      </c>
      <c r="G5483" s="1" t="s">
        <v>7016</v>
      </c>
      <c r="H5483" s="1" t="s">
        <v>545</v>
      </c>
      <c r="I5483" s="1" t="s">
        <v>43</v>
      </c>
      <c r="K5483" s="1">
        <v>0.0</v>
      </c>
      <c r="L5483" s="1" t="s">
        <v>11159</v>
      </c>
      <c r="M5483" s="1" t="str">
        <f>VLOOKUP(L5483,'Copy of PMD Workday Constants -'!B5482:W6168,22,false)</f>
        <v>#N/A</v>
      </c>
      <c r="N5483" s="1" t="s">
        <v>32</v>
      </c>
      <c r="O5483" s="1" t="s">
        <v>33</v>
      </c>
      <c r="P5483" s="1" t="s">
        <v>222</v>
      </c>
      <c r="Q5483" s="1" t="s">
        <v>222</v>
      </c>
      <c r="R5483" s="1" t="s">
        <v>223</v>
      </c>
      <c r="S5483" s="1" t="s">
        <v>482</v>
      </c>
      <c r="T5483" s="1">
        <v>1.00602248E8</v>
      </c>
      <c r="W5483" s="1" t="s">
        <v>85</v>
      </c>
      <c r="X5483" s="1" t="s">
        <v>12065</v>
      </c>
    </row>
    <row r="5484">
      <c r="A5484" s="1" t="s">
        <v>15224</v>
      </c>
      <c r="B5484" s="1" t="s">
        <v>15225</v>
      </c>
      <c r="C5484" s="1" t="s">
        <v>15226</v>
      </c>
      <c r="D5484" s="1" t="s">
        <v>28</v>
      </c>
      <c r="E5484" s="1" t="s">
        <v>29</v>
      </c>
      <c r="F5484" s="5">
        <v>14500.0</v>
      </c>
      <c r="G5484" s="1" t="s">
        <v>7016</v>
      </c>
      <c r="H5484" s="4">
        <v>44292.0</v>
      </c>
      <c r="I5484" s="1" t="s">
        <v>43</v>
      </c>
      <c r="K5484" s="1">
        <v>0.0</v>
      </c>
      <c r="L5484" s="1" t="s">
        <v>11159</v>
      </c>
      <c r="M5484" s="1" t="str">
        <f>VLOOKUP(L5484,'Copy of PMD Workday Constants -'!B5483:W6169,22,false)</f>
        <v>#N/A</v>
      </c>
      <c r="N5484" s="1" t="s">
        <v>32</v>
      </c>
      <c r="O5484" s="1" t="s">
        <v>33</v>
      </c>
      <c r="P5484" s="1" t="s">
        <v>222</v>
      </c>
      <c r="Q5484" s="1" t="s">
        <v>222</v>
      </c>
      <c r="R5484" s="1" t="s">
        <v>223</v>
      </c>
      <c r="S5484" s="1" t="s">
        <v>482</v>
      </c>
      <c r="T5484" s="1">
        <v>1.00602248E8</v>
      </c>
      <c r="W5484" s="1" t="s">
        <v>391</v>
      </c>
      <c r="X5484" s="1" t="s">
        <v>12989</v>
      </c>
    </row>
    <row r="5485">
      <c r="A5485" s="1" t="s">
        <v>15227</v>
      </c>
      <c r="B5485" s="1" t="s">
        <v>7281</v>
      </c>
      <c r="C5485" s="1" t="s">
        <v>15228</v>
      </c>
      <c r="D5485" s="1" t="s">
        <v>51</v>
      </c>
      <c r="E5485" s="1" t="s">
        <v>29</v>
      </c>
      <c r="F5485" s="5">
        <v>14500.0</v>
      </c>
      <c r="G5485" s="1" t="s">
        <v>7016</v>
      </c>
      <c r="H5485" s="1" t="s">
        <v>2484</v>
      </c>
      <c r="I5485" s="1" t="s">
        <v>43</v>
      </c>
      <c r="K5485" s="1">
        <v>0.0</v>
      </c>
      <c r="L5485" s="1" t="s">
        <v>11159</v>
      </c>
      <c r="M5485" s="1" t="str">
        <f>VLOOKUP(L5485,'Copy of PMD Workday Constants -'!B5484:W6170,22,false)</f>
        <v>#N/A</v>
      </c>
      <c r="N5485" s="1" t="s">
        <v>32</v>
      </c>
      <c r="O5485" s="1" t="s">
        <v>33</v>
      </c>
      <c r="P5485" s="1" t="s">
        <v>222</v>
      </c>
      <c r="Q5485" s="1" t="s">
        <v>222</v>
      </c>
      <c r="R5485" s="1" t="s">
        <v>223</v>
      </c>
      <c r="S5485" s="1" t="s">
        <v>14281</v>
      </c>
      <c r="T5485" s="1">
        <v>1.00602248E8</v>
      </c>
      <c r="W5485" s="1" t="s">
        <v>147</v>
      </c>
      <c r="X5485" s="1" t="s">
        <v>14284</v>
      </c>
    </row>
    <row r="5486">
      <c r="A5486" s="1" t="s">
        <v>15229</v>
      </c>
      <c r="B5486" s="1" t="s">
        <v>15230</v>
      </c>
      <c r="C5486" s="1" t="s">
        <v>15231</v>
      </c>
      <c r="D5486" s="1" t="s">
        <v>28</v>
      </c>
      <c r="E5486" s="1" t="s">
        <v>29</v>
      </c>
      <c r="F5486" s="5">
        <v>14500.0</v>
      </c>
      <c r="G5486" s="1" t="s">
        <v>7016</v>
      </c>
      <c r="H5486" s="1" t="s">
        <v>2484</v>
      </c>
      <c r="I5486" s="1" t="s">
        <v>302</v>
      </c>
      <c r="K5486" s="1">
        <v>0.0</v>
      </c>
      <c r="L5486" s="1" t="s">
        <v>11159</v>
      </c>
      <c r="M5486" s="1" t="str">
        <f>VLOOKUP(L5486,'Copy of PMD Workday Constants -'!B5485:W6171,22,false)</f>
        <v>#N/A</v>
      </c>
      <c r="N5486" s="1" t="s">
        <v>32</v>
      </c>
      <c r="O5486" s="1" t="s">
        <v>33</v>
      </c>
      <c r="P5486" s="1" t="s">
        <v>222</v>
      </c>
      <c r="Q5486" s="1" t="s">
        <v>222</v>
      </c>
      <c r="R5486" s="1" t="s">
        <v>223</v>
      </c>
      <c r="S5486" s="1" t="s">
        <v>14281</v>
      </c>
      <c r="T5486" s="1">
        <v>1.00602248E8</v>
      </c>
      <c r="X5486" s="1" t="s">
        <v>14284</v>
      </c>
    </row>
    <row r="5487">
      <c r="A5487" s="1" t="s">
        <v>15232</v>
      </c>
      <c r="B5487" s="1" t="s">
        <v>15233</v>
      </c>
      <c r="C5487" s="1" t="s">
        <v>15234</v>
      </c>
      <c r="D5487" s="1" t="s">
        <v>51</v>
      </c>
      <c r="E5487" s="1" t="s">
        <v>29</v>
      </c>
      <c r="F5487" s="5">
        <v>14500.0</v>
      </c>
      <c r="G5487" s="1" t="s">
        <v>7016</v>
      </c>
      <c r="H5487" s="1" t="s">
        <v>3234</v>
      </c>
      <c r="I5487" s="1" t="s">
        <v>80</v>
      </c>
      <c r="K5487" s="1">
        <v>0.0</v>
      </c>
      <c r="L5487" s="1" t="s">
        <v>8868</v>
      </c>
      <c r="M5487" s="1" t="str">
        <f>VLOOKUP(L5487,'Copy of PMD Workday Constants -'!B5486:W6172,22,false)</f>
        <v>#N/A</v>
      </c>
      <c r="N5487" s="1" t="s">
        <v>32</v>
      </c>
      <c r="O5487" s="1" t="s">
        <v>33</v>
      </c>
      <c r="P5487" s="1" t="s">
        <v>222</v>
      </c>
      <c r="Q5487" s="1" t="s">
        <v>222</v>
      </c>
      <c r="R5487" s="1" t="s">
        <v>223</v>
      </c>
      <c r="S5487" s="1" t="s">
        <v>482</v>
      </c>
      <c r="T5487" s="1">
        <v>1.00612509E8</v>
      </c>
      <c r="W5487" s="1" t="s">
        <v>85</v>
      </c>
      <c r="X5487" s="1" t="s">
        <v>12065</v>
      </c>
    </row>
    <row r="5488">
      <c r="A5488" s="1" t="s">
        <v>15235</v>
      </c>
      <c r="B5488" s="1" t="s">
        <v>15236</v>
      </c>
      <c r="C5488" s="1" t="s">
        <v>15237</v>
      </c>
      <c r="D5488" s="1" t="s">
        <v>51</v>
      </c>
      <c r="E5488" s="1" t="s">
        <v>29</v>
      </c>
      <c r="F5488" s="5">
        <v>14500.0</v>
      </c>
      <c r="G5488" s="1" t="s">
        <v>7016</v>
      </c>
      <c r="H5488" s="4">
        <v>44868.0</v>
      </c>
      <c r="I5488" s="1" t="s">
        <v>302</v>
      </c>
      <c r="K5488" s="1">
        <v>0.0</v>
      </c>
      <c r="L5488" s="1" t="s">
        <v>11159</v>
      </c>
      <c r="M5488" s="1" t="str">
        <f>VLOOKUP(L5488,'Copy of PMD Workday Constants -'!B5487:W6173,22,false)</f>
        <v>#N/A</v>
      </c>
      <c r="N5488" s="1" t="s">
        <v>32</v>
      </c>
      <c r="O5488" s="1" t="s">
        <v>33</v>
      </c>
      <c r="P5488" s="1" t="s">
        <v>222</v>
      </c>
      <c r="Q5488" s="1" t="s">
        <v>222</v>
      </c>
      <c r="R5488" s="1" t="s">
        <v>223</v>
      </c>
      <c r="S5488" s="1" t="s">
        <v>482</v>
      </c>
      <c r="T5488" s="1">
        <v>1.00602248E8</v>
      </c>
      <c r="W5488" s="1" t="s">
        <v>85</v>
      </c>
      <c r="X5488" s="1" t="s">
        <v>12989</v>
      </c>
    </row>
    <row r="5489">
      <c r="A5489" s="1" t="s">
        <v>15238</v>
      </c>
      <c r="B5489" s="1" t="s">
        <v>15239</v>
      </c>
      <c r="C5489" s="1" t="s">
        <v>15240</v>
      </c>
      <c r="D5489" s="1" t="s">
        <v>28</v>
      </c>
      <c r="E5489" s="1" t="s">
        <v>29</v>
      </c>
      <c r="F5489" s="5">
        <v>14500.0</v>
      </c>
      <c r="G5489" s="1" t="s">
        <v>7016</v>
      </c>
      <c r="H5489" s="1" t="s">
        <v>278</v>
      </c>
      <c r="I5489" s="1" t="s">
        <v>43</v>
      </c>
      <c r="K5489" s="1">
        <v>0.0</v>
      </c>
      <c r="L5489" s="1" t="s">
        <v>11159</v>
      </c>
      <c r="M5489" s="1" t="str">
        <f>VLOOKUP(L5489,'Copy of PMD Workday Constants -'!B5488:W6174,22,false)</f>
        <v>#N/A</v>
      </c>
      <c r="N5489" s="1" t="s">
        <v>32</v>
      </c>
      <c r="O5489" s="1" t="s">
        <v>33</v>
      </c>
      <c r="P5489" s="1" t="s">
        <v>222</v>
      </c>
      <c r="Q5489" s="1" t="s">
        <v>222</v>
      </c>
      <c r="R5489" s="1" t="s">
        <v>223</v>
      </c>
      <c r="S5489" s="1" t="s">
        <v>482</v>
      </c>
      <c r="T5489" s="1">
        <v>1.00602248E8</v>
      </c>
      <c r="W5489" s="1" t="s">
        <v>436</v>
      </c>
      <c r="X5489" s="1" t="s">
        <v>14372</v>
      </c>
    </row>
    <row r="5490">
      <c r="A5490" s="1" t="s">
        <v>15241</v>
      </c>
      <c r="B5490" s="1" t="s">
        <v>15242</v>
      </c>
      <c r="C5490" s="1" t="s">
        <v>15243</v>
      </c>
      <c r="D5490" s="1" t="s">
        <v>51</v>
      </c>
      <c r="E5490" s="1" t="s">
        <v>29</v>
      </c>
      <c r="F5490" s="5">
        <v>14500.0</v>
      </c>
      <c r="G5490" s="1" t="s">
        <v>7016</v>
      </c>
      <c r="H5490" s="1" t="s">
        <v>330</v>
      </c>
      <c r="I5490" s="1" t="s">
        <v>302</v>
      </c>
      <c r="K5490" s="1">
        <v>0.0</v>
      </c>
      <c r="L5490" s="1" t="s">
        <v>11159</v>
      </c>
      <c r="M5490" s="1" t="str">
        <f>VLOOKUP(L5490,'Copy of PMD Workday Constants -'!B5489:W6175,22,false)</f>
        <v>#N/A</v>
      </c>
      <c r="N5490" s="1" t="s">
        <v>32</v>
      </c>
      <c r="O5490" s="1" t="s">
        <v>33</v>
      </c>
      <c r="P5490" s="1" t="s">
        <v>222</v>
      </c>
      <c r="Q5490" s="1" t="s">
        <v>222</v>
      </c>
      <c r="R5490" s="1" t="s">
        <v>223</v>
      </c>
      <c r="S5490" s="1" t="s">
        <v>482</v>
      </c>
      <c r="T5490" s="1">
        <v>1.00602248E8</v>
      </c>
      <c r="W5490" s="1" t="s">
        <v>140</v>
      </c>
      <c r="X5490" s="1" t="s">
        <v>12989</v>
      </c>
    </row>
    <row r="5491">
      <c r="A5491" s="1" t="s">
        <v>15244</v>
      </c>
      <c r="B5491" s="1" t="s">
        <v>965</v>
      </c>
      <c r="C5491" s="1" t="s">
        <v>15245</v>
      </c>
      <c r="D5491" s="1" t="s">
        <v>28</v>
      </c>
      <c r="E5491" s="1" t="s">
        <v>29</v>
      </c>
      <c r="F5491" s="5">
        <v>14500.0</v>
      </c>
      <c r="G5491" s="1" t="s">
        <v>7016</v>
      </c>
      <c r="H5491" s="1" t="s">
        <v>52</v>
      </c>
      <c r="I5491" s="1" t="s">
        <v>406</v>
      </c>
      <c r="K5491" s="1">
        <v>0.0</v>
      </c>
      <c r="L5491" s="1" t="s">
        <v>11159</v>
      </c>
      <c r="M5491" s="1" t="str">
        <f>VLOOKUP(L5491,'Copy of PMD Workday Constants -'!B5490:W6176,22,false)</f>
        <v>#N/A</v>
      </c>
      <c r="N5491" s="1" t="s">
        <v>32</v>
      </c>
      <c r="O5491" s="1" t="s">
        <v>33</v>
      </c>
      <c r="P5491" s="1" t="s">
        <v>222</v>
      </c>
      <c r="Q5491" s="1" t="s">
        <v>222</v>
      </c>
      <c r="R5491" s="1" t="s">
        <v>223</v>
      </c>
      <c r="T5491" s="1">
        <v>1.00602248E8</v>
      </c>
      <c r="W5491" s="1" t="s">
        <v>56</v>
      </c>
      <c r="X5491" s="1" t="s">
        <v>14372</v>
      </c>
    </row>
    <row r="5492">
      <c r="A5492" s="1" t="s">
        <v>15246</v>
      </c>
      <c r="B5492" s="1" t="s">
        <v>8004</v>
      </c>
      <c r="C5492" s="1" t="s">
        <v>15247</v>
      </c>
      <c r="D5492" s="1" t="s">
        <v>28</v>
      </c>
      <c r="E5492" s="1" t="s">
        <v>29</v>
      </c>
      <c r="F5492" s="5">
        <v>14500.0</v>
      </c>
      <c r="G5492" s="1" t="s">
        <v>7016</v>
      </c>
      <c r="H5492" s="1" t="s">
        <v>52</v>
      </c>
      <c r="I5492" s="1" t="s">
        <v>406</v>
      </c>
      <c r="K5492" s="1">
        <v>0.0</v>
      </c>
      <c r="L5492" s="1" t="s">
        <v>11159</v>
      </c>
      <c r="M5492" s="1" t="str">
        <f>VLOOKUP(L5492,'Copy of PMD Workday Constants -'!B5491:W6177,22,false)</f>
        <v>#N/A</v>
      </c>
      <c r="N5492" s="1" t="s">
        <v>32</v>
      </c>
      <c r="O5492" s="1" t="s">
        <v>33</v>
      </c>
      <c r="P5492" s="1" t="s">
        <v>222</v>
      </c>
      <c r="Q5492" s="1" t="s">
        <v>222</v>
      </c>
      <c r="R5492" s="1" t="s">
        <v>223</v>
      </c>
      <c r="T5492" s="1">
        <v>1.00602248E8</v>
      </c>
      <c r="W5492" s="1" t="s">
        <v>56</v>
      </c>
      <c r="X5492" s="1" t="s">
        <v>14372</v>
      </c>
    </row>
    <row r="5493">
      <c r="A5493" s="1" t="s">
        <v>15248</v>
      </c>
      <c r="B5493" s="1" t="s">
        <v>15249</v>
      </c>
      <c r="C5493" s="1" t="s">
        <v>15250</v>
      </c>
      <c r="D5493" s="1" t="s">
        <v>28</v>
      </c>
      <c r="E5493" s="1" t="s">
        <v>29</v>
      </c>
      <c r="F5493" s="5">
        <v>14500.0</v>
      </c>
      <c r="G5493" s="1" t="s">
        <v>7016</v>
      </c>
      <c r="H5493" s="1" t="s">
        <v>4650</v>
      </c>
      <c r="I5493" s="1" t="s">
        <v>43</v>
      </c>
      <c r="K5493" s="1">
        <v>0.0</v>
      </c>
      <c r="L5493" s="1" t="s">
        <v>11159</v>
      </c>
      <c r="M5493" s="1" t="str">
        <f>VLOOKUP(L5493,'Copy of PMD Workday Constants -'!B5492:W6178,22,false)</f>
        <v>#N/A</v>
      </c>
      <c r="N5493" s="1" t="s">
        <v>32</v>
      </c>
      <c r="O5493" s="1" t="s">
        <v>33</v>
      </c>
      <c r="P5493" s="1" t="s">
        <v>222</v>
      </c>
      <c r="Q5493" s="1" t="s">
        <v>222</v>
      </c>
      <c r="R5493" s="1" t="s">
        <v>223</v>
      </c>
      <c r="S5493" s="1" t="s">
        <v>482</v>
      </c>
      <c r="T5493" s="1">
        <v>1.00602248E8</v>
      </c>
      <c r="W5493" s="1" t="s">
        <v>91</v>
      </c>
      <c r="X5493" s="1" t="s">
        <v>12989</v>
      </c>
    </row>
    <row r="5494">
      <c r="A5494" s="1" t="s">
        <v>15251</v>
      </c>
      <c r="B5494" s="1" t="s">
        <v>8712</v>
      </c>
      <c r="C5494" s="1" t="s">
        <v>15252</v>
      </c>
      <c r="D5494" s="1" t="s">
        <v>28</v>
      </c>
      <c r="E5494" s="1" t="s">
        <v>29</v>
      </c>
      <c r="F5494" s="5">
        <v>14500.0</v>
      </c>
      <c r="G5494" s="1" t="s">
        <v>7016</v>
      </c>
      <c r="H5494" s="1" t="s">
        <v>278</v>
      </c>
      <c r="I5494" s="1" t="s">
        <v>302</v>
      </c>
      <c r="K5494" s="1">
        <v>0.0</v>
      </c>
      <c r="L5494" s="1" t="s">
        <v>11159</v>
      </c>
      <c r="M5494" s="1" t="str">
        <f>VLOOKUP(L5494,'Copy of PMD Workday Constants -'!B5493:W6179,22,false)</f>
        <v>#N/A</v>
      </c>
      <c r="N5494" s="1" t="s">
        <v>32</v>
      </c>
      <c r="O5494" s="1" t="s">
        <v>33</v>
      </c>
      <c r="P5494" s="1" t="s">
        <v>222</v>
      </c>
      <c r="Q5494" s="1" t="s">
        <v>222</v>
      </c>
      <c r="R5494" s="1" t="s">
        <v>223</v>
      </c>
      <c r="S5494" s="1" t="s">
        <v>482</v>
      </c>
      <c r="T5494" s="1">
        <v>1.00602248E8</v>
      </c>
      <c r="W5494" s="1" t="s">
        <v>140</v>
      </c>
      <c r="X5494" s="1" t="s">
        <v>12989</v>
      </c>
    </row>
    <row r="5495">
      <c r="A5495" s="1" t="s">
        <v>15253</v>
      </c>
      <c r="B5495" s="1" t="s">
        <v>15254</v>
      </c>
      <c r="C5495" s="1" t="s">
        <v>15255</v>
      </c>
      <c r="D5495" s="1" t="s">
        <v>51</v>
      </c>
      <c r="E5495" s="1" t="s">
        <v>29</v>
      </c>
      <c r="F5495" s="5">
        <v>14500.0</v>
      </c>
      <c r="G5495" s="1" t="s">
        <v>7016</v>
      </c>
      <c r="H5495" s="4">
        <v>44540.0</v>
      </c>
      <c r="I5495" s="1" t="s">
        <v>302</v>
      </c>
      <c r="K5495" s="1">
        <v>0.0</v>
      </c>
      <c r="L5495" s="1" t="s">
        <v>11159</v>
      </c>
      <c r="M5495" s="1" t="str">
        <f>VLOOKUP(L5495,'Copy of PMD Workday Constants -'!B5494:W6180,22,false)</f>
        <v>#N/A</v>
      </c>
      <c r="N5495" s="1" t="s">
        <v>32</v>
      </c>
      <c r="O5495" s="1" t="s">
        <v>33</v>
      </c>
      <c r="P5495" s="1" t="s">
        <v>222</v>
      </c>
      <c r="Q5495" s="1" t="s">
        <v>222</v>
      </c>
      <c r="R5495" s="1" t="s">
        <v>223</v>
      </c>
      <c r="S5495" s="1" t="s">
        <v>482</v>
      </c>
      <c r="T5495" s="1">
        <v>1.00602248E8</v>
      </c>
      <c r="W5495" s="1" t="s">
        <v>74</v>
      </c>
      <c r="X5495" s="1" t="s">
        <v>12065</v>
      </c>
    </row>
    <row r="5496">
      <c r="A5496" s="1" t="s">
        <v>15256</v>
      </c>
      <c r="B5496" s="1" t="s">
        <v>11956</v>
      </c>
      <c r="C5496" s="1" t="s">
        <v>15257</v>
      </c>
      <c r="D5496" s="1" t="s">
        <v>28</v>
      </c>
      <c r="E5496" s="1" t="s">
        <v>29</v>
      </c>
      <c r="F5496" s="5">
        <v>14500.0</v>
      </c>
      <c r="G5496" s="1" t="s">
        <v>7016</v>
      </c>
      <c r="H5496" s="1" t="s">
        <v>3399</v>
      </c>
      <c r="I5496" s="1" t="s">
        <v>43</v>
      </c>
      <c r="K5496" s="1">
        <v>0.0</v>
      </c>
      <c r="L5496" s="1" t="s">
        <v>11159</v>
      </c>
      <c r="M5496" s="1" t="str">
        <f>VLOOKUP(L5496,'Copy of PMD Workday Constants -'!B5495:W6181,22,false)</f>
        <v>#N/A</v>
      </c>
      <c r="N5496" s="1" t="s">
        <v>32</v>
      </c>
      <c r="O5496" s="1" t="s">
        <v>33</v>
      </c>
      <c r="P5496" s="1" t="s">
        <v>222</v>
      </c>
      <c r="Q5496" s="1" t="s">
        <v>222</v>
      </c>
      <c r="R5496" s="1" t="s">
        <v>223</v>
      </c>
      <c r="S5496" s="1" t="s">
        <v>482</v>
      </c>
      <c r="T5496" s="1">
        <v>1.00602248E8</v>
      </c>
      <c r="W5496" s="1" t="s">
        <v>147</v>
      </c>
      <c r="X5496" s="1" t="s">
        <v>12989</v>
      </c>
    </row>
    <row r="5497">
      <c r="A5497" s="1" t="s">
        <v>15258</v>
      </c>
      <c r="B5497" s="1" t="s">
        <v>15259</v>
      </c>
      <c r="C5497" s="1" t="s">
        <v>15260</v>
      </c>
      <c r="D5497" s="1" t="s">
        <v>28</v>
      </c>
      <c r="E5497" s="1" t="s">
        <v>29</v>
      </c>
      <c r="F5497" s="5">
        <v>14500.0</v>
      </c>
      <c r="G5497" s="1" t="s">
        <v>7016</v>
      </c>
      <c r="H5497" s="1" t="s">
        <v>145</v>
      </c>
      <c r="I5497" s="1" t="s">
        <v>43</v>
      </c>
      <c r="K5497" s="1">
        <v>0.0</v>
      </c>
      <c r="L5497" s="1" t="s">
        <v>11159</v>
      </c>
      <c r="M5497" s="1" t="str">
        <f>VLOOKUP(L5497,'Copy of PMD Workday Constants -'!B5496:W6182,22,false)</f>
        <v>#N/A</v>
      </c>
      <c r="N5497" s="1" t="s">
        <v>32</v>
      </c>
      <c r="O5497" s="1" t="s">
        <v>33</v>
      </c>
      <c r="P5497" s="1" t="s">
        <v>222</v>
      </c>
      <c r="Q5497" s="1" t="s">
        <v>222</v>
      </c>
      <c r="R5497" s="1" t="s">
        <v>223</v>
      </c>
      <c r="S5497" s="1" t="s">
        <v>482</v>
      </c>
      <c r="T5497" s="1">
        <v>1.00602248E8</v>
      </c>
      <c r="W5497" s="1" t="s">
        <v>56</v>
      </c>
      <c r="X5497" s="1" t="s">
        <v>12989</v>
      </c>
    </row>
    <row r="5498">
      <c r="A5498" s="1" t="s">
        <v>15261</v>
      </c>
      <c r="B5498" s="1" t="s">
        <v>15262</v>
      </c>
      <c r="C5498" s="1" t="s">
        <v>15263</v>
      </c>
      <c r="D5498" s="1" t="s">
        <v>28</v>
      </c>
      <c r="E5498" s="1" t="s">
        <v>29</v>
      </c>
      <c r="F5498" s="5">
        <v>14500.0</v>
      </c>
      <c r="G5498" s="1" t="s">
        <v>7016</v>
      </c>
      <c r="H5498" s="4">
        <v>44565.0</v>
      </c>
      <c r="I5498" s="1" t="s">
        <v>302</v>
      </c>
      <c r="K5498" s="1">
        <v>0.0</v>
      </c>
      <c r="L5498" s="1" t="s">
        <v>11159</v>
      </c>
      <c r="M5498" s="1" t="str">
        <f>VLOOKUP(L5498,'Copy of PMD Workday Constants -'!B5497:W6183,22,false)</f>
        <v>#N/A</v>
      </c>
      <c r="N5498" s="1" t="s">
        <v>32</v>
      </c>
      <c r="O5498" s="1" t="s">
        <v>33</v>
      </c>
      <c r="P5498" s="1" t="s">
        <v>222</v>
      </c>
      <c r="Q5498" s="1" t="s">
        <v>222</v>
      </c>
      <c r="R5498" s="1" t="s">
        <v>223</v>
      </c>
      <c r="S5498" s="1" t="s">
        <v>482</v>
      </c>
      <c r="T5498" s="1">
        <v>1.00602248E8</v>
      </c>
      <c r="W5498" s="1" t="s">
        <v>456</v>
      </c>
      <c r="X5498" s="1" t="s">
        <v>14284</v>
      </c>
    </row>
    <row r="5499">
      <c r="A5499" s="1" t="s">
        <v>15264</v>
      </c>
      <c r="B5499" s="1" t="s">
        <v>15265</v>
      </c>
      <c r="C5499" s="1" t="s">
        <v>15266</v>
      </c>
      <c r="D5499" s="1" t="s">
        <v>28</v>
      </c>
      <c r="E5499" s="1" t="s">
        <v>29</v>
      </c>
      <c r="F5499" s="5">
        <v>14500.0</v>
      </c>
      <c r="G5499" s="1" t="s">
        <v>7016</v>
      </c>
      <c r="H5499" s="1" t="s">
        <v>1785</v>
      </c>
      <c r="I5499" s="1" t="s">
        <v>104</v>
      </c>
      <c r="K5499" s="1">
        <v>0.0</v>
      </c>
      <c r="L5499" s="1" t="s">
        <v>11159</v>
      </c>
      <c r="M5499" s="1" t="str">
        <f>VLOOKUP(L5499,'Copy of PMD Workday Constants -'!B5498:W6184,22,false)</f>
        <v>#N/A</v>
      </c>
      <c r="N5499" s="1" t="s">
        <v>32</v>
      </c>
      <c r="O5499" s="1" t="s">
        <v>33</v>
      </c>
      <c r="P5499" s="1" t="s">
        <v>222</v>
      </c>
      <c r="Q5499" s="1" t="s">
        <v>222</v>
      </c>
      <c r="R5499" s="1" t="s">
        <v>223</v>
      </c>
      <c r="T5499" s="1">
        <v>1.00602248E8</v>
      </c>
      <c r="W5499" s="1" t="s">
        <v>56</v>
      </c>
      <c r="X5499" s="1" t="s">
        <v>13363</v>
      </c>
    </row>
    <row r="5500">
      <c r="A5500" s="1" t="s">
        <v>15267</v>
      </c>
      <c r="B5500" s="1" t="s">
        <v>15268</v>
      </c>
      <c r="C5500" s="1" t="s">
        <v>15269</v>
      </c>
      <c r="D5500" s="1" t="s">
        <v>28</v>
      </c>
      <c r="E5500" s="1" t="s">
        <v>29</v>
      </c>
      <c r="F5500" s="5">
        <v>14500.0</v>
      </c>
      <c r="G5500" s="1" t="s">
        <v>7016</v>
      </c>
      <c r="H5500" s="1" t="s">
        <v>1785</v>
      </c>
      <c r="I5500" s="1" t="s">
        <v>104</v>
      </c>
      <c r="K5500" s="1">
        <v>0.0</v>
      </c>
      <c r="L5500" s="1" t="s">
        <v>11159</v>
      </c>
      <c r="M5500" s="1" t="str">
        <f>VLOOKUP(L5500,'Copy of PMD Workday Constants -'!B5499:W6185,22,false)</f>
        <v>#N/A</v>
      </c>
      <c r="N5500" s="1" t="s">
        <v>32</v>
      </c>
      <c r="O5500" s="1" t="s">
        <v>33</v>
      </c>
      <c r="P5500" s="1" t="s">
        <v>222</v>
      </c>
      <c r="Q5500" s="1" t="s">
        <v>222</v>
      </c>
      <c r="R5500" s="1" t="s">
        <v>223</v>
      </c>
      <c r="S5500" s="1" t="s">
        <v>482</v>
      </c>
      <c r="T5500" s="1">
        <v>1.00602248E8</v>
      </c>
      <c r="W5500" s="1" t="s">
        <v>456</v>
      </c>
      <c r="X5500" s="1" t="s">
        <v>13363</v>
      </c>
    </row>
    <row r="5501">
      <c r="A5501" s="1" t="s">
        <v>15270</v>
      </c>
      <c r="B5501" s="1" t="s">
        <v>12862</v>
      </c>
      <c r="C5501" s="1" t="s">
        <v>15271</v>
      </c>
      <c r="D5501" s="1" t="s">
        <v>28</v>
      </c>
      <c r="E5501" s="1" t="s">
        <v>29</v>
      </c>
      <c r="F5501" s="5">
        <v>14500.0</v>
      </c>
      <c r="G5501" s="1" t="s">
        <v>7016</v>
      </c>
      <c r="H5501" s="1" t="s">
        <v>1785</v>
      </c>
      <c r="I5501" s="1" t="s">
        <v>104</v>
      </c>
      <c r="K5501" s="1">
        <v>0.0</v>
      </c>
      <c r="L5501" s="1" t="s">
        <v>11159</v>
      </c>
      <c r="M5501" s="1" t="str">
        <f>VLOOKUP(L5501,'Copy of PMD Workday Constants -'!B5500:W6186,22,false)</f>
        <v>#N/A</v>
      </c>
      <c r="N5501" s="1" t="s">
        <v>32</v>
      </c>
      <c r="O5501" s="1" t="s">
        <v>33</v>
      </c>
      <c r="P5501" s="1" t="s">
        <v>222</v>
      </c>
      <c r="Q5501" s="1" t="s">
        <v>222</v>
      </c>
      <c r="R5501" s="1" t="s">
        <v>223</v>
      </c>
      <c r="S5501" s="1" t="s">
        <v>482</v>
      </c>
      <c r="T5501" s="1">
        <v>1.00602248E8</v>
      </c>
      <c r="W5501" s="1" t="s">
        <v>56</v>
      </c>
      <c r="X5501" s="1" t="s">
        <v>13363</v>
      </c>
    </row>
    <row r="5502">
      <c r="A5502" s="1" t="s">
        <v>15272</v>
      </c>
      <c r="B5502" s="1" t="s">
        <v>15273</v>
      </c>
      <c r="C5502" s="1" t="s">
        <v>15274</v>
      </c>
      <c r="D5502" s="1" t="s">
        <v>28</v>
      </c>
      <c r="E5502" s="1" t="s">
        <v>29</v>
      </c>
      <c r="F5502" s="5">
        <v>14500.0</v>
      </c>
      <c r="G5502" s="1" t="s">
        <v>7016</v>
      </c>
      <c r="H5502" s="1" t="s">
        <v>1570</v>
      </c>
      <c r="I5502" s="1" t="s">
        <v>43</v>
      </c>
      <c r="K5502" s="1">
        <v>0.0</v>
      </c>
      <c r="L5502" s="1" t="s">
        <v>11159</v>
      </c>
      <c r="M5502" s="1" t="str">
        <f>VLOOKUP(L5502,'Copy of PMD Workday Constants -'!B5501:W6187,22,false)</f>
        <v>#N/A</v>
      </c>
      <c r="N5502" s="1" t="s">
        <v>32</v>
      </c>
      <c r="O5502" s="1" t="s">
        <v>33</v>
      </c>
      <c r="P5502" s="1" t="s">
        <v>222</v>
      </c>
      <c r="Q5502" s="1" t="s">
        <v>222</v>
      </c>
      <c r="R5502" s="1" t="s">
        <v>223</v>
      </c>
      <c r="S5502" s="1" t="s">
        <v>482</v>
      </c>
      <c r="T5502" s="1">
        <v>1.00602248E8</v>
      </c>
      <c r="W5502" s="1" t="s">
        <v>947</v>
      </c>
      <c r="X5502" s="1" t="s">
        <v>12065</v>
      </c>
    </row>
    <row r="5503">
      <c r="A5503" s="1" t="s">
        <v>15275</v>
      </c>
      <c r="B5503" s="1" t="s">
        <v>4284</v>
      </c>
      <c r="C5503" s="1" t="s">
        <v>15276</v>
      </c>
      <c r="D5503" s="1" t="s">
        <v>28</v>
      </c>
      <c r="E5503" s="1" t="s">
        <v>29</v>
      </c>
      <c r="F5503" s="5">
        <v>14500.0</v>
      </c>
      <c r="G5503" s="1" t="s">
        <v>7016</v>
      </c>
      <c r="H5503" s="1" t="s">
        <v>1785</v>
      </c>
      <c r="I5503" s="1" t="s">
        <v>191</v>
      </c>
      <c r="K5503" s="1">
        <v>0.0</v>
      </c>
      <c r="L5503" s="1" t="s">
        <v>11159</v>
      </c>
      <c r="M5503" s="1" t="str">
        <f>VLOOKUP(L5503,'Copy of PMD Workday Constants -'!B5502:W6188,22,false)</f>
        <v>#N/A</v>
      </c>
      <c r="N5503" s="1" t="s">
        <v>32</v>
      </c>
      <c r="O5503" s="1" t="s">
        <v>33</v>
      </c>
      <c r="P5503" s="1" t="s">
        <v>222</v>
      </c>
      <c r="Q5503" s="1" t="s">
        <v>222</v>
      </c>
      <c r="R5503" s="1" t="s">
        <v>223</v>
      </c>
      <c r="S5503" s="1" t="s">
        <v>482</v>
      </c>
      <c r="T5503" s="1">
        <v>1.00602248E8</v>
      </c>
      <c r="W5503" s="1" t="s">
        <v>56</v>
      </c>
      <c r="X5503" s="1" t="s">
        <v>14372</v>
      </c>
    </row>
    <row r="5504">
      <c r="A5504" s="1" t="s">
        <v>15277</v>
      </c>
      <c r="B5504" s="1" t="s">
        <v>13622</v>
      </c>
      <c r="C5504" s="1" t="s">
        <v>15278</v>
      </c>
      <c r="D5504" s="1" t="s">
        <v>28</v>
      </c>
      <c r="E5504" s="1" t="s">
        <v>29</v>
      </c>
      <c r="F5504" s="5">
        <v>14500.0</v>
      </c>
      <c r="G5504" s="1" t="s">
        <v>7016</v>
      </c>
      <c r="H5504" s="1" t="s">
        <v>1785</v>
      </c>
      <c r="I5504" s="1" t="s">
        <v>104</v>
      </c>
      <c r="K5504" s="1">
        <v>0.0</v>
      </c>
      <c r="L5504" s="1" t="s">
        <v>11159</v>
      </c>
      <c r="M5504" s="1" t="str">
        <f>VLOOKUP(L5504,'Copy of PMD Workday Constants -'!B5503:W6189,22,false)</f>
        <v>#N/A</v>
      </c>
      <c r="N5504" s="1" t="s">
        <v>32</v>
      </c>
      <c r="O5504" s="1" t="s">
        <v>33</v>
      </c>
      <c r="P5504" s="1" t="s">
        <v>222</v>
      </c>
      <c r="Q5504" s="1" t="s">
        <v>222</v>
      </c>
      <c r="R5504" s="1" t="s">
        <v>223</v>
      </c>
      <c r="T5504" s="1">
        <v>1.00602248E8</v>
      </c>
      <c r="W5504" s="1" t="s">
        <v>947</v>
      </c>
      <c r="X5504" s="1" t="s">
        <v>13363</v>
      </c>
    </row>
    <row r="5505">
      <c r="A5505" s="1" t="s">
        <v>15279</v>
      </c>
      <c r="B5505" s="1" t="s">
        <v>2079</v>
      </c>
      <c r="C5505" s="1" t="s">
        <v>15280</v>
      </c>
      <c r="D5505" s="1" t="s">
        <v>28</v>
      </c>
      <c r="E5505" s="1" t="s">
        <v>29</v>
      </c>
      <c r="F5505" s="5">
        <v>14500.0</v>
      </c>
      <c r="G5505" s="1" t="s">
        <v>7016</v>
      </c>
      <c r="H5505" s="1" t="s">
        <v>1785</v>
      </c>
      <c r="I5505" s="1" t="s">
        <v>191</v>
      </c>
      <c r="K5505" s="1">
        <v>0.0</v>
      </c>
      <c r="L5505" s="1" t="s">
        <v>11159</v>
      </c>
      <c r="M5505" s="1" t="str">
        <f>VLOOKUP(L5505,'Copy of PMD Workday Constants -'!B5504:W6190,22,false)</f>
        <v>#N/A</v>
      </c>
      <c r="N5505" s="1" t="s">
        <v>32</v>
      </c>
      <c r="O5505" s="1" t="s">
        <v>33</v>
      </c>
      <c r="P5505" s="1" t="s">
        <v>222</v>
      </c>
      <c r="Q5505" s="1" t="s">
        <v>222</v>
      </c>
      <c r="R5505" s="1" t="s">
        <v>223</v>
      </c>
      <c r="S5505" s="1" t="s">
        <v>482</v>
      </c>
      <c r="T5505" s="1">
        <v>1.00602248E8</v>
      </c>
      <c r="W5505" s="1" t="s">
        <v>258</v>
      </c>
      <c r="X5505" s="1" t="s">
        <v>14372</v>
      </c>
    </row>
    <row r="5506">
      <c r="A5506" s="1" t="s">
        <v>15281</v>
      </c>
      <c r="B5506" s="1" t="s">
        <v>15282</v>
      </c>
      <c r="C5506" s="1" t="s">
        <v>15283</v>
      </c>
      <c r="D5506" s="1" t="s">
        <v>28</v>
      </c>
      <c r="E5506" s="1" t="s">
        <v>29</v>
      </c>
      <c r="F5506" s="5">
        <v>14500.0</v>
      </c>
      <c r="G5506" s="1" t="s">
        <v>7016</v>
      </c>
      <c r="H5506" s="4">
        <v>44475.0</v>
      </c>
      <c r="I5506" s="1" t="s">
        <v>43</v>
      </c>
      <c r="K5506" s="1">
        <v>0.0</v>
      </c>
      <c r="L5506" s="1" t="s">
        <v>11159</v>
      </c>
      <c r="M5506" s="1" t="str">
        <f>VLOOKUP(L5506,'Copy of PMD Workday Constants -'!B5505:W6191,22,false)</f>
        <v>#N/A</v>
      </c>
      <c r="N5506" s="1" t="s">
        <v>32</v>
      </c>
      <c r="O5506" s="1" t="s">
        <v>33</v>
      </c>
      <c r="P5506" s="1" t="s">
        <v>222</v>
      </c>
      <c r="Q5506" s="1" t="s">
        <v>222</v>
      </c>
      <c r="R5506" s="1" t="s">
        <v>223</v>
      </c>
      <c r="S5506" s="1" t="s">
        <v>14281</v>
      </c>
      <c r="T5506" s="1">
        <v>1.00602248E8</v>
      </c>
      <c r="W5506" s="1" t="s">
        <v>533</v>
      </c>
      <c r="X5506" s="1" t="s">
        <v>12989</v>
      </c>
    </row>
    <row r="5507">
      <c r="A5507" s="1" t="s">
        <v>15284</v>
      </c>
      <c r="B5507" s="1" t="s">
        <v>3786</v>
      </c>
      <c r="C5507" s="1" t="s">
        <v>15285</v>
      </c>
      <c r="D5507" s="1" t="s">
        <v>28</v>
      </c>
      <c r="E5507" s="1" t="s">
        <v>29</v>
      </c>
      <c r="F5507" s="5">
        <v>14500.0</v>
      </c>
      <c r="G5507" s="1" t="s">
        <v>7016</v>
      </c>
      <c r="H5507" s="4">
        <v>44475.0</v>
      </c>
      <c r="I5507" s="1" t="s">
        <v>43</v>
      </c>
      <c r="K5507" s="1">
        <v>0.0</v>
      </c>
      <c r="L5507" s="1" t="s">
        <v>11159</v>
      </c>
      <c r="M5507" s="1" t="str">
        <f>VLOOKUP(L5507,'Copy of PMD Workday Constants -'!B5506:W6192,22,false)</f>
        <v>#N/A</v>
      </c>
      <c r="N5507" s="1" t="s">
        <v>32</v>
      </c>
      <c r="O5507" s="1" t="s">
        <v>33</v>
      </c>
      <c r="P5507" s="1" t="s">
        <v>222</v>
      </c>
      <c r="Q5507" s="1" t="s">
        <v>222</v>
      </c>
      <c r="R5507" s="1" t="s">
        <v>223</v>
      </c>
      <c r="S5507" s="1" t="s">
        <v>482</v>
      </c>
      <c r="T5507" s="1">
        <v>1.00602248E8</v>
      </c>
      <c r="W5507" s="1" t="s">
        <v>74</v>
      </c>
      <c r="X5507" s="1" t="s">
        <v>12989</v>
      </c>
    </row>
    <row r="5508">
      <c r="A5508" s="1" t="s">
        <v>15286</v>
      </c>
      <c r="B5508" s="1" t="s">
        <v>15287</v>
      </c>
      <c r="C5508" s="1" t="s">
        <v>15288</v>
      </c>
      <c r="D5508" s="1" t="s">
        <v>51</v>
      </c>
      <c r="E5508" s="1" t="s">
        <v>29</v>
      </c>
      <c r="F5508" s="5">
        <v>14500.0</v>
      </c>
      <c r="G5508" s="1" t="s">
        <v>7016</v>
      </c>
      <c r="H5508" s="4">
        <v>44594.0</v>
      </c>
      <c r="I5508" s="1" t="s">
        <v>302</v>
      </c>
      <c r="K5508" s="1">
        <v>0.0</v>
      </c>
      <c r="L5508" s="1" t="s">
        <v>11159</v>
      </c>
      <c r="M5508" s="1" t="str">
        <f>VLOOKUP(L5508,'Copy of PMD Workday Constants -'!B5507:W6193,22,false)</f>
        <v>#N/A</v>
      </c>
      <c r="N5508" s="1" t="s">
        <v>32</v>
      </c>
      <c r="O5508" s="1" t="s">
        <v>33</v>
      </c>
      <c r="P5508" s="1" t="s">
        <v>222</v>
      </c>
      <c r="Q5508" s="1" t="s">
        <v>222</v>
      </c>
      <c r="R5508" s="1" t="s">
        <v>223</v>
      </c>
      <c r="S5508" s="1" t="s">
        <v>482</v>
      </c>
      <c r="T5508" s="1">
        <v>1.00602248E8</v>
      </c>
      <c r="W5508" s="1" t="s">
        <v>115</v>
      </c>
      <c r="X5508" s="1" t="s">
        <v>12989</v>
      </c>
    </row>
    <row r="5509">
      <c r="A5509" s="1" t="s">
        <v>15289</v>
      </c>
      <c r="B5509" s="1" t="s">
        <v>15290</v>
      </c>
      <c r="C5509" s="1" t="s">
        <v>15291</v>
      </c>
      <c r="D5509" s="1" t="s">
        <v>51</v>
      </c>
      <c r="E5509" s="1" t="s">
        <v>29</v>
      </c>
      <c r="F5509" s="5">
        <v>14500.0</v>
      </c>
      <c r="G5509" s="1" t="s">
        <v>7016</v>
      </c>
      <c r="H5509" s="1" t="s">
        <v>145</v>
      </c>
      <c r="I5509" s="1" t="s">
        <v>43</v>
      </c>
      <c r="K5509" s="1">
        <v>0.0</v>
      </c>
      <c r="L5509" s="1" t="s">
        <v>11159</v>
      </c>
      <c r="M5509" s="1" t="str">
        <f>VLOOKUP(L5509,'Copy of PMD Workday Constants -'!B5508:W6194,22,false)</f>
        <v>#N/A</v>
      </c>
      <c r="N5509" s="1" t="s">
        <v>32</v>
      </c>
      <c r="O5509" s="1" t="s">
        <v>33</v>
      </c>
      <c r="P5509" s="1" t="s">
        <v>222</v>
      </c>
      <c r="Q5509" s="1" t="s">
        <v>222</v>
      </c>
      <c r="R5509" s="1" t="s">
        <v>223</v>
      </c>
      <c r="T5509" s="1">
        <v>1.00602248E8</v>
      </c>
      <c r="W5509" s="1" t="s">
        <v>147</v>
      </c>
      <c r="X5509" s="1" t="s">
        <v>12989</v>
      </c>
    </row>
    <row r="5510">
      <c r="A5510" s="1" t="s">
        <v>15292</v>
      </c>
      <c r="B5510" s="1" t="s">
        <v>15293</v>
      </c>
      <c r="C5510" s="1" t="s">
        <v>15294</v>
      </c>
      <c r="D5510" s="1" t="s">
        <v>28</v>
      </c>
      <c r="E5510" s="1" t="s">
        <v>29</v>
      </c>
      <c r="F5510" s="5">
        <v>14500.0</v>
      </c>
      <c r="G5510" s="1" t="s">
        <v>7016</v>
      </c>
      <c r="H5510" s="1" t="s">
        <v>4084</v>
      </c>
      <c r="I5510" s="1" t="s">
        <v>43</v>
      </c>
      <c r="K5510" s="1">
        <v>0.0</v>
      </c>
      <c r="L5510" s="1" t="s">
        <v>11159</v>
      </c>
      <c r="M5510" s="1" t="str">
        <f>VLOOKUP(L5510,'Copy of PMD Workday Constants -'!B5509:W6195,22,false)</f>
        <v>#N/A</v>
      </c>
      <c r="N5510" s="1" t="s">
        <v>32</v>
      </c>
      <c r="O5510" s="1" t="s">
        <v>33</v>
      </c>
      <c r="P5510" s="1" t="s">
        <v>222</v>
      </c>
      <c r="Q5510" s="1" t="s">
        <v>222</v>
      </c>
      <c r="R5510" s="1" t="s">
        <v>223</v>
      </c>
      <c r="S5510" s="1" t="s">
        <v>482</v>
      </c>
      <c r="T5510" s="1">
        <v>1.00602248E8</v>
      </c>
      <c r="W5510" s="1" t="s">
        <v>456</v>
      </c>
      <c r="X5510" s="1" t="s">
        <v>12989</v>
      </c>
    </row>
    <row r="5511">
      <c r="A5511" s="1" t="s">
        <v>15295</v>
      </c>
      <c r="B5511" s="1" t="s">
        <v>12284</v>
      </c>
      <c r="C5511" s="1" t="s">
        <v>15296</v>
      </c>
      <c r="D5511" s="1" t="s">
        <v>51</v>
      </c>
      <c r="E5511" s="1" t="s">
        <v>29</v>
      </c>
      <c r="F5511" s="5">
        <v>14500.0</v>
      </c>
      <c r="G5511" s="1" t="s">
        <v>7016</v>
      </c>
      <c r="H5511" s="4">
        <v>44867.0</v>
      </c>
      <c r="I5511" s="1" t="s">
        <v>302</v>
      </c>
      <c r="K5511" s="1">
        <v>0.0</v>
      </c>
      <c r="L5511" s="1" t="s">
        <v>11159</v>
      </c>
      <c r="M5511" s="1" t="str">
        <f>VLOOKUP(L5511,'Copy of PMD Workday Constants -'!B5510:W6196,22,false)</f>
        <v>#N/A</v>
      </c>
      <c r="N5511" s="1" t="s">
        <v>32</v>
      </c>
      <c r="O5511" s="1" t="s">
        <v>33</v>
      </c>
      <c r="P5511" s="1" t="s">
        <v>222</v>
      </c>
      <c r="Q5511" s="1" t="s">
        <v>222</v>
      </c>
      <c r="R5511" s="1" t="s">
        <v>223</v>
      </c>
      <c r="S5511" s="1" t="s">
        <v>14281</v>
      </c>
      <c r="T5511" s="1">
        <v>1.00602248E8</v>
      </c>
      <c r="W5511" s="1" t="s">
        <v>85</v>
      </c>
      <c r="X5511" s="1" t="s">
        <v>12989</v>
      </c>
    </row>
    <row r="5512">
      <c r="A5512" s="1" t="s">
        <v>15297</v>
      </c>
      <c r="B5512" s="1" t="s">
        <v>9050</v>
      </c>
      <c r="C5512" s="1" t="s">
        <v>15298</v>
      </c>
      <c r="D5512" s="1" t="s">
        <v>51</v>
      </c>
      <c r="E5512" s="1" t="s">
        <v>29</v>
      </c>
      <c r="F5512" s="5">
        <v>14500.0</v>
      </c>
      <c r="G5512" s="1" t="s">
        <v>7016</v>
      </c>
      <c r="H5512" s="1" t="s">
        <v>283</v>
      </c>
      <c r="I5512" s="1" t="s">
        <v>302</v>
      </c>
      <c r="K5512" s="1">
        <v>0.0</v>
      </c>
      <c r="L5512" s="1" t="s">
        <v>11159</v>
      </c>
      <c r="M5512" s="1" t="str">
        <f>VLOOKUP(L5512,'Copy of PMD Workday Constants -'!B5511:W6197,22,false)</f>
        <v>#N/A</v>
      </c>
      <c r="N5512" s="1" t="s">
        <v>32</v>
      </c>
      <c r="O5512" s="1" t="s">
        <v>33</v>
      </c>
      <c r="P5512" s="1" t="s">
        <v>222</v>
      </c>
      <c r="Q5512" s="1" t="s">
        <v>222</v>
      </c>
      <c r="R5512" s="1" t="s">
        <v>223</v>
      </c>
      <c r="S5512" s="1" t="s">
        <v>482</v>
      </c>
      <c r="T5512" s="1">
        <v>1.00602248E8</v>
      </c>
      <c r="W5512" s="1" t="s">
        <v>85</v>
      </c>
      <c r="X5512" s="1" t="s">
        <v>12989</v>
      </c>
    </row>
    <row r="5513">
      <c r="A5513" s="1" t="s">
        <v>15299</v>
      </c>
      <c r="B5513" s="1" t="s">
        <v>15300</v>
      </c>
      <c r="C5513" s="1" t="s">
        <v>15301</v>
      </c>
      <c r="D5513" s="1" t="s">
        <v>28</v>
      </c>
      <c r="E5513" s="1" t="s">
        <v>29</v>
      </c>
      <c r="F5513" s="5">
        <v>14500.0</v>
      </c>
      <c r="G5513" s="1" t="s">
        <v>7016</v>
      </c>
      <c r="H5513" s="4">
        <v>44567.0</v>
      </c>
      <c r="I5513" s="1" t="s">
        <v>43</v>
      </c>
      <c r="K5513" s="1">
        <v>0.0</v>
      </c>
      <c r="L5513" s="1" t="s">
        <v>11159</v>
      </c>
      <c r="M5513" s="1" t="str">
        <f>VLOOKUP(L5513,'Copy of PMD Workday Constants -'!B5512:W6198,22,false)</f>
        <v>#N/A</v>
      </c>
      <c r="N5513" s="1" t="s">
        <v>32</v>
      </c>
      <c r="O5513" s="1" t="s">
        <v>33</v>
      </c>
      <c r="P5513" s="1" t="s">
        <v>222</v>
      </c>
      <c r="Q5513" s="1" t="s">
        <v>222</v>
      </c>
      <c r="R5513" s="1" t="s">
        <v>223</v>
      </c>
      <c r="S5513" s="1" t="s">
        <v>482</v>
      </c>
      <c r="T5513" s="1">
        <v>1.00602248E8</v>
      </c>
      <c r="W5513" s="1" t="s">
        <v>258</v>
      </c>
      <c r="X5513" s="1" t="s">
        <v>14284</v>
      </c>
    </row>
    <row r="5514">
      <c r="A5514" s="1" t="s">
        <v>15302</v>
      </c>
      <c r="B5514" s="1" t="s">
        <v>15303</v>
      </c>
      <c r="C5514" s="1" t="s">
        <v>15304</v>
      </c>
      <c r="D5514" s="1" t="s">
        <v>28</v>
      </c>
      <c r="E5514" s="1" t="s">
        <v>29</v>
      </c>
      <c r="F5514" s="5">
        <v>14500.0</v>
      </c>
      <c r="G5514" s="1" t="s">
        <v>7016</v>
      </c>
      <c r="H5514" s="1" t="s">
        <v>1186</v>
      </c>
      <c r="I5514" s="1" t="s">
        <v>43</v>
      </c>
      <c r="K5514" s="1">
        <v>0.0</v>
      </c>
      <c r="L5514" s="1" t="s">
        <v>11159</v>
      </c>
      <c r="M5514" s="1" t="str">
        <f>VLOOKUP(L5514,'Copy of PMD Workday Constants -'!B5513:W6199,22,false)</f>
        <v>#N/A</v>
      </c>
      <c r="N5514" s="1" t="s">
        <v>32</v>
      </c>
      <c r="O5514" s="1" t="s">
        <v>33</v>
      </c>
      <c r="P5514" s="1" t="s">
        <v>222</v>
      </c>
      <c r="Q5514" s="1" t="s">
        <v>222</v>
      </c>
      <c r="R5514" s="1" t="s">
        <v>223</v>
      </c>
      <c r="S5514" s="1" t="s">
        <v>482</v>
      </c>
      <c r="T5514" s="1">
        <v>1.00602248E8</v>
      </c>
      <c r="W5514" s="1" t="s">
        <v>91</v>
      </c>
      <c r="X5514" s="1" t="s">
        <v>12989</v>
      </c>
    </row>
    <row r="5515">
      <c r="A5515" s="1" t="s">
        <v>15305</v>
      </c>
      <c r="B5515" s="1" t="s">
        <v>11102</v>
      </c>
      <c r="C5515" s="1" t="s">
        <v>15306</v>
      </c>
      <c r="D5515" s="1" t="s">
        <v>103</v>
      </c>
      <c r="E5515" s="1" t="s">
        <v>29</v>
      </c>
      <c r="F5515" s="5">
        <v>14500.0</v>
      </c>
      <c r="G5515" s="1" t="s">
        <v>7016</v>
      </c>
      <c r="H5515" s="1" t="s">
        <v>1330</v>
      </c>
      <c r="I5515" s="1" t="s">
        <v>302</v>
      </c>
      <c r="K5515" s="1">
        <v>0.0</v>
      </c>
      <c r="L5515" s="1" t="s">
        <v>11159</v>
      </c>
      <c r="M5515" s="1" t="str">
        <f>VLOOKUP(L5515,'Copy of PMD Workday Constants -'!B5514:W6200,22,false)</f>
        <v>#N/A</v>
      </c>
      <c r="N5515" s="1" t="s">
        <v>32</v>
      </c>
      <c r="O5515" s="1" t="s">
        <v>33</v>
      </c>
      <c r="P5515" s="1" t="s">
        <v>222</v>
      </c>
      <c r="Q5515" s="1" t="s">
        <v>222</v>
      </c>
      <c r="R5515" s="1" t="s">
        <v>223</v>
      </c>
      <c r="S5515" s="1" t="s">
        <v>482</v>
      </c>
      <c r="T5515" s="1">
        <v>1.00602248E8</v>
      </c>
      <c r="W5515" s="1" t="s">
        <v>85</v>
      </c>
      <c r="X5515" s="1" t="s">
        <v>12065</v>
      </c>
    </row>
    <row r="5516">
      <c r="A5516" s="1" t="s">
        <v>15307</v>
      </c>
      <c r="B5516" s="1" t="s">
        <v>15308</v>
      </c>
      <c r="C5516" s="1" t="s">
        <v>15309</v>
      </c>
      <c r="D5516" s="1" t="s">
        <v>28</v>
      </c>
      <c r="E5516" s="1" t="s">
        <v>29</v>
      </c>
      <c r="F5516" s="5">
        <v>14500.0</v>
      </c>
      <c r="G5516" s="1" t="s">
        <v>7016</v>
      </c>
      <c r="H5516" s="1" t="s">
        <v>2666</v>
      </c>
      <c r="I5516" s="1" t="s">
        <v>43</v>
      </c>
      <c r="K5516" s="1">
        <v>0.0</v>
      </c>
      <c r="L5516" s="1" t="s">
        <v>11159</v>
      </c>
      <c r="M5516" s="1" t="str">
        <f>VLOOKUP(L5516,'Copy of PMD Workday Constants -'!B5515:W6201,22,false)</f>
        <v>#N/A</v>
      </c>
      <c r="N5516" s="1" t="s">
        <v>32</v>
      </c>
      <c r="O5516" s="1" t="s">
        <v>33</v>
      </c>
      <c r="P5516" s="1" t="s">
        <v>222</v>
      </c>
      <c r="Q5516" s="1" t="s">
        <v>222</v>
      </c>
      <c r="R5516" s="1" t="s">
        <v>223</v>
      </c>
      <c r="S5516" s="1" t="s">
        <v>482</v>
      </c>
      <c r="T5516" s="1">
        <v>1.00602248E8</v>
      </c>
      <c r="W5516" s="1" t="s">
        <v>456</v>
      </c>
      <c r="X5516" s="1" t="s">
        <v>12989</v>
      </c>
    </row>
    <row r="5517">
      <c r="A5517" s="1" t="s">
        <v>15310</v>
      </c>
      <c r="B5517" s="1" t="s">
        <v>6357</v>
      </c>
      <c r="C5517" s="1" t="s">
        <v>15311</v>
      </c>
      <c r="D5517" s="1" t="s">
        <v>51</v>
      </c>
      <c r="E5517" s="1" t="s">
        <v>29</v>
      </c>
      <c r="F5517" s="5">
        <v>14500.0</v>
      </c>
      <c r="G5517" s="1" t="s">
        <v>7016</v>
      </c>
      <c r="H5517" s="1" t="s">
        <v>2666</v>
      </c>
      <c r="I5517" s="1" t="s">
        <v>302</v>
      </c>
      <c r="K5517" s="1">
        <v>0.0</v>
      </c>
      <c r="L5517" s="1" t="s">
        <v>11159</v>
      </c>
      <c r="M5517" s="1" t="str">
        <f>VLOOKUP(L5517,'Copy of PMD Workday Constants -'!B5516:W6202,22,false)</f>
        <v>#N/A</v>
      </c>
      <c r="N5517" s="1" t="s">
        <v>32</v>
      </c>
      <c r="O5517" s="1" t="s">
        <v>33</v>
      </c>
      <c r="P5517" s="1" t="s">
        <v>222</v>
      </c>
      <c r="Q5517" s="1" t="s">
        <v>222</v>
      </c>
      <c r="R5517" s="1" t="s">
        <v>223</v>
      </c>
      <c r="S5517" s="1" t="s">
        <v>482</v>
      </c>
      <c r="T5517" s="1">
        <v>1.00602248E8</v>
      </c>
      <c r="W5517" s="1" t="s">
        <v>456</v>
      </c>
      <c r="X5517" s="1" t="s">
        <v>12065</v>
      </c>
    </row>
    <row r="5518">
      <c r="A5518" s="1" t="s">
        <v>15312</v>
      </c>
      <c r="B5518" s="1" t="s">
        <v>10188</v>
      </c>
      <c r="C5518" s="1" t="s">
        <v>15313</v>
      </c>
      <c r="D5518" s="1" t="s">
        <v>28</v>
      </c>
      <c r="E5518" s="1" t="s">
        <v>29</v>
      </c>
      <c r="F5518" s="5">
        <v>14500.0</v>
      </c>
      <c r="G5518" s="1" t="s">
        <v>7016</v>
      </c>
      <c r="H5518" s="1" t="s">
        <v>2666</v>
      </c>
      <c r="I5518" s="1" t="s">
        <v>302</v>
      </c>
      <c r="K5518" s="1">
        <v>0.0</v>
      </c>
      <c r="L5518" s="1" t="s">
        <v>11159</v>
      </c>
      <c r="M5518" s="1" t="str">
        <f>VLOOKUP(L5518,'Copy of PMD Workday Constants -'!B5517:W6203,22,false)</f>
        <v>#N/A</v>
      </c>
      <c r="N5518" s="1" t="s">
        <v>32</v>
      </c>
      <c r="O5518" s="1" t="s">
        <v>33</v>
      </c>
      <c r="P5518" s="1" t="s">
        <v>222</v>
      </c>
      <c r="Q5518" s="1" t="s">
        <v>222</v>
      </c>
      <c r="R5518" s="1" t="s">
        <v>223</v>
      </c>
      <c r="S5518" s="1" t="s">
        <v>482</v>
      </c>
      <c r="T5518" s="1">
        <v>1.00602248E8</v>
      </c>
      <c r="W5518" s="1" t="s">
        <v>456</v>
      </c>
      <c r="X5518" s="1" t="s">
        <v>14284</v>
      </c>
    </row>
    <row r="5519">
      <c r="A5519" s="1" t="s">
        <v>15314</v>
      </c>
      <c r="B5519" s="1" t="s">
        <v>15315</v>
      </c>
      <c r="C5519" s="1" t="s">
        <v>15316</v>
      </c>
      <c r="D5519" s="1" t="s">
        <v>28</v>
      </c>
      <c r="E5519" s="1" t="s">
        <v>29</v>
      </c>
      <c r="F5519" s="5">
        <v>14500.0</v>
      </c>
      <c r="G5519" s="1" t="s">
        <v>7016</v>
      </c>
      <c r="H5519" s="4">
        <v>44656.0</v>
      </c>
      <c r="I5519" s="1" t="s">
        <v>43</v>
      </c>
      <c r="K5519" s="1">
        <v>0.0</v>
      </c>
      <c r="L5519" s="1" t="s">
        <v>11159</v>
      </c>
      <c r="M5519" s="1" t="str">
        <f>VLOOKUP(L5519,'Copy of PMD Workday Constants -'!B5518:W6204,22,false)</f>
        <v>#N/A</v>
      </c>
      <c r="N5519" s="1" t="s">
        <v>32</v>
      </c>
      <c r="O5519" s="1" t="s">
        <v>33</v>
      </c>
      <c r="P5519" s="1" t="s">
        <v>222</v>
      </c>
      <c r="Q5519" s="1" t="s">
        <v>222</v>
      </c>
      <c r="R5519" s="1" t="s">
        <v>223</v>
      </c>
      <c r="S5519" s="1" t="s">
        <v>482</v>
      </c>
      <c r="T5519" s="1">
        <v>1.00602248E8</v>
      </c>
      <c r="W5519" s="1" t="s">
        <v>436</v>
      </c>
      <c r="X5519" s="1" t="s">
        <v>14372</v>
      </c>
    </row>
    <row r="5520">
      <c r="A5520" s="1" t="s">
        <v>15317</v>
      </c>
      <c r="B5520" s="1" t="s">
        <v>450</v>
      </c>
      <c r="C5520" s="1" t="s">
        <v>15318</v>
      </c>
      <c r="D5520" s="1" t="s">
        <v>28</v>
      </c>
      <c r="E5520" s="1" t="s">
        <v>29</v>
      </c>
      <c r="F5520" s="5">
        <v>14500.0</v>
      </c>
      <c r="G5520" s="1" t="s">
        <v>7016</v>
      </c>
      <c r="H5520" s="1" t="s">
        <v>2666</v>
      </c>
      <c r="I5520" s="1" t="s">
        <v>43</v>
      </c>
      <c r="K5520" s="1">
        <v>0.0</v>
      </c>
      <c r="L5520" s="1" t="s">
        <v>11159</v>
      </c>
      <c r="M5520" s="1" t="str">
        <f>VLOOKUP(L5520,'Copy of PMD Workday Constants -'!B5519:W6205,22,false)</f>
        <v>#N/A</v>
      </c>
      <c r="N5520" s="1" t="s">
        <v>32</v>
      </c>
      <c r="O5520" s="1" t="s">
        <v>33</v>
      </c>
      <c r="P5520" s="1" t="s">
        <v>222</v>
      </c>
      <c r="Q5520" s="1" t="s">
        <v>222</v>
      </c>
      <c r="R5520" s="1" t="s">
        <v>223</v>
      </c>
      <c r="T5520" s="1">
        <v>1.00602248E8</v>
      </c>
      <c r="W5520" s="1" t="s">
        <v>456</v>
      </c>
      <c r="X5520" s="1" t="s">
        <v>12989</v>
      </c>
    </row>
    <row r="5521">
      <c r="A5521" s="1" t="s">
        <v>15319</v>
      </c>
      <c r="B5521" s="1" t="s">
        <v>15320</v>
      </c>
      <c r="C5521" s="1" t="s">
        <v>15321</v>
      </c>
      <c r="D5521" s="1" t="s">
        <v>28</v>
      </c>
      <c r="E5521" s="1" t="s">
        <v>29</v>
      </c>
      <c r="F5521" s="5">
        <v>14500.0</v>
      </c>
      <c r="G5521" s="1" t="s">
        <v>7016</v>
      </c>
      <c r="H5521" s="1" t="s">
        <v>1323</v>
      </c>
      <c r="I5521" s="1" t="s">
        <v>43</v>
      </c>
      <c r="K5521" s="1">
        <v>0.0</v>
      </c>
      <c r="L5521" s="1" t="s">
        <v>11159</v>
      </c>
      <c r="M5521" s="1" t="str">
        <f>VLOOKUP(L5521,'Copy of PMD Workday Constants -'!B5520:W6206,22,false)</f>
        <v>#N/A</v>
      </c>
      <c r="N5521" s="1" t="s">
        <v>32</v>
      </c>
      <c r="O5521" s="1" t="s">
        <v>33</v>
      </c>
      <c r="P5521" s="1" t="s">
        <v>222</v>
      </c>
      <c r="Q5521" s="1" t="s">
        <v>222</v>
      </c>
      <c r="R5521" s="1" t="s">
        <v>223</v>
      </c>
      <c r="T5521" s="1">
        <v>1.00602248E8</v>
      </c>
      <c r="W5521" s="1" t="s">
        <v>287</v>
      </c>
      <c r="X5521" s="1" t="s">
        <v>12989</v>
      </c>
    </row>
    <row r="5522">
      <c r="A5522" s="1" t="s">
        <v>15322</v>
      </c>
      <c r="B5522" s="1" t="s">
        <v>14377</v>
      </c>
      <c r="C5522" s="1" t="s">
        <v>15323</v>
      </c>
      <c r="D5522" s="1" t="s">
        <v>51</v>
      </c>
      <c r="E5522" s="1" t="s">
        <v>29</v>
      </c>
      <c r="F5522" s="5">
        <v>14500.0</v>
      </c>
      <c r="G5522" s="1" t="s">
        <v>7016</v>
      </c>
      <c r="H5522" s="1" t="s">
        <v>1176</v>
      </c>
      <c r="I5522" s="1" t="s">
        <v>421</v>
      </c>
      <c r="K5522" s="1">
        <v>0.0</v>
      </c>
      <c r="L5522" s="1" t="s">
        <v>11159</v>
      </c>
      <c r="M5522" s="1" t="str">
        <f>VLOOKUP(L5522,'Copy of PMD Workday Constants -'!B5521:W6207,22,false)</f>
        <v>#N/A</v>
      </c>
      <c r="N5522" s="1" t="s">
        <v>32</v>
      </c>
      <c r="O5522" s="1" t="s">
        <v>33</v>
      </c>
      <c r="P5522" s="1" t="s">
        <v>222</v>
      </c>
      <c r="Q5522" s="1" t="s">
        <v>222</v>
      </c>
      <c r="R5522" s="1" t="s">
        <v>223</v>
      </c>
      <c r="T5522" s="1">
        <v>1.00602248E8</v>
      </c>
      <c r="W5522" s="1" t="s">
        <v>2098</v>
      </c>
      <c r="X5522" s="1" t="s">
        <v>12065</v>
      </c>
    </row>
    <row r="5523">
      <c r="A5523" s="1" t="s">
        <v>15324</v>
      </c>
      <c r="B5523" s="1" t="s">
        <v>15325</v>
      </c>
      <c r="C5523" s="1" t="s">
        <v>15326</v>
      </c>
      <c r="D5523" s="1" t="s">
        <v>28</v>
      </c>
      <c r="E5523" s="1" t="s">
        <v>29</v>
      </c>
      <c r="F5523" s="5">
        <v>14500.0</v>
      </c>
      <c r="G5523" s="1" t="s">
        <v>7016</v>
      </c>
      <c r="H5523" s="1" t="s">
        <v>460</v>
      </c>
      <c r="I5523" s="1" t="s">
        <v>302</v>
      </c>
      <c r="K5523" s="1">
        <v>0.0</v>
      </c>
      <c r="L5523" s="1" t="s">
        <v>11159</v>
      </c>
      <c r="M5523" s="1" t="str">
        <f>VLOOKUP(L5523,'Copy of PMD Workday Constants -'!B5522:W6208,22,false)</f>
        <v>#N/A</v>
      </c>
      <c r="N5523" s="1" t="s">
        <v>32</v>
      </c>
      <c r="O5523" s="1" t="s">
        <v>33</v>
      </c>
      <c r="P5523" s="1" t="s">
        <v>222</v>
      </c>
      <c r="Q5523" s="1" t="s">
        <v>222</v>
      </c>
      <c r="R5523" s="1" t="s">
        <v>223</v>
      </c>
      <c r="S5523" s="1" t="s">
        <v>482</v>
      </c>
      <c r="T5523" s="1">
        <v>1.00602248E8</v>
      </c>
      <c r="W5523" s="1" t="s">
        <v>56</v>
      </c>
      <c r="X5523" s="1" t="s">
        <v>14372</v>
      </c>
    </row>
    <row r="5524">
      <c r="A5524" s="1" t="s">
        <v>15327</v>
      </c>
      <c r="B5524" s="1" t="s">
        <v>7937</v>
      </c>
      <c r="C5524" s="1" t="s">
        <v>15328</v>
      </c>
      <c r="D5524" s="1" t="s">
        <v>28</v>
      </c>
      <c r="E5524" s="1" t="s">
        <v>29</v>
      </c>
      <c r="F5524" s="5">
        <v>14500.0</v>
      </c>
      <c r="G5524" s="1" t="s">
        <v>7016</v>
      </c>
      <c r="H5524" s="1" t="s">
        <v>4084</v>
      </c>
      <c r="I5524" s="1" t="s">
        <v>43</v>
      </c>
      <c r="K5524" s="1">
        <v>0.0</v>
      </c>
      <c r="L5524" s="1" t="s">
        <v>11159</v>
      </c>
      <c r="M5524" s="1" t="str">
        <f>VLOOKUP(L5524,'Copy of PMD Workday Constants -'!B5523:W6209,22,false)</f>
        <v>#N/A</v>
      </c>
      <c r="N5524" s="1" t="s">
        <v>32</v>
      </c>
      <c r="O5524" s="1" t="s">
        <v>33</v>
      </c>
      <c r="P5524" s="1" t="s">
        <v>222</v>
      </c>
      <c r="Q5524" s="1" t="s">
        <v>222</v>
      </c>
      <c r="R5524" s="1" t="s">
        <v>223</v>
      </c>
      <c r="S5524" s="1" t="s">
        <v>482</v>
      </c>
      <c r="T5524" s="1">
        <v>1.00602248E8</v>
      </c>
      <c r="W5524" s="1" t="s">
        <v>258</v>
      </c>
      <c r="X5524" s="1" t="s">
        <v>12989</v>
      </c>
    </row>
    <row r="5525">
      <c r="A5525" s="1" t="s">
        <v>15329</v>
      </c>
      <c r="B5525" s="1" t="s">
        <v>15330</v>
      </c>
      <c r="C5525" s="1" t="s">
        <v>15331</v>
      </c>
      <c r="D5525" s="1" t="s">
        <v>28</v>
      </c>
      <c r="E5525" s="1" t="s">
        <v>29</v>
      </c>
      <c r="F5525" s="5">
        <v>14500.0</v>
      </c>
      <c r="G5525" s="1" t="s">
        <v>7016</v>
      </c>
      <c r="H5525" s="4">
        <v>44567.0</v>
      </c>
      <c r="I5525" s="1" t="s">
        <v>43</v>
      </c>
      <c r="K5525" s="1">
        <v>0.0</v>
      </c>
      <c r="L5525" s="1" t="s">
        <v>11159</v>
      </c>
      <c r="M5525" s="1" t="str">
        <f>VLOOKUP(L5525,'Copy of PMD Workday Constants -'!B5524:W6210,22,false)</f>
        <v>#N/A</v>
      </c>
      <c r="N5525" s="1" t="s">
        <v>32</v>
      </c>
      <c r="O5525" s="1" t="s">
        <v>33</v>
      </c>
      <c r="P5525" s="1" t="s">
        <v>222</v>
      </c>
      <c r="Q5525" s="1" t="s">
        <v>222</v>
      </c>
      <c r="R5525" s="1" t="s">
        <v>223</v>
      </c>
      <c r="S5525" s="1" t="s">
        <v>482</v>
      </c>
      <c r="T5525" s="1">
        <v>1.00602248E8</v>
      </c>
      <c r="W5525" s="1" t="s">
        <v>74</v>
      </c>
      <c r="X5525" s="1" t="s">
        <v>14284</v>
      </c>
    </row>
    <row r="5526">
      <c r="A5526" s="1" t="s">
        <v>15332</v>
      </c>
      <c r="B5526" s="1" t="s">
        <v>6488</v>
      </c>
      <c r="C5526" s="1" t="s">
        <v>15333</v>
      </c>
      <c r="D5526" s="1" t="s">
        <v>28</v>
      </c>
      <c r="E5526" s="1" t="s">
        <v>29</v>
      </c>
      <c r="F5526" s="5">
        <v>14500.0</v>
      </c>
      <c r="G5526" s="1" t="s">
        <v>7016</v>
      </c>
      <c r="H5526" s="1" t="s">
        <v>1849</v>
      </c>
      <c r="I5526" s="1" t="s">
        <v>43</v>
      </c>
      <c r="K5526" s="1">
        <v>0.0</v>
      </c>
      <c r="L5526" s="1" t="s">
        <v>11159</v>
      </c>
      <c r="M5526" s="1" t="str">
        <f>VLOOKUP(L5526,'Copy of PMD Workday Constants -'!B5525:W6211,22,false)</f>
        <v>#N/A</v>
      </c>
      <c r="N5526" s="1" t="s">
        <v>32</v>
      </c>
      <c r="O5526" s="1" t="s">
        <v>33</v>
      </c>
      <c r="P5526" s="1" t="s">
        <v>222</v>
      </c>
      <c r="Q5526" s="1" t="s">
        <v>222</v>
      </c>
      <c r="R5526" s="1" t="s">
        <v>223</v>
      </c>
      <c r="S5526" s="1" t="s">
        <v>482</v>
      </c>
      <c r="T5526" s="1">
        <v>1.00602248E8</v>
      </c>
      <c r="W5526" s="1" t="s">
        <v>74</v>
      </c>
      <c r="X5526" s="1" t="s">
        <v>12989</v>
      </c>
    </row>
    <row r="5527">
      <c r="A5527" s="1" t="s">
        <v>15334</v>
      </c>
      <c r="B5527" s="1" t="s">
        <v>2554</v>
      </c>
      <c r="C5527" s="1" t="s">
        <v>15335</v>
      </c>
      <c r="D5527" s="1" t="s">
        <v>51</v>
      </c>
      <c r="E5527" s="1" t="s">
        <v>29</v>
      </c>
      <c r="F5527" s="5">
        <v>14280.0</v>
      </c>
      <c r="G5527" s="1" t="s">
        <v>7016</v>
      </c>
      <c r="H5527" s="1" t="s">
        <v>4892</v>
      </c>
      <c r="I5527" s="1" t="s">
        <v>302</v>
      </c>
      <c r="K5527" s="1">
        <v>0.0</v>
      </c>
      <c r="L5527" s="1" t="s">
        <v>319</v>
      </c>
      <c r="M5527" s="1" t="str">
        <f>VLOOKUP(L5527,'Copy of PMD Workday Constants -'!B5526:W6212,22,false)</f>
        <v>#N/A</v>
      </c>
      <c r="N5527" s="1" t="s">
        <v>32</v>
      </c>
      <c r="O5527" s="1" t="s">
        <v>33</v>
      </c>
      <c r="P5527" s="1" t="s">
        <v>82</v>
      </c>
      <c r="Q5527" s="1" t="s">
        <v>82</v>
      </c>
      <c r="R5527" s="1" t="s">
        <v>83</v>
      </c>
      <c r="S5527" s="1" t="s">
        <v>84</v>
      </c>
      <c r="T5527" s="1">
        <v>1.00654705E8</v>
      </c>
      <c r="W5527" s="1" t="s">
        <v>85</v>
      </c>
      <c r="X5527" s="1" t="s">
        <v>7862</v>
      </c>
    </row>
    <row r="5528">
      <c r="A5528" s="1" t="s">
        <v>15336</v>
      </c>
      <c r="B5528" s="1" t="s">
        <v>15337</v>
      </c>
      <c r="C5528" s="1" t="s">
        <v>15338</v>
      </c>
      <c r="D5528" s="1" t="s">
        <v>51</v>
      </c>
      <c r="E5528" s="1" t="s">
        <v>29</v>
      </c>
      <c r="F5528" s="5">
        <v>14000.0</v>
      </c>
      <c r="G5528" s="1" t="s">
        <v>7016</v>
      </c>
      <c r="H5528" s="1" t="s">
        <v>1842</v>
      </c>
      <c r="I5528" s="1" t="s">
        <v>1245</v>
      </c>
      <c r="K5528" s="1">
        <v>0.0</v>
      </c>
      <c r="L5528" s="1" t="s">
        <v>1611</v>
      </c>
      <c r="M5528" s="1" t="str">
        <f>VLOOKUP(L5528,'Copy of PMD Workday Constants -'!B5527:W6213,22,false)</f>
        <v>#N/A</v>
      </c>
      <c r="N5528" s="1" t="s">
        <v>32</v>
      </c>
      <c r="O5528" s="1" t="s">
        <v>33</v>
      </c>
      <c r="P5528" s="1" t="s">
        <v>34</v>
      </c>
      <c r="Q5528" s="1" t="s">
        <v>34</v>
      </c>
      <c r="R5528" s="1" t="s">
        <v>35</v>
      </c>
      <c r="T5528" s="1">
        <v>1.00645852E8</v>
      </c>
      <c r="W5528" s="1" t="s">
        <v>456</v>
      </c>
      <c r="X5528" s="1" t="s">
        <v>4590</v>
      </c>
    </row>
    <row r="5529">
      <c r="A5529" s="1" t="s">
        <v>15339</v>
      </c>
      <c r="B5529" s="1" t="s">
        <v>15340</v>
      </c>
      <c r="C5529" s="1" t="s">
        <v>15341</v>
      </c>
      <c r="D5529" s="1" t="s">
        <v>79</v>
      </c>
      <c r="E5529" s="1" t="s">
        <v>29</v>
      </c>
      <c r="F5529" s="5">
        <v>13800.0</v>
      </c>
      <c r="G5529" s="1" t="s">
        <v>7016</v>
      </c>
      <c r="H5529" s="4">
        <v>44748.0</v>
      </c>
      <c r="I5529" s="1" t="s">
        <v>132</v>
      </c>
      <c r="K5529" s="1">
        <v>0.0</v>
      </c>
      <c r="L5529" s="1" t="s">
        <v>13331</v>
      </c>
      <c r="M5529" s="1" t="str">
        <f>VLOOKUP(L5529,'Copy of PMD Workday Constants -'!B5528:W6214,22,false)</f>
        <v>#N/A</v>
      </c>
      <c r="N5529" s="1" t="s">
        <v>32</v>
      </c>
      <c r="O5529" s="1" t="s">
        <v>33</v>
      </c>
      <c r="P5529" s="1" t="s">
        <v>222</v>
      </c>
      <c r="Q5529" s="1" t="s">
        <v>222</v>
      </c>
      <c r="R5529" s="1" t="s">
        <v>223</v>
      </c>
      <c r="S5529" s="1" t="s">
        <v>482</v>
      </c>
      <c r="T5529" s="1">
        <v>1.00660529E8</v>
      </c>
      <c r="W5529" s="1" t="s">
        <v>436</v>
      </c>
      <c r="X5529" s="1" t="s">
        <v>13687</v>
      </c>
    </row>
    <row r="5530">
      <c r="A5530" s="1" t="s">
        <v>15342</v>
      </c>
      <c r="B5530" s="1" t="s">
        <v>15343</v>
      </c>
      <c r="C5530" s="1" t="s">
        <v>15344</v>
      </c>
      <c r="D5530" s="1" t="s">
        <v>103</v>
      </c>
      <c r="E5530" s="1" t="s">
        <v>29</v>
      </c>
      <c r="F5530" s="5">
        <v>13000.0</v>
      </c>
      <c r="G5530" s="1" t="s">
        <v>7016</v>
      </c>
      <c r="H5530" s="1" t="s">
        <v>3034</v>
      </c>
      <c r="I5530" s="1" t="s">
        <v>865</v>
      </c>
      <c r="K5530" s="1">
        <v>0.0</v>
      </c>
      <c r="L5530" s="1" t="s">
        <v>3408</v>
      </c>
      <c r="M5530" s="1" t="str">
        <f>VLOOKUP(L5530,'Copy of PMD Workday Constants -'!B5529:W6215,22,false)</f>
        <v>#N/A</v>
      </c>
      <c r="N5530" s="1" t="s">
        <v>32</v>
      </c>
      <c r="O5530" s="1" t="s">
        <v>33</v>
      </c>
      <c r="P5530" s="1" t="s">
        <v>222</v>
      </c>
      <c r="Q5530" s="1" t="s">
        <v>222</v>
      </c>
      <c r="R5530" s="1" t="s">
        <v>223</v>
      </c>
      <c r="S5530" s="1" t="s">
        <v>482</v>
      </c>
      <c r="T5530" s="1">
        <v>1.0066189E8</v>
      </c>
      <c r="W5530" s="1" t="s">
        <v>1801</v>
      </c>
      <c r="X5530" s="1" t="s">
        <v>817</v>
      </c>
    </row>
    <row r="5531">
      <c r="A5531" s="1" t="s">
        <v>15345</v>
      </c>
      <c r="B5531" s="1" t="s">
        <v>15346</v>
      </c>
      <c r="C5531" s="1" t="s">
        <v>15347</v>
      </c>
      <c r="D5531" s="1" t="s">
        <v>51</v>
      </c>
      <c r="E5531" s="1" t="s">
        <v>29</v>
      </c>
      <c r="F5531" s="5">
        <v>13000.0</v>
      </c>
      <c r="G5531" s="1" t="s">
        <v>7016</v>
      </c>
      <c r="H5531" s="1" t="s">
        <v>556</v>
      </c>
      <c r="I5531" s="1" t="s">
        <v>96</v>
      </c>
      <c r="K5531" s="1">
        <v>0.0</v>
      </c>
      <c r="L5531" s="1" t="s">
        <v>3408</v>
      </c>
      <c r="M5531" s="1" t="str">
        <f>VLOOKUP(L5531,'Copy of PMD Workday Constants -'!B5530:W6216,22,false)</f>
        <v>#N/A</v>
      </c>
      <c r="N5531" s="1" t="s">
        <v>32</v>
      </c>
      <c r="O5531" s="1" t="s">
        <v>33</v>
      </c>
      <c r="P5531" s="1" t="s">
        <v>222</v>
      </c>
      <c r="Q5531" s="1" t="s">
        <v>222</v>
      </c>
      <c r="R5531" s="1" t="s">
        <v>223</v>
      </c>
      <c r="S5531" s="1" t="s">
        <v>482</v>
      </c>
      <c r="T5531" s="1">
        <v>1.0066189E8</v>
      </c>
      <c r="W5531" s="1" t="s">
        <v>287</v>
      </c>
      <c r="X5531" s="1" t="s">
        <v>14640</v>
      </c>
    </row>
    <row r="5532">
      <c r="A5532" s="1" t="s">
        <v>15348</v>
      </c>
      <c r="B5532" s="1" t="s">
        <v>15349</v>
      </c>
      <c r="C5532" s="1" t="s">
        <v>15350</v>
      </c>
      <c r="D5532" s="1" t="s">
        <v>103</v>
      </c>
      <c r="E5532" s="1" t="s">
        <v>29</v>
      </c>
      <c r="F5532" s="5">
        <v>12758.0</v>
      </c>
      <c r="G5532" s="1" t="s">
        <v>7016</v>
      </c>
      <c r="H5532" s="1" t="s">
        <v>4413</v>
      </c>
      <c r="I5532" s="1" t="s">
        <v>865</v>
      </c>
      <c r="K5532" s="1">
        <v>0.0</v>
      </c>
      <c r="L5532" s="1" t="s">
        <v>3408</v>
      </c>
      <c r="M5532" s="1" t="str">
        <f>VLOOKUP(L5532,'Copy of PMD Workday Constants -'!B5531:W6217,22,false)</f>
        <v>#N/A</v>
      </c>
      <c r="N5532" s="1" t="s">
        <v>32</v>
      </c>
      <c r="O5532" s="1" t="s">
        <v>33</v>
      </c>
      <c r="P5532" s="1" t="s">
        <v>222</v>
      </c>
      <c r="Q5532" s="1" t="s">
        <v>222</v>
      </c>
      <c r="R5532" s="1" t="s">
        <v>223</v>
      </c>
      <c r="S5532" s="1" t="s">
        <v>482</v>
      </c>
      <c r="T5532" s="1">
        <v>1.0066189E8</v>
      </c>
      <c r="W5532" s="1" t="s">
        <v>85</v>
      </c>
      <c r="X5532" s="1" t="s">
        <v>817</v>
      </c>
    </row>
    <row r="5533">
      <c r="A5533" s="1" t="s">
        <v>15351</v>
      </c>
      <c r="B5533" s="1" t="s">
        <v>15352</v>
      </c>
      <c r="C5533" s="1" t="s">
        <v>15350</v>
      </c>
      <c r="D5533" s="1" t="s">
        <v>103</v>
      </c>
      <c r="E5533" s="1" t="s">
        <v>29</v>
      </c>
      <c r="F5533" s="5">
        <v>12758.0</v>
      </c>
      <c r="G5533" s="1" t="s">
        <v>7016</v>
      </c>
      <c r="H5533" s="1" t="s">
        <v>466</v>
      </c>
      <c r="I5533" s="1" t="s">
        <v>865</v>
      </c>
      <c r="K5533" s="1">
        <v>0.0</v>
      </c>
      <c r="L5533" s="1" t="s">
        <v>3408</v>
      </c>
      <c r="M5533" s="1" t="str">
        <f>VLOOKUP(L5533,'Copy of PMD Workday Constants -'!B5532:W6218,22,false)</f>
        <v>#N/A</v>
      </c>
      <c r="N5533" s="1" t="s">
        <v>32</v>
      </c>
      <c r="O5533" s="1" t="s">
        <v>33</v>
      </c>
      <c r="P5533" s="1" t="s">
        <v>222</v>
      </c>
      <c r="Q5533" s="1" t="s">
        <v>222</v>
      </c>
      <c r="R5533" s="1" t="s">
        <v>223</v>
      </c>
      <c r="S5533" s="1" t="s">
        <v>482</v>
      </c>
      <c r="T5533" s="1">
        <v>1.0066189E8</v>
      </c>
      <c r="W5533" s="1" t="s">
        <v>85</v>
      </c>
      <c r="X5533" s="1" t="s">
        <v>817</v>
      </c>
    </row>
    <row r="5534">
      <c r="A5534" s="1" t="s">
        <v>15353</v>
      </c>
      <c r="B5534" s="1" t="s">
        <v>11219</v>
      </c>
      <c r="C5534" s="1" t="s">
        <v>15354</v>
      </c>
      <c r="D5534" s="1" t="s">
        <v>103</v>
      </c>
      <c r="E5534" s="1" t="s">
        <v>29</v>
      </c>
      <c r="F5534" s="5">
        <v>12500.0</v>
      </c>
      <c r="G5534" s="1" t="s">
        <v>7016</v>
      </c>
      <c r="H5534" s="4">
        <v>44867.0</v>
      </c>
      <c r="I5534" s="1" t="s">
        <v>302</v>
      </c>
      <c r="K5534" s="1">
        <v>0.0</v>
      </c>
      <c r="L5534" s="1" t="s">
        <v>11159</v>
      </c>
      <c r="M5534" s="1" t="str">
        <f>VLOOKUP(L5534,'Copy of PMD Workday Constants -'!B5533:W6219,22,false)</f>
        <v>#N/A</v>
      </c>
      <c r="N5534" s="1" t="s">
        <v>32</v>
      </c>
      <c r="O5534" s="1" t="s">
        <v>33</v>
      </c>
      <c r="P5534" s="1" t="s">
        <v>222</v>
      </c>
      <c r="Q5534" s="1" t="s">
        <v>222</v>
      </c>
      <c r="R5534" s="1" t="s">
        <v>223</v>
      </c>
      <c r="S5534" s="1" t="s">
        <v>482</v>
      </c>
      <c r="T5534" s="1">
        <v>1.00602248E8</v>
      </c>
      <c r="W5534" s="1" t="s">
        <v>2098</v>
      </c>
      <c r="X5534" s="1" t="s">
        <v>12065</v>
      </c>
    </row>
    <row r="5535">
      <c r="A5535" s="1" t="s">
        <v>15355</v>
      </c>
      <c r="B5535" s="1" t="s">
        <v>15356</v>
      </c>
      <c r="C5535" s="1" t="s">
        <v>15357</v>
      </c>
      <c r="D5535" s="1" t="s">
        <v>28</v>
      </c>
      <c r="E5535" s="1" t="s">
        <v>29</v>
      </c>
      <c r="F5535" s="5">
        <v>12000.0</v>
      </c>
      <c r="G5535" s="1" t="s">
        <v>7016</v>
      </c>
      <c r="H5535" s="4">
        <v>44236.0</v>
      </c>
      <c r="I5535" s="1" t="s">
        <v>43</v>
      </c>
      <c r="K5535" s="1">
        <v>0.0</v>
      </c>
      <c r="L5535" s="1" t="s">
        <v>8868</v>
      </c>
      <c r="M5535" s="1" t="str">
        <f>VLOOKUP(L5535,'Copy of PMD Workday Constants -'!B5534:W6220,22,false)</f>
        <v>#N/A</v>
      </c>
      <c r="N5535" s="1" t="s">
        <v>32</v>
      </c>
      <c r="O5535" s="1" t="s">
        <v>33</v>
      </c>
      <c r="P5535" s="1" t="s">
        <v>222</v>
      </c>
      <c r="Q5535" s="1" t="s">
        <v>222</v>
      </c>
      <c r="R5535" s="1" t="s">
        <v>223</v>
      </c>
      <c r="S5535" s="1" t="s">
        <v>482</v>
      </c>
      <c r="T5535" s="1">
        <v>1.00612509E8</v>
      </c>
      <c r="W5535" s="1" t="s">
        <v>85</v>
      </c>
      <c r="X5535" s="1" t="s">
        <v>12989</v>
      </c>
    </row>
    <row r="5536">
      <c r="A5536" s="1" t="s">
        <v>15358</v>
      </c>
      <c r="B5536" s="1" t="s">
        <v>7866</v>
      </c>
      <c r="C5536" s="1" t="s">
        <v>15359</v>
      </c>
      <c r="D5536" s="1" t="s">
        <v>51</v>
      </c>
      <c r="E5536" s="1" t="s">
        <v>29</v>
      </c>
      <c r="F5536" s="5">
        <v>12000.0</v>
      </c>
      <c r="G5536" s="1" t="s">
        <v>7016</v>
      </c>
      <c r="H5536" s="1" t="s">
        <v>920</v>
      </c>
      <c r="I5536" s="1" t="s">
        <v>80</v>
      </c>
      <c r="K5536" s="1">
        <v>0.0</v>
      </c>
      <c r="L5536" s="1" t="s">
        <v>8868</v>
      </c>
      <c r="M5536" s="1" t="str">
        <f>VLOOKUP(L5536,'Copy of PMD Workday Constants -'!B5535:W6221,22,false)</f>
        <v>#N/A</v>
      </c>
      <c r="N5536" s="1" t="s">
        <v>32</v>
      </c>
      <c r="O5536" s="1" t="s">
        <v>33</v>
      </c>
      <c r="P5536" s="1" t="s">
        <v>222</v>
      </c>
      <c r="Q5536" s="1" t="s">
        <v>222</v>
      </c>
      <c r="R5536" s="1" t="s">
        <v>223</v>
      </c>
      <c r="S5536" s="1" t="s">
        <v>482</v>
      </c>
      <c r="T5536" s="1">
        <v>1.00612509E8</v>
      </c>
      <c r="W5536" s="1" t="s">
        <v>85</v>
      </c>
      <c r="X5536" s="1" t="s">
        <v>14284</v>
      </c>
    </row>
    <row r="5537">
      <c r="A5537" s="1" t="s">
        <v>15360</v>
      </c>
      <c r="B5537" s="1" t="s">
        <v>877</v>
      </c>
      <c r="C5537" s="1" t="s">
        <v>15361</v>
      </c>
      <c r="D5537" s="1" t="s">
        <v>28</v>
      </c>
      <c r="E5537" s="1" t="s">
        <v>29</v>
      </c>
      <c r="F5537" s="5">
        <v>12000.0</v>
      </c>
      <c r="G5537" s="1" t="s">
        <v>7016</v>
      </c>
      <c r="H5537" s="1" t="s">
        <v>2510</v>
      </c>
      <c r="I5537" s="1" t="s">
        <v>43</v>
      </c>
      <c r="K5537" s="1">
        <v>0.0</v>
      </c>
      <c r="L5537" s="1" t="s">
        <v>11159</v>
      </c>
      <c r="M5537" s="1" t="str">
        <f>VLOOKUP(L5537,'Copy of PMD Workday Constants -'!B5536:W6222,22,false)</f>
        <v>#N/A</v>
      </c>
      <c r="N5537" s="1" t="s">
        <v>32</v>
      </c>
      <c r="O5537" s="1" t="s">
        <v>33</v>
      </c>
      <c r="P5537" s="1" t="s">
        <v>222</v>
      </c>
      <c r="Q5537" s="1" t="s">
        <v>222</v>
      </c>
      <c r="R5537" s="1" t="s">
        <v>223</v>
      </c>
      <c r="S5537" s="1" t="s">
        <v>482</v>
      </c>
      <c r="T5537" s="1">
        <v>1.00602248E8</v>
      </c>
      <c r="W5537" s="1" t="s">
        <v>85</v>
      </c>
      <c r="X5537" s="1" t="s">
        <v>14284</v>
      </c>
    </row>
    <row r="5538">
      <c r="A5538" s="1" t="s">
        <v>15362</v>
      </c>
      <c r="B5538" s="1" t="s">
        <v>15363</v>
      </c>
      <c r="C5538" s="1" t="s">
        <v>15364</v>
      </c>
      <c r="D5538" s="1" t="s">
        <v>28</v>
      </c>
      <c r="E5538" s="1" t="s">
        <v>29</v>
      </c>
      <c r="F5538" s="5">
        <v>12000.0</v>
      </c>
      <c r="G5538" s="1" t="s">
        <v>7016</v>
      </c>
      <c r="H5538" s="4">
        <v>44478.0</v>
      </c>
      <c r="I5538" s="1" t="s">
        <v>80</v>
      </c>
      <c r="K5538" s="1">
        <v>0.0</v>
      </c>
      <c r="L5538" s="1" t="s">
        <v>8868</v>
      </c>
      <c r="M5538" s="1" t="str">
        <f>VLOOKUP(L5538,'Copy of PMD Workday Constants -'!B5537:W6223,22,false)</f>
        <v>#N/A</v>
      </c>
      <c r="N5538" s="1" t="s">
        <v>32</v>
      </c>
      <c r="O5538" s="1" t="s">
        <v>33</v>
      </c>
      <c r="P5538" s="1" t="s">
        <v>222</v>
      </c>
      <c r="Q5538" s="1" t="s">
        <v>222</v>
      </c>
      <c r="R5538" s="1" t="s">
        <v>223</v>
      </c>
      <c r="S5538" s="1" t="s">
        <v>482</v>
      </c>
      <c r="T5538" s="1">
        <v>1.00612509E8</v>
      </c>
      <c r="W5538" s="1" t="s">
        <v>115</v>
      </c>
      <c r="X5538" s="1" t="s">
        <v>12065</v>
      </c>
    </row>
    <row r="5539">
      <c r="A5539" s="1" t="s">
        <v>15365</v>
      </c>
      <c r="B5539" s="1" t="s">
        <v>15366</v>
      </c>
      <c r="C5539" s="1" t="s">
        <v>15367</v>
      </c>
      <c r="D5539" s="1" t="s">
        <v>51</v>
      </c>
      <c r="E5539" s="1" t="s">
        <v>29</v>
      </c>
      <c r="F5539" s="5">
        <v>11000.0</v>
      </c>
      <c r="G5539" s="1" t="s">
        <v>7016</v>
      </c>
      <c r="H5539" s="1" t="s">
        <v>2069</v>
      </c>
      <c r="I5539" s="1" t="s">
        <v>302</v>
      </c>
      <c r="K5539" s="1">
        <v>0.0</v>
      </c>
      <c r="L5539" s="1" t="s">
        <v>11159</v>
      </c>
      <c r="M5539" s="1" t="str">
        <f>VLOOKUP(L5539,'Copy of PMD Workday Constants -'!B5538:W6224,22,false)</f>
        <v>#N/A</v>
      </c>
      <c r="N5539" s="1" t="s">
        <v>32</v>
      </c>
      <c r="O5539" s="1" t="s">
        <v>33</v>
      </c>
      <c r="P5539" s="1" t="s">
        <v>222</v>
      </c>
      <c r="Q5539" s="1" t="s">
        <v>222</v>
      </c>
      <c r="R5539" s="1" t="s">
        <v>223</v>
      </c>
      <c r="S5539" s="1" t="s">
        <v>482</v>
      </c>
      <c r="T5539" s="1">
        <v>1.00602248E8</v>
      </c>
      <c r="W5539" s="1" t="s">
        <v>74</v>
      </c>
      <c r="X5539" s="1" t="s">
        <v>15368</v>
      </c>
    </row>
    <row r="5540">
      <c r="A5540" s="1" t="s">
        <v>15369</v>
      </c>
      <c r="B5540" s="1" t="s">
        <v>4106</v>
      </c>
      <c r="C5540" s="1" t="s">
        <v>15370</v>
      </c>
      <c r="D5540" s="1" t="s">
        <v>51</v>
      </c>
      <c r="E5540" s="1" t="s">
        <v>29</v>
      </c>
      <c r="F5540" s="5">
        <v>10500.0</v>
      </c>
      <c r="G5540" s="1" t="s">
        <v>7016</v>
      </c>
      <c r="H5540" s="1" t="s">
        <v>569</v>
      </c>
      <c r="I5540" s="1" t="s">
        <v>302</v>
      </c>
      <c r="K5540" s="1">
        <v>0.0</v>
      </c>
      <c r="L5540" s="1" t="s">
        <v>11159</v>
      </c>
      <c r="M5540" s="1" t="str">
        <f>VLOOKUP(L5540,'Copy of PMD Workday Constants -'!B5539:W6225,22,false)</f>
        <v>#N/A</v>
      </c>
      <c r="N5540" s="1" t="s">
        <v>32</v>
      </c>
      <c r="O5540" s="1" t="s">
        <v>33</v>
      </c>
      <c r="P5540" s="1" t="s">
        <v>222</v>
      </c>
      <c r="Q5540" s="1" t="s">
        <v>222</v>
      </c>
      <c r="R5540" s="1" t="s">
        <v>223</v>
      </c>
      <c r="S5540" s="1" t="s">
        <v>482</v>
      </c>
      <c r="T5540" s="1">
        <v>1.00602248E8</v>
      </c>
      <c r="W5540" s="1" t="s">
        <v>456</v>
      </c>
      <c r="X5540" s="1" t="s">
        <v>12065</v>
      </c>
    </row>
    <row r="5541">
      <c r="A5541" s="1" t="s">
        <v>15371</v>
      </c>
      <c r="B5541" s="1" t="s">
        <v>15372</v>
      </c>
      <c r="C5541" s="1" t="s">
        <v>15373</v>
      </c>
      <c r="D5541" s="1" t="s">
        <v>51</v>
      </c>
      <c r="E5541" s="1" t="s">
        <v>29</v>
      </c>
      <c r="F5541" s="5">
        <v>10000.0</v>
      </c>
      <c r="G5541" s="1" t="s">
        <v>7016</v>
      </c>
      <c r="H5541" s="4">
        <v>44319.0</v>
      </c>
      <c r="I5541" s="1" t="s">
        <v>302</v>
      </c>
      <c r="K5541" s="1">
        <v>0.0</v>
      </c>
      <c r="L5541" s="1" t="s">
        <v>7664</v>
      </c>
      <c r="M5541" s="1" t="str">
        <f>VLOOKUP(L5541,'Copy of PMD Workday Constants -'!B5540:W6226,22,false)</f>
        <v>#N/A</v>
      </c>
      <c r="N5541" s="1" t="s">
        <v>32</v>
      </c>
      <c r="O5541" s="1" t="s">
        <v>33</v>
      </c>
      <c r="P5541" s="1" t="s">
        <v>222</v>
      </c>
      <c r="Q5541" s="1" t="s">
        <v>222</v>
      </c>
      <c r="R5541" s="1" t="s">
        <v>223</v>
      </c>
      <c r="T5541" s="1">
        <v>1.00882877E8</v>
      </c>
      <c r="W5541" s="1" t="s">
        <v>436</v>
      </c>
      <c r="X5541" s="1" t="s">
        <v>10615</v>
      </c>
    </row>
    <row r="5542">
      <c r="A5542" s="1" t="s">
        <v>15374</v>
      </c>
      <c r="B5542" s="1" t="s">
        <v>15375</v>
      </c>
      <c r="C5542" s="1" t="s">
        <v>15376</v>
      </c>
      <c r="D5542" s="1" t="s">
        <v>103</v>
      </c>
      <c r="E5542" s="1" t="s">
        <v>29</v>
      </c>
      <c r="F5542" s="5">
        <v>10000.0</v>
      </c>
      <c r="G5542" s="1" t="s">
        <v>7016</v>
      </c>
      <c r="H5542" s="4">
        <v>44625.0</v>
      </c>
      <c r="I5542" s="1" t="s">
        <v>816</v>
      </c>
      <c r="K5542" s="1">
        <v>0.0</v>
      </c>
      <c r="L5542" s="1" t="s">
        <v>3408</v>
      </c>
      <c r="M5542" s="1" t="str">
        <f>VLOOKUP(L5542,'Copy of PMD Workday Constants -'!B5541:W6227,22,false)</f>
        <v>#N/A</v>
      </c>
      <c r="N5542" s="1" t="s">
        <v>32</v>
      </c>
      <c r="O5542" s="1" t="s">
        <v>33</v>
      </c>
      <c r="P5542" s="1" t="s">
        <v>222</v>
      </c>
      <c r="Q5542" s="1" t="s">
        <v>222</v>
      </c>
      <c r="R5542" s="1" t="s">
        <v>223</v>
      </c>
      <c r="S5542" s="1" t="s">
        <v>482</v>
      </c>
      <c r="T5542" s="1">
        <v>1.0066189E8</v>
      </c>
      <c r="W5542" s="1" t="s">
        <v>456</v>
      </c>
      <c r="X5542" s="1" t="s">
        <v>10777</v>
      </c>
    </row>
    <row r="5543">
      <c r="A5543" s="1" t="s">
        <v>15377</v>
      </c>
      <c r="B5543" s="1" t="s">
        <v>14481</v>
      </c>
      <c r="C5543" s="1" t="s">
        <v>15378</v>
      </c>
      <c r="D5543" s="1" t="s">
        <v>28</v>
      </c>
      <c r="E5543" s="1" t="s">
        <v>29</v>
      </c>
      <c r="F5543" s="5">
        <v>10000.0</v>
      </c>
      <c r="G5543" s="1" t="s">
        <v>7016</v>
      </c>
      <c r="H5543" s="4">
        <v>44743.0</v>
      </c>
      <c r="I5543" s="1" t="s">
        <v>406</v>
      </c>
      <c r="K5543" s="1">
        <v>0.0</v>
      </c>
      <c r="L5543" s="1" t="s">
        <v>11159</v>
      </c>
      <c r="M5543" s="1" t="str">
        <f>VLOOKUP(L5543,'Copy of PMD Workday Constants -'!B5542:W6228,22,false)</f>
        <v>#N/A</v>
      </c>
      <c r="N5543" s="1" t="s">
        <v>32</v>
      </c>
      <c r="O5543" s="1" t="s">
        <v>33</v>
      </c>
      <c r="P5543" s="1" t="s">
        <v>222</v>
      </c>
      <c r="Q5543" s="1" t="s">
        <v>222</v>
      </c>
      <c r="R5543" s="1" t="s">
        <v>223</v>
      </c>
      <c r="S5543" s="1" t="s">
        <v>482</v>
      </c>
      <c r="T5543" s="1">
        <v>1.00602248E8</v>
      </c>
      <c r="W5543" s="1" t="s">
        <v>85</v>
      </c>
      <c r="X5543" s="1" t="s">
        <v>12989</v>
      </c>
    </row>
    <row r="5544">
      <c r="A5544" s="1" t="s">
        <v>15379</v>
      </c>
      <c r="B5544" s="1" t="s">
        <v>3973</v>
      </c>
      <c r="C5544" s="1" t="s">
        <v>15380</v>
      </c>
      <c r="D5544" s="1" t="s">
        <v>103</v>
      </c>
      <c r="E5544" s="1" t="s">
        <v>29</v>
      </c>
      <c r="F5544" s="5">
        <v>10000.0</v>
      </c>
      <c r="G5544" s="1" t="s">
        <v>7016</v>
      </c>
      <c r="H5544" s="4">
        <v>44257.0</v>
      </c>
      <c r="I5544" s="1" t="s">
        <v>302</v>
      </c>
      <c r="K5544" s="1">
        <v>0.0</v>
      </c>
      <c r="L5544" s="1" t="s">
        <v>5194</v>
      </c>
      <c r="M5544" s="1" t="str">
        <f>VLOOKUP(L5544,'Copy of PMD Workday Constants -'!B5543:W6229,22,false)</f>
        <v>#N/A</v>
      </c>
      <c r="N5544" s="1" t="s">
        <v>32</v>
      </c>
      <c r="O5544" s="1" t="s">
        <v>33</v>
      </c>
      <c r="P5544" s="1" t="s">
        <v>173</v>
      </c>
      <c r="Q5544" s="1" t="s">
        <v>173</v>
      </c>
      <c r="R5544" s="1" t="s">
        <v>174</v>
      </c>
      <c r="S5544" s="1" t="s">
        <v>1313</v>
      </c>
      <c r="T5544" s="1">
        <v>1.00609393E8</v>
      </c>
      <c r="W5544" s="1" t="s">
        <v>56</v>
      </c>
      <c r="X5544" s="1" t="s">
        <v>10615</v>
      </c>
    </row>
    <row r="5545">
      <c r="A5545" s="1" t="s">
        <v>15381</v>
      </c>
      <c r="B5545" s="1" t="s">
        <v>9832</v>
      </c>
      <c r="C5545" s="1" t="s">
        <v>15382</v>
      </c>
      <c r="D5545" s="1" t="s">
        <v>28</v>
      </c>
      <c r="E5545" s="1" t="s">
        <v>29</v>
      </c>
      <c r="F5545" s="5">
        <v>10000.0</v>
      </c>
      <c r="G5545" s="1" t="s">
        <v>7016</v>
      </c>
      <c r="H5545" s="1" t="s">
        <v>9129</v>
      </c>
      <c r="I5545" s="1" t="s">
        <v>152</v>
      </c>
      <c r="K5545" s="1">
        <v>0.0</v>
      </c>
      <c r="L5545" s="1" t="s">
        <v>557</v>
      </c>
      <c r="M5545" s="1" t="str">
        <f>VLOOKUP(L5545,'Copy of PMD Workday Constants -'!B5544:W6230,22,false)</f>
        <v>#N/A</v>
      </c>
      <c r="N5545" s="1" t="s">
        <v>32</v>
      </c>
      <c r="O5545" s="1" t="s">
        <v>33</v>
      </c>
      <c r="P5545" s="1" t="s">
        <v>173</v>
      </c>
      <c r="Q5545" s="1" t="s">
        <v>173</v>
      </c>
      <c r="R5545" s="1" t="s">
        <v>174</v>
      </c>
      <c r="S5545" s="1" t="s">
        <v>612</v>
      </c>
      <c r="T5545" s="1">
        <v>1.00700761E8</v>
      </c>
      <c r="W5545" s="1" t="s">
        <v>147</v>
      </c>
      <c r="X5545" s="1" t="s">
        <v>1550</v>
      </c>
    </row>
    <row r="5546">
      <c r="A5546" s="1" t="s">
        <v>15383</v>
      </c>
      <c r="B5546" s="1" t="s">
        <v>1984</v>
      </c>
      <c r="C5546" s="1" t="s">
        <v>15384</v>
      </c>
      <c r="D5546" s="1" t="s">
        <v>51</v>
      </c>
      <c r="E5546" s="1" t="s">
        <v>29</v>
      </c>
      <c r="F5546" s="5">
        <v>10000.0</v>
      </c>
      <c r="G5546" s="1" t="s">
        <v>7016</v>
      </c>
      <c r="H5546" s="4">
        <v>43651.0</v>
      </c>
      <c r="I5546" s="1" t="s">
        <v>758</v>
      </c>
      <c r="K5546" s="1">
        <v>0.0</v>
      </c>
      <c r="L5546" s="1" t="s">
        <v>2097</v>
      </c>
      <c r="M5546" s="1" t="str">
        <f>VLOOKUP(L5546,'Copy of PMD Workday Constants -'!B5545:W6231,22,false)</f>
        <v>#N/A</v>
      </c>
      <c r="N5546" s="1" t="s">
        <v>32</v>
      </c>
      <c r="O5546" s="1" t="s">
        <v>33</v>
      </c>
      <c r="P5546" s="1" t="s">
        <v>82</v>
      </c>
      <c r="Q5546" s="1" t="s">
        <v>82</v>
      </c>
      <c r="R5546" s="1" t="s">
        <v>83</v>
      </c>
      <c r="S5546" s="1" t="s">
        <v>15385</v>
      </c>
      <c r="T5546" s="1">
        <v>1.00619607E8</v>
      </c>
      <c r="W5546" s="1" t="s">
        <v>2098</v>
      </c>
      <c r="X5546" s="1" t="s">
        <v>15386</v>
      </c>
    </row>
    <row r="5547">
      <c r="A5547" s="1" t="s">
        <v>15387</v>
      </c>
      <c r="B5547" s="1" t="s">
        <v>324</v>
      </c>
      <c r="C5547" s="1" t="s">
        <v>15388</v>
      </c>
      <c r="D5547" s="1" t="s">
        <v>28</v>
      </c>
      <c r="E5547" s="1" t="s">
        <v>29</v>
      </c>
      <c r="F5547" s="5">
        <v>10000.0</v>
      </c>
      <c r="G5547" s="1" t="s">
        <v>7016</v>
      </c>
      <c r="H5547" s="1" t="s">
        <v>405</v>
      </c>
      <c r="I5547" s="1" t="s">
        <v>1369</v>
      </c>
      <c r="K5547" s="1">
        <v>0.0</v>
      </c>
      <c r="L5547" s="1" t="s">
        <v>1674</v>
      </c>
      <c r="M5547" s="1" t="str">
        <f>VLOOKUP(L5547,'Copy of PMD Workday Constants -'!B5546:W6232,22,false)</f>
        <v>#N/A</v>
      </c>
      <c r="N5547" s="1" t="s">
        <v>32</v>
      </c>
      <c r="O5547" s="1" t="s">
        <v>33</v>
      </c>
      <c r="P5547" s="1" t="s">
        <v>210</v>
      </c>
      <c r="Q5547" s="1" t="s">
        <v>210</v>
      </c>
      <c r="R5547" s="1" t="s">
        <v>211</v>
      </c>
      <c r="S5547" s="1" t="s">
        <v>212</v>
      </c>
      <c r="T5547" s="1">
        <v>1.00648421E8</v>
      </c>
      <c r="W5547" s="1" t="s">
        <v>56</v>
      </c>
      <c r="X5547" s="1" t="s">
        <v>15389</v>
      </c>
    </row>
    <row r="5548">
      <c r="A5548" s="1" t="s">
        <v>15390</v>
      </c>
      <c r="B5548" s="1" t="s">
        <v>15391</v>
      </c>
      <c r="C5548" s="1" t="s">
        <v>15392</v>
      </c>
      <c r="D5548" s="1" t="s">
        <v>103</v>
      </c>
      <c r="E5548" s="1" t="s">
        <v>29</v>
      </c>
      <c r="F5548" s="5">
        <v>10000.0</v>
      </c>
      <c r="G5548" s="1" t="s">
        <v>7016</v>
      </c>
      <c r="H5548" s="4">
        <v>44565.0</v>
      </c>
      <c r="I5548" s="1" t="s">
        <v>302</v>
      </c>
      <c r="K5548" s="1">
        <v>0.0</v>
      </c>
      <c r="L5548" s="1" t="s">
        <v>11159</v>
      </c>
      <c r="M5548" s="1" t="str">
        <f>VLOOKUP(L5548,'Copy of PMD Workday Constants -'!B5547:W6233,22,false)</f>
        <v>#N/A</v>
      </c>
      <c r="N5548" s="1" t="s">
        <v>32</v>
      </c>
      <c r="O5548" s="1" t="s">
        <v>33</v>
      </c>
      <c r="P5548" s="1" t="s">
        <v>222</v>
      </c>
      <c r="Q5548" s="1" t="s">
        <v>222</v>
      </c>
      <c r="R5548" s="1" t="s">
        <v>223</v>
      </c>
      <c r="S5548" s="1" t="s">
        <v>482</v>
      </c>
      <c r="T5548" s="1">
        <v>1.00602248E8</v>
      </c>
      <c r="W5548" s="1" t="s">
        <v>2098</v>
      </c>
      <c r="X5548" s="1" t="s">
        <v>15393</v>
      </c>
    </row>
    <row r="5549">
      <c r="A5549" s="1" t="s">
        <v>15394</v>
      </c>
      <c r="B5549" s="1" t="s">
        <v>2129</v>
      </c>
      <c r="C5549" s="1" t="s">
        <v>15395</v>
      </c>
      <c r="D5549" s="1" t="s">
        <v>28</v>
      </c>
      <c r="E5549" s="1" t="s">
        <v>29</v>
      </c>
      <c r="F5549" s="5">
        <v>10000.0</v>
      </c>
      <c r="G5549" s="1" t="s">
        <v>7016</v>
      </c>
      <c r="H5549" s="1" t="s">
        <v>4864</v>
      </c>
      <c r="I5549" s="1" t="s">
        <v>43</v>
      </c>
      <c r="K5549" s="1">
        <v>0.0</v>
      </c>
      <c r="L5549" s="1" t="s">
        <v>11159</v>
      </c>
      <c r="M5549" s="1" t="str">
        <f>VLOOKUP(L5549,'Copy of PMD Workday Constants -'!B5548:W6234,22,false)</f>
        <v>#N/A</v>
      </c>
      <c r="N5549" s="1" t="s">
        <v>32</v>
      </c>
      <c r="O5549" s="1" t="s">
        <v>33</v>
      </c>
      <c r="P5549" s="1" t="s">
        <v>222</v>
      </c>
      <c r="Q5549" s="1" t="s">
        <v>222</v>
      </c>
      <c r="R5549" s="1" t="s">
        <v>223</v>
      </c>
      <c r="S5549" s="1" t="s">
        <v>482</v>
      </c>
      <c r="T5549" s="1">
        <v>1.00602248E8</v>
      </c>
      <c r="W5549" s="1" t="s">
        <v>91</v>
      </c>
      <c r="X5549" s="1" t="s">
        <v>12989</v>
      </c>
    </row>
    <row r="5550">
      <c r="A5550" s="1" t="s">
        <v>15396</v>
      </c>
      <c r="B5550" s="1" t="s">
        <v>10713</v>
      </c>
      <c r="C5550" s="1" t="s">
        <v>15397</v>
      </c>
      <c r="D5550" s="1" t="s">
        <v>28</v>
      </c>
      <c r="E5550" s="1" t="s">
        <v>29</v>
      </c>
      <c r="F5550" s="5">
        <v>10000.0</v>
      </c>
      <c r="G5550" s="1" t="s">
        <v>7016</v>
      </c>
      <c r="H5550" s="1" t="s">
        <v>1161</v>
      </c>
      <c r="I5550" s="1" t="s">
        <v>152</v>
      </c>
      <c r="K5550" s="1">
        <v>0.0</v>
      </c>
      <c r="L5550" s="1" t="s">
        <v>7718</v>
      </c>
      <c r="M5550" s="1" t="str">
        <f>VLOOKUP(L5550,'Copy of PMD Workday Constants -'!B5549:W6235,22,false)</f>
        <v>#N/A</v>
      </c>
      <c r="N5550" s="1" t="s">
        <v>32</v>
      </c>
      <c r="O5550" s="1" t="s">
        <v>33</v>
      </c>
      <c r="P5550" s="1" t="s">
        <v>112</v>
      </c>
      <c r="Q5550" s="1" t="s">
        <v>112</v>
      </c>
      <c r="R5550" s="1" t="s">
        <v>113</v>
      </c>
      <c r="S5550" s="1" t="s">
        <v>134</v>
      </c>
      <c r="T5550" s="1">
        <v>1.00625107E8</v>
      </c>
      <c r="W5550" s="1" t="s">
        <v>74</v>
      </c>
      <c r="X5550" s="1" t="s">
        <v>977</v>
      </c>
    </row>
    <row r="5551">
      <c r="A5551" s="1" t="s">
        <v>15398</v>
      </c>
      <c r="B5551" s="1" t="s">
        <v>15399</v>
      </c>
      <c r="C5551" s="1" t="s">
        <v>15400</v>
      </c>
      <c r="D5551" s="1" t="s">
        <v>28</v>
      </c>
      <c r="E5551" s="1" t="s">
        <v>29</v>
      </c>
      <c r="F5551" s="5">
        <v>10000.0</v>
      </c>
      <c r="G5551" s="1" t="s">
        <v>7016</v>
      </c>
      <c r="H5551" s="1" t="s">
        <v>15401</v>
      </c>
      <c r="I5551" s="1" t="s">
        <v>104</v>
      </c>
      <c r="K5551" s="1">
        <v>0.0</v>
      </c>
      <c r="L5551" s="1" t="s">
        <v>2602</v>
      </c>
      <c r="M5551" s="1" t="str">
        <f>VLOOKUP(L5551,'Copy of PMD Workday Constants -'!B5550:W6236,22,false)</f>
        <v>#N/A</v>
      </c>
      <c r="N5551" s="1" t="s">
        <v>32</v>
      </c>
      <c r="O5551" s="1" t="s">
        <v>33</v>
      </c>
      <c r="P5551" s="1" t="s">
        <v>173</v>
      </c>
      <c r="Q5551" s="1" t="s">
        <v>173</v>
      </c>
      <c r="R5551" s="1" t="s">
        <v>174</v>
      </c>
      <c r="S5551" s="1" t="s">
        <v>383</v>
      </c>
      <c r="T5551" s="1">
        <v>1.00611351E8</v>
      </c>
      <c r="W5551" s="1" t="s">
        <v>115</v>
      </c>
      <c r="X5551" s="1" t="s">
        <v>2914</v>
      </c>
    </row>
    <row r="5552">
      <c r="A5552" s="1" t="s">
        <v>15402</v>
      </c>
      <c r="B5552" s="1" t="s">
        <v>12287</v>
      </c>
      <c r="C5552" s="1" t="s">
        <v>15403</v>
      </c>
      <c r="D5552" s="1" t="s">
        <v>51</v>
      </c>
      <c r="E5552" s="1" t="s">
        <v>29</v>
      </c>
      <c r="F5552" s="5">
        <v>10000.0</v>
      </c>
      <c r="G5552" s="1" t="s">
        <v>7016</v>
      </c>
      <c r="H5552" s="1" t="s">
        <v>3998</v>
      </c>
      <c r="I5552" s="1" t="s">
        <v>191</v>
      </c>
      <c r="K5552" s="1">
        <v>0.0</v>
      </c>
      <c r="L5552" s="1" t="s">
        <v>15404</v>
      </c>
      <c r="M5552" s="1" t="str">
        <f>VLOOKUP(L5552,'Copy of PMD Workday Constants -'!B5551:W6237,22,false)</f>
        <v>#N/A</v>
      </c>
      <c r="N5552" s="1" t="s">
        <v>32</v>
      </c>
      <c r="O5552" s="1" t="s">
        <v>33</v>
      </c>
      <c r="P5552" s="1" t="s">
        <v>5253</v>
      </c>
      <c r="Q5552" s="1" t="s">
        <v>5253</v>
      </c>
      <c r="R5552" s="1" t="s">
        <v>65</v>
      </c>
      <c r="T5552" s="1">
        <v>1.0059329E8</v>
      </c>
      <c r="W5552" s="1" t="s">
        <v>147</v>
      </c>
      <c r="X5552" s="1" t="s">
        <v>15404</v>
      </c>
    </row>
    <row r="5553">
      <c r="A5553" s="1" t="s">
        <v>15405</v>
      </c>
      <c r="B5553" s="1" t="s">
        <v>15406</v>
      </c>
      <c r="C5553" s="1" t="s">
        <v>15407</v>
      </c>
      <c r="D5553" s="1" t="s">
        <v>51</v>
      </c>
      <c r="E5553" s="1" t="s">
        <v>29</v>
      </c>
      <c r="F5553" s="5">
        <v>10000.0</v>
      </c>
      <c r="G5553" s="1" t="s">
        <v>7016</v>
      </c>
      <c r="H5553" s="1" t="s">
        <v>301</v>
      </c>
      <c r="I5553" s="4">
        <v>44686.0</v>
      </c>
      <c r="K5553" s="1">
        <v>0.0</v>
      </c>
      <c r="L5553" s="1" t="s">
        <v>8293</v>
      </c>
      <c r="M5553" s="1" t="str">
        <f>VLOOKUP(L5553,'Copy of PMD Workday Constants -'!B5552:W6238,22,false)</f>
        <v>#N/A</v>
      </c>
      <c r="N5553" s="1" t="s">
        <v>32</v>
      </c>
      <c r="O5553" s="1" t="s">
        <v>33</v>
      </c>
      <c r="P5553" s="1" t="s">
        <v>5253</v>
      </c>
      <c r="Q5553" s="1" t="s">
        <v>5253</v>
      </c>
      <c r="R5553" s="1" t="s">
        <v>65</v>
      </c>
      <c r="T5553" s="1">
        <v>1.00591676E8</v>
      </c>
      <c r="U5553" s="1" t="s">
        <v>15408</v>
      </c>
      <c r="V5553" s="1" t="s">
        <v>187</v>
      </c>
      <c r="W5553" s="1" t="s">
        <v>56</v>
      </c>
      <c r="X5553" s="1" t="s">
        <v>13309</v>
      </c>
    </row>
    <row r="5554">
      <c r="A5554" s="1" t="s">
        <v>15409</v>
      </c>
      <c r="B5554" s="1" t="s">
        <v>7145</v>
      </c>
      <c r="C5554" s="1" t="s">
        <v>15410</v>
      </c>
      <c r="D5554" s="1" t="s">
        <v>103</v>
      </c>
      <c r="E5554" s="1" t="s">
        <v>29</v>
      </c>
      <c r="F5554" s="5">
        <v>10000.0</v>
      </c>
      <c r="G5554" s="1" t="s">
        <v>7016</v>
      </c>
      <c r="H5554" s="4">
        <v>44657.0</v>
      </c>
      <c r="I5554" s="4">
        <v>44748.0</v>
      </c>
      <c r="K5554" s="1">
        <v>0.0</v>
      </c>
      <c r="L5554" s="1" t="s">
        <v>5184</v>
      </c>
      <c r="M5554" s="1" t="str">
        <f>VLOOKUP(L5554,'Copy of PMD Workday Constants -'!B5553:W6239,22,false)</f>
        <v>#N/A</v>
      </c>
      <c r="N5554" s="1" t="s">
        <v>32</v>
      </c>
      <c r="O5554" s="1" t="s">
        <v>33</v>
      </c>
      <c r="P5554" s="1" t="s">
        <v>64</v>
      </c>
      <c r="Q5554" s="1" t="s">
        <v>64</v>
      </c>
      <c r="R5554" s="1" t="s">
        <v>65</v>
      </c>
      <c r="S5554" s="1" t="s">
        <v>791</v>
      </c>
      <c r="T5554" s="1">
        <v>1.00568413E8</v>
      </c>
      <c r="W5554" s="1" t="s">
        <v>85</v>
      </c>
      <c r="X5554" s="1" t="s">
        <v>5184</v>
      </c>
    </row>
    <row r="5555">
      <c r="A5555" s="1" t="s">
        <v>15411</v>
      </c>
      <c r="B5555" s="1" t="s">
        <v>13140</v>
      </c>
      <c r="C5555" s="1" t="s">
        <v>15412</v>
      </c>
      <c r="D5555" s="1" t="s">
        <v>28</v>
      </c>
      <c r="E5555" s="1" t="s">
        <v>29</v>
      </c>
      <c r="F5555" s="5">
        <v>10000.0</v>
      </c>
      <c r="G5555" s="1" t="s">
        <v>7016</v>
      </c>
      <c r="H5555" s="1" t="s">
        <v>363</v>
      </c>
      <c r="I5555" s="1" t="s">
        <v>43</v>
      </c>
      <c r="K5555" s="1">
        <v>0.0</v>
      </c>
      <c r="L5555" s="1" t="s">
        <v>13363</v>
      </c>
      <c r="M5555" s="1" t="str">
        <f>VLOOKUP(L5555,'Copy of PMD Workday Constants -'!B5554:W6240,22,false)</f>
        <v>#N/A</v>
      </c>
      <c r="N5555" s="1" t="s">
        <v>32</v>
      </c>
      <c r="O5555" s="1" t="s">
        <v>33</v>
      </c>
      <c r="P5555" s="1" t="s">
        <v>222</v>
      </c>
      <c r="Q5555" s="1" t="s">
        <v>222</v>
      </c>
      <c r="R5555" s="1" t="s">
        <v>223</v>
      </c>
      <c r="T5555" s="1">
        <v>1.00646528E8</v>
      </c>
      <c r="W5555" s="1" t="s">
        <v>74</v>
      </c>
      <c r="X5555" s="1" t="s">
        <v>1692</v>
      </c>
    </row>
    <row r="5556">
      <c r="A5556" s="1" t="s">
        <v>15413</v>
      </c>
      <c r="B5556" s="1" t="s">
        <v>15414</v>
      </c>
      <c r="C5556" s="1" t="s">
        <v>14338</v>
      </c>
      <c r="D5556" s="1" t="s">
        <v>103</v>
      </c>
      <c r="E5556" s="1" t="s">
        <v>29</v>
      </c>
      <c r="F5556" s="5">
        <v>10000.0</v>
      </c>
      <c r="G5556" s="1" t="s">
        <v>7016</v>
      </c>
      <c r="H5556" s="4">
        <v>44748.0</v>
      </c>
      <c r="I5556" s="4">
        <v>44840.0</v>
      </c>
      <c r="K5556" s="1">
        <v>0.0</v>
      </c>
      <c r="L5556" s="1" t="s">
        <v>5558</v>
      </c>
      <c r="M5556" s="1" t="str">
        <f>VLOOKUP(L5556,'Copy of PMD Workday Constants -'!B5555:W6241,22,false)</f>
        <v>#N/A</v>
      </c>
      <c r="N5556" s="1" t="s">
        <v>32</v>
      </c>
      <c r="O5556" s="1" t="s">
        <v>33</v>
      </c>
      <c r="P5556" s="1" t="s">
        <v>222</v>
      </c>
      <c r="Q5556" s="1" t="s">
        <v>222</v>
      </c>
      <c r="R5556" s="1" t="s">
        <v>223</v>
      </c>
      <c r="S5556" s="1" t="s">
        <v>482</v>
      </c>
      <c r="T5556" s="1">
        <v>1.00652479E8</v>
      </c>
      <c r="W5556" s="1" t="s">
        <v>250</v>
      </c>
      <c r="X5556" s="1" t="s">
        <v>10875</v>
      </c>
    </row>
    <row r="5557">
      <c r="A5557" s="1" t="s">
        <v>15415</v>
      </c>
      <c r="B5557" s="1" t="s">
        <v>15416</v>
      </c>
      <c r="C5557" s="1" t="s">
        <v>15417</v>
      </c>
      <c r="D5557" s="1" t="s">
        <v>51</v>
      </c>
      <c r="E5557" s="1" t="s">
        <v>29</v>
      </c>
      <c r="F5557" s="5">
        <v>10000.0</v>
      </c>
      <c r="G5557" s="1" t="s">
        <v>7016</v>
      </c>
      <c r="H5557" s="4">
        <v>44326.0</v>
      </c>
      <c r="I5557" s="1" t="s">
        <v>302</v>
      </c>
      <c r="K5557" s="1">
        <v>0.0</v>
      </c>
      <c r="L5557" s="1" t="s">
        <v>11159</v>
      </c>
      <c r="M5557" s="1" t="str">
        <f>VLOOKUP(L5557,'Copy of PMD Workday Constants -'!B5556:W6242,22,false)</f>
        <v>#N/A</v>
      </c>
      <c r="N5557" s="1" t="s">
        <v>32</v>
      </c>
      <c r="O5557" s="1" t="s">
        <v>33</v>
      </c>
      <c r="P5557" s="1" t="s">
        <v>222</v>
      </c>
      <c r="Q5557" s="1" t="s">
        <v>222</v>
      </c>
      <c r="R5557" s="1" t="s">
        <v>223</v>
      </c>
      <c r="S5557" s="1" t="s">
        <v>482</v>
      </c>
      <c r="T5557" s="1">
        <v>1.00602248E8</v>
      </c>
      <c r="W5557" s="1" t="s">
        <v>85</v>
      </c>
      <c r="X5557" s="1" t="s">
        <v>12065</v>
      </c>
    </row>
    <row r="5558">
      <c r="A5558" s="1" t="s">
        <v>15418</v>
      </c>
      <c r="B5558" s="1" t="s">
        <v>10037</v>
      </c>
      <c r="C5558" s="1" t="s">
        <v>15419</v>
      </c>
      <c r="D5558" s="1" t="s">
        <v>28</v>
      </c>
      <c r="E5558" s="1" t="s">
        <v>29</v>
      </c>
      <c r="F5558" s="5">
        <v>10000.0</v>
      </c>
      <c r="G5558" s="1" t="s">
        <v>7016</v>
      </c>
      <c r="H5558" s="1" t="s">
        <v>1134</v>
      </c>
      <c r="I5558" s="1" t="s">
        <v>104</v>
      </c>
      <c r="K5558" s="1">
        <v>0.0</v>
      </c>
      <c r="L5558" s="1" t="s">
        <v>15420</v>
      </c>
      <c r="M5558" s="1" t="str">
        <f>VLOOKUP(L5558,'Copy of PMD Workday Constants -'!B5557:W6243,22,false)</f>
        <v>#N/A</v>
      </c>
      <c r="N5558" s="1" t="s">
        <v>32</v>
      </c>
      <c r="O5558" s="1" t="s">
        <v>33</v>
      </c>
      <c r="P5558" s="1" t="s">
        <v>222</v>
      </c>
      <c r="Q5558" s="1" t="s">
        <v>222</v>
      </c>
      <c r="R5558" s="1" t="s">
        <v>223</v>
      </c>
      <c r="T5558" s="1">
        <v>1.00691676E8</v>
      </c>
      <c r="W5558" s="1" t="s">
        <v>1303</v>
      </c>
      <c r="X5558" s="1" t="s">
        <v>7550</v>
      </c>
    </row>
    <row r="5559">
      <c r="A5559" s="1" t="s">
        <v>15421</v>
      </c>
      <c r="B5559" s="1" t="s">
        <v>5369</v>
      </c>
      <c r="C5559" s="1" t="s">
        <v>15422</v>
      </c>
      <c r="D5559" s="1" t="s">
        <v>51</v>
      </c>
      <c r="E5559" s="1" t="s">
        <v>29</v>
      </c>
      <c r="F5559" s="5">
        <v>10000.0</v>
      </c>
      <c r="G5559" s="1" t="s">
        <v>7016</v>
      </c>
      <c r="H5559" s="1" t="s">
        <v>1134</v>
      </c>
      <c r="I5559" s="1" t="s">
        <v>152</v>
      </c>
      <c r="K5559" s="1">
        <v>0.0</v>
      </c>
      <c r="L5559" s="1" t="s">
        <v>2478</v>
      </c>
      <c r="M5559" s="1" t="str">
        <f>VLOOKUP(L5559,'Copy of PMD Workday Constants -'!B5558:W6244,22,false)</f>
        <v>#N/A</v>
      </c>
      <c r="N5559" s="1" t="s">
        <v>32</v>
      </c>
      <c r="O5559" s="1" t="s">
        <v>33</v>
      </c>
      <c r="P5559" s="1" t="s">
        <v>112</v>
      </c>
      <c r="Q5559" s="1" t="s">
        <v>112</v>
      </c>
      <c r="R5559" s="1" t="s">
        <v>113</v>
      </c>
      <c r="T5559" s="1">
        <v>1.00628649E8</v>
      </c>
      <c r="W5559" s="1" t="s">
        <v>74</v>
      </c>
      <c r="X5559" s="1" t="s">
        <v>7550</v>
      </c>
    </row>
    <row r="5560">
      <c r="A5560" s="1" t="s">
        <v>15423</v>
      </c>
      <c r="B5560" s="1" t="s">
        <v>7174</v>
      </c>
      <c r="C5560" s="1" t="s">
        <v>15424</v>
      </c>
      <c r="D5560" s="1" t="s">
        <v>28</v>
      </c>
      <c r="E5560" s="1" t="s">
        <v>29</v>
      </c>
      <c r="F5560" s="5">
        <v>10000.0</v>
      </c>
      <c r="G5560" s="1" t="s">
        <v>7016</v>
      </c>
      <c r="H5560" s="4">
        <v>44385.0</v>
      </c>
      <c r="I5560" s="1" t="s">
        <v>8093</v>
      </c>
      <c r="K5560" s="1">
        <v>0.0</v>
      </c>
      <c r="L5560" s="1" t="s">
        <v>956</v>
      </c>
      <c r="M5560" s="1" t="str">
        <f>VLOOKUP(L5560,'Copy of PMD Workday Constants -'!B5559:W6245,22,false)</f>
        <v>#N/A</v>
      </c>
      <c r="N5560" s="1" t="s">
        <v>32</v>
      </c>
      <c r="O5560" s="1" t="s">
        <v>33</v>
      </c>
      <c r="P5560" s="1" t="s">
        <v>173</v>
      </c>
      <c r="Q5560" s="1" t="s">
        <v>173</v>
      </c>
      <c r="R5560" s="1" t="s">
        <v>174</v>
      </c>
      <c r="S5560" s="1" t="s">
        <v>612</v>
      </c>
      <c r="T5560" s="1">
        <v>1.00623421E8</v>
      </c>
      <c r="W5560" s="1" t="s">
        <v>140</v>
      </c>
      <c r="X5560" s="1" t="s">
        <v>4463</v>
      </c>
    </row>
    <row r="5561">
      <c r="A5561" s="1" t="s">
        <v>15425</v>
      </c>
      <c r="B5561" s="1" t="s">
        <v>6888</v>
      </c>
      <c r="C5561" s="1" t="s">
        <v>15426</v>
      </c>
      <c r="D5561" s="1" t="s">
        <v>51</v>
      </c>
      <c r="E5561" s="1" t="s">
        <v>29</v>
      </c>
      <c r="F5561" s="5">
        <v>10000.0</v>
      </c>
      <c r="G5561" s="1" t="s">
        <v>7016</v>
      </c>
      <c r="H5561" s="4">
        <v>44594.0</v>
      </c>
      <c r="I5561" s="1" t="s">
        <v>217</v>
      </c>
      <c r="K5561" s="1">
        <v>0.0</v>
      </c>
      <c r="L5561" s="1" t="s">
        <v>1534</v>
      </c>
      <c r="M5561" s="1" t="str">
        <f>VLOOKUP(L5561,'Copy of PMD Workday Constants -'!B5560:W6246,22,false)</f>
        <v>#N/A</v>
      </c>
      <c r="N5561" s="1" t="s">
        <v>32</v>
      </c>
      <c r="O5561" s="1" t="s">
        <v>33</v>
      </c>
      <c r="P5561" s="1" t="s">
        <v>82</v>
      </c>
      <c r="Q5561" s="1" t="s">
        <v>82</v>
      </c>
      <c r="R5561" s="1" t="s">
        <v>83</v>
      </c>
      <c r="S5561" s="1" t="s">
        <v>13793</v>
      </c>
      <c r="T5561" s="1">
        <v>1.00618842E8</v>
      </c>
      <c r="W5561" s="1" t="s">
        <v>85</v>
      </c>
      <c r="X5561" s="1" t="s">
        <v>7862</v>
      </c>
    </row>
    <row r="5562">
      <c r="A5562" s="1" t="s">
        <v>15427</v>
      </c>
      <c r="B5562" s="1" t="s">
        <v>458</v>
      </c>
      <c r="C5562" s="1" t="s">
        <v>15428</v>
      </c>
      <c r="D5562" s="1" t="s">
        <v>103</v>
      </c>
      <c r="E5562" s="1" t="s">
        <v>29</v>
      </c>
      <c r="F5562" s="5">
        <v>10000.0</v>
      </c>
      <c r="G5562" s="1" t="s">
        <v>7016</v>
      </c>
      <c r="H5562" s="1" t="s">
        <v>170</v>
      </c>
      <c r="I5562" s="1" t="s">
        <v>104</v>
      </c>
      <c r="K5562" s="1">
        <v>0.0</v>
      </c>
      <c r="L5562" s="1" t="s">
        <v>15429</v>
      </c>
      <c r="M5562" s="1" t="str">
        <f>VLOOKUP(L5562,'Copy of PMD Workday Constants -'!B5561:W6247,22,false)</f>
        <v>#N/A</v>
      </c>
      <c r="N5562" s="1" t="s">
        <v>32</v>
      </c>
      <c r="O5562" s="1" t="s">
        <v>33</v>
      </c>
      <c r="P5562" s="1" t="s">
        <v>210</v>
      </c>
      <c r="Q5562" s="1" t="s">
        <v>210</v>
      </c>
      <c r="R5562" s="1" t="s">
        <v>211</v>
      </c>
      <c r="S5562" s="1" t="s">
        <v>4328</v>
      </c>
      <c r="T5562" s="1">
        <v>1.00661023E8</v>
      </c>
      <c r="W5562" s="1" t="s">
        <v>56</v>
      </c>
      <c r="X5562" s="1" t="s">
        <v>10615</v>
      </c>
    </row>
    <row r="5563">
      <c r="A5563" s="1" t="s">
        <v>15430</v>
      </c>
      <c r="B5563" s="1" t="s">
        <v>5634</v>
      </c>
      <c r="C5563" s="1" t="s">
        <v>15431</v>
      </c>
      <c r="D5563" s="1" t="s">
        <v>103</v>
      </c>
      <c r="E5563" s="1" t="s">
        <v>29</v>
      </c>
      <c r="F5563" s="5">
        <v>10000.0</v>
      </c>
      <c r="G5563" s="1" t="s">
        <v>7016</v>
      </c>
      <c r="H5563" s="4">
        <v>44654.0</v>
      </c>
      <c r="I5563" s="1" t="s">
        <v>302</v>
      </c>
      <c r="K5563" s="1">
        <v>0.0</v>
      </c>
      <c r="L5563" s="1" t="s">
        <v>11159</v>
      </c>
      <c r="M5563" s="1" t="str">
        <f>VLOOKUP(L5563,'Copy of PMD Workday Constants -'!B5562:W6248,22,false)</f>
        <v>#N/A</v>
      </c>
      <c r="N5563" s="1" t="s">
        <v>32</v>
      </c>
      <c r="O5563" s="1" t="s">
        <v>33</v>
      </c>
      <c r="P5563" s="1" t="s">
        <v>222</v>
      </c>
      <c r="Q5563" s="1" t="s">
        <v>222</v>
      </c>
      <c r="R5563" s="1" t="s">
        <v>223</v>
      </c>
      <c r="S5563" s="1" t="s">
        <v>482</v>
      </c>
      <c r="T5563" s="1">
        <v>1.00602248E8</v>
      </c>
      <c r="W5563" s="1" t="s">
        <v>436</v>
      </c>
      <c r="X5563" s="1" t="s">
        <v>12065</v>
      </c>
    </row>
    <row r="5564">
      <c r="A5564" s="1" t="s">
        <v>15432</v>
      </c>
      <c r="B5564" s="1" t="s">
        <v>13007</v>
      </c>
      <c r="C5564" s="1" t="s">
        <v>15433</v>
      </c>
      <c r="D5564" s="1" t="s">
        <v>51</v>
      </c>
      <c r="E5564" s="1" t="s">
        <v>29</v>
      </c>
      <c r="F5564" s="5">
        <v>10000.0</v>
      </c>
      <c r="G5564" s="1" t="s">
        <v>7016</v>
      </c>
      <c r="H5564" s="4">
        <v>44443.0</v>
      </c>
      <c r="I5564" s="1" t="s">
        <v>400</v>
      </c>
      <c r="K5564" s="1">
        <v>0.0</v>
      </c>
      <c r="L5564" s="1" t="s">
        <v>871</v>
      </c>
      <c r="M5564" s="1" t="str">
        <f>VLOOKUP(L5564,'Copy of PMD Workday Constants -'!B5563:W6249,22,false)</f>
        <v>#N/A</v>
      </c>
      <c r="N5564" s="1" t="s">
        <v>32</v>
      </c>
      <c r="O5564" s="1" t="s">
        <v>33</v>
      </c>
      <c r="P5564" s="1" t="s">
        <v>64</v>
      </c>
      <c r="Q5564" s="1" t="s">
        <v>64</v>
      </c>
      <c r="R5564" s="1" t="s">
        <v>65</v>
      </c>
      <c r="T5564" s="1">
        <v>1.00653785E8</v>
      </c>
      <c r="W5564" s="1" t="s">
        <v>37</v>
      </c>
      <c r="X5564" s="1" t="s">
        <v>5793</v>
      </c>
    </row>
    <row r="5565">
      <c r="A5565" s="1" t="s">
        <v>15434</v>
      </c>
      <c r="B5565" s="1" t="s">
        <v>4958</v>
      </c>
      <c r="C5565" s="1" t="s">
        <v>15435</v>
      </c>
      <c r="D5565" s="1" t="s">
        <v>79</v>
      </c>
      <c r="E5565" s="1" t="s">
        <v>29</v>
      </c>
      <c r="F5565" s="5">
        <v>10000.0</v>
      </c>
      <c r="G5565" s="1" t="s">
        <v>7016</v>
      </c>
      <c r="H5565" s="1" t="s">
        <v>1575</v>
      </c>
      <c r="I5565" s="1" t="s">
        <v>80</v>
      </c>
      <c r="K5565" s="1">
        <v>0.0</v>
      </c>
      <c r="L5565" s="1" t="s">
        <v>3728</v>
      </c>
      <c r="M5565" s="1" t="str">
        <f>VLOOKUP(L5565,'Copy of PMD Workday Constants -'!B5564:W6250,22,false)</f>
        <v>#N/A</v>
      </c>
      <c r="N5565" s="1" t="s">
        <v>32</v>
      </c>
      <c r="O5565" s="1" t="s">
        <v>33</v>
      </c>
      <c r="P5565" s="1" t="s">
        <v>222</v>
      </c>
      <c r="Q5565" s="1" t="s">
        <v>222</v>
      </c>
      <c r="R5565" s="1" t="s">
        <v>223</v>
      </c>
      <c r="S5565" s="1" t="s">
        <v>482</v>
      </c>
      <c r="T5565" s="1">
        <v>1.00638965E8</v>
      </c>
      <c r="W5565" s="1" t="s">
        <v>308</v>
      </c>
      <c r="X5565" s="1" t="s">
        <v>3728</v>
      </c>
    </row>
    <row r="5566">
      <c r="A5566" s="1" t="s">
        <v>15436</v>
      </c>
      <c r="B5566" s="1" t="s">
        <v>6488</v>
      </c>
      <c r="C5566" s="1" t="s">
        <v>15437</v>
      </c>
      <c r="D5566" s="1" t="s">
        <v>28</v>
      </c>
      <c r="E5566" s="1" t="s">
        <v>29</v>
      </c>
      <c r="F5566" s="5">
        <v>10000.0</v>
      </c>
      <c r="G5566" s="1" t="s">
        <v>7016</v>
      </c>
      <c r="H5566" s="1" t="s">
        <v>13553</v>
      </c>
      <c r="I5566" s="1" t="s">
        <v>1349</v>
      </c>
      <c r="K5566" s="1">
        <v>0.0</v>
      </c>
      <c r="L5566" s="1" t="s">
        <v>1344</v>
      </c>
      <c r="M5566" s="1" t="str">
        <f>VLOOKUP(L5566,'Copy of PMD Workday Constants -'!B5565:W6251,22,false)</f>
        <v>#N/A</v>
      </c>
      <c r="N5566" s="1" t="s">
        <v>32</v>
      </c>
      <c r="O5566" s="1" t="s">
        <v>33</v>
      </c>
      <c r="P5566" s="1" t="s">
        <v>112</v>
      </c>
      <c r="Q5566" s="1" t="s">
        <v>112</v>
      </c>
      <c r="R5566" s="1" t="s">
        <v>113</v>
      </c>
      <c r="S5566" s="1" t="s">
        <v>134</v>
      </c>
      <c r="T5566" s="1">
        <v>1.0061941E8</v>
      </c>
      <c r="W5566" s="1" t="s">
        <v>74</v>
      </c>
      <c r="X5566" s="1" t="s">
        <v>15438</v>
      </c>
    </row>
    <row r="5567">
      <c r="A5567" s="1" t="s">
        <v>15439</v>
      </c>
      <c r="B5567" s="1" t="s">
        <v>7881</v>
      </c>
      <c r="C5567" s="1" t="s">
        <v>13696</v>
      </c>
      <c r="D5567" s="1" t="s">
        <v>28</v>
      </c>
      <c r="E5567" s="1" t="s">
        <v>29</v>
      </c>
      <c r="F5567" s="5">
        <v>7524.08</v>
      </c>
      <c r="G5567" s="1" t="s">
        <v>7016</v>
      </c>
      <c r="H5567" s="4">
        <v>44867.0</v>
      </c>
      <c r="I5567" s="1" t="s">
        <v>80</v>
      </c>
      <c r="K5567" s="1">
        <v>0.0</v>
      </c>
      <c r="L5567" s="1" t="s">
        <v>5568</v>
      </c>
      <c r="M5567" s="1" t="str">
        <f>VLOOKUP(L5567,'Copy of PMD Workday Constants -'!B5566:W6252,22,false)</f>
        <v>#N/A</v>
      </c>
      <c r="N5567" s="1" t="s">
        <v>32</v>
      </c>
      <c r="O5567" s="1" t="s">
        <v>33</v>
      </c>
      <c r="P5567" s="1" t="s">
        <v>5253</v>
      </c>
      <c r="Q5567" s="1" t="s">
        <v>5253</v>
      </c>
      <c r="R5567" s="1" t="s">
        <v>65</v>
      </c>
      <c r="T5567" s="1">
        <v>1.00591095E8</v>
      </c>
      <c r="W5567" s="1" t="s">
        <v>147</v>
      </c>
      <c r="X5567" s="1" t="s">
        <v>7638</v>
      </c>
    </row>
    <row r="5568">
      <c r="A5568" s="1" t="s">
        <v>15440</v>
      </c>
      <c r="B5568" s="1" t="s">
        <v>15441</v>
      </c>
      <c r="C5568" s="1" t="s">
        <v>15442</v>
      </c>
      <c r="D5568" s="1" t="s">
        <v>51</v>
      </c>
      <c r="E5568" s="1" t="s">
        <v>29</v>
      </c>
      <c r="F5568" s="5">
        <v>7000.0</v>
      </c>
      <c r="G5568" s="1" t="s">
        <v>7016</v>
      </c>
      <c r="H5568" s="4">
        <v>44743.0</v>
      </c>
      <c r="I5568" s="1" t="s">
        <v>302</v>
      </c>
      <c r="K5568" s="1">
        <v>0.0</v>
      </c>
      <c r="L5568" s="1" t="s">
        <v>11159</v>
      </c>
      <c r="M5568" s="1" t="str">
        <f>VLOOKUP(L5568,'Copy of PMD Workday Constants -'!B5567:W6253,22,false)</f>
        <v>#N/A</v>
      </c>
      <c r="N5568" s="1" t="s">
        <v>32</v>
      </c>
      <c r="O5568" s="1" t="s">
        <v>33</v>
      </c>
      <c r="P5568" s="1" t="s">
        <v>222</v>
      </c>
      <c r="Q5568" s="1" t="s">
        <v>222</v>
      </c>
      <c r="R5568" s="1" t="s">
        <v>223</v>
      </c>
      <c r="S5568" s="1" t="s">
        <v>482</v>
      </c>
      <c r="T5568" s="1">
        <v>1.00602248E8</v>
      </c>
      <c r="W5568" s="1" t="s">
        <v>287</v>
      </c>
      <c r="X5568" s="1" t="s">
        <v>12989</v>
      </c>
    </row>
    <row r="5569">
      <c r="A5569" s="1" t="s">
        <v>15443</v>
      </c>
      <c r="B5569" s="1" t="s">
        <v>15444</v>
      </c>
      <c r="C5569" s="1" t="s">
        <v>15445</v>
      </c>
      <c r="D5569" s="1" t="s">
        <v>28</v>
      </c>
      <c r="E5569" s="1" t="s">
        <v>29</v>
      </c>
      <c r="F5569" s="5">
        <v>7000.0</v>
      </c>
      <c r="G5569" s="1" t="s">
        <v>7016</v>
      </c>
      <c r="H5569" s="1" t="s">
        <v>8808</v>
      </c>
      <c r="I5569" s="1" t="s">
        <v>43</v>
      </c>
      <c r="J5569" s="1" t="s">
        <v>15446</v>
      </c>
      <c r="K5569" s="1">
        <v>0.0</v>
      </c>
      <c r="L5569" s="1" t="s">
        <v>11159</v>
      </c>
      <c r="M5569" s="1" t="str">
        <f>VLOOKUP(L5569,'Copy of PMD Workday Constants -'!B5568:W6254,22,false)</f>
        <v>#N/A</v>
      </c>
      <c r="N5569" s="1" t="s">
        <v>32</v>
      </c>
      <c r="O5569" s="1" t="s">
        <v>33</v>
      </c>
      <c r="P5569" s="1" t="s">
        <v>222</v>
      </c>
      <c r="Q5569" s="1" t="s">
        <v>222</v>
      </c>
      <c r="R5569" s="1" t="s">
        <v>223</v>
      </c>
      <c r="S5569" s="1" t="s">
        <v>482</v>
      </c>
      <c r="T5569" s="1">
        <v>1.00602248E8</v>
      </c>
      <c r="W5569" s="1" t="s">
        <v>47</v>
      </c>
      <c r="X5569" s="1" t="s">
        <v>12989</v>
      </c>
    </row>
    <row r="5570">
      <c r="A5570" s="1" t="s">
        <v>15447</v>
      </c>
      <c r="B5570" s="1" t="s">
        <v>15448</v>
      </c>
      <c r="C5570" s="1" t="s">
        <v>15449</v>
      </c>
      <c r="D5570" s="1" t="s">
        <v>28</v>
      </c>
      <c r="E5570" s="1" t="s">
        <v>29</v>
      </c>
      <c r="F5570" s="5">
        <v>7000.0</v>
      </c>
      <c r="G5570" s="1" t="s">
        <v>7016</v>
      </c>
      <c r="H5570" s="4">
        <v>44355.0</v>
      </c>
      <c r="I5570" s="1" t="s">
        <v>43</v>
      </c>
      <c r="K5570" s="1">
        <v>0.0</v>
      </c>
      <c r="L5570" s="1" t="s">
        <v>11159</v>
      </c>
      <c r="M5570" s="1" t="str">
        <f>VLOOKUP(L5570,'Copy of PMD Workday Constants -'!B5569:W6255,22,false)</f>
        <v>#N/A</v>
      </c>
      <c r="N5570" s="1" t="s">
        <v>32</v>
      </c>
      <c r="O5570" s="1" t="s">
        <v>33</v>
      </c>
      <c r="P5570" s="1" t="s">
        <v>222</v>
      </c>
      <c r="Q5570" s="1" t="s">
        <v>222</v>
      </c>
      <c r="R5570" s="1" t="s">
        <v>223</v>
      </c>
      <c r="T5570" s="1">
        <v>1.00602248E8</v>
      </c>
      <c r="W5570" s="1" t="s">
        <v>140</v>
      </c>
      <c r="X5570" s="1" t="s">
        <v>12989</v>
      </c>
    </row>
    <row r="5571">
      <c r="A5571" s="1" t="s">
        <v>15450</v>
      </c>
      <c r="B5571" s="1" t="s">
        <v>15451</v>
      </c>
      <c r="C5571" s="1" t="s">
        <v>15452</v>
      </c>
      <c r="D5571" s="1" t="s">
        <v>28</v>
      </c>
      <c r="E5571" s="1" t="s">
        <v>29</v>
      </c>
      <c r="F5571" s="5">
        <v>7000.0</v>
      </c>
      <c r="G5571" s="1" t="s">
        <v>7016</v>
      </c>
      <c r="H5571" s="4">
        <v>44263.0</v>
      </c>
      <c r="I5571" s="1" t="s">
        <v>43</v>
      </c>
      <c r="K5571" s="1">
        <v>0.0</v>
      </c>
      <c r="L5571" s="1" t="s">
        <v>11159</v>
      </c>
      <c r="M5571" s="1" t="str">
        <f>VLOOKUP(L5571,'Copy of PMD Workday Constants -'!B5570:W6256,22,false)</f>
        <v>#N/A</v>
      </c>
      <c r="N5571" s="1" t="s">
        <v>32</v>
      </c>
      <c r="O5571" s="1" t="s">
        <v>33</v>
      </c>
      <c r="P5571" s="1" t="s">
        <v>222</v>
      </c>
      <c r="Q5571" s="1" t="s">
        <v>222</v>
      </c>
      <c r="R5571" s="1" t="s">
        <v>223</v>
      </c>
      <c r="T5571" s="1">
        <v>1.00602248E8</v>
      </c>
      <c r="W5571" s="1" t="s">
        <v>391</v>
      </c>
      <c r="X5571" s="1" t="s">
        <v>12989</v>
      </c>
    </row>
    <row r="5572">
      <c r="A5572" s="1" t="s">
        <v>15453</v>
      </c>
      <c r="B5572" s="1" t="s">
        <v>15454</v>
      </c>
      <c r="C5572" s="1" t="s">
        <v>15455</v>
      </c>
      <c r="D5572" s="1" t="s">
        <v>28</v>
      </c>
      <c r="E5572" s="1" t="s">
        <v>29</v>
      </c>
      <c r="F5572" s="5">
        <v>7000.0</v>
      </c>
      <c r="G5572" s="1" t="s">
        <v>7016</v>
      </c>
      <c r="H5572" s="1" t="s">
        <v>14053</v>
      </c>
      <c r="I5572" s="1" t="s">
        <v>43</v>
      </c>
      <c r="K5572" s="1">
        <v>0.0</v>
      </c>
      <c r="L5572" s="1" t="s">
        <v>11159</v>
      </c>
      <c r="M5572" s="1" t="str">
        <f>VLOOKUP(L5572,'Copy of PMD Workday Constants -'!B5571:W6257,22,false)</f>
        <v>#N/A</v>
      </c>
      <c r="N5572" s="1" t="s">
        <v>32</v>
      </c>
      <c r="O5572" s="1" t="s">
        <v>33</v>
      </c>
      <c r="P5572" s="1" t="s">
        <v>222</v>
      </c>
      <c r="Q5572" s="1" t="s">
        <v>222</v>
      </c>
      <c r="R5572" s="1" t="s">
        <v>223</v>
      </c>
      <c r="T5572" s="1">
        <v>1.00602248E8</v>
      </c>
      <c r="W5572" s="1" t="s">
        <v>287</v>
      </c>
      <c r="X5572" s="1" t="s">
        <v>12989</v>
      </c>
    </row>
    <row r="5573">
      <c r="A5573" s="1" t="s">
        <v>15456</v>
      </c>
      <c r="B5573" s="1" t="s">
        <v>15457</v>
      </c>
      <c r="C5573" s="1" t="s">
        <v>15458</v>
      </c>
      <c r="D5573" s="1" t="s">
        <v>51</v>
      </c>
      <c r="E5573" s="1" t="s">
        <v>29</v>
      </c>
      <c r="F5573" s="5">
        <v>7000.0</v>
      </c>
      <c r="G5573" s="1" t="s">
        <v>7016</v>
      </c>
      <c r="H5573" s="4">
        <v>44296.0</v>
      </c>
      <c r="I5573" s="1" t="s">
        <v>302</v>
      </c>
      <c r="K5573" s="1">
        <v>0.0</v>
      </c>
      <c r="L5573" s="1" t="s">
        <v>11159</v>
      </c>
      <c r="M5573" s="1" t="str">
        <f>VLOOKUP(L5573,'Copy of PMD Workday Constants -'!B5572:W6258,22,false)</f>
        <v>#N/A</v>
      </c>
      <c r="N5573" s="1" t="s">
        <v>32</v>
      </c>
      <c r="O5573" s="1" t="s">
        <v>33</v>
      </c>
      <c r="P5573" s="1" t="s">
        <v>222</v>
      </c>
      <c r="Q5573" s="1" t="s">
        <v>222</v>
      </c>
      <c r="R5573" s="1" t="s">
        <v>223</v>
      </c>
      <c r="S5573" s="1" t="s">
        <v>482</v>
      </c>
      <c r="T5573" s="1">
        <v>1.00602248E8</v>
      </c>
      <c r="W5573" s="1" t="s">
        <v>115</v>
      </c>
      <c r="X5573" s="1" t="s">
        <v>12065</v>
      </c>
    </row>
    <row r="5574">
      <c r="A5574" s="1" t="s">
        <v>15459</v>
      </c>
      <c r="B5574" s="1" t="s">
        <v>1596</v>
      </c>
      <c r="C5574" s="1" t="s">
        <v>15460</v>
      </c>
      <c r="D5574" s="1" t="s">
        <v>28</v>
      </c>
      <c r="E5574" s="1" t="s">
        <v>29</v>
      </c>
      <c r="F5574" s="5">
        <v>7000.0</v>
      </c>
      <c r="G5574" s="1" t="s">
        <v>7016</v>
      </c>
      <c r="H5574" s="4">
        <v>44713.0</v>
      </c>
      <c r="I5574" s="1" t="s">
        <v>302</v>
      </c>
      <c r="K5574" s="1">
        <v>0.0</v>
      </c>
      <c r="L5574" s="1" t="s">
        <v>11159</v>
      </c>
      <c r="M5574" s="1" t="str">
        <f>VLOOKUP(L5574,'Copy of PMD Workday Constants -'!B5573:W6259,22,false)</f>
        <v>#N/A</v>
      </c>
      <c r="N5574" s="1" t="s">
        <v>32</v>
      </c>
      <c r="O5574" s="1" t="s">
        <v>33</v>
      </c>
      <c r="P5574" s="1" t="s">
        <v>222</v>
      </c>
      <c r="Q5574" s="1" t="s">
        <v>222</v>
      </c>
      <c r="R5574" s="1" t="s">
        <v>223</v>
      </c>
      <c r="S5574" s="1" t="s">
        <v>482</v>
      </c>
      <c r="T5574" s="1">
        <v>1.00602248E8</v>
      </c>
      <c r="W5574" s="1" t="s">
        <v>74</v>
      </c>
      <c r="X5574" s="1" t="s">
        <v>12065</v>
      </c>
    </row>
    <row r="5575">
      <c r="A5575" s="1" t="s">
        <v>15461</v>
      </c>
      <c r="B5575" s="1" t="s">
        <v>15462</v>
      </c>
      <c r="C5575" s="1" t="s">
        <v>15463</v>
      </c>
      <c r="D5575" s="1" t="s">
        <v>103</v>
      </c>
      <c r="E5575" s="1" t="s">
        <v>29</v>
      </c>
      <c r="F5575" s="5">
        <v>6500.0</v>
      </c>
      <c r="G5575" s="1" t="s">
        <v>7016</v>
      </c>
      <c r="H5575" s="4">
        <v>44450.0</v>
      </c>
      <c r="I5575" s="1" t="s">
        <v>80</v>
      </c>
      <c r="K5575" s="1">
        <v>0.0</v>
      </c>
      <c r="L5575" s="1" t="s">
        <v>10207</v>
      </c>
      <c r="M5575" s="1" t="str">
        <f>VLOOKUP(L5575,'Copy of PMD Workday Constants -'!B5574:W6260,22,false)</f>
        <v>#N/A</v>
      </c>
      <c r="N5575" s="1" t="s">
        <v>32</v>
      </c>
      <c r="O5575" s="1" t="s">
        <v>33</v>
      </c>
      <c r="P5575" s="1" t="s">
        <v>222</v>
      </c>
      <c r="Q5575" s="1" t="s">
        <v>222</v>
      </c>
      <c r="R5575" s="1" t="s">
        <v>223</v>
      </c>
      <c r="S5575" s="1" t="s">
        <v>482</v>
      </c>
      <c r="T5575" s="1">
        <v>1.00612201E8</v>
      </c>
      <c r="W5575" s="1" t="s">
        <v>436</v>
      </c>
      <c r="X5575" s="1" t="s">
        <v>15464</v>
      </c>
    </row>
    <row r="5576">
      <c r="A5576" s="1" t="s">
        <v>15465</v>
      </c>
      <c r="B5576" s="1" t="s">
        <v>15466</v>
      </c>
      <c r="C5576" s="1" t="s">
        <v>15467</v>
      </c>
      <c r="D5576" s="1" t="s">
        <v>103</v>
      </c>
      <c r="E5576" s="1" t="s">
        <v>29</v>
      </c>
      <c r="F5576" s="5">
        <v>5000.0</v>
      </c>
      <c r="G5576" s="1" t="s">
        <v>7016</v>
      </c>
      <c r="H5576" s="1" t="s">
        <v>1785</v>
      </c>
      <c r="I5576" s="1" t="s">
        <v>810</v>
      </c>
      <c r="K5576" s="1">
        <v>0.0</v>
      </c>
      <c r="L5576" s="1" t="s">
        <v>11159</v>
      </c>
      <c r="M5576" s="1" t="str">
        <f>VLOOKUP(L5576,'Copy of PMD Workday Constants -'!B5575:W6261,22,false)</f>
        <v>#N/A</v>
      </c>
      <c r="N5576" s="1" t="s">
        <v>32</v>
      </c>
      <c r="O5576" s="1" t="s">
        <v>33</v>
      </c>
      <c r="P5576" s="1" t="s">
        <v>222</v>
      </c>
      <c r="Q5576" s="1" t="s">
        <v>222</v>
      </c>
      <c r="R5576" s="1" t="s">
        <v>223</v>
      </c>
      <c r="S5576" s="1" t="s">
        <v>482</v>
      </c>
      <c r="T5576" s="1">
        <v>1.00602248E8</v>
      </c>
      <c r="X5576" s="1" t="s">
        <v>817</v>
      </c>
    </row>
    <row r="5577">
      <c r="A5577" s="1" t="s">
        <v>15468</v>
      </c>
      <c r="B5577" s="1" t="s">
        <v>2912</v>
      </c>
      <c r="C5577" s="1" t="s">
        <v>15469</v>
      </c>
      <c r="D5577" s="1" t="s">
        <v>51</v>
      </c>
      <c r="E5577" s="1" t="s">
        <v>29</v>
      </c>
      <c r="F5577" s="5">
        <v>5000.0</v>
      </c>
      <c r="G5577" s="1" t="s">
        <v>7016</v>
      </c>
      <c r="H5577" s="4">
        <v>44288.0</v>
      </c>
      <c r="I5577" s="1" t="s">
        <v>104</v>
      </c>
      <c r="K5577" s="1">
        <v>0.0</v>
      </c>
      <c r="L5577" s="1" t="s">
        <v>2602</v>
      </c>
      <c r="M5577" s="1" t="str">
        <f>VLOOKUP(L5577,'Copy of PMD Workday Constants -'!B5576:W6262,22,false)</f>
        <v>#N/A</v>
      </c>
      <c r="N5577" s="1" t="s">
        <v>32</v>
      </c>
      <c r="O5577" s="1" t="s">
        <v>33</v>
      </c>
      <c r="P5577" s="1" t="s">
        <v>173</v>
      </c>
      <c r="Q5577" s="1" t="s">
        <v>173</v>
      </c>
      <c r="R5577" s="1" t="s">
        <v>174</v>
      </c>
      <c r="S5577" s="1" t="s">
        <v>383</v>
      </c>
      <c r="T5577" s="1">
        <v>1.00611351E8</v>
      </c>
      <c r="W5577" s="1" t="s">
        <v>1303</v>
      </c>
      <c r="X5577" s="1" t="s">
        <v>2914</v>
      </c>
    </row>
    <row r="5578">
      <c r="A5578" s="1" t="s">
        <v>15470</v>
      </c>
      <c r="B5578" s="1" t="s">
        <v>15471</v>
      </c>
      <c r="C5578" s="1" t="s">
        <v>15472</v>
      </c>
      <c r="D5578" s="1" t="s">
        <v>51</v>
      </c>
      <c r="E5578" s="1" t="s">
        <v>29</v>
      </c>
      <c r="F5578" s="5">
        <v>5000.0</v>
      </c>
      <c r="G5578" s="1" t="s">
        <v>7016</v>
      </c>
      <c r="H5578" s="1" t="s">
        <v>61</v>
      </c>
      <c r="I5578" s="1" t="s">
        <v>9015</v>
      </c>
      <c r="K5578" s="1">
        <v>0.0</v>
      </c>
      <c r="L5578" s="1" t="s">
        <v>9886</v>
      </c>
      <c r="M5578" s="1" t="str">
        <f>VLOOKUP(L5578,'Copy of PMD Workday Constants -'!B5577:W6263,22,false)</f>
        <v>#N/A</v>
      </c>
      <c r="N5578" s="1" t="s">
        <v>32</v>
      </c>
      <c r="O5578" s="1" t="s">
        <v>33</v>
      </c>
      <c r="P5578" s="1" t="s">
        <v>82</v>
      </c>
      <c r="Q5578" s="1" t="s">
        <v>82</v>
      </c>
      <c r="R5578" s="1" t="s">
        <v>83</v>
      </c>
      <c r="T5578" s="1">
        <v>1.00894269E8</v>
      </c>
      <c r="U5578" s="1" t="s">
        <v>15472</v>
      </c>
      <c r="V5578" s="1" t="s">
        <v>346</v>
      </c>
      <c r="W5578" s="1" t="s">
        <v>85</v>
      </c>
      <c r="X5578" s="1" t="s">
        <v>2311</v>
      </c>
    </row>
    <row r="5579">
      <c r="A5579" s="1" t="s">
        <v>15473</v>
      </c>
      <c r="B5579" s="1" t="s">
        <v>2461</v>
      </c>
      <c r="C5579" s="1" t="s">
        <v>15474</v>
      </c>
      <c r="D5579" s="1" t="s">
        <v>51</v>
      </c>
      <c r="E5579" s="1" t="s">
        <v>29</v>
      </c>
      <c r="F5579" s="5">
        <v>5000.0</v>
      </c>
      <c r="G5579" s="1" t="s">
        <v>7016</v>
      </c>
      <c r="H5579" s="4">
        <v>44297.0</v>
      </c>
      <c r="I5579" s="1" t="s">
        <v>302</v>
      </c>
      <c r="K5579" s="1">
        <v>0.0</v>
      </c>
      <c r="L5579" s="1" t="s">
        <v>1770</v>
      </c>
      <c r="M5579" s="1" t="str">
        <f>VLOOKUP(L5579,'Copy of PMD Workday Constants -'!B5578:W6264,22,false)</f>
        <v>#N/A</v>
      </c>
      <c r="N5579" s="1" t="s">
        <v>32</v>
      </c>
      <c r="O5579" s="1" t="s">
        <v>33</v>
      </c>
      <c r="P5579" s="1" t="s">
        <v>210</v>
      </c>
      <c r="Q5579" s="1" t="s">
        <v>210</v>
      </c>
      <c r="R5579" s="1" t="s">
        <v>211</v>
      </c>
      <c r="S5579" s="1" t="s">
        <v>1313</v>
      </c>
      <c r="T5579" s="1">
        <v>1.00593918E8</v>
      </c>
      <c r="W5579" s="1" t="s">
        <v>436</v>
      </c>
      <c r="X5579" s="1" t="s">
        <v>1511</v>
      </c>
    </row>
    <row r="5580">
      <c r="A5580" s="1" t="s">
        <v>15475</v>
      </c>
      <c r="B5580" s="1" t="s">
        <v>15476</v>
      </c>
      <c r="C5580" s="1" t="s">
        <v>15477</v>
      </c>
      <c r="D5580" s="1" t="s">
        <v>103</v>
      </c>
      <c r="E5580" s="1" t="s">
        <v>29</v>
      </c>
      <c r="F5580" s="5">
        <v>5000.0</v>
      </c>
      <c r="G5580" s="1" t="s">
        <v>7016</v>
      </c>
      <c r="H5580" s="1" t="s">
        <v>2484</v>
      </c>
      <c r="I5580" s="1" t="s">
        <v>865</v>
      </c>
      <c r="K5580" s="1">
        <v>0.0</v>
      </c>
      <c r="L5580" s="1" t="s">
        <v>11159</v>
      </c>
      <c r="M5580" s="1" t="str">
        <f>VLOOKUP(L5580,'Copy of PMD Workday Constants -'!B5579:W6265,22,false)</f>
        <v>#N/A</v>
      </c>
      <c r="N5580" s="1" t="s">
        <v>32</v>
      </c>
      <c r="O5580" s="1" t="s">
        <v>33</v>
      </c>
      <c r="P5580" s="1" t="s">
        <v>222</v>
      </c>
      <c r="Q5580" s="1" t="s">
        <v>222</v>
      </c>
      <c r="R5580" s="1" t="s">
        <v>223</v>
      </c>
      <c r="S5580" s="1" t="s">
        <v>601</v>
      </c>
      <c r="T5580" s="1">
        <v>1.00602248E8</v>
      </c>
      <c r="X5580" s="1" t="s">
        <v>817</v>
      </c>
    </row>
    <row r="5581">
      <c r="A5581" s="1" t="s">
        <v>15478</v>
      </c>
      <c r="B5581" s="1" t="s">
        <v>1062</v>
      </c>
      <c r="C5581" s="1" t="s">
        <v>15479</v>
      </c>
      <c r="D5581" s="1" t="s">
        <v>79</v>
      </c>
      <c r="E5581" s="1" t="s">
        <v>29</v>
      </c>
      <c r="F5581" s="5">
        <v>4500.0</v>
      </c>
      <c r="G5581" s="1" t="s">
        <v>7016</v>
      </c>
      <c r="H5581" s="1" t="s">
        <v>1455</v>
      </c>
      <c r="I5581" s="1" t="s">
        <v>132</v>
      </c>
      <c r="K5581" s="1">
        <v>0.0</v>
      </c>
      <c r="L5581" s="1" t="s">
        <v>11159</v>
      </c>
      <c r="M5581" s="1" t="str">
        <f>VLOOKUP(L5581,'Copy of PMD Workday Constants -'!B5580:W6266,22,false)</f>
        <v>#N/A</v>
      </c>
      <c r="N5581" s="1" t="s">
        <v>32</v>
      </c>
      <c r="O5581" s="1" t="s">
        <v>33</v>
      </c>
      <c r="P5581" s="1" t="s">
        <v>222</v>
      </c>
      <c r="Q5581" s="1" t="s">
        <v>222</v>
      </c>
      <c r="R5581" s="1" t="s">
        <v>223</v>
      </c>
      <c r="S5581" s="1" t="s">
        <v>482</v>
      </c>
      <c r="T5581" s="1">
        <v>1.00602248E8</v>
      </c>
      <c r="W5581" s="1" t="s">
        <v>493</v>
      </c>
      <c r="X5581" s="1" t="s">
        <v>15368</v>
      </c>
    </row>
    <row r="5582">
      <c r="A5582" s="1" t="s">
        <v>15480</v>
      </c>
      <c r="B5582" s="1" t="s">
        <v>15481</v>
      </c>
      <c r="C5582" s="1" t="s">
        <v>15482</v>
      </c>
      <c r="D5582" s="1" t="s">
        <v>103</v>
      </c>
      <c r="E5582" s="1" t="s">
        <v>29</v>
      </c>
      <c r="F5582" s="5">
        <v>4258.0</v>
      </c>
      <c r="G5582" s="1" t="s">
        <v>7016</v>
      </c>
      <c r="H5582" s="1" t="s">
        <v>8241</v>
      </c>
      <c r="I5582" s="1" t="s">
        <v>104</v>
      </c>
      <c r="K5582" s="1">
        <v>0.0</v>
      </c>
      <c r="L5582" s="1" t="s">
        <v>2602</v>
      </c>
      <c r="M5582" s="1" t="str">
        <f>VLOOKUP(L5582,'Copy of PMD Workday Constants -'!B5581:W6267,22,false)</f>
        <v>#N/A</v>
      </c>
      <c r="N5582" s="1" t="s">
        <v>32</v>
      </c>
      <c r="O5582" s="1" t="s">
        <v>33</v>
      </c>
      <c r="P5582" s="1" t="s">
        <v>173</v>
      </c>
      <c r="Q5582" s="1" t="s">
        <v>173</v>
      </c>
      <c r="R5582" s="1" t="s">
        <v>174</v>
      </c>
      <c r="S5582" s="1" t="s">
        <v>8242</v>
      </c>
      <c r="T5582" s="1">
        <v>1.00611351E8</v>
      </c>
      <c r="W5582" s="1" t="s">
        <v>1181</v>
      </c>
      <c r="X5582" s="1" t="s">
        <v>2914</v>
      </c>
    </row>
    <row r="5583">
      <c r="A5583" s="1" t="s">
        <v>15483</v>
      </c>
      <c r="B5583" s="1" t="s">
        <v>15484</v>
      </c>
      <c r="C5583" s="1" t="s">
        <v>15485</v>
      </c>
      <c r="D5583" s="1" t="s">
        <v>28</v>
      </c>
      <c r="E5583" s="1" t="s">
        <v>29</v>
      </c>
      <c r="F5583" s="5">
        <v>3800.0</v>
      </c>
      <c r="G5583" s="1" t="s">
        <v>7016</v>
      </c>
      <c r="H5583" s="4">
        <v>44296.0</v>
      </c>
      <c r="I5583" s="1" t="s">
        <v>43</v>
      </c>
      <c r="K5583" s="1">
        <v>0.0</v>
      </c>
      <c r="L5583" s="1" t="s">
        <v>8868</v>
      </c>
      <c r="M5583" s="1" t="str">
        <f>VLOOKUP(L5583,'Copy of PMD Workday Constants -'!B5582:W6268,22,false)</f>
        <v>#N/A</v>
      </c>
      <c r="N5583" s="1" t="s">
        <v>32</v>
      </c>
      <c r="O5583" s="1" t="s">
        <v>33</v>
      </c>
      <c r="P5583" s="1" t="s">
        <v>222</v>
      </c>
      <c r="Q5583" s="1" t="s">
        <v>222</v>
      </c>
      <c r="R5583" s="1" t="s">
        <v>223</v>
      </c>
      <c r="S5583" s="1" t="s">
        <v>482</v>
      </c>
      <c r="T5583" s="1">
        <v>1.00612509E8</v>
      </c>
      <c r="W5583" s="1" t="s">
        <v>287</v>
      </c>
      <c r="X5583" s="1" t="s">
        <v>12065</v>
      </c>
    </row>
    <row r="5584">
      <c r="A5584" s="1" t="s">
        <v>15486</v>
      </c>
      <c r="B5584" s="1" t="s">
        <v>7288</v>
      </c>
      <c r="C5584" s="1" t="s">
        <v>15487</v>
      </c>
      <c r="D5584" s="1" t="s">
        <v>28</v>
      </c>
      <c r="E5584" s="1" t="s">
        <v>29</v>
      </c>
      <c r="F5584" s="5">
        <v>3800.0</v>
      </c>
      <c r="G5584" s="1" t="s">
        <v>7016</v>
      </c>
      <c r="H5584" s="1" t="s">
        <v>10952</v>
      </c>
      <c r="I5584" s="1" t="s">
        <v>43</v>
      </c>
      <c r="K5584" s="1">
        <v>0.0</v>
      </c>
      <c r="L5584" s="1" t="s">
        <v>8868</v>
      </c>
      <c r="M5584" s="1" t="str">
        <f>VLOOKUP(L5584,'Copy of PMD Workday Constants -'!B5583:W6269,22,false)</f>
        <v>#N/A</v>
      </c>
      <c r="N5584" s="1" t="s">
        <v>32</v>
      </c>
      <c r="O5584" s="1" t="s">
        <v>33</v>
      </c>
      <c r="P5584" s="1" t="s">
        <v>222</v>
      </c>
      <c r="Q5584" s="1" t="s">
        <v>222</v>
      </c>
      <c r="R5584" s="1" t="s">
        <v>223</v>
      </c>
      <c r="S5584" s="1" t="s">
        <v>482</v>
      </c>
      <c r="T5584" s="1">
        <v>1.00612509E8</v>
      </c>
      <c r="W5584" s="1" t="s">
        <v>287</v>
      </c>
      <c r="X5584" s="1" t="s">
        <v>12989</v>
      </c>
    </row>
    <row r="5585">
      <c r="A5585" s="1" t="s">
        <v>15488</v>
      </c>
      <c r="B5585" s="1" t="s">
        <v>15489</v>
      </c>
      <c r="C5585" s="1" t="s">
        <v>15490</v>
      </c>
      <c r="D5585" s="1" t="s">
        <v>28</v>
      </c>
      <c r="E5585" s="1" t="s">
        <v>29</v>
      </c>
      <c r="F5585" s="5">
        <v>3800.0</v>
      </c>
      <c r="G5585" s="1" t="s">
        <v>7016</v>
      </c>
      <c r="H5585" s="4">
        <v>44298.0</v>
      </c>
      <c r="I5585" s="1" t="s">
        <v>43</v>
      </c>
      <c r="K5585" s="1">
        <v>0.0</v>
      </c>
      <c r="L5585" s="1" t="s">
        <v>8868</v>
      </c>
      <c r="M5585" s="1" t="str">
        <f>VLOOKUP(L5585,'Copy of PMD Workday Constants -'!B5584:W6270,22,false)</f>
        <v>#N/A</v>
      </c>
      <c r="N5585" s="1" t="s">
        <v>32</v>
      </c>
      <c r="O5585" s="1" t="s">
        <v>33</v>
      </c>
      <c r="P5585" s="1" t="s">
        <v>222</v>
      </c>
      <c r="Q5585" s="1" t="s">
        <v>222</v>
      </c>
      <c r="R5585" s="1" t="s">
        <v>223</v>
      </c>
      <c r="S5585" s="1" t="s">
        <v>482</v>
      </c>
      <c r="T5585" s="1">
        <v>1.00612509E8</v>
      </c>
      <c r="W5585" s="1" t="s">
        <v>287</v>
      </c>
      <c r="X5585" s="1" t="s">
        <v>12065</v>
      </c>
    </row>
    <row r="5586">
      <c r="A5586" s="1" t="s">
        <v>15491</v>
      </c>
      <c r="B5586" s="1" t="s">
        <v>15492</v>
      </c>
      <c r="C5586" s="1" t="s">
        <v>15493</v>
      </c>
      <c r="D5586" s="1" t="s">
        <v>28</v>
      </c>
      <c r="E5586" s="1" t="s">
        <v>29</v>
      </c>
      <c r="F5586" s="5">
        <v>3800.0</v>
      </c>
      <c r="G5586" s="1" t="s">
        <v>7016</v>
      </c>
      <c r="H5586" s="1" t="s">
        <v>1570</v>
      </c>
      <c r="I5586" s="1" t="s">
        <v>80</v>
      </c>
      <c r="K5586" s="1">
        <v>0.0</v>
      </c>
      <c r="L5586" s="1" t="s">
        <v>8868</v>
      </c>
      <c r="M5586" s="1" t="str">
        <f>VLOOKUP(L5586,'Copy of PMD Workday Constants -'!B5585:W6271,22,false)</f>
        <v>#N/A</v>
      </c>
      <c r="N5586" s="1" t="s">
        <v>32</v>
      </c>
      <c r="O5586" s="1" t="s">
        <v>33</v>
      </c>
      <c r="P5586" s="1" t="s">
        <v>222</v>
      </c>
      <c r="Q5586" s="1" t="s">
        <v>222</v>
      </c>
      <c r="R5586" s="1" t="s">
        <v>223</v>
      </c>
      <c r="S5586" s="1" t="s">
        <v>482</v>
      </c>
      <c r="T5586" s="1">
        <v>1.00612509E8</v>
      </c>
      <c r="W5586" s="1" t="s">
        <v>287</v>
      </c>
      <c r="X5586" s="1" t="s">
        <v>12065</v>
      </c>
    </row>
    <row r="5587">
      <c r="A5587" s="1" t="s">
        <v>15494</v>
      </c>
      <c r="B5587" s="1" t="s">
        <v>15495</v>
      </c>
      <c r="C5587" s="1" t="s">
        <v>15496</v>
      </c>
      <c r="D5587" s="1" t="s">
        <v>103</v>
      </c>
      <c r="E5587" s="1" t="s">
        <v>29</v>
      </c>
      <c r="F5587" s="5">
        <v>2508.03</v>
      </c>
      <c r="G5587" s="1" t="s">
        <v>7016</v>
      </c>
      <c r="H5587" s="4">
        <v>44625.0</v>
      </c>
      <c r="I5587" s="1" t="s">
        <v>941</v>
      </c>
      <c r="K5587" s="1">
        <v>0.0</v>
      </c>
      <c r="L5587" s="1" t="s">
        <v>5568</v>
      </c>
      <c r="M5587" s="1" t="str">
        <f>VLOOKUP(L5587,'Copy of PMD Workday Constants -'!B5586:W6272,22,false)</f>
        <v>#N/A</v>
      </c>
      <c r="N5587" s="1" t="s">
        <v>32</v>
      </c>
      <c r="O5587" s="1" t="s">
        <v>33</v>
      </c>
      <c r="P5587" s="1" t="s">
        <v>5253</v>
      </c>
      <c r="Q5587" s="1" t="s">
        <v>5253</v>
      </c>
      <c r="R5587" s="1" t="s">
        <v>65</v>
      </c>
      <c r="T5587" s="1">
        <v>1.00591095E8</v>
      </c>
      <c r="X5587" s="1" t="s">
        <v>7638</v>
      </c>
    </row>
    <row r="5588">
      <c r="A5588" s="1" t="s">
        <v>15497</v>
      </c>
      <c r="B5588" s="1" t="s">
        <v>15498</v>
      </c>
      <c r="C5588" s="1" t="s">
        <v>12296</v>
      </c>
      <c r="D5588" s="1" t="s">
        <v>28</v>
      </c>
      <c r="E5588" s="1" t="s">
        <v>29</v>
      </c>
      <c r="F5588" s="5">
        <v>2000.0</v>
      </c>
      <c r="G5588" s="1" t="s">
        <v>7016</v>
      </c>
      <c r="H5588" s="1" t="s">
        <v>1708</v>
      </c>
      <c r="I5588" s="1" t="s">
        <v>816</v>
      </c>
      <c r="K5588" s="1">
        <v>0.0</v>
      </c>
      <c r="L5588" s="1" t="s">
        <v>6579</v>
      </c>
      <c r="M5588" s="1" t="str">
        <f>VLOOKUP(L5588,'Copy of PMD Workday Constants -'!B5587:W6273,22,false)</f>
        <v>#N/A</v>
      </c>
      <c r="N5588" s="1" t="s">
        <v>32</v>
      </c>
      <c r="O5588" s="1" t="s">
        <v>33</v>
      </c>
      <c r="P5588" s="1" t="s">
        <v>222</v>
      </c>
      <c r="Q5588" s="1" t="s">
        <v>222</v>
      </c>
      <c r="R5588" s="1" t="s">
        <v>223</v>
      </c>
      <c r="T5588" s="1">
        <v>1.0064028E8</v>
      </c>
      <c r="W5588" s="1" t="s">
        <v>140</v>
      </c>
      <c r="X5588" s="1" t="s">
        <v>15499</v>
      </c>
    </row>
    <row r="5589">
      <c r="A5589" s="1" t="s">
        <v>15500</v>
      </c>
      <c r="B5589" s="1" t="s">
        <v>15501</v>
      </c>
      <c r="C5589" s="1" t="s">
        <v>15502</v>
      </c>
      <c r="D5589" s="1" t="s">
        <v>51</v>
      </c>
      <c r="E5589" s="1" t="s">
        <v>29</v>
      </c>
      <c r="F5589" s="5">
        <v>1500.0</v>
      </c>
      <c r="G5589" s="1" t="s">
        <v>7016</v>
      </c>
      <c r="H5589" s="1" t="s">
        <v>2360</v>
      </c>
      <c r="I5589" s="1" t="s">
        <v>302</v>
      </c>
      <c r="K5589" s="1">
        <v>0.0</v>
      </c>
      <c r="L5589" s="1" t="s">
        <v>11159</v>
      </c>
      <c r="M5589" s="1" t="str">
        <f>VLOOKUP(L5589,'Copy of PMD Workday Constants -'!B5588:W6274,22,false)</f>
        <v>#N/A</v>
      </c>
      <c r="N5589" s="1" t="s">
        <v>32</v>
      </c>
      <c r="O5589" s="1" t="s">
        <v>33</v>
      </c>
      <c r="P5589" s="1" t="s">
        <v>222</v>
      </c>
      <c r="Q5589" s="1" t="s">
        <v>222</v>
      </c>
      <c r="R5589" s="1" t="s">
        <v>223</v>
      </c>
      <c r="S5589" s="1" t="s">
        <v>482</v>
      </c>
      <c r="T5589" s="1">
        <v>1.00602248E8</v>
      </c>
      <c r="W5589" s="1" t="s">
        <v>115</v>
      </c>
      <c r="X5589" s="1" t="s">
        <v>14284</v>
      </c>
    </row>
    <row r="5590">
      <c r="A5590" s="1" t="s">
        <v>15503</v>
      </c>
      <c r="B5590" s="1" t="s">
        <v>15504</v>
      </c>
      <c r="C5590" s="1" t="s">
        <v>15505</v>
      </c>
      <c r="D5590" s="1" t="s">
        <v>28</v>
      </c>
      <c r="E5590" s="1" t="s">
        <v>29</v>
      </c>
      <c r="F5590" s="5">
        <v>1500.0</v>
      </c>
      <c r="G5590" s="1" t="s">
        <v>7016</v>
      </c>
      <c r="H5590" s="4">
        <v>44716.0</v>
      </c>
      <c r="I5590" s="1" t="s">
        <v>80</v>
      </c>
      <c r="K5590" s="1">
        <v>0.0</v>
      </c>
      <c r="L5590" s="1" t="s">
        <v>8868</v>
      </c>
      <c r="M5590" s="1" t="str">
        <f>VLOOKUP(L5590,'Copy of PMD Workday Constants -'!B5589:W6275,22,false)</f>
        <v>#N/A</v>
      </c>
      <c r="N5590" s="1" t="s">
        <v>32</v>
      </c>
      <c r="O5590" s="1" t="s">
        <v>33</v>
      </c>
      <c r="P5590" s="1" t="s">
        <v>222</v>
      </c>
      <c r="Q5590" s="1" t="s">
        <v>222</v>
      </c>
      <c r="R5590" s="1" t="s">
        <v>223</v>
      </c>
      <c r="S5590" s="1" t="s">
        <v>482</v>
      </c>
      <c r="T5590" s="1">
        <v>1.00612509E8</v>
      </c>
      <c r="W5590" s="1" t="s">
        <v>85</v>
      </c>
      <c r="X5590" s="1" t="s">
        <v>12065</v>
      </c>
    </row>
    <row r="5591">
      <c r="A5591" s="1" t="s">
        <v>15506</v>
      </c>
      <c r="B5591" s="1" t="s">
        <v>15507</v>
      </c>
      <c r="C5591" s="1" t="s">
        <v>15508</v>
      </c>
      <c r="D5591" s="1" t="s">
        <v>103</v>
      </c>
      <c r="E5591" s="1" t="s">
        <v>29</v>
      </c>
      <c r="F5591" s="5">
        <v>1500.0</v>
      </c>
      <c r="G5591" s="1" t="s">
        <v>7016</v>
      </c>
      <c r="H5591" s="1" t="s">
        <v>2484</v>
      </c>
      <c r="I5591" s="1" t="s">
        <v>865</v>
      </c>
      <c r="K5591" s="1">
        <v>0.0</v>
      </c>
      <c r="L5591" s="1" t="s">
        <v>11159</v>
      </c>
      <c r="M5591" s="1" t="str">
        <f>VLOOKUP(L5591,'Copy of PMD Workday Constants -'!B5590:W6276,22,false)</f>
        <v>#N/A</v>
      </c>
      <c r="N5591" s="1" t="s">
        <v>32</v>
      </c>
      <c r="O5591" s="1" t="s">
        <v>33</v>
      </c>
      <c r="P5591" s="1" t="s">
        <v>222</v>
      </c>
      <c r="Q5591" s="1" t="s">
        <v>222</v>
      </c>
      <c r="R5591" s="1" t="s">
        <v>223</v>
      </c>
      <c r="S5591" s="1" t="s">
        <v>601</v>
      </c>
      <c r="T5591" s="1">
        <v>1.00602248E8</v>
      </c>
      <c r="X5591" s="1" t="s">
        <v>817</v>
      </c>
    </row>
    <row r="5592">
      <c r="A5592" s="1" t="s">
        <v>15509</v>
      </c>
      <c r="B5592" s="1" t="s">
        <v>15510</v>
      </c>
      <c r="C5592" s="1" t="s">
        <v>15511</v>
      </c>
      <c r="D5592" s="1" t="s">
        <v>28</v>
      </c>
      <c r="E5592" s="1" t="s">
        <v>29</v>
      </c>
      <c r="F5592" s="5">
        <v>1500.0</v>
      </c>
      <c r="G5592" s="1" t="s">
        <v>7016</v>
      </c>
      <c r="H5592" s="1" t="s">
        <v>1842</v>
      </c>
      <c r="I5592" s="1" t="s">
        <v>43</v>
      </c>
      <c r="K5592" s="1">
        <v>0.0</v>
      </c>
      <c r="L5592" s="1" t="s">
        <v>11159</v>
      </c>
      <c r="M5592" s="1" t="str">
        <f>VLOOKUP(L5592,'Copy of PMD Workday Constants -'!B5591:W6277,22,false)</f>
        <v>#N/A</v>
      </c>
      <c r="N5592" s="1" t="s">
        <v>32</v>
      </c>
      <c r="O5592" s="1" t="s">
        <v>33</v>
      </c>
      <c r="P5592" s="1" t="s">
        <v>222</v>
      </c>
      <c r="Q5592" s="1" t="s">
        <v>222</v>
      </c>
      <c r="R5592" s="1" t="s">
        <v>223</v>
      </c>
      <c r="S5592" s="1" t="s">
        <v>15512</v>
      </c>
      <c r="T5592" s="1">
        <v>1.00602248E8</v>
      </c>
      <c r="X5592" s="1" t="s">
        <v>14284</v>
      </c>
    </row>
    <row r="5593">
      <c r="A5593" s="1" t="s">
        <v>15513</v>
      </c>
      <c r="B5593" s="1" t="s">
        <v>15514</v>
      </c>
      <c r="C5593" s="1" t="s">
        <v>15515</v>
      </c>
      <c r="D5593" s="1" t="s">
        <v>28</v>
      </c>
      <c r="E5593" s="1" t="s">
        <v>29</v>
      </c>
      <c r="F5593" s="5">
        <v>1500.0</v>
      </c>
      <c r="G5593" s="1" t="s">
        <v>7016</v>
      </c>
      <c r="H5593" s="1" t="s">
        <v>1842</v>
      </c>
      <c r="I5593" s="1" t="s">
        <v>43</v>
      </c>
      <c r="K5593" s="1">
        <v>0.0</v>
      </c>
      <c r="L5593" s="1" t="s">
        <v>8868</v>
      </c>
      <c r="M5593" s="1" t="str">
        <f>VLOOKUP(L5593,'Copy of PMD Workday Constants -'!B5592:W6278,22,false)</f>
        <v>#N/A</v>
      </c>
      <c r="N5593" s="1" t="s">
        <v>32</v>
      </c>
      <c r="O5593" s="1" t="s">
        <v>33</v>
      </c>
      <c r="P5593" s="1" t="s">
        <v>222</v>
      </c>
      <c r="Q5593" s="1" t="s">
        <v>222</v>
      </c>
      <c r="R5593" s="1" t="s">
        <v>223</v>
      </c>
      <c r="S5593" s="1" t="s">
        <v>15512</v>
      </c>
      <c r="T5593" s="1">
        <v>1.00612509E8</v>
      </c>
      <c r="X5593" s="1" t="s">
        <v>14284</v>
      </c>
    </row>
    <row r="5594">
      <c r="A5594" s="1" t="s">
        <v>15516</v>
      </c>
      <c r="B5594" s="1" t="s">
        <v>15517</v>
      </c>
      <c r="C5594" s="1" t="s">
        <v>15518</v>
      </c>
      <c r="D5594" s="1" t="s">
        <v>51</v>
      </c>
      <c r="E5594" s="1" t="s">
        <v>29</v>
      </c>
      <c r="F5594" s="5">
        <v>1500.0</v>
      </c>
      <c r="G5594" s="1" t="s">
        <v>7016</v>
      </c>
      <c r="H5594" s="1" t="s">
        <v>1842</v>
      </c>
      <c r="I5594" s="1" t="s">
        <v>80</v>
      </c>
      <c r="K5594" s="1">
        <v>0.0</v>
      </c>
      <c r="L5594" s="1" t="s">
        <v>8868</v>
      </c>
      <c r="M5594" s="1" t="str">
        <f>VLOOKUP(L5594,'Copy of PMD Workday Constants -'!B5593:W6279,22,false)</f>
        <v>#N/A</v>
      </c>
      <c r="N5594" s="1" t="s">
        <v>32</v>
      </c>
      <c r="O5594" s="1" t="s">
        <v>33</v>
      </c>
      <c r="P5594" s="1" t="s">
        <v>222</v>
      </c>
      <c r="Q5594" s="1" t="s">
        <v>222</v>
      </c>
      <c r="R5594" s="1" t="s">
        <v>223</v>
      </c>
      <c r="S5594" s="1" t="s">
        <v>15512</v>
      </c>
      <c r="T5594" s="1">
        <v>1.00612509E8</v>
      </c>
      <c r="X5594" s="1" t="s">
        <v>14284</v>
      </c>
    </row>
    <row r="5595">
      <c r="A5595" s="1" t="s">
        <v>15519</v>
      </c>
      <c r="B5595" s="1" t="s">
        <v>15520</v>
      </c>
      <c r="C5595" s="1" t="s">
        <v>15521</v>
      </c>
      <c r="D5595" s="1" t="s">
        <v>28</v>
      </c>
      <c r="E5595" s="1" t="s">
        <v>29</v>
      </c>
      <c r="F5595" s="5">
        <v>1325.03</v>
      </c>
      <c r="G5595" s="1" t="s">
        <v>7016</v>
      </c>
      <c r="H5595" s="1" t="s">
        <v>14262</v>
      </c>
      <c r="I5595" s="1" t="s">
        <v>43</v>
      </c>
      <c r="K5595" s="1">
        <v>0.0</v>
      </c>
      <c r="L5595" s="1" t="s">
        <v>8868</v>
      </c>
      <c r="M5595" s="1" t="str">
        <f>VLOOKUP(L5595,'Copy of PMD Workday Constants -'!B5594:W6280,22,false)</f>
        <v>#N/A</v>
      </c>
      <c r="N5595" s="1" t="s">
        <v>32</v>
      </c>
      <c r="O5595" s="1" t="s">
        <v>33</v>
      </c>
      <c r="P5595" s="1" t="s">
        <v>222</v>
      </c>
      <c r="Q5595" s="1" t="s">
        <v>222</v>
      </c>
      <c r="R5595" s="1" t="s">
        <v>223</v>
      </c>
      <c r="S5595" s="1" t="s">
        <v>482</v>
      </c>
      <c r="T5595" s="1">
        <v>1.00612509E8</v>
      </c>
      <c r="W5595" s="1" t="s">
        <v>85</v>
      </c>
      <c r="X5595" s="1" t="s">
        <v>12989</v>
      </c>
    </row>
    <row r="5596">
      <c r="A5596" s="1" t="s">
        <v>15522</v>
      </c>
      <c r="B5596" s="1" t="s">
        <v>15523</v>
      </c>
      <c r="C5596" s="1" t="s">
        <v>15524</v>
      </c>
      <c r="D5596" s="1" t="s">
        <v>28</v>
      </c>
      <c r="E5596" s="1" t="s">
        <v>29</v>
      </c>
      <c r="F5596" s="5">
        <v>1000.0</v>
      </c>
      <c r="G5596" s="1" t="s">
        <v>7016</v>
      </c>
      <c r="H5596" s="4">
        <v>44202.0</v>
      </c>
      <c r="I5596" s="4">
        <v>44688.0</v>
      </c>
      <c r="K5596" s="1">
        <v>0.0</v>
      </c>
      <c r="L5596" s="1" t="s">
        <v>956</v>
      </c>
      <c r="M5596" s="1" t="str">
        <f>VLOOKUP(L5596,'Copy of PMD Workday Constants -'!B5595:W6281,22,false)</f>
        <v>#N/A</v>
      </c>
      <c r="N5596" s="1" t="s">
        <v>32</v>
      </c>
      <c r="O5596" s="1" t="s">
        <v>33</v>
      </c>
      <c r="P5596" s="1" t="s">
        <v>173</v>
      </c>
      <c r="Q5596" s="1" t="s">
        <v>173</v>
      </c>
      <c r="R5596" s="1" t="s">
        <v>174</v>
      </c>
      <c r="S5596" s="1" t="s">
        <v>612</v>
      </c>
      <c r="T5596" s="1">
        <v>1.00623421E8</v>
      </c>
      <c r="W5596" s="1" t="s">
        <v>147</v>
      </c>
      <c r="X5596" s="1" t="s">
        <v>3157</v>
      </c>
    </row>
    <row r="5597">
      <c r="A5597" s="1" t="s">
        <v>15525</v>
      </c>
      <c r="B5597" s="1" t="s">
        <v>15526</v>
      </c>
      <c r="C5597" s="1" t="s">
        <v>15527</v>
      </c>
      <c r="D5597" s="1" t="s">
        <v>28</v>
      </c>
      <c r="E5597" s="1" t="s">
        <v>29</v>
      </c>
      <c r="F5597" s="5">
        <v>1000.0</v>
      </c>
      <c r="G5597" s="1" t="s">
        <v>7016</v>
      </c>
      <c r="H5597" s="4">
        <v>44202.0</v>
      </c>
      <c r="I5597" s="4">
        <v>44688.0</v>
      </c>
      <c r="K5597" s="1">
        <v>0.0</v>
      </c>
      <c r="L5597" s="1" t="s">
        <v>956</v>
      </c>
      <c r="M5597" s="1" t="str">
        <f>VLOOKUP(L5597,'Copy of PMD Workday Constants -'!B5596:W6282,22,false)</f>
        <v>#N/A</v>
      </c>
      <c r="N5597" s="1" t="s">
        <v>32</v>
      </c>
      <c r="O5597" s="1" t="s">
        <v>33</v>
      </c>
      <c r="P5597" s="1" t="s">
        <v>173</v>
      </c>
      <c r="Q5597" s="1" t="s">
        <v>173</v>
      </c>
      <c r="R5597" s="1" t="s">
        <v>174</v>
      </c>
      <c r="S5597" s="1" t="s">
        <v>612</v>
      </c>
      <c r="T5597" s="1">
        <v>1.00623421E8</v>
      </c>
      <c r="W5597" s="1" t="s">
        <v>147</v>
      </c>
      <c r="X5597" s="1" t="s">
        <v>3157</v>
      </c>
    </row>
    <row r="5598">
      <c r="A5598" s="1" t="s">
        <v>15528</v>
      </c>
      <c r="B5598" s="1" t="s">
        <v>1928</v>
      </c>
      <c r="C5598" s="1" t="s">
        <v>15529</v>
      </c>
      <c r="D5598" s="1" t="s">
        <v>28</v>
      </c>
      <c r="E5598" s="1" t="s">
        <v>29</v>
      </c>
      <c r="F5598" s="5">
        <v>1000.0</v>
      </c>
      <c r="G5598" s="1" t="s">
        <v>7016</v>
      </c>
      <c r="H5598" s="4">
        <v>44202.0</v>
      </c>
      <c r="I5598" s="1" t="s">
        <v>248</v>
      </c>
      <c r="K5598" s="1">
        <v>0.0</v>
      </c>
      <c r="L5598" s="1" t="s">
        <v>830</v>
      </c>
      <c r="M5598" s="1" t="str">
        <f>VLOOKUP(L5598,'Copy of PMD Workday Constants -'!B5597:W6283,22,false)</f>
        <v>#N/A</v>
      </c>
      <c r="N5598" s="1" t="s">
        <v>32</v>
      </c>
      <c r="O5598" s="1" t="s">
        <v>33</v>
      </c>
      <c r="P5598" s="1" t="s">
        <v>173</v>
      </c>
      <c r="Q5598" s="1" t="s">
        <v>173</v>
      </c>
      <c r="R5598" s="1" t="s">
        <v>174</v>
      </c>
      <c r="S5598" s="1" t="s">
        <v>612</v>
      </c>
      <c r="T5598" s="1">
        <v>1.00584422E8</v>
      </c>
      <c r="W5598" s="1" t="s">
        <v>147</v>
      </c>
      <c r="X5598" s="1" t="s">
        <v>3157</v>
      </c>
    </row>
    <row r="5599">
      <c r="A5599" s="1" t="s">
        <v>15530</v>
      </c>
      <c r="B5599" s="1" t="s">
        <v>15531</v>
      </c>
      <c r="C5599" s="1" t="s">
        <v>15532</v>
      </c>
      <c r="D5599" s="1" t="s">
        <v>28</v>
      </c>
      <c r="E5599" s="1" t="s">
        <v>29</v>
      </c>
      <c r="F5599" s="5">
        <v>1000.0</v>
      </c>
      <c r="G5599" s="1" t="s">
        <v>7016</v>
      </c>
      <c r="H5599" s="4">
        <v>44202.0</v>
      </c>
      <c r="I5599" s="4">
        <v>44688.0</v>
      </c>
      <c r="K5599" s="1">
        <v>0.0</v>
      </c>
      <c r="L5599" s="1" t="s">
        <v>956</v>
      </c>
      <c r="M5599" s="1" t="str">
        <f>VLOOKUP(L5599,'Copy of PMD Workday Constants -'!B5598:W6284,22,false)</f>
        <v>#N/A</v>
      </c>
      <c r="N5599" s="1" t="s">
        <v>32</v>
      </c>
      <c r="O5599" s="1" t="s">
        <v>33</v>
      </c>
      <c r="P5599" s="1" t="s">
        <v>173</v>
      </c>
      <c r="Q5599" s="1" t="s">
        <v>173</v>
      </c>
      <c r="R5599" s="1" t="s">
        <v>174</v>
      </c>
      <c r="S5599" s="1" t="s">
        <v>612</v>
      </c>
      <c r="T5599" s="1">
        <v>1.00623421E8</v>
      </c>
      <c r="W5599" s="1" t="s">
        <v>147</v>
      </c>
      <c r="X5599" s="1" t="s">
        <v>3157</v>
      </c>
    </row>
    <row r="5600">
      <c r="A5600" s="1" t="s">
        <v>15533</v>
      </c>
      <c r="B5600" s="1" t="s">
        <v>12617</v>
      </c>
      <c r="C5600" s="1" t="s">
        <v>15534</v>
      </c>
      <c r="D5600" s="1" t="s">
        <v>28</v>
      </c>
      <c r="E5600" s="1" t="s">
        <v>29</v>
      </c>
      <c r="F5600" s="5">
        <v>1000.0</v>
      </c>
      <c r="G5600" s="1" t="s">
        <v>7016</v>
      </c>
      <c r="H5600" s="4">
        <v>44202.0</v>
      </c>
      <c r="I5600" s="4">
        <v>44840.0</v>
      </c>
      <c r="K5600" s="1">
        <v>0.0</v>
      </c>
      <c r="L5600" s="1" t="s">
        <v>2294</v>
      </c>
      <c r="M5600" s="1" t="str">
        <f>VLOOKUP(L5600,'Copy of PMD Workday Constants -'!B5599:W6285,22,false)</f>
        <v>#N/A</v>
      </c>
      <c r="N5600" s="1" t="s">
        <v>32</v>
      </c>
      <c r="O5600" s="1" t="s">
        <v>33</v>
      </c>
      <c r="P5600" s="1" t="s">
        <v>173</v>
      </c>
      <c r="Q5600" s="1" t="s">
        <v>173</v>
      </c>
      <c r="R5600" s="1" t="s">
        <v>174</v>
      </c>
      <c r="S5600" s="1" t="s">
        <v>612</v>
      </c>
      <c r="T5600" s="1">
        <v>1.00656722E8</v>
      </c>
      <c r="W5600" s="1" t="s">
        <v>115</v>
      </c>
      <c r="X5600" s="1" t="s">
        <v>3157</v>
      </c>
    </row>
    <row r="5601">
      <c r="A5601" s="1" t="s">
        <v>15535</v>
      </c>
      <c r="B5601" s="1" t="s">
        <v>776</v>
      </c>
      <c r="C5601" s="1" t="s">
        <v>15536</v>
      </c>
      <c r="D5601" s="1" t="s">
        <v>28</v>
      </c>
      <c r="E5601" s="1" t="s">
        <v>29</v>
      </c>
      <c r="F5601" s="5">
        <v>1000.0</v>
      </c>
      <c r="G5601" s="1" t="s">
        <v>7016</v>
      </c>
      <c r="H5601" s="4">
        <v>44208.0</v>
      </c>
      <c r="I5601" s="1" t="s">
        <v>131</v>
      </c>
      <c r="K5601" s="1">
        <v>0.0</v>
      </c>
      <c r="L5601" s="1" t="s">
        <v>779</v>
      </c>
      <c r="M5601" s="1" t="str">
        <f>VLOOKUP(L5601,'Copy of PMD Workday Constants -'!B5600:W6286,22,false)</f>
        <v>#N/A</v>
      </c>
      <c r="N5601" s="1" t="s">
        <v>32</v>
      </c>
      <c r="O5601" s="1" t="s">
        <v>33</v>
      </c>
      <c r="P5601" s="1" t="s">
        <v>222</v>
      </c>
      <c r="Q5601" s="1" t="s">
        <v>222</v>
      </c>
      <c r="R5601" s="1" t="s">
        <v>223</v>
      </c>
      <c r="S5601" s="1" t="s">
        <v>646</v>
      </c>
      <c r="T5601" s="1">
        <v>1.0061139E8</v>
      </c>
      <c r="W5601" s="1" t="s">
        <v>74</v>
      </c>
      <c r="X5601" s="1" t="s">
        <v>782</v>
      </c>
    </row>
    <row r="5602">
      <c r="A5602" s="1" t="s">
        <v>15537</v>
      </c>
      <c r="B5602" s="1" t="s">
        <v>15538</v>
      </c>
      <c r="C5602" s="1" t="s">
        <v>15539</v>
      </c>
      <c r="D5602" s="1" t="s">
        <v>28</v>
      </c>
      <c r="E5602" s="1" t="s">
        <v>29</v>
      </c>
      <c r="F5602" s="5">
        <v>675.0</v>
      </c>
      <c r="G5602" s="1" t="s">
        <v>7016</v>
      </c>
      <c r="H5602" s="1" t="s">
        <v>14262</v>
      </c>
      <c r="I5602" s="1" t="s">
        <v>43</v>
      </c>
      <c r="K5602" s="1">
        <v>0.0</v>
      </c>
      <c r="L5602" s="1" t="s">
        <v>8868</v>
      </c>
      <c r="M5602" s="1" t="str">
        <f>VLOOKUP(L5602,'Copy of PMD Workday Constants -'!B5601:W6287,22,false)</f>
        <v>#N/A</v>
      </c>
      <c r="N5602" s="1" t="s">
        <v>32</v>
      </c>
      <c r="O5602" s="1" t="s">
        <v>33</v>
      </c>
      <c r="P5602" s="1" t="s">
        <v>222</v>
      </c>
      <c r="Q5602" s="1" t="s">
        <v>222</v>
      </c>
      <c r="R5602" s="1" t="s">
        <v>223</v>
      </c>
      <c r="S5602" s="1" t="s">
        <v>482</v>
      </c>
      <c r="T5602" s="1">
        <v>1.00612509E8</v>
      </c>
      <c r="W5602" s="1" t="s">
        <v>85</v>
      </c>
      <c r="X5602" s="1" t="s">
        <v>12989</v>
      </c>
    </row>
    <row r="5603">
      <c r="A5603" s="1" t="s">
        <v>15540</v>
      </c>
      <c r="B5603" s="1" t="s">
        <v>15541</v>
      </c>
      <c r="C5603" s="1" t="s">
        <v>15542</v>
      </c>
      <c r="D5603" s="1" t="s">
        <v>28</v>
      </c>
      <c r="E5603" s="1" t="s">
        <v>29</v>
      </c>
      <c r="F5603" s="5">
        <v>675.0</v>
      </c>
      <c r="G5603" s="1" t="s">
        <v>7016</v>
      </c>
      <c r="H5603" s="1" t="s">
        <v>14262</v>
      </c>
      <c r="I5603" s="1" t="s">
        <v>43</v>
      </c>
      <c r="K5603" s="1">
        <v>0.0</v>
      </c>
      <c r="L5603" s="1" t="s">
        <v>8868</v>
      </c>
      <c r="M5603" s="1" t="str">
        <f>VLOOKUP(L5603,'Copy of PMD Workday Constants -'!B5602:W6288,22,false)</f>
        <v>#N/A</v>
      </c>
      <c r="N5603" s="1" t="s">
        <v>32</v>
      </c>
      <c r="O5603" s="1" t="s">
        <v>33</v>
      </c>
      <c r="P5603" s="1" t="s">
        <v>222</v>
      </c>
      <c r="Q5603" s="1" t="s">
        <v>222</v>
      </c>
      <c r="R5603" s="1" t="s">
        <v>223</v>
      </c>
      <c r="S5603" s="1" t="s">
        <v>482</v>
      </c>
      <c r="T5603" s="1">
        <v>1.00612509E8</v>
      </c>
      <c r="W5603" s="1" t="s">
        <v>85</v>
      </c>
      <c r="X5603" s="1" t="s">
        <v>12989</v>
      </c>
    </row>
    <row r="5604">
      <c r="A5604" s="1" t="s">
        <v>15543</v>
      </c>
      <c r="B5604" s="1" t="s">
        <v>15544</v>
      </c>
      <c r="C5604" s="1" t="s">
        <v>15545</v>
      </c>
      <c r="D5604" s="1" t="s">
        <v>28</v>
      </c>
      <c r="E5604" s="1" t="s">
        <v>29</v>
      </c>
      <c r="F5604" s="5">
        <v>650.84</v>
      </c>
      <c r="G5604" s="1" t="s">
        <v>7016</v>
      </c>
      <c r="H5604" s="1" t="s">
        <v>14262</v>
      </c>
      <c r="I5604" s="1" t="s">
        <v>43</v>
      </c>
      <c r="K5604" s="1">
        <v>0.0</v>
      </c>
      <c r="L5604" s="1" t="s">
        <v>8868</v>
      </c>
      <c r="M5604" s="1" t="str">
        <f>VLOOKUP(L5604,'Copy of PMD Workday Constants -'!B5603:W6289,22,false)</f>
        <v>#N/A</v>
      </c>
      <c r="N5604" s="1" t="s">
        <v>32</v>
      </c>
      <c r="O5604" s="1" t="s">
        <v>33</v>
      </c>
      <c r="P5604" s="1" t="s">
        <v>222</v>
      </c>
      <c r="Q5604" s="1" t="s">
        <v>222</v>
      </c>
      <c r="R5604" s="1" t="s">
        <v>223</v>
      </c>
      <c r="S5604" s="1" t="s">
        <v>482</v>
      </c>
      <c r="T5604" s="1">
        <v>1.00612509E8</v>
      </c>
      <c r="W5604" s="1" t="s">
        <v>85</v>
      </c>
      <c r="X5604" s="1" t="s">
        <v>12989</v>
      </c>
    </row>
    <row r="5605">
      <c r="A5605" s="1" t="s">
        <v>15546</v>
      </c>
      <c r="B5605" s="1" t="s">
        <v>610</v>
      </c>
      <c r="C5605" s="1" t="s">
        <v>15547</v>
      </c>
      <c r="D5605" s="1" t="s">
        <v>28</v>
      </c>
      <c r="E5605" s="1" t="s">
        <v>29</v>
      </c>
      <c r="F5605" s="5">
        <v>600.0</v>
      </c>
      <c r="G5605" s="1" t="s">
        <v>7016</v>
      </c>
      <c r="H5605" s="4">
        <v>44656.0</v>
      </c>
      <c r="I5605" s="1" t="s">
        <v>191</v>
      </c>
      <c r="K5605" s="1">
        <v>0.0</v>
      </c>
      <c r="L5605" s="1" t="s">
        <v>4937</v>
      </c>
      <c r="M5605" s="1" t="str">
        <f>VLOOKUP(L5605,'Copy of PMD Workday Constants -'!B5604:W6290,22,false)</f>
        <v>#N/A</v>
      </c>
      <c r="N5605" s="1" t="s">
        <v>32</v>
      </c>
      <c r="O5605" s="1" t="s">
        <v>33</v>
      </c>
      <c r="P5605" s="1" t="s">
        <v>34</v>
      </c>
      <c r="Q5605" s="1" t="s">
        <v>34</v>
      </c>
      <c r="R5605" s="1" t="s">
        <v>35</v>
      </c>
      <c r="T5605" s="1">
        <v>1.00644939E8</v>
      </c>
      <c r="W5605" s="1" t="s">
        <v>47</v>
      </c>
      <c r="X5605" s="1" t="s">
        <v>4647</v>
      </c>
    </row>
    <row r="5606">
      <c r="A5606" s="1" t="s">
        <v>15548</v>
      </c>
      <c r="B5606" s="1" t="s">
        <v>15549</v>
      </c>
      <c r="C5606" s="1" t="s">
        <v>15550</v>
      </c>
      <c r="D5606" s="1" t="s">
        <v>28</v>
      </c>
      <c r="E5606" s="1" t="s">
        <v>29</v>
      </c>
      <c r="F5606" s="5">
        <v>573.75</v>
      </c>
      <c r="G5606" s="1" t="s">
        <v>7016</v>
      </c>
      <c r="H5606" s="1" t="s">
        <v>5396</v>
      </c>
      <c r="I5606" s="1" t="s">
        <v>43</v>
      </c>
      <c r="K5606" s="1">
        <v>0.0</v>
      </c>
      <c r="L5606" s="1" t="s">
        <v>8868</v>
      </c>
      <c r="M5606" s="1" t="str">
        <f>VLOOKUP(L5606,'Copy of PMD Workday Constants -'!B5605:W6291,22,false)</f>
        <v>#N/A</v>
      </c>
      <c r="N5606" s="1" t="s">
        <v>32</v>
      </c>
      <c r="O5606" s="1" t="s">
        <v>33</v>
      </c>
      <c r="P5606" s="1" t="s">
        <v>222</v>
      </c>
      <c r="Q5606" s="1" t="s">
        <v>222</v>
      </c>
      <c r="R5606" s="1" t="s">
        <v>223</v>
      </c>
      <c r="S5606" s="1" t="s">
        <v>482</v>
      </c>
      <c r="T5606" s="1">
        <v>1.00612509E8</v>
      </c>
      <c r="W5606" s="1" t="s">
        <v>85</v>
      </c>
      <c r="X5606" s="1" t="s">
        <v>12989</v>
      </c>
    </row>
    <row r="5607">
      <c r="A5607" s="1" t="s">
        <v>15551</v>
      </c>
      <c r="B5607" s="1" t="s">
        <v>15552</v>
      </c>
      <c r="C5607" s="1" t="s">
        <v>15553</v>
      </c>
      <c r="D5607" s="1" t="s">
        <v>28</v>
      </c>
      <c r="E5607" s="1" t="s">
        <v>29</v>
      </c>
      <c r="F5607" s="5">
        <v>573.75</v>
      </c>
      <c r="G5607" s="1" t="s">
        <v>7016</v>
      </c>
      <c r="H5607" s="1" t="s">
        <v>14262</v>
      </c>
      <c r="I5607" s="1" t="s">
        <v>43</v>
      </c>
      <c r="K5607" s="1">
        <v>0.0</v>
      </c>
      <c r="L5607" s="1" t="s">
        <v>11159</v>
      </c>
      <c r="M5607" s="1" t="str">
        <f>VLOOKUP(L5607,'Copy of PMD Workday Constants -'!B5606:W6292,22,false)</f>
        <v>#N/A</v>
      </c>
      <c r="N5607" s="1" t="s">
        <v>32</v>
      </c>
      <c r="O5607" s="1" t="s">
        <v>33</v>
      </c>
      <c r="P5607" s="1" t="s">
        <v>222</v>
      </c>
      <c r="Q5607" s="1" t="s">
        <v>222</v>
      </c>
      <c r="R5607" s="1" t="s">
        <v>223</v>
      </c>
      <c r="S5607" s="1" t="s">
        <v>482</v>
      </c>
      <c r="T5607" s="1">
        <v>1.00602248E8</v>
      </c>
      <c r="W5607" s="1" t="s">
        <v>85</v>
      </c>
      <c r="X5607" s="1" t="s">
        <v>12065</v>
      </c>
    </row>
    <row r="5608">
      <c r="A5608" s="1" t="s">
        <v>15554</v>
      </c>
      <c r="B5608" s="1" t="s">
        <v>15555</v>
      </c>
      <c r="C5608" s="1" t="s">
        <v>15556</v>
      </c>
      <c r="D5608" s="1" t="s">
        <v>28</v>
      </c>
      <c r="E5608" s="1" t="s">
        <v>29</v>
      </c>
      <c r="F5608" s="5">
        <v>573.75</v>
      </c>
      <c r="G5608" s="1" t="s">
        <v>7016</v>
      </c>
      <c r="H5608" s="1" t="s">
        <v>14262</v>
      </c>
      <c r="I5608" s="1" t="s">
        <v>302</v>
      </c>
      <c r="K5608" s="1">
        <v>0.0</v>
      </c>
      <c r="L5608" s="1" t="s">
        <v>11159</v>
      </c>
      <c r="M5608" s="1" t="str">
        <f>VLOOKUP(L5608,'Copy of PMD Workday Constants -'!B5607:W6293,22,false)</f>
        <v>#N/A</v>
      </c>
      <c r="N5608" s="1" t="s">
        <v>32</v>
      </c>
      <c r="O5608" s="1" t="s">
        <v>33</v>
      </c>
      <c r="P5608" s="1" t="s">
        <v>222</v>
      </c>
      <c r="Q5608" s="1" t="s">
        <v>222</v>
      </c>
      <c r="R5608" s="1" t="s">
        <v>223</v>
      </c>
      <c r="S5608" s="1" t="s">
        <v>482</v>
      </c>
      <c r="T5608" s="1">
        <v>1.00602248E8</v>
      </c>
      <c r="W5608" s="1" t="s">
        <v>85</v>
      </c>
      <c r="X5608" s="1" t="s">
        <v>12989</v>
      </c>
    </row>
    <row r="5609">
      <c r="A5609" s="1" t="s">
        <v>15557</v>
      </c>
      <c r="B5609" s="1" t="s">
        <v>15558</v>
      </c>
      <c r="C5609" s="1" t="s">
        <v>15559</v>
      </c>
      <c r="D5609" s="1" t="s">
        <v>51</v>
      </c>
      <c r="E5609" s="1" t="s">
        <v>29</v>
      </c>
      <c r="F5609" s="5">
        <v>200.0</v>
      </c>
      <c r="G5609" s="1" t="s">
        <v>7016</v>
      </c>
      <c r="H5609" s="1" t="s">
        <v>865</v>
      </c>
      <c r="I5609" s="1" t="s">
        <v>152</v>
      </c>
      <c r="K5609" s="1">
        <v>0.0</v>
      </c>
      <c r="L5609" s="1" t="s">
        <v>5252</v>
      </c>
      <c r="M5609" s="1" t="str">
        <f>VLOOKUP(L5609,'Copy of PMD Workday Constants -'!B5608:W6294,22,false)</f>
        <v>#N/A</v>
      </c>
      <c r="N5609" s="1" t="s">
        <v>32</v>
      </c>
      <c r="O5609" s="1" t="s">
        <v>33</v>
      </c>
      <c r="P5609" s="1" t="s">
        <v>5253</v>
      </c>
      <c r="Q5609" s="1" t="s">
        <v>5253</v>
      </c>
      <c r="R5609" s="1" t="s">
        <v>65</v>
      </c>
      <c r="T5609" s="1">
        <v>1.00625588E8</v>
      </c>
      <c r="W5609" s="1" t="s">
        <v>47</v>
      </c>
      <c r="X5609" s="1" t="s">
        <v>5254</v>
      </c>
    </row>
    <row r="5610">
      <c r="A5610" s="1" t="s">
        <v>15560</v>
      </c>
      <c r="B5610" s="1" t="s">
        <v>15561</v>
      </c>
      <c r="C5610" s="1" t="s">
        <v>15562</v>
      </c>
      <c r="D5610" s="1" t="s">
        <v>28</v>
      </c>
      <c r="E5610" s="1" t="s">
        <v>29</v>
      </c>
      <c r="F5610" s="5">
        <v>100.0</v>
      </c>
      <c r="G5610" s="1" t="s">
        <v>7016</v>
      </c>
      <c r="H5610" s="1" t="s">
        <v>1681</v>
      </c>
      <c r="I5610" s="1" t="s">
        <v>9578</v>
      </c>
      <c r="K5610" s="1">
        <v>0.0</v>
      </c>
      <c r="L5610" s="1" t="s">
        <v>546</v>
      </c>
      <c r="M5610" s="1" t="str">
        <f>VLOOKUP(L5610,'Copy of PMD Workday Constants -'!B5609:W6295,22,false)</f>
        <v>#N/A</v>
      </c>
      <c r="N5610" s="1" t="s">
        <v>32</v>
      </c>
      <c r="O5610" s="1" t="s">
        <v>33</v>
      </c>
      <c r="P5610" s="1" t="s">
        <v>64</v>
      </c>
      <c r="Q5610" s="1" t="s">
        <v>64</v>
      </c>
      <c r="R5610" s="1" t="s">
        <v>65</v>
      </c>
      <c r="T5610" s="1">
        <v>1.00579505E8</v>
      </c>
      <c r="W5610" s="1" t="s">
        <v>74</v>
      </c>
      <c r="X5610" s="1" t="s">
        <v>6874</v>
      </c>
    </row>
    <row r="5611">
      <c r="A5611" s="1" t="s">
        <v>15563</v>
      </c>
      <c r="B5611" s="1" t="s">
        <v>15564</v>
      </c>
      <c r="C5611" s="1" t="s">
        <v>15565</v>
      </c>
      <c r="D5611" s="1" t="s">
        <v>51</v>
      </c>
      <c r="E5611" s="1" t="s">
        <v>29</v>
      </c>
      <c r="F5611" s="5">
        <v>100.0</v>
      </c>
      <c r="G5611" s="1" t="s">
        <v>7016</v>
      </c>
      <c r="H5611" s="1" t="s">
        <v>3998</v>
      </c>
      <c r="I5611" s="4">
        <v>44573.0</v>
      </c>
      <c r="K5611" s="1">
        <v>0.0</v>
      </c>
      <c r="L5611" s="1" t="s">
        <v>387</v>
      </c>
      <c r="M5611" s="1" t="str">
        <f>VLOOKUP(L5611,'Copy of PMD Workday Constants -'!B5610:W6296,22,false)</f>
        <v>#N/A</v>
      </c>
      <c r="N5611" s="1" t="s">
        <v>32</v>
      </c>
      <c r="O5611" s="1" t="s">
        <v>33</v>
      </c>
      <c r="P5611" s="1" t="s">
        <v>34</v>
      </c>
      <c r="Q5611" s="1" t="s">
        <v>34</v>
      </c>
      <c r="R5611" s="1" t="s">
        <v>35</v>
      </c>
      <c r="S5611" s="1" t="s">
        <v>383</v>
      </c>
      <c r="T5611" s="1">
        <v>1.00642129E8</v>
      </c>
      <c r="W5611" s="1" t="s">
        <v>947</v>
      </c>
      <c r="X5611" s="1" t="s">
        <v>15566</v>
      </c>
    </row>
    <row r="5612">
      <c r="A5612" s="1" t="s">
        <v>15567</v>
      </c>
      <c r="B5612" s="1" t="s">
        <v>477</v>
      </c>
      <c r="C5612" s="1" t="s">
        <v>15568</v>
      </c>
      <c r="D5612" s="1" t="s">
        <v>28</v>
      </c>
      <c r="E5612" s="1" t="s">
        <v>29</v>
      </c>
      <c r="F5612" s="5">
        <v>2.0</v>
      </c>
      <c r="G5612" s="1" t="s">
        <v>7016</v>
      </c>
      <c r="H5612" s="1" t="s">
        <v>3324</v>
      </c>
      <c r="I5612" s="1" t="s">
        <v>43</v>
      </c>
      <c r="K5612" s="1">
        <v>0.0</v>
      </c>
      <c r="L5612" s="1" t="s">
        <v>3458</v>
      </c>
      <c r="M5612" s="1" t="str">
        <f>VLOOKUP(L5612,'Copy of PMD Workday Constants -'!B5611:W6297,22,false)</f>
        <v>#N/A</v>
      </c>
      <c r="N5612" s="1" t="s">
        <v>32</v>
      </c>
      <c r="O5612" s="1" t="s">
        <v>33</v>
      </c>
      <c r="P5612" s="1" t="s">
        <v>112</v>
      </c>
      <c r="Q5612" s="1" t="s">
        <v>112</v>
      </c>
      <c r="R5612" s="1" t="s">
        <v>113</v>
      </c>
      <c r="T5612" s="1">
        <v>1.00618416E8</v>
      </c>
      <c r="W5612" s="1" t="s">
        <v>391</v>
      </c>
      <c r="X5612" s="1" t="s">
        <v>3458</v>
      </c>
    </row>
    <row r="5613">
      <c r="A5613" s="1" t="s">
        <v>15569</v>
      </c>
      <c r="B5613" s="1" t="s">
        <v>477</v>
      </c>
      <c r="C5613" s="1" t="s">
        <v>15570</v>
      </c>
      <c r="D5613" s="1" t="s">
        <v>28</v>
      </c>
      <c r="E5613" s="1" t="s">
        <v>29</v>
      </c>
      <c r="F5613" s="5">
        <v>2.0</v>
      </c>
      <c r="G5613" s="1" t="s">
        <v>7016</v>
      </c>
      <c r="H5613" s="1" t="s">
        <v>3324</v>
      </c>
      <c r="I5613" s="1" t="s">
        <v>43</v>
      </c>
      <c r="K5613" s="1">
        <v>0.0</v>
      </c>
      <c r="L5613" s="1" t="s">
        <v>3458</v>
      </c>
      <c r="M5613" s="1" t="str">
        <f>VLOOKUP(L5613,'Copy of PMD Workday Constants -'!B5612:W6298,22,false)</f>
        <v>#N/A</v>
      </c>
      <c r="N5613" s="1" t="s">
        <v>32</v>
      </c>
      <c r="O5613" s="1" t="s">
        <v>33</v>
      </c>
      <c r="P5613" s="1" t="s">
        <v>112</v>
      </c>
      <c r="Q5613" s="1" t="s">
        <v>112</v>
      </c>
      <c r="R5613" s="1" t="s">
        <v>113</v>
      </c>
      <c r="T5613" s="1">
        <v>1.00618416E8</v>
      </c>
      <c r="W5613" s="1" t="s">
        <v>391</v>
      </c>
      <c r="X5613" s="1" t="s">
        <v>3458</v>
      </c>
    </row>
    <row r="5614">
      <c r="A5614" s="1" t="s">
        <v>15571</v>
      </c>
      <c r="B5614" s="1" t="s">
        <v>477</v>
      </c>
      <c r="C5614" s="1" t="s">
        <v>15572</v>
      </c>
      <c r="D5614" s="1" t="s">
        <v>28</v>
      </c>
      <c r="E5614" s="1" t="s">
        <v>29</v>
      </c>
      <c r="F5614" s="5">
        <v>2.0</v>
      </c>
      <c r="G5614" s="1" t="s">
        <v>7016</v>
      </c>
      <c r="H5614" s="1" t="s">
        <v>3324</v>
      </c>
      <c r="I5614" s="1" t="s">
        <v>43</v>
      </c>
      <c r="K5614" s="1">
        <v>0.0</v>
      </c>
      <c r="L5614" s="1" t="s">
        <v>3458</v>
      </c>
      <c r="M5614" s="1" t="str">
        <f>VLOOKUP(L5614,'Copy of PMD Workday Constants -'!B5613:W6299,22,false)</f>
        <v>#N/A</v>
      </c>
      <c r="N5614" s="1" t="s">
        <v>32</v>
      </c>
      <c r="O5614" s="1" t="s">
        <v>33</v>
      </c>
      <c r="P5614" s="1" t="s">
        <v>112</v>
      </c>
      <c r="Q5614" s="1" t="s">
        <v>112</v>
      </c>
      <c r="R5614" s="1" t="s">
        <v>113</v>
      </c>
      <c r="T5614" s="1">
        <v>1.00618416E8</v>
      </c>
      <c r="W5614" s="1" t="s">
        <v>391</v>
      </c>
      <c r="X5614" s="1" t="s">
        <v>3458</v>
      </c>
    </row>
    <row r="5615">
      <c r="A5615" s="1" t="s">
        <v>15573</v>
      </c>
      <c r="B5615" s="1" t="s">
        <v>77</v>
      </c>
      <c r="C5615" s="1" t="s">
        <v>15574</v>
      </c>
      <c r="D5615" s="1" t="s">
        <v>51</v>
      </c>
      <c r="E5615" s="1" t="s">
        <v>29</v>
      </c>
      <c r="F5615" s="5">
        <v>1.0</v>
      </c>
      <c r="G5615" s="1" t="s">
        <v>7016</v>
      </c>
      <c r="H5615" s="4">
        <v>44840.0</v>
      </c>
      <c r="I5615" s="1" t="s">
        <v>248</v>
      </c>
      <c r="K5615" s="1">
        <v>0.0</v>
      </c>
      <c r="L5615" s="1" t="s">
        <v>4679</v>
      </c>
      <c r="M5615" s="1" t="str">
        <f>VLOOKUP(L5615,'Copy of PMD Workday Constants -'!B5614:W6300,22,false)</f>
        <v>#N/A</v>
      </c>
      <c r="N5615" s="1" t="s">
        <v>32</v>
      </c>
      <c r="O5615" s="1" t="s">
        <v>33</v>
      </c>
      <c r="P5615" s="1" t="s">
        <v>222</v>
      </c>
      <c r="Q5615" s="1" t="s">
        <v>222</v>
      </c>
      <c r="R5615" s="1" t="s">
        <v>223</v>
      </c>
      <c r="S5615" s="1" t="s">
        <v>482</v>
      </c>
      <c r="T5615" s="1">
        <v>1.00620023E8</v>
      </c>
      <c r="W5615" s="1" t="s">
        <v>85</v>
      </c>
      <c r="X5615" s="1" t="s">
        <v>15575</v>
      </c>
    </row>
    <row r="5616">
      <c r="A5616" s="1" t="s">
        <v>15576</v>
      </c>
      <c r="B5616" s="1" t="s">
        <v>3026</v>
      </c>
      <c r="C5616" s="1" t="s">
        <v>15577</v>
      </c>
      <c r="D5616" s="1" t="s">
        <v>28</v>
      </c>
      <c r="E5616" s="1" t="s">
        <v>29</v>
      </c>
      <c r="F5616" s="5">
        <v>1.0</v>
      </c>
      <c r="G5616" s="1" t="s">
        <v>7016</v>
      </c>
      <c r="H5616" s="1" t="s">
        <v>3028</v>
      </c>
      <c r="I5616" s="1" t="s">
        <v>80</v>
      </c>
      <c r="K5616" s="1">
        <v>0.0</v>
      </c>
      <c r="L5616" s="1" t="s">
        <v>7659</v>
      </c>
      <c r="M5616" s="1" t="str">
        <f>VLOOKUP(L5616,'Copy of PMD Workday Constants -'!B5615:W6301,22,false)</f>
        <v>#N/A</v>
      </c>
      <c r="N5616" s="1" t="s">
        <v>32</v>
      </c>
      <c r="O5616" s="1" t="s">
        <v>33</v>
      </c>
      <c r="P5616" s="1" t="s">
        <v>64</v>
      </c>
      <c r="Q5616" s="1" t="s">
        <v>64</v>
      </c>
      <c r="R5616" s="1" t="s">
        <v>65</v>
      </c>
      <c r="S5616" s="1" t="s">
        <v>1496</v>
      </c>
      <c r="T5616" s="1">
        <v>1.00983419E8</v>
      </c>
      <c r="W5616" s="1" t="s">
        <v>258</v>
      </c>
      <c r="X5616" s="1" t="s">
        <v>15578</v>
      </c>
    </row>
    <row r="5617">
      <c r="A5617" s="1" t="s">
        <v>15579</v>
      </c>
      <c r="B5617" s="1" t="s">
        <v>4544</v>
      </c>
      <c r="C5617" s="1" t="s">
        <v>15580</v>
      </c>
      <c r="D5617" s="1" t="s">
        <v>51</v>
      </c>
      <c r="E5617" s="1" t="s">
        <v>29</v>
      </c>
      <c r="F5617" s="5">
        <v>1.0</v>
      </c>
      <c r="G5617" s="1" t="s">
        <v>7016</v>
      </c>
      <c r="H5617" s="1" t="s">
        <v>3028</v>
      </c>
      <c r="I5617" s="1" t="s">
        <v>80</v>
      </c>
      <c r="K5617" s="1">
        <v>0.0</v>
      </c>
      <c r="L5617" s="1" t="s">
        <v>184</v>
      </c>
      <c r="M5617" s="1" t="str">
        <f>VLOOKUP(L5617,'Copy of PMD Workday Constants -'!B5616:W6302,22,false)</f>
        <v>#N/A</v>
      </c>
      <c r="N5617" s="1" t="s">
        <v>32</v>
      </c>
      <c r="O5617" s="1" t="s">
        <v>33</v>
      </c>
      <c r="P5617" s="1" t="s">
        <v>64</v>
      </c>
      <c r="Q5617" s="1" t="s">
        <v>64</v>
      </c>
      <c r="R5617" s="1" t="s">
        <v>65</v>
      </c>
      <c r="S5617" s="1" t="s">
        <v>185</v>
      </c>
      <c r="T5617" s="1">
        <v>1.00589741E8</v>
      </c>
      <c r="W5617" s="1" t="s">
        <v>74</v>
      </c>
      <c r="X5617" s="1" t="s">
        <v>15578</v>
      </c>
    </row>
    <row r="5618">
      <c r="A5618" s="1" t="s">
        <v>15581</v>
      </c>
      <c r="B5618" s="1" t="s">
        <v>489</v>
      </c>
      <c r="C5618" s="1" t="s">
        <v>15582</v>
      </c>
      <c r="D5618" s="1" t="s">
        <v>51</v>
      </c>
      <c r="E5618" s="1" t="s">
        <v>29</v>
      </c>
      <c r="F5618" s="5">
        <v>1.0</v>
      </c>
      <c r="G5618" s="1" t="s">
        <v>7016</v>
      </c>
      <c r="H5618" s="1" t="s">
        <v>3028</v>
      </c>
      <c r="I5618" s="1" t="s">
        <v>80</v>
      </c>
      <c r="K5618" s="1">
        <v>0.0</v>
      </c>
      <c r="L5618" s="1" t="s">
        <v>146</v>
      </c>
      <c r="M5618" s="1" t="str">
        <f>VLOOKUP(L5618,'Copy of PMD Workday Constants -'!B5617:W6303,22,false)</f>
        <v>#N/A</v>
      </c>
      <c r="N5618" s="1" t="s">
        <v>32</v>
      </c>
      <c r="O5618" s="1" t="s">
        <v>33</v>
      </c>
      <c r="P5618" s="1" t="s">
        <v>64</v>
      </c>
      <c r="Q5618" s="1" t="s">
        <v>64</v>
      </c>
      <c r="R5618" s="1" t="s">
        <v>65</v>
      </c>
      <c r="T5618" s="1">
        <v>1.00651441E8</v>
      </c>
      <c r="W5618" s="1" t="s">
        <v>493</v>
      </c>
      <c r="X5618" s="1" t="s">
        <v>15578</v>
      </c>
    </row>
    <row r="5619">
      <c r="A5619" s="1" t="s">
        <v>15583</v>
      </c>
      <c r="B5619" s="1" t="s">
        <v>5784</v>
      </c>
      <c r="C5619" s="1" t="s">
        <v>15584</v>
      </c>
      <c r="D5619" s="1" t="s">
        <v>28</v>
      </c>
      <c r="E5619" s="1" t="s">
        <v>29</v>
      </c>
      <c r="F5619" s="5">
        <v>1.0</v>
      </c>
      <c r="G5619" s="1" t="s">
        <v>7016</v>
      </c>
      <c r="H5619" s="1" t="s">
        <v>3028</v>
      </c>
      <c r="I5619" s="1" t="s">
        <v>80</v>
      </c>
      <c r="K5619" s="1">
        <v>0.0</v>
      </c>
      <c r="L5619" s="1" t="s">
        <v>3345</v>
      </c>
      <c r="M5619" s="1" t="str">
        <f>VLOOKUP(L5619,'Copy of PMD Workday Constants -'!B5618:W6304,22,false)</f>
        <v>#N/A</v>
      </c>
      <c r="N5619" s="1" t="s">
        <v>32</v>
      </c>
      <c r="O5619" s="1" t="s">
        <v>33</v>
      </c>
      <c r="P5619" s="1" t="s">
        <v>64</v>
      </c>
      <c r="Q5619" s="1" t="s">
        <v>64</v>
      </c>
      <c r="R5619" s="1" t="s">
        <v>65</v>
      </c>
      <c r="S5619" s="1" t="s">
        <v>791</v>
      </c>
      <c r="T5619" s="1">
        <v>1.0105484E8</v>
      </c>
      <c r="W5619" s="1" t="s">
        <v>456</v>
      </c>
      <c r="X5619" s="1" t="s">
        <v>15578</v>
      </c>
    </row>
    <row r="5620">
      <c r="A5620" s="1" t="s">
        <v>15585</v>
      </c>
      <c r="B5620" s="1" t="s">
        <v>317</v>
      </c>
      <c r="C5620" s="1" t="s">
        <v>15586</v>
      </c>
      <c r="D5620" s="1" t="s">
        <v>51</v>
      </c>
      <c r="E5620" s="1" t="s">
        <v>29</v>
      </c>
      <c r="F5620" s="5">
        <v>1.0</v>
      </c>
      <c r="G5620" s="1" t="s">
        <v>7016</v>
      </c>
      <c r="H5620" s="1" t="s">
        <v>3028</v>
      </c>
      <c r="I5620" s="1" t="s">
        <v>80</v>
      </c>
      <c r="K5620" s="1">
        <v>0.0</v>
      </c>
      <c r="L5620" s="1" t="s">
        <v>1130</v>
      </c>
      <c r="M5620" s="1" t="str">
        <f>VLOOKUP(L5620,'Copy of PMD Workday Constants -'!B5619:W6305,22,false)</f>
        <v>#N/A</v>
      </c>
      <c r="N5620" s="1" t="s">
        <v>32</v>
      </c>
      <c r="O5620" s="1" t="s">
        <v>33</v>
      </c>
      <c r="P5620" s="1" t="s">
        <v>64</v>
      </c>
      <c r="Q5620" s="1" t="s">
        <v>64</v>
      </c>
      <c r="R5620" s="1" t="s">
        <v>65</v>
      </c>
      <c r="T5620" s="1">
        <v>1.00651298E8</v>
      </c>
      <c r="W5620" s="1" t="s">
        <v>85</v>
      </c>
      <c r="X5620" s="1" t="s">
        <v>15578</v>
      </c>
    </row>
    <row r="5621">
      <c r="A5621" s="1" t="s">
        <v>15587</v>
      </c>
      <c r="B5621" s="1" t="s">
        <v>4911</v>
      </c>
      <c r="C5621" s="1" t="s">
        <v>15588</v>
      </c>
      <c r="D5621" s="1" t="s">
        <v>28</v>
      </c>
      <c r="E5621" s="1" t="s">
        <v>29</v>
      </c>
      <c r="F5621" s="5">
        <v>1.0</v>
      </c>
      <c r="G5621" s="1" t="s">
        <v>7016</v>
      </c>
      <c r="H5621" s="1" t="s">
        <v>3028</v>
      </c>
      <c r="I5621" s="1" t="s">
        <v>80</v>
      </c>
      <c r="K5621" s="1">
        <v>0.0</v>
      </c>
      <c r="L5621" s="1" t="s">
        <v>790</v>
      </c>
      <c r="M5621" s="1" t="str">
        <f>VLOOKUP(L5621,'Copy of PMD Workday Constants -'!B5620:W6306,22,false)</f>
        <v>#N/A</v>
      </c>
      <c r="N5621" s="1" t="s">
        <v>32</v>
      </c>
      <c r="O5621" s="1" t="s">
        <v>33</v>
      </c>
      <c r="P5621" s="1" t="s">
        <v>64</v>
      </c>
      <c r="Q5621" s="1" t="s">
        <v>64</v>
      </c>
      <c r="R5621" s="1" t="s">
        <v>65</v>
      </c>
      <c r="S5621" s="1" t="s">
        <v>791</v>
      </c>
      <c r="T5621" s="1">
        <v>1.00661738E8</v>
      </c>
      <c r="W5621" s="1" t="s">
        <v>456</v>
      </c>
      <c r="X5621" s="1" t="s">
        <v>15578</v>
      </c>
    </row>
    <row r="5622">
      <c r="A5622" s="1" t="s">
        <v>15589</v>
      </c>
      <c r="B5622" s="1" t="s">
        <v>507</v>
      </c>
      <c r="C5622" s="1" t="s">
        <v>15590</v>
      </c>
      <c r="D5622" s="1" t="s">
        <v>28</v>
      </c>
      <c r="E5622" s="1" t="s">
        <v>29</v>
      </c>
      <c r="F5622" s="5">
        <v>1.0</v>
      </c>
      <c r="G5622" s="1" t="s">
        <v>7016</v>
      </c>
      <c r="H5622" s="1" t="s">
        <v>3028</v>
      </c>
      <c r="I5622" s="1" t="s">
        <v>96</v>
      </c>
      <c r="K5622" s="1">
        <v>0.0</v>
      </c>
      <c r="L5622" s="1" t="s">
        <v>1616</v>
      </c>
      <c r="M5622" s="1" t="str">
        <f>VLOOKUP(L5622,'Copy of PMD Workday Constants -'!B5621:W6307,22,false)</f>
        <v>#N/A</v>
      </c>
      <c r="N5622" s="1" t="s">
        <v>32</v>
      </c>
      <c r="O5622" s="1" t="s">
        <v>33</v>
      </c>
      <c r="P5622" s="1" t="s">
        <v>64</v>
      </c>
      <c r="Q5622" s="1" t="s">
        <v>64</v>
      </c>
      <c r="R5622" s="1" t="s">
        <v>65</v>
      </c>
      <c r="S5622" s="1" t="s">
        <v>791</v>
      </c>
      <c r="T5622" s="1">
        <v>1.0065462E8</v>
      </c>
      <c r="W5622" s="1" t="s">
        <v>456</v>
      </c>
      <c r="X5622" s="1" t="s">
        <v>15578</v>
      </c>
    </row>
    <row r="5623">
      <c r="A5623" s="1" t="s">
        <v>15591</v>
      </c>
      <c r="B5623" s="1" t="s">
        <v>2415</v>
      </c>
      <c r="C5623" s="1" t="s">
        <v>15592</v>
      </c>
      <c r="D5623" s="1" t="s">
        <v>28</v>
      </c>
      <c r="E5623" s="1" t="s">
        <v>29</v>
      </c>
      <c r="F5623" s="5">
        <v>1.0</v>
      </c>
      <c r="G5623" s="1" t="s">
        <v>7016</v>
      </c>
      <c r="H5623" s="1" t="s">
        <v>3028</v>
      </c>
      <c r="I5623" s="1" t="s">
        <v>80</v>
      </c>
      <c r="K5623" s="1">
        <v>0.0</v>
      </c>
      <c r="L5623" s="1" t="s">
        <v>7659</v>
      </c>
      <c r="M5623" s="1" t="str">
        <f>VLOOKUP(L5623,'Copy of PMD Workday Constants -'!B5622:W6308,22,false)</f>
        <v>#N/A</v>
      </c>
      <c r="N5623" s="1" t="s">
        <v>32</v>
      </c>
      <c r="O5623" s="1" t="s">
        <v>33</v>
      </c>
      <c r="P5623" s="1" t="s">
        <v>64</v>
      </c>
      <c r="Q5623" s="1" t="s">
        <v>64</v>
      </c>
      <c r="R5623" s="1" t="s">
        <v>65</v>
      </c>
      <c r="S5623" s="1" t="s">
        <v>1496</v>
      </c>
      <c r="T5623" s="1">
        <v>1.00983419E8</v>
      </c>
      <c r="W5623" s="1" t="s">
        <v>258</v>
      </c>
      <c r="X5623" s="1" t="s">
        <v>15578</v>
      </c>
    </row>
    <row r="5624">
      <c r="A5624" s="1" t="s">
        <v>15593</v>
      </c>
      <c r="B5624" s="1" t="s">
        <v>15594</v>
      </c>
      <c r="C5624" s="1" t="s">
        <v>15595</v>
      </c>
      <c r="D5624" s="1" t="s">
        <v>28</v>
      </c>
      <c r="E5624" s="1" t="s">
        <v>29</v>
      </c>
      <c r="F5624" s="1">
        <v>1.0</v>
      </c>
      <c r="G5624" s="1" t="s">
        <v>7016</v>
      </c>
      <c r="H5624" s="1" t="s">
        <v>3028</v>
      </c>
      <c r="I5624" s="1" t="s">
        <v>80</v>
      </c>
      <c r="K5624" s="1">
        <v>0.0</v>
      </c>
      <c r="L5624" s="1" t="s">
        <v>146</v>
      </c>
      <c r="M5624" s="1" t="str">
        <f>VLOOKUP(L5624,'Copy of PMD Workday Constants -'!B1:W687,22,false)</f>
        <v>LCP</v>
      </c>
      <c r="N5624" s="1" t="s">
        <v>32</v>
      </c>
      <c r="O5624" s="1" t="s">
        <v>33</v>
      </c>
      <c r="P5624" s="1" t="s">
        <v>64</v>
      </c>
      <c r="Q5624" s="1" t="s">
        <v>64</v>
      </c>
      <c r="R5624" s="1" t="s">
        <v>65</v>
      </c>
      <c r="T5624" s="1">
        <v>1.00651441E8</v>
      </c>
      <c r="W5624" s="1" t="s">
        <v>115</v>
      </c>
      <c r="X5624" s="1" t="s">
        <v>15578</v>
      </c>
    </row>
    <row r="5625">
      <c r="A5625" s="1" t="s">
        <v>15596</v>
      </c>
      <c r="B5625" s="1" t="s">
        <v>1420</v>
      </c>
      <c r="C5625" s="1" t="s">
        <v>15597</v>
      </c>
      <c r="D5625" s="1" t="s">
        <v>28</v>
      </c>
      <c r="E5625" s="1" t="s">
        <v>29</v>
      </c>
      <c r="F5625" s="1">
        <v>1.0</v>
      </c>
      <c r="G5625" s="1" t="s">
        <v>7016</v>
      </c>
      <c r="H5625" s="1" t="s">
        <v>3028</v>
      </c>
      <c r="I5625" s="1" t="s">
        <v>80</v>
      </c>
      <c r="K5625" s="1">
        <v>0.0</v>
      </c>
      <c r="L5625" s="1" t="s">
        <v>2442</v>
      </c>
      <c r="M5625" s="1" t="str">
        <f>VLOOKUP(L5625,'Copy of PMD Workday Constants -'!B2:W688,22,false)</f>
        <v>Delivery</v>
      </c>
      <c r="N5625" s="1" t="s">
        <v>32</v>
      </c>
      <c r="O5625" s="1" t="s">
        <v>33</v>
      </c>
      <c r="P5625" s="1" t="s">
        <v>64</v>
      </c>
      <c r="Q5625" s="1" t="s">
        <v>64</v>
      </c>
      <c r="R5625" s="1" t="s">
        <v>65</v>
      </c>
      <c r="S5625" s="1" t="s">
        <v>185</v>
      </c>
      <c r="T5625" s="1">
        <v>1.00652454E8</v>
      </c>
      <c r="W5625" s="1" t="s">
        <v>250</v>
      </c>
      <c r="X5625" s="1" t="s">
        <v>15578</v>
      </c>
    </row>
    <row r="5626">
      <c r="A5626" s="1" t="s">
        <v>15598</v>
      </c>
      <c r="B5626" s="1" t="s">
        <v>15599</v>
      </c>
      <c r="C5626" s="1" t="s">
        <v>15600</v>
      </c>
      <c r="D5626" s="1" t="s">
        <v>28</v>
      </c>
      <c r="E5626" s="1" t="s">
        <v>29</v>
      </c>
      <c r="F5626" s="1">
        <v>1.0</v>
      </c>
      <c r="G5626" s="1" t="s">
        <v>7016</v>
      </c>
      <c r="H5626" s="1" t="s">
        <v>3028</v>
      </c>
      <c r="I5626" s="1" t="s">
        <v>80</v>
      </c>
      <c r="K5626" s="1">
        <v>0.0</v>
      </c>
      <c r="L5626" s="1" t="s">
        <v>1375</v>
      </c>
      <c r="M5626" s="1" t="str">
        <f>VLOOKUP(L5626,'Copy of PMD Workday Constants -'!B3:W689,22,false)</f>
        <v>Delivery</v>
      </c>
      <c r="N5626" s="1" t="s">
        <v>32</v>
      </c>
      <c r="O5626" s="1" t="s">
        <v>33</v>
      </c>
      <c r="P5626" s="1" t="s">
        <v>64</v>
      </c>
      <c r="Q5626" s="1" t="s">
        <v>64</v>
      </c>
      <c r="R5626" s="1" t="s">
        <v>65</v>
      </c>
      <c r="S5626" s="1" t="s">
        <v>185</v>
      </c>
      <c r="T5626" s="1">
        <v>1.00584032E8</v>
      </c>
      <c r="W5626" s="1" t="s">
        <v>339</v>
      </c>
      <c r="X5626" s="1" t="s">
        <v>15578</v>
      </c>
    </row>
    <row r="5627">
      <c r="A5627" s="1" t="s">
        <v>15601</v>
      </c>
      <c r="B5627" s="1" t="s">
        <v>368</v>
      </c>
      <c r="C5627" s="1" t="s">
        <v>15602</v>
      </c>
      <c r="D5627" s="1" t="s">
        <v>28</v>
      </c>
      <c r="E5627" s="1" t="s">
        <v>29</v>
      </c>
      <c r="F5627" s="1">
        <v>1.0</v>
      </c>
      <c r="G5627" s="1" t="s">
        <v>7016</v>
      </c>
      <c r="H5627" s="1" t="s">
        <v>3028</v>
      </c>
      <c r="I5627" s="1" t="s">
        <v>80</v>
      </c>
      <c r="K5627" s="1">
        <v>0.0</v>
      </c>
      <c r="L5627" s="1" t="s">
        <v>2201</v>
      </c>
      <c r="M5627" s="1" t="str">
        <f>VLOOKUP(L5627,'Copy of PMD Workday Constants -'!B4:W690,22,false)</f>
        <v>LCP</v>
      </c>
      <c r="N5627" s="1" t="s">
        <v>32</v>
      </c>
      <c r="O5627" s="1" t="s">
        <v>33</v>
      </c>
      <c r="P5627" s="1" t="s">
        <v>64</v>
      </c>
      <c r="Q5627" s="1" t="s">
        <v>64</v>
      </c>
      <c r="R5627" s="1" t="s">
        <v>65</v>
      </c>
      <c r="S5627" s="1" t="s">
        <v>1496</v>
      </c>
      <c r="T5627" s="1">
        <v>1.00649936E8</v>
      </c>
      <c r="W5627" s="1" t="s">
        <v>258</v>
      </c>
      <c r="X5627" s="1" t="s">
        <v>15578</v>
      </c>
    </row>
    <row r="5628">
      <c r="A5628" s="1" t="s">
        <v>15603</v>
      </c>
      <c r="B5628" s="1" t="s">
        <v>353</v>
      </c>
      <c r="C5628" s="1" t="s">
        <v>15604</v>
      </c>
      <c r="D5628" s="1" t="s">
        <v>28</v>
      </c>
      <c r="E5628" s="1" t="s">
        <v>29</v>
      </c>
      <c r="F5628" s="1">
        <v>1.0</v>
      </c>
      <c r="G5628" s="1" t="s">
        <v>7016</v>
      </c>
      <c r="H5628" s="1" t="s">
        <v>3028</v>
      </c>
      <c r="I5628" s="1" t="s">
        <v>302</v>
      </c>
      <c r="K5628" s="1">
        <v>0.0</v>
      </c>
      <c r="L5628" s="1" t="s">
        <v>2201</v>
      </c>
      <c r="M5628" s="1" t="str">
        <f>VLOOKUP(L5628,'Copy of PMD Workday Constants -'!B5:W691,22,false)</f>
        <v>LCP</v>
      </c>
      <c r="N5628" s="1" t="s">
        <v>32</v>
      </c>
      <c r="O5628" s="1" t="s">
        <v>33</v>
      </c>
      <c r="P5628" s="1" t="s">
        <v>64</v>
      </c>
      <c r="Q5628" s="1" t="s">
        <v>64</v>
      </c>
      <c r="R5628" s="1" t="s">
        <v>65</v>
      </c>
      <c r="S5628" s="1" t="s">
        <v>1496</v>
      </c>
      <c r="T5628" s="1">
        <v>1.00649936E8</v>
      </c>
      <c r="W5628" s="1" t="s">
        <v>258</v>
      </c>
      <c r="X5628" s="1" t="s">
        <v>15578</v>
      </c>
    </row>
    <row r="5629">
      <c r="A5629" s="1" t="s">
        <v>15605</v>
      </c>
      <c r="B5629" s="1" t="s">
        <v>70</v>
      </c>
      <c r="C5629" s="1" t="s">
        <v>15606</v>
      </c>
      <c r="D5629" s="1" t="s">
        <v>28</v>
      </c>
      <c r="E5629" s="1" t="s">
        <v>29</v>
      </c>
      <c r="F5629" s="1">
        <v>1.0</v>
      </c>
      <c r="G5629" s="1" t="s">
        <v>7016</v>
      </c>
      <c r="H5629" s="1" t="s">
        <v>3028</v>
      </c>
      <c r="I5629" s="1" t="s">
        <v>80</v>
      </c>
      <c r="K5629" s="1">
        <v>0.0</v>
      </c>
      <c r="L5629" s="1" t="s">
        <v>184</v>
      </c>
      <c r="M5629" s="1" t="str">
        <f>VLOOKUP(L5629,'Copy of PMD Workday Constants -'!B6:W692,22,false)</f>
        <v>Delivery</v>
      </c>
      <c r="N5629" s="1" t="s">
        <v>32</v>
      </c>
      <c r="O5629" s="1" t="s">
        <v>33</v>
      </c>
      <c r="P5629" s="1" t="s">
        <v>64</v>
      </c>
      <c r="Q5629" s="1" t="s">
        <v>64</v>
      </c>
      <c r="R5629" s="1" t="s">
        <v>65</v>
      </c>
      <c r="S5629" s="1" t="s">
        <v>185</v>
      </c>
      <c r="T5629" s="1">
        <v>1.00589741E8</v>
      </c>
      <c r="W5629" s="1" t="s">
        <v>74</v>
      </c>
      <c r="X5629" s="1" t="s">
        <v>15578</v>
      </c>
    </row>
    <row r="5630">
      <c r="A5630" s="1" t="s">
        <v>15607</v>
      </c>
      <c r="B5630" s="1" t="s">
        <v>4101</v>
      </c>
      <c r="C5630" s="1" t="s">
        <v>15608</v>
      </c>
      <c r="D5630" s="1" t="s">
        <v>28</v>
      </c>
      <c r="E5630" s="1" t="s">
        <v>29</v>
      </c>
      <c r="F5630" s="1">
        <v>1.0</v>
      </c>
      <c r="G5630" s="1" t="s">
        <v>7016</v>
      </c>
      <c r="H5630" s="1" t="s">
        <v>3028</v>
      </c>
      <c r="I5630" s="1" t="s">
        <v>80</v>
      </c>
      <c r="K5630" s="1">
        <v>0.0</v>
      </c>
      <c r="L5630" s="1" t="s">
        <v>790</v>
      </c>
      <c r="M5630" s="1" t="str">
        <f>VLOOKUP(L5630,'Copy of PMD Workday Constants -'!B7:W693,22,false)</f>
        <v>LCP</v>
      </c>
      <c r="N5630" s="1" t="s">
        <v>32</v>
      </c>
      <c r="O5630" s="1" t="s">
        <v>33</v>
      </c>
      <c r="P5630" s="1" t="s">
        <v>64</v>
      </c>
      <c r="Q5630" s="1" t="s">
        <v>64</v>
      </c>
      <c r="R5630" s="1" t="s">
        <v>65</v>
      </c>
      <c r="S5630" s="1" t="s">
        <v>791</v>
      </c>
      <c r="T5630" s="1">
        <v>1.00661738E8</v>
      </c>
      <c r="W5630" s="1" t="s">
        <v>456</v>
      </c>
      <c r="X5630" s="1" t="s">
        <v>15578</v>
      </c>
    </row>
    <row r="5631">
      <c r="A5631" s="1" t="s">
        <v>15609</v>
      </c>
      <c r="B5631" s="1" t="s">
        <v>3420</v>
      </c>
      <c r="C5631" s="1" t="s">
        <v>15610</v>
      </c>
      <c r="D5631" s="1" t="s">
        <v>28</v>
      </c>
      <c r="E5631" s="1" t="s">
        <v>29</v>
      </c>
      <c r="F5631" s="5">
        <v>1.0</v>
      </c>
      <c r="G5631" s="1" t="s">
        <v>7016</v>
      </c>
      <c r="H5631" s="1" t="s">
        <v>3028</v>
      </c>
      <c r="I5631" s="1" t="s">
        <v>80</v>
      </c>
      <c r="K5631" s="1">
        <v>0.0</v>
      </c>
      <c r="L5631" s="1" t="s">
        <v>15611</v>
      </c>
      <c r="M5631" s="1" t="str">
        <f>VLOOKUP(L5631,'Copy of PMD Workday Constants -'!B8:W694,22,false)</f>
        <v>#N/A</v>
      </c>
      <c r="N5631" s="1" t="s">
        <v>32</v>
      </c>
      <c r="O5631" s="1" t="s">
        <v>33</v>
      </c>
      <c r="P5631" s="1" t="s">
        <v>15612</v>
      </c>
      <c r="Q5631" s="1" t="s">
        <v>15612</v>
      </c>
      <c r="R5631" s="1" t="s">
        <v>15613</v>
      </c>
      <c r="S5631" s="1" t="s">
        <v>66</v>
      </c>
      <c r="T5631" s="1">
        <v>1.00634023E8</v>
      </c>
      <c r="W5631" s="1" t="s">
        <v>140</v>
      </c>
      <c r="X5631" s="1" t="s">
        <v>15578</v>
      </c>
    </row>
    <row r="5632">
      <c r="A5632" s="1" t="s">
        <v>15614</v>
      </c>
      <c r="B5632" s="1" t="s">
        <v>15615</v>
      </c>
      <c r="C5632" s="1" t="s">
        <v>15616</v>
      </c>
      <c r="D5632" s="1" t="s">
        <v>28</v>
      </c>
      <c r="E5632" s="1" t="s">
        <v>29</v>
      </c>
      <c r="F5632" s="1">
        <v>1.0</v>
      </c>
      <c r="G5632" s="1" t="s">
        <v>7016</v>
      </c>
      <c r="H5632" s="1" t="s">
        <v>3028</v>
      </c>
      <c r="I5632" s="1" t="s">
        <v>191</v>
      </c>
      <c r="K5632" s="1">
        <v>0.0</v>
      </c>
      <c r="L5632" s="1" t="s">
        <v>1375</v>
      </c>
      <c r="M5632" s="1" t="str">
        <f>VLOOKUP(L5632,'Copy of PMD Workday Constants -'!B9:W695,22,false)</f>
        <v>Delivery</v>
      </c>
      <c r="N5632" s="1" t="s">
        <v>32</v>
      </c>
      <c r="O5632" s="1" t="s">
        <v>33</v>
      </c>
      <c r="P5632" s="1" t="s">
        <v>64</v>
      </c>
      <c r="Q5632" s="1" t="s">
        <v>64</v>
      </c>
      <c r="R5632" s="1" t="s">
        <v>65</v>
      </c>
      <c r="S5632" s="1" t="s">
        <v>185</v>
      </c>
      <c r="T5632" s="1">
        <v>1.00584032E8</v>
      </c>
      <c r="X5632" s="1" t="s">
        <v>15578</v>
      </c>
    </row>
    <row r="5633">
      <c r="A5633" s="1" t="s">
        <v>15617</v>
      </c>
      <c r="B5633" s="1" t="s">
        <v>1062</v>
      </c>
      <c r="C5633" s="1" t="s">
        <v>15618</v>
      </c>
      <c r="D5633" s="1" t="s">
        <v>28</v>
      </c>
      <c r="E5633" s="1" t="s">
        <v>29</v>
      </c>
      <c r="F5633" s="1">
        <v>1.0</v>
      </c>
      <c r="G5633" s="1" t="s">
        <v>7016</v>
      </c>
      <c r="H5633" s="1" t="s">
        <v>3028</v>
      </c>
      <c r="I5633" s="1" t="s">
        <v>80</v>
      </c>
      <c r="K5633" s="1">
        <v>0.0</v>
      </c>
      <c r="L5633" s="1" t="s">
        <v>3630</v>
      </c>
      <c r="M5633" s="1" t="str">
        <f>VLOOKUP(L5633,'Copy of PMD Workday Constants -'!B10:W696,22,false)</f>
        <v>Delivery</v>
      </c>
      <c r="N5633" s="1" t="s">
        <v>32</v>
      </c>
      <c r="O5633" s="1" t="s">
        <v>33</v>
      </c>
      <c r="P5633" s="1" t="s">
        <v>64</v>
      </c>
      <c r="Q5633" s="1" t="s">
        <v>64</v>
      </c>
      <c r="R5633" s="1" t="s">
        <v>65</v>
      </c>
      <c r="T5633" s="1">
        <v>1.00650382E8</v>
      </c>
      <c r="W5633" s="1" t="s">
        <v>493</v>
      </c>
      <c r="X5633" s="1" t="s">
        <v>15578</v>
      </c>
    </row>
    <row r="5634">
      <c r="A5634" s="1" t="s">
        <v>15619</v>
      </c>
      <c r="B5634" s="1" t="s">
        <v>9246</v>
      </c>
      <c r="C5634" s="1" t="s">
        <v>15620</v>
      </c>
      <c r="D5634" s="1" t="s">
        <v>28</v>
      </c>
      <c r="E5634" s="1" t="s">
        <v>29</v>
      </c>
      <c r="F5634" s="1">
        <v>1.0</v>
      </c>
      <c r="G5634" s="1" t="s">
        <v>7016</v>
      </c>
      <c r="H5634" s="1" t="s">
        <v>3028</v>
      </c>
      <c r="I5634" s="1" t="s">
        <v>80</v>
      </c>
      <c r="K5634" s="1">
        <v>0.0</v>
      </c>
      <c r="L5634" s="1" t="s">
        <v>146</v>
      </c>
      <c r="M5634" s="1" t="str">
        <f>VLOOKUP(L5634,'Copy of PMD Workday Constants -'!B11:W697,22,false)</f>
        <v>LCP</v>
      </c>
      <c r="N5634" s="1" t="s">
        <v>32</v>
      </c>
      <c r="O5634" s="1" t="s">
        <v>33</v>
      </c>
      <c r="P5634" s="1" t="s">
        <v>64</v>
      </c>
      <c r="Q5634" s="1" t="s">
        <v>64</v>
      </c>
      <c r="R5634" s="1" t="s">
        <v>65</v>
      </c>
      <c r="T5634" s="1">
        <v>1.00651441E8</v>
      </c>
      <c r="W5634" s="1" t="s">
        <v>56</v>
      </c>
      <c r="X5634" s="1" t="s">
        <v>15578</v>
      </c>
    </row>
    <row r="5635">
      <c r="A5635" s="1" t="s">
        <v>15621</v>
      </c>
      <c r="B5635" s="1" t="s">
        <v>15622</v>
      </c>
      <c r="C5635" s="1" t="s">
        <v>15623</v>
      </c>
      <c r="D5635" s="1" t="s">
        <v>28</v>
      </c>
      <c r="E5635" s="1" t="s">
        <v>29</v>
      </c>
      <c r="F5635" s="1">
        <v>1.0</v>
      </c>
      <c r="G5635" s="1" t="s">
        <v>7016</v>
      </c>
      <c r="H5635" s="1" t="s">
        <v>3028</v>
      </c>
      <c r="I5635" s="1" t="s">
        <v>264</v>
      </c>
      <c r="K5635" s="1">
        <v>0.0</v>
      </c>
      <c r="L5635" s="1" t="s">
        <v>1375</v>
      </c>
      <c r="M5635" s="1" t="str">
        <f>VLOOKUP(L5635,'Copy of PMD Workday Constants -'!B12:W698,22,false)</f>
        <v>Delivery</v>
      </c>
      <c r="N5635" s="1" t="s">
        <v>32</v>
      </c>
      <c r="O5635" s="1" t="s">
        <v>33</v>
      </c>
      <c r="P5635" s="1" t="s">
        <v>64</v>
      </c>
      <c r="Q5635" s="1" t="s">
        <v>64</v>
      </c>
      <c r="R5635" s="1" t="s">
        <v>65</v>
      </c>
      <c r="T5635" s="1">
        <v>1.00584032E8</v>
      </c>
      <c r="W5635" s="1" t="s">
        <v>74</v>
      </c>
      <c r="X5635" s="1" t="s">
        <v>15578</v>
      </c>
    </row>
    <row r="5636">
      <c r="A5636" s="1" t="s">
        <v>15624</v>
      </c>
      <c r="B5636" s="1" t="s">
        <v>143</v>
      </c>
      <c r="C5636" s="1" t="s">
        <v>15625</v>
      </c>
      <c r="D5636" s="1" t="s">
        <v>51</v>
      </c>
      <c r="E5636" s="1" t="s">
        <v>29</v>
      </c>
      <c r="F5636" s="1">
        <v>1.0</v>
      </c>
      <c r="G5636" s="1" t="s">
        <v>7016</v>
      </c>
      <c r="H5636" s="4">
        <v>44533.0</v>
      </c>
      <c r="I5636" s="1" t="s">
        <v>80</v>
      </c>
      <c r="K5636" s="1">
        <v>0.0</v>
      </c>
      <c r="L5636" s="1" t="s">
        <v>275</v>
      </c>
      <c r="M5636" s="1" t="str">
        <f>VLOOKUP(L5636,'Copy of PMD Workday Constants -'!B13:W699,22,false)</f>
        <v>Delivery</v>
      </c>
      <c r="N5636" s="1" t="s">
        <v>32</v>
      </c>
      <c r="O5636" s="1" t="s">
        <v>33</v>
      </c>
      <c r="P5636" s="1" t="s">
        <v>34</v>
      </c>
      <c r="Q5636" s="1" t="s">
        <v>34</v>
      </c>
      <c r="R5636" s="1" t="s">
        <v>35</v>
      </c>
      <c r="T5636" s="1">
        <v>1.00608828E8</v>
      </c>
      <c r="W5636" s="1" t="s">
        <v>147</v>
      </c>
      <c r="X5636" s="1" t="s">
        <v>4486</v>
      </c>
    </row>
    <row r="5637">
      <c r="A5637" s="1" t="s">
        <v>15626</v>
      </c>
      <c r="B5637" s="1" t="s">
        <v>1047</v>
      </c>
      <c r="C5637" s="1" t="s">
        <v>15627</v>
      </c>
      <c r="D5637" s="1" t="s">
        <v>51</v>
      </c>
      <c r="E5637" s="1" t="s">
        <v>29</v>
      </c>
      <c r="F5637" s="1">
        <v>1.0</v>
      </c>
      <c r="G5637" s="1" t="s">
        <v>7016</v>
      </c>
      <c r="H5637" s="1" t="s">
        <v>3028</v>
      </c>
      <c r="I5637" s="1" t="s">
        <v>80</v>
      </c>
      <c r="K5637" s="1">
        <v>0.0</v>
      </c>
      <c r="L5637" s="1" t="s">
        <v>7659</v>
      </c>
      <c r="M5637" s="1" t="str">
        <f>VLOOKUP(L5637,'Copy of PMD Workday Constants -'!B14:W700,22,false)</f>
        <v>Delivery</v>
      </c>
      <c r="N5637" s="1" t="s">
        <v>32</v>
      </c>
      <c r="O5637" s="1" t="s">
        <v>33</v>
      </c>
      <c r="P5637" s="1" t="s">
        <v>64</v>
      </c>
      <c r="Q5637" s="1" t="s">
        <v>64</v>
      </c>
      <c r="R5637" s="1" t="s">
        <v>65</v>
      </c>
      <c r="S5637" s="1" t="s">
        <v>297</v>
      </c>
      <c r="T5637" s="1">
        <v>1.00983419E8</v>
      </c>
      <c r="W5637" s="1" t="s">
        <v>258</v>
      </c>
      <c r="X5637" s="1" t="s">
        <v>15578</v>
      </c>
    </row>
    <row r="5638">
      <c r="A5638" s="1" t="s">
        <v>15628</v>
      </c>
      <c r="B5638" s="1" t="s">
        <v>913</v>
      </c>
      <c r="C5638" s="1" t="s">
        <v>15629</v>
      </c>
      <c r="D5638" s="1" t="s">
        <v>28</v>
      </c>
      <c r="E5638" s="1" t="s">
        <v>29</v>
      </c>
      <c r="F5638" s="1">
        <v>1.0</v>
      </c>
      <c r="G5638" s="1" t="s">
        <v>7016</v>
      </c>
      <c r="H5638" s="4">
        <v>44381.0</v>
      </c>
      <c r="I5638" s="1" t="s">
        <v>132</v>
      </c>
      <c r="K5638" s="1">
        <v>0.0</v>
      </c>
      <c r="L5638" s="1" t="s">
        <v>2086</v>
      </c>
      <c r="M5638" s="1" t="str">
        <f>VLOOKUP(L5638,'Copy of PMD Workday Constants -'!B15:W701,22,false)</f>
        <v>Delivery</v>
      </c>
      <c r="N5638" s="1" t="s">
        <v>32</v>
      </c>
      <c r="O5638" s="1" t="s">
        <v>33</v>
      </c>
      <c r="P5638" s="1" t="s">
        <v>82</v>
      </c>
      <c r="Q5638" s="1" t="s">
        <v>82</v>
      </c>
      <c r="R5638" s="1" t="s">
        <v>83</v>
      </c>
      <c r="S5638" s="1" t="s">
        <v>1385</v>
      </c>
      <c r="T5638" s="1">
        <v>1.0061233E8</v>
      </c>
      <c r="W5638" s="1" t="s">
        <v>85</v>
      </c>
      <c r="X5638" s="1" t="s">
        <v>2086</v>
      </c>
    </row>
    <row r="5639">
      <c r="A5639" s="1" t="s">
        <v>15630</v>
      </c>
      <c r="B5639" s="1" t="s">
        <v>15631</v>
      </c>
      <c r="C5639" s="1" t="s">
        <v>15632</v>
      </c>
      <c r="D5639" s="1" t="s">
        <v>28</v>
      </c>
      <c r="E5639" s="1" t="s">
        <v>29</v>
      </c>
      <c r="F5639" s="1">
        <v>1.0</v>
      </c>
      <c r="G5639" s="1" t="s">
        <v>7016</v>
      </c>
      <c r="H5639" s="1" t="s">
        <v>2622</v>
      </c>
      <c r="I5639" s="1" t="s">
        <v>43</v>
      </c>
      <c r="K5639" s="1">
        <v>0.0</v>
      </c>
      <c r="L5639" s="1" t="s">
        <v>1770</v>
      </c>
      <c r="M5639" s="1" t="str">
        <f>VLOOKUP(L5639,'Copy of PMD Workday Constants -'!B16:W702,22,false)</f>
        <v>Delivery</v>
      </c>
      <c r="N5639" s="1" t="s">
        <v>32</v>
      </c>
      <c r="O5639" s="1" t="s">
        <v>33</v>
      </c>
      <c r="P5639" s="1" t="s">
        <v>210</v>
      </c>
      <c r="Q5639" s="1" t="s">
        <v>210</v>
      </c>
      <c r="R5639" s="1" t="s">
        <v>211</v>
      </c>
      <c r="T5639" s="1">
        <v>1.00593918E8</v>
      </c>
      <c r="W5639" s="1" t="s">
        <v>947</v>
      </c>
      <c r="X5639" s="1" t="s">
        <v>6497</v>
      </c>
    </row>
    <row r="5640">
      <c r="A5640" s="1" t="s">
        <v>15633</v>
      </c>
      <c r="B5640" s="1" t="s">
        <v>15634</v>
      </c>
      <c r="C5640" s="1" t="s">
        <v>15634</v>
      </c>
      <c r="D5640" s="1" t="s">
        <v>28</v>
      </c>
      <c r="E5640" s="1" t="s">
        <v>29</v>
      </c>
      <c r="F5640" s="1">
        <v>1.0</v>
      </c>
      <c r="G5640" s="1" t="s">
        <v>7016</v>
      </c>
      <c r="H5640" s="1" t="s">
        <v>2622</v>
      </c>
      <c r="I5640" s="1" t="s">
        <v>43</v>
      </c>
      <c r="K5640" s="1">
        <v>0.0</v>
      </c>
      <c r="L5640" s="1" t="s">
        <v>1770</v>
      </c>
      <c r="M5640" s="1" t="str">
        <f>VLOOKUP(L5640,'Copy of PMD Workday Constants -'!B17:W703,22,false)</f>
        <v>Delivery</v>
      </c>
      <c r="N5640" s="1" t="s">
        <v>32</v>
      </c>
      <c r="O5640" s="1" t="s">
        <v>33</v>
      </c>
      <c r="P5640" s="1" t="s">
        <v>210</v>
      </c>
      <c r="Q5640" s="1" t="s">
        <v>210</v>
      </c>
      <c r="R5640" s="1" t="s">
        <v>211</v>
      </c>
      <c r="T5640" s="1">
        <v>1.00593918E8</v>
      </c>
      <c r="X5640" s="1" t="s">
        <v>6497</v>
      </c>
    </row>
    <row r="5641">
      <c r="A5641" s="1" t="s">
        <v>15635</v>
      </c>
      <c r="B5641" s="1" t="s">
        <v>3126</v>
      </c>
      <c r="C5641" s="1" t="s">
        <v>15636</v>
      </c>
      <c r="D5641" s="1" t="s">
        <v>28</v>
      </c>
      <c r="E5641" s="1" t="s">
        <v>29</v>
      </c>
      <c r="F5641" s="1">
        <v>1.0</v>
      </c>
      <c r="G5641" s="1" t="s">
        <v>7016</v>
      </c>
      <c r="H5641" s="1" t="s">
        <v>2622</v>
      </c>
      <c r="I5641" s="1" t="s">
        <v>43</v>
      </c>
      <c r="K5641" s="1">
        <v>0.0</v>
      </c>
      <c r="L5641" s="1" t="s">
        <v>1770</v>
      </c>
      <c r="M5641" s="1" t="str">
        <f>VLOOKUP(L5641,'Copy of PMD Workday Constants -'!B18:W704,22,false)</f>
        <v>Delivery</v>
      </c>
      <c r="N5641" s="1" t="s">
        <v>32</v>
      </c>
      <c r="O5641" s="1" t="s">
        <v>33</v>
      </c>
      <c r="P5641" s="1" t="s">
        <v>210</v>
      </c>
      <c r="Q5641" s="1" t="s">
        <v>210</v>
      </c>
      <c r="R5641" s="1" t="s">
        <v>211</v>
      </c>
      <c r="T5641" s="1">
        <v>1.00593918E8</v>
      </c>
      <c r="W5641" s="1" t="s">
        <v>436</v>
      </c>
      <c r="X5641" s="1" t="s">
        <v>6497</v>
      </c>
    </row>
    <row r="5642">
      <c r="A5642" s="1" t="s">
        <v>15637</v>
      </c>
      <c r="B5642" s="1" t="s">
        <v>3126</v>
      </c>
      <c r="C5642" s="1" t="s">
        <v>15638</v>
      </c>
      <c r="D5642" s="1" t="s">
        <v>28</v>
      </c>
      <c r="E5642" s="1" t="s">
        <v>29</v>
      </c>
      <c r="F5642" s="1">
        <v>1.0</v>
      </c>
      <c r="G5642" s="1" t="s">
        <v>7016</v>
      </c>
      <c r="H5642" s="1" t="s">
        <v>2622</v>
      </c>
      <c r="I5642" s="1" t="s">
        <v>43</v>
      </c>
      <c r="K5642" s="1">
        <v>0.0</v>
      </c>
      <c r="L5642" s="1" t="s">
        <v>1770</v>
      </c>
      <c r="M5642" s="1" t="str">
        <f>VLOOKUP(L5642,'Copy of PMD Workday Constants -'!B19:W705,22,false)</f>
        <v>Delivery</v>
      </c>
      <c r="N5642" s="1" t="s">
        <v>32</v>
      </c>
      <c r="O5642" s="1" t="s">
        <v>33</v>
      </c>
      <c r="P5642" s="1" t="s">
        <v>210</v>
      </c>
      <c r="Q5642" s="1" t="s">
        <v>210</v>
      </c>
      <c r="R5642" s="1" t="s">
        <v>211</v>
      </c>
      <c r="T5642" s="1">
        <v>1.00593918E8</v>
      </c>
      <c r="W5642" s="1" t="s">
        <v>436</v>
      </c>
      <c r="X5642" s="1" t="s">
        <v>6497</v>
      </c>
    </row>
    <row r="5643">
      <c r="A5643" s="1" t="s">
        <v>15639</v>
      </c>
      <c r="B5643" s="1" t="s">
        <v>425</v>
      </c>
      <c r="C5643" s="1" t="s">
        <v>15640</v>
      </c>
      <c r="D5643" s="1" t="s">
        <v>28</v>
      </c>
      <c r="E5643" s="1" t="s">
        <v>29</v>
      </c>
      <c r="F5643" s="1">
        <v>1.0</v>
      </c>
      <c r="G5643" s="1" t="s">
        <v>7016</v>
      </c>
      <c r="H5643" s="1" t="s">
        <v>1733</v>
      </c>
      <c r="I5643" s="1" t="s">
        <v>152</v>
      </c>
      <c r="K5643" s="1">
        <v>0.0</v>
      </c>
      <c r="L5643" s="1" t="s">
        <v>428</v>
      </c>
      <c r="M5643" s="1" t="str">
        <f>VLOOKUP(L5643,'Copy of PMD Workday Constants -'!B20:W706,22,false)</f>
        <v>Delivery</v>
      </c>
      <c r="N5643" s="1" t="s">
        <v>32</v>
      </c>
      <c r="O5643" s="1" t="s">
        <v>33</v>
      </c>
      <c r="P5643" s="1" t="s">
        <v>173</v>
      </c>
      <c r="Q5643" s="1" t="s">
        <v>173</v>
      </c>
      <c r="R5643" s="1" t="s">
        <v>174</v>
      </c>
      <c r="S5643" s="1" t="s">
        <v>153</v>
      </c>
      <c r="T5643" s="1">
        <v>1.00654085E8</v>
      </c>
      <c r="W5643" s="1" t="s">
        <v>74</v>
      </c>
      <c r="X5643" s="1" t="s">
        <v>4982</v>
      </c>
    </row>
    <row r="5644">
      <c r="A5644" s="1" t="s">
        <v>15641</v>
      </c>
      <c r="B5644" s="1" t="s">
        <v>425</v>
      </c>
      <c r="C5644" s="1" t="s">
        <v>15642</v>
      </c>
      <c r="D5644" s="1" t="s">
        <v>51</v>
      </c>
      <c r="E5644" s="1" t="s">
        <v>29</v>
      </c>
      <c r="F5644" s="1">
        <v>1.0</v>
      </c>
      <c r="G5644" s="1" t="s">
        <v>7016</v>
      </c>
      <c r="H5644" s="1" t="s">
        <v>1733</v>
      </c>
      <c r="I5644" s="1" t="s">
        <v>152</v>
      </c>
      <c r="K5644" s="1">
        <v>0.0</v>
      </c>
      <c r="L5644" s="1" t="s">
        <v>428</v>
      </c>
      <c r="M5644" s="1" t="str">
        <f>VLOOKUP(L5644,'Copy of PMD Workday Constants -'!B21:W707,22,false)</f>
        <v>Delivery</v>
      </c>
      <c r="N5644" s="1" t="s">
        <v>32</v>
      </c>
      <c r="O5644" s="1" t="s">
        <v>33</v>
      </c>
      <c r="P5644" s="1" t="s">
        <v>173</v>
      </c>
      <c r="Q5644" s="1" t="s">
        <v>173</v>
      </c>
      <c r="R5644" s="1" t="s">
        <v>174</v>
      </c>
      <c r="S5644" s="1" t="s">
        <v>153</v>
      </c>
      <c r="T5644" s="1">
        <v>1.00654085E8</v>
      </c>
      <c r="W5644" s="1" t="s">
        <v>74</v>
      </c>
      <c r="X5644" s="1" t="s">
        <v>4982</v>
      </c>
    </row>
    <row r="5645">
      <c r="A5645" s="1" t="s">
        <v>15643</v>
      </c>
      <c r="B5645" s="1" t="s">
        <v>425</v>
      </c>
      <c r="C5645" s="1" t="s">
        <v>15644</v>
      </c>
      <c r="D5645" s="1" t="s">
        <v>51</v>
      </c>
      <c r="E5645" s="1" t="s">
        <v>29</v>
      </c>
      <c r="F5645" s="1">
        <v>1.0</v>
      </c>
      <c r="G5645" s="1" t="s">
        <v>7016</v>
      </c>
      <c r="H5645" s="1" t="s">
        <v>1733</v>
      </c>
      <c r="I5645" s="1" t="s">
        <v>152</v>
      </c>
      <c r="K5645" s="1">
        <v>0.0</v>
      </c>
      <c r="L5645" s="1" t="s">
        <v>428</v>
      </c>
      <c r="M5645" s="1" t="str">
        <f>VLOOKUP(L5645,'Copy of PMD Workday Constants -'!B22:W708,22,false)</f>
        <v>Delivery</v>
      </c>
      <c r="N5645" s="1" t="s">
        <v>32</v>
      </c>
      <c r="O5645" s="1" t="s">
        <v>33</v>
      </c>
      <c r="P5645" s="1" t="s">
        <v>173</v>
      </c>
      <c r="Q5645" s="1" t="s">
        <v>173</v>
      </c>
      <c r="R5645" s="1" t="s">
        <v>174</v>
      </c>
      <c r="S5645" s="1" t="s">
        <v>153</v>
      </c>
      <c r="T5645" s="1">
        <v>1.00654085E8</v>
      </c>
      <c r="W5645" s="1" t="s">
        <v>74</v>
      </c>
      <c r="X5645" s="1" t="s">
        <v>4982</v>
      </c>
    </row>
    <row r="5646">
      <c r="A5646" s="1" t="s">
        <v>15645</v>
      </c>
      <c r="B5646" s="1" t="s">
        <v>425</v>
      </c>
      <c r="C5646" s="1" t="s">
        <v>15646</v>
      </c>
      <c r="D5646" s="1" t="s">
        <v>51</v>
      </c>
      <c r="E5646" s="1" t="s">
        <v>29</v>
      </c>
      <c r="F5646" s="1">
        <v>1.0</v>
      </c>
      <c r="G5646" s="1" t="s">
        <v>7016</v>
      </c>
      <c r="H5646" s="1" t="s">
        <v>1733</v>
      </c>
      <c r="I5646" s="1" t="s">
        <v>152</v>
      </c>
      <c r="K5646" s="1">
        <v>0.0</v>
      </c>
      <c r="L5646" s="1" t="s">
        <v>428</v>
      </c>
      <c r="M5646" s="1" t="str">
        <f>VLOOKUP(L5646,'Copy of PMD Workday Constants -'!B23:W709,22,false)</f>
        <v>Delivery</v>
      </c>
      <c r="N5646" s="1" t="s">
        <v>32</v>
      </c>
      <c r="O5646" s="1" t="s">
        <v>33</v>
      </c>
      <c r="P5646" s="1" t="s">
        <v>173</v>
      </c>
      <c r="Q5646" s="1" t="s">
        <v>173</v>
      </c>
      <c r="R5646" s="1" t="s">
        <v>174</v>
      </c>
      <c r="S5646" s="1" t="s">
        <v>153</v>
      </c>
      <c r="T5646" s="1">
        <v>1.00654085E8</v>
      </c>
      <c r="W5646" s="1" t="s">
        <v>74</v>
      </c>
      <c r="X5646" s="1" t="s">
        <v>4982</v>
      </c>
    </row>
    <row r="5647">
      <c r="A5647" s="1" t="s">
        <v>15647</v>
      </c>
      <c r="B5647" s="1" t="s">
        <v>425</v>
      </c>
      <c r="C5647" s="1" t="s">
        <v>15648</v>
      </c>
      <c r="D5647" s="1" t="s">
        <v>51</v>
      </c>
      <c r="E5647" s="1" t="s">
        <v>29</v>
      </c>
      <c r="F5647" s="1">
        <v>1.0</v>
      </c>
      <c r="G5647" s="1" t="s">
        <v>7016</v>
      </c>
      <c r="H5647" s="1" t="s">
        <v>1733</v>
      </c>
      <c r="I5647" s="1" t="s">
        <v>152</v>
      </c>
      <c r="K5647" s="1">
        <v>0.0</v>
      </c>
      <c r="L5647" s="1" t="s">
        <v>428</v>
      </c>
      <c r="M5647" s="1" t="str">
        <f>VLOOKUP(L5647,'Copy of PMD Workday Constants -'!B24:W710,22,false)</f>
        <v>Delivery</v>
      </c>
      <c r="N5647" s="1" t="s">
        <v>32</v>
      </c>
      <c r="O5647" s="1" t="s">
        <v>33</v>
      </c>
      <c r="P5647" s="1" t="s">
        <v>173</v>
      </c>
      <c r="Q5647" s="1" t="s">
        <v>173</v>
      </c>
      <c r="R5647" s="1" t="s">
        <v>174</v>
      </c>
      <c r="S5647" s="1" t="s">
        <v>153</v>
      </c>
      <c r="T5647" s="1">
        <v>1.00654085E8</v>
      </c>
      <c r="W5647" s="1" t="s">
        <v>74</v>
      </c>
      <c r="X5647" s="1" t="s">
        <v>4982</v>
      </c>
    </row>
    <row r="5648">
      <c r="A5648" s="1" t="s">
        <v>15649</v>
      </c>
      <c r="B5648" s="1" t="s">
        <v>425</v>
      </c>
      <c r="C5648" s="1" t="s">
        <v>15650</v>
      </c>
      <c r="D5648" s="1" t="s">
        <v>51</v>
      </c>
      <c r="E5648" s="1" t="s">
        <v>29</v>
      </c>
      <c r="F5648" s="1">
        <v>1.0</v>
      </c>
      <c r="G5648" s="1" t="s">
        <v>7016</v>
      </c>
      <c r="H5648" s="1" t="s">
        <v>1733</v>
      </c>
      <c r="I5648" s="1" t="s">
        <v>152</v>
      </c>
      <c r="K5648" s="1">
        <v>0.0</v>
      </c>
      <c r="L5648" s="1" t="s">
        <v>428</v>
      </c>
      <c r="M5648" s="1" t="str">
        <f>VLOOKUP(L5648,'Copy of PMD Workday Constants -'!B25:W711,22,false)</f>
        <v>Delivery</v>
      </c>
      <c r="N5648" s="1" t="s">
        <v>32</v>
      </c>
      <c r="O5648" s="1" t="s">
        <v>33</v>
      </c>
      <c r="P5648" s="1" t="s">
        <v>173</v>
      </c>
      <c r="Q5648" s="1" t="s">
        <v>173</v>
      </c>
      <c r="R5648" s="1" t="s">
        <v>174</v>
      </c>
      <c r="S5648" s="1" t="s">
        <v>153</v>
      </c>
      <c r="T5648" s="1">
        <v>1.00654085E8</v>
      </c>
      <c r="W5648" s="1" t="s">
        <v>74</v>
      </c>
      <c r="X5648" s="1" t="s">
        <v>4982</v>
      </c>
    </row>
    <row r="5649">
      <c r="A5649" s="1" t="s">
        <v>15651</v>
      </c>
      <c r="B5649" s="1" t="s">
        <v>425</v>
      </c>
      <c r="C5649" s="1" t="s">
        <v>15652</v>
      </c>
      <c r="D5649" s="1" t="s">
        <v>51</v>
      </c>
      <c r="E5649" s="1" t="s">
        <v>29</v>
      </c>
      <c r="F5649" s="1">
        <v>1.0</v>
      </c>
      <c r="G5649" s="1" t="s">
        <v>7016</v>
      </c>
      <c r="H5649" s="1" t="s">
        <v>1733</v>
      </c>
      <c r="I5649" s="1" t="s">
        <v>152</v>
      </c>
      <c r="K5649" s="1">
        <v>0.0</v>
      </c>
      <c r="L5649" s="1" t="s">
        <v>428</v>
      </c>
      <c r="M5649" s="1" t="str">
        <f>VLOOKUP(L5649,'Copy of PMD Workday Constants -'!B26:W712,22,false)</f>
        <v>Delivery</v>
      </c>
      <c r="N5649" s="1" t="s">
        <v>32</v>
      </c>
      <c r="O5649" s="1" t="s">
        <v>33</v>
      </c>
      <c r="P5649" s="1" t="s">
        <v>173</v>
      </c>
      <c r="Q5649" s="1" t="s">
        <v>173</v>
      </c>
      <c r="R5649" s="1" t="s">
        <v>174</v>
      </c>
      <c r="S5649" s="1" t="s">
        <v>153</v>
      </c>
      <c r="T5649" s="1">
        <v>1.00654085E8</v>
      </c>
      <c r="W5649" s="1" t="s">
        <v>74</v>
      </c>
      <c r="X5649" s="1" t="s">
        <v>4982</v>
      </c>
    </row>
    <row r="5650">
      <c r="A5650" s="1" t="s">
        <v>15653</v>
      </c>
      <c r="B5650" s="1" t="s">
        <v>425</v>
      </c>
      <c r="C5650" s="1" t="s">
        <v>15654</v>
      </c>
      <c r="D5650" s="1" t="s">
        <v>51</v>
      </c>
      <c r="E5650" s="1" t="s">
        <v>29</v>
      </c>
      <c r="F5650" s="1">
        <v>1.0</v>
      </c>
      <c r="G5650" s="1" t="s">
        <v>7016</v>
      </c>
      <c r="H5650" s="1" t="s">
        <v>1733</v>
      </c>
      <c r="I5650" s="1" t="s">
        <v>152</v>
      </c>
      <c r="K5650" s="1">
        <v>0.0</v>
      </c>
      <c r="L5650" s="1" t="s">
        <v>428</v>
      </c>
      <c r="M5650" s="1" t="str">
        <f>VLOOKUP(L5650,'Copy of PMD Workday Constants -'!B27:W713,22,false)</f>
        <v>Delivery</v>
      </c>
      <c r="N5650" s="1" t="s">
        <v>32</v>
      </c>
      <c r="O5650" s="1" t="s">
        <v>33</v>
      </c>
      <c r="P5650" s="1" t="s">
        <v>173</v>
      </c>
      <c r="Q5650" s="1" t="s">
        <v>173</v>
      </c>
      <c r="R5650" s="1" t="s">
        <v>174</v>
      </c>
      <c r="S5650" s="1" t="s">
        <v>153</v>
      </c>
      <c r="T5650" s="1">
        <v>1.00654085E8</v>
      </c>
      <c r="W5650" s="1" t="s">
        <v>74</v>
      </c>
      <c r="X5650" s="1" t="s">
        <v>4982</v>
      </c>
    </row>
    <row r="5651">
      <c r="A5651" s="1" t="s">
        <v>15655</v>
      </c>
      <c r="B5651" s="1" t="s">
        <v>1305</v>
      </c>
      <c r="C5651" s="1" t="s">
        <v>15656</v>
      </c>
      <c r="D5651" s="1" t="s">
        <v>28</v>
      </c>
      <c r="E5651" s="1" t="s">
        <v>29</v>
      </c>
      <c r="F5651" s="1">
        <v>1.0</v>
      </c>
      <c r="G5651" s="1" t="s">
        <v>7016</v>
      </c>
      <c r="H5651" s="1" t="s">
        <v>1785</v>
      </c>
      <c r="I5651" s="4">
        <v>44572.0</v>
      </c>
      <c r="K5651" s="1">
        <v>0.0</v>
      </c>
      <c r="L5651" s="1" t="s">
        <v>1308</v>
      </c>
      <c r="M5651" s="1" t="str">
        <f>VLOOKUP(L5651,'Copy of PMD Workday Constants -'!B28:W714,22,false)</f>
        <v>Delivery</v>
      </c>
      <c r="N5651" s="1" t="s">
        <v>32</v>
      </c>
      <c r="O5651" s="1" t="s">
        <v>33</v>
      </c>
      <c r="P5651" s="1" t="s">
        <v>173</v>
      </c>
      <c r="Q5651" s="1" t="s">
        <v>173</v>
      </c>
      <c r="R5651" s="1" t="s">
        <v>174</v>
      </c>
      <c r="T5651" s="1">
        <v>1.00653074E8</v>
      </c>
      <c r="W5651" s="1" t="s">
        <v>456</v>
      </c>
      <c r="X5651" s="1" t="s">
        <v>106</v>
      </c>
    </row>
    <row r="5652">
      <c r="A5652" s="1" t="s">
        <v>15657</v>
      </c>
      <c r="B5652" s="1" t="s">
        <v>1305</v>
      </c>
      <c r="C5652" s="1" t="s">
        <v>15658</v>
      </c>
      <c r="D5652" s="1" t="s">
        <v>28</v>
      </c>
      <c r="E5652" s="1" t="s">
        <v>29</v>
      </c>
      <c r="F5652" s="1">
        <v>1.0</v>
      </c>
      <c r="G5652" s="1" t="s">
        <v>7016</v>
      </c>
      <c r="H5652" s="1" t="s">
        <v>1785</v>
      </c>
      <c r="I5652" s="1" t="s">
        <v>406</v>
      </c>
      <c r="K5652" s="1">
        <v>0.0</v>
      </c>
      <c r="L5652" s="1" t="s">
        <v>1308</v>
      </c>
      <c r="M5652" s="1" t="str">
        <f>VLOOKUP(L5652,'Copy of PMD Workday Constants -'!B29:W715,22,false)</f>
        <v>Delivery</v>
      </c>
      <c r="N5652" s="1" t="s">
        <v>32</v>
      </c>
      <c r="O5652" s="1" t="s">
        <v>33</v>
      </c>
      <c r="P5652" s="1" t="s">
        <v>173</v>
      </c>
      <c r="Q5652" s="1" t="s">
        <v>173</v>
      </c>
      <c r="R5652" s="1" t="s">
        <v>174</v>
      </c>
      <c r="T5652" s="1">
        <v>1.00653074E8</v>
      </c>
      <c r="W5652" s="1" t="s">
        <v>456</v>
      </c>
      <c r="X5652" s="1" t="s">
        <v>106</v>
      </c>
    </row>
    <row r="5653">
      <c r="A5653" s="1" t="s">
        <v>15659</v>
      </c>
      <c r="B5653" s="1" t="s">
        <v>1305</v>
      </c>
      <c r="C5653" s="1" t="s">
        <v>15660</v>
      </c>
      <c r="D5653" s="1" t="s">
        <v>28</v>
      </c>
      <c r="E5653" s="1" t="s">
        <v>29</v>
      </c>
      <c r="F5653" s="1">
        <v>1.0</v>
      </c>
      <c r="G5653" s="1" t="s">
        <v>7016</v>
      </c>
      <c r="H5653" s="1" t="s">
        <v>1785</v>
      </c>
      <c r="I5653" s="1" t="s">
        <v>217</v>
      </c>
      <c r="K5653" s="1">
        <v>0.0</v>
      </c>
      <c r="L5653" s="1" t="s">
        <v>1308</v>
      </c>
      <c r="M5653" s="1" t="str">
        <f>VLOOKUP(L5653,'Copy of PMD Workday Constants -'!B30:W716,22,false)</f>
        <v>Delivery</v>
      </c>
      <c r="N5653" s="1" t="s">
        <v>32</v>
      </c>
      <c r="O5653" s="1" t="s">
        <v>33</v>
      </c>
      <c r="P5653" s="1" t="s">
        <v>173</v>
      </c>
      <c r="Q5653" s="1" t="s">
        <v>173</v>
      </c>
      <c r="R5653" s="1" t="s">
        <v>174</v>
      </c>
      <c r="T5653" s="1">
        <v>1.00653074E8</v>
      </c>
      <c r="W5653" s="1" t="s">
        <v>456</v>
      </c>
      <c r="X5653" s="1" t="s">
        <v>106</v>
      </c>
    </row>
    <row r="5654">
      <c r="A5654" s="1" t="s">
        <v>15661</v>
      </c>
      <c r="B5654" s="1" t="s">
        <v>1305</v>
      </c>
      <c r="C5654" s="1" t="s">
        <v>15662</v>
      </c>
      <c r="D5654" s="1" t="s">
        <v>28</v>
      </c>
      <c r="E5654" s="1" t="s">
        <v>29</v>
      </c>
      <c r="F5654" s="1">
        <v>1.0</v>
      </c>
      <c r="G5654" s="1" t="s">
        <v>7016</v>
      </c>
      <c r="H5654" s="1" t="s">
        <v>1785</v>
      </c>
      <c r="I5654" s="1" t="s">
        <v>302</v>
      </c>
      <c r="K5654" s="1">
        <v>0.0</v>
      </c>
      <c r="L5654" s="1" t="s">
        <v>1308</v>
      </c>
      <c r="M5654" s="1" t="str">
        <f>VLOOKUP(L5654,'Copy of PMD Workday Constants -'!B31:W717,22,false)</f>
        <v>Delivery</v>
      </c>
      <c r="N5654" s="1" t="s">
        <v>32</v>
      </c>
      <c r="O5654" s="1" t="s">
        <v>33</v>
      </c>
      <c r="P5654" s="1" t="s">
        <v>173</v>
      </c>
      <c r="Q5654" s="1" t="s">
        <v>173</v>
      </c>
      <c r="R5654" s="1" t="s">
        <v>174</v>
      </c>
      <c r="T5654" s="1">
        <v>1.00653074E8</v>
      </c>
      <c r="W5654" s="1" t="s">
        <v>456</v>
      </c>
      <c r="X5654" s="1" t="s">
        <v>106</v>
      </c>
    </row>
    <row r="5655">
      <c r="A5655" s="1" t="s">
        <v>15663</v>
      </c>
      <c r="B5655" s="1" t="s">
        <v>1305</v>
      </c>
      <c r="C5655" s="1" t="s">
        <v>15664</v>
      </c>
      <c r="D5655" s="1" t="s">
        <v>28</v>
      </c>
      <c r="E5655" s="1" t="s">
        <v>29</v>
      </c>
      <c r="F5655" s="1">
        <v>1.0</v>
      </c>
      <c r="G5655" s="1" t="s">
        <v>7016</v>
      </c>
      <c r="H5655" s="1" t="s">
        <v>1785</v>
      </c>
      <c r="I5655" s="1" t="s">
        <v>406</v>
      </c>
      <c r="K5655" s="1">
        <v>0.0</v>
      </c>
      <c r="L5655" s="1" t="s">
        <v>1308</v>
      </c>
      <c r="M5655" s="1" t="str">
        <f>VLOOKUP(L5655,'Copy of PMD Workday Constants -'!B32:W718,22,false)</f>
        <v>Delivery</v>
      </c>
      <c r="N5655" s="1" t="s">
        <v>32</v>
      </c>
      <c r="O5655" s="1" t="s">
        <v>33</v>
      </c>
      <c r="P5655" s="1" t="s">
        <v>173</v>
      </c>
      <c r="Q5655" s="1" t="s">
        <v>173</v>
      </c>
      <c r="R5655" s="1" t="s">
        <v>174</v>
      </c>
      <c r="T5655" s="1">
        <v>1.00653074E8</v>
      </c>
      <c r="W5655" s="1" t="s">
        <v>456</v>
      </c>
      <c r="X5655" s="1" t="s">
        <v>106</v>
      </c>
    </row>
    <row r="5656">
      <c r="A5656" s="1" t="s">
        <v>15665</v>
      </c>
      <c r="B5656" s="1" t="s">
        <v>1305</v>
      </c>
      <c r="C5656" s="1" t="s">
        <v>15666</v>
      </c>
      <c r="D5656" s="1" t="s">
        <v>28</v>
      </c>
      <c r="E5656" s="1" t="s">
        <v>29</v>
      </c>
      <c r="F5656" s="1">
        <v>1.0</v>
      </c>
      <c r="G5656" s="1" t="s">
        <v>7016</v>
      </c>
      <c r="H5656" s="1" t="s">
        <v>1785</v>
      </c>
      <c r="I5656" s="1" t="s">
        <v>295</v>
      </c>
      <c r="K5656" s="1">
        <v>0.0</v>
      </c>
      <c r="L5656" s="1" t="s">
        <v>1308</v>
      </c>
      <c r="M5656" s="1" t="str">
        <f>VLOOKUP(L5656,'Copy of PMD Workday Constants -'!B33:W719,22,false)</f>
        <v>Delivery</v>
      </c>
      <c r="N5656" s="1" t="s">
        <v>32</v>
      </c>
      <c r="O5656" s="1" t="s">
        <v>33</v>
      </c>
      <c r="P5656" s="1" t="s">
        <v>173</v>
      </c>
      <c r="Q5656" s="1" t="s">
        <v>173</v>
      </c>
      <c r="R5656" s="1" t="s">
        <v>174</v>
      </c>
      <c r="T5656" s="1">
        <v>1.00653074E8</v>
      </c>
      <c r="W5656" s="1" t="s">
        <v>456</v>
      </c>
      <c r="X5656" s="1" t="s">
        <v>106</v>
      </c>
    </row>
    <row r="5657">
      <c r="A5657" s="1" t="s">
        <v>15667</v>
      </c>
      <c r="B5657" s="1" t="s">
        <v>1305</v>
      </c>
      <c r="C5657" s="1" t="s">
        <v>15668</v>
      </c>
      <c r="D5657" s="1" t="s">
        <v>28</v>
      </c>
      <c r="E5657" s="1" t="s">
        <v>29</v>
      </c>
      <c r="F5657" s="1">
        <v>1.0</v>
      </c>
      <c r="G5657" s="1" t="s">
        <v>7016</v>
      </c>
      <c r="H5657" s="1" t="s">
        <v>1785</v>
      </c>
      <c r="I5657" s="1" t="s">
        <v>227</v>
      </c>
      <c r="K5657" s="1">
        <v>0.0</v>
      </c>
      <c r="L5657" s="1" t="s">
        <v>1308</v>
      </c>
      <c r="M5657" s="1" t="str">
        <f>VLOOKUP(L5657,'Copy of PMD Workday Constants -'!B34:W720,22,false)</f>
        <v>Delivery</v>
      </c>
      <c r="N5657" s="1" t="s">
        <v>32</v>
      </c>
      <c r="O5657" s="1" t="s">
        <v>33</v>
      </c>
      <c r="P5657" s="1" t="s">
        <v>173</v>
      </c>
      <c r="Q5657" s="1" t="s">
        <v>173</v>
      </c>
      <c r="R5657" s="1" t="s">
        <v>174</v>
      </c>
      <c r="T5657" s="1">
        <v>1.00653074E8</v>
      </c>
      <c r="W5657" s="1" t="s">
        <v>456</v>
      </c>
      <c r="X5657" s="1" t="s">
        <v>106</v>
      </c>
    </row>
    <row r="5658">
      <c r="A5658" s="1" t="s">
        <v>15669</v>
      </c>
      <c r="B5658" s="1" t="s">
        <v>15670</v>
      </c>
      <c r="C5658" s="1" t="s">
        <v>15671</v>
      </c>
      <c r="D5658" s="1" t="s">
        <v>28</v>
      </c>
      <c r="E5658" s="1" t="s">
        <v>29</v>
      </c>
      <c r="F5658" s="1">
        <v>1.0</v>
      </c>
      <c r="G5658" s="1" t="s">
        <v>7016</v>
      </c>
      <c r="H5658" s="4">
        <v>44839.0</v>
      </c>
      <c r="I5658" s="1" t="s">
        <v>302</v>
      </c>
      <c r="K5658" s="1">
        <v>0.0</v>
      </c>
      <c r="L5658" s="1" t="s">
        <v>8418</v>
      </c>
      <c r="M5658" s="1" t="str">
        <f>VLOOKUP(L5658,'Copy of PMD Workday Constants -'!B35:W721,22,false)</f>
        <v>Catalyst</v>
      </c>
      <c r="N5658" s="1" t="s">
        <v>32</v>
      </c>
      <c r="O5658" s="1" t="s">
        <v>33</v>
      </c>
      <c r="P5658" s="1" t="s">
        <v>64</v>
      </c>
      <c r="Q5658" s="1" t="s">
        <v>64</v>
      </c>
      <c r="R5658" s="1" t="s">
        <v>65</v>
      </c>
      <c r="T5658" s="1">
        <v>1.01238292E8</v>
      </c>
      <c r="W5658" s="1" t="s">
        <v>493</v>
      </c>
      <c r="X5658" s="1" t="s">
        <v>8418</v>
      </c>
    </row>
    <row r="5659">
      <c r="A5659" s="1" t="s">
        <v>15672</v>
      </c>
      <c r="B5659" s="1" t="s">
        <v>812</v>
      </c>
      <c r="C5659" s="1" t="s">
        <v>15673</v>
      </c>
      <c r="D5659" s="1" t="s">
        <v>28</v>
      </c>
      <c r="E5659" s="1" t="s">
        <v>29</v>
      </c>
      <c r="F5659" s="5">
        <v>1.0</v>
      </c>
      <c r="G5659" s="1" t="s">
        <v>7016</v>
      </c>
      <c r="H5659" s="1" t="s">
        <v>434</v>
      </c>
      <c r="I5659" s="1" t="s">
        <v>301</v>
      </c>
      <c r="K5659" s="1">
        <v>0.0</v>
      </c>
      <c r="L5659" s="1" t="s">
        <v>15674</v>
      </c>
      <c r="M5659" s="1" t="str">
        <f>VLOOKUP(L5659,'Copy of PMD Workday Constants -'!B36:W722,22,false)</f>
        <v>#N/A</v>
      </c>
      <c r="N5659" s="1" t="s">
        <v>32</v>
      </c>
      <c r="O5659" s="1" t="s">
        <v>33</v>
      </c>
      <c r="P5659" s="1" t="s">
        <v>173</v>
      </c>
      <c r="Q5659" s="1" t="s">
        <v>173</v>
      </c>
      <c r="R5659" s="1" t="s">
        <v>174</v>
      </c>
      <c r="T5659" s="1">
        <v>1.0116986E8</v>
      </c>
      <c r="W5659" s="1" t="s">
        <v>37</v>
      </c>
      <c r="X5659" s="1" t="s">
        <v>15674</v>
      </c>
    </row>
    <row r="5660">
      <c r="A5660" s="1" t="s">
        <v>15675</v>
      </c>
      <c r="B5660" s="1" t="s">
        <v>1721</v>
      </c>
      <c r="C5660" s="1" t="s">
        <v>15676</v>
      </c>
      <c r="D5660" s="1" t="s">
        <v>28</v>
      </c>
      <c r="E5660" s="1" t="s">
        <v>29</v>
      </c>
      <c r="F5660" s="1">
        <v>1.0</v>
      </c>
      <c r="G5660" s="1" t="s">
        <v>7016</v>
      </c>
      <c r="H5660" s="4">
        <v>44451.0</v>
      </c>
      <c r="I5660" s="1" t="s">
        <v>191</v>
      </c>
      <c r="K5660" s="1">
        <v>0.0</v>
      </c>
      <c r="L5660" s="1" t="s">
        <v>3480</v>
      </c>
      <c r="M5660" s="1" t="str">
        <f>VLOOKUP(L5660,'Copy of PMD Workday Constants -'!B37:W723,22,false)</f>
        <v>Delivery</v>
      </c>
      <c r="N5660" s="1" t="s">
        <v>32</v>
      </c>
      <c r="O5660" s="1" t="s">
        <v>33</v>
      </c>
      <c r="P5660" s="1" t="s">
        <v>112</v>
      </c>
      <c r="Q5660" s="1" t="s">
        <v>112</v>
      </c>
      <c r="R5660" s="1" t="s">
        <v>113</v>
      </c>
      <c r="S5660" s="1" t="s">
        <v>307</v>
      </c>
      <c r="T5660" s="1">
        <v>1.00628223E8</v>
      </c>
      <c r="W5660" s="1" t="s">
        <v>391</v>
      </c>
      <c r="X5660" s="1" t="s">
        <v>3481</v>
      </c>
    </row>
    <row r="5661">
      <c r="A5661" s="1" t="s">
        <v>15677</v>
      </c>
      <c r="B5661" s="1" t="s">
        <v>489</v>
      </c>
      <c r="C5661" s="1" t="s">
        <v>15678</v>
      </c>
      <c r="D5661" s="1" t="s">
        <v>28</v>
      </c>
      <c r="E5661" s="1" t="s">
        <v>29</v>
      </c>
      <c r="F5661" s="1">
        <v>1.0</v>
      </c>
      <c r="G5661" s="1" t="s">
        <v>7016</v>
      </c>
      <c r="H5661" s="4">
        <v>44567.0</v>
      </c>
      <c r="I5661" s="1" t="s">
        <v>191</v>
      </c>
      <c r="K5661" s="1">
        <v>0.0</v>
      </c>
      <c r="L5661" s="1" t="s">
        <v>8418</v>
      </c>
      <c r="M5661" s="1" t="str">
        <f>VLOOKUP(L5661,'Copy of PMD Workday Constants -'!B38:W724,22,false)</f>
        <v>Catalyst</v>
      </c>
      <c r="N5661" s="1" t="s">
        <v>32</v>
      </c>
      <c r="O5661" s="1" t="s">
        <v>33</v>
      </c>
      <c r="P5661" s="1" t="s">
        <v>64</v>
      </c>
      <c r="Q5661" s="1" t="s">
        <v>64</v>
      </c>
      <c r="R5661" s="1" t="s">
        <v>65</v>
      </c>
      <c r="T5661" s="1">
        <v>1.01238292E8</v>
      </c>
      <c r="W5661" s="1" t="s">
        <v>493</v>
      </c>
      <c r="X5661" s="1" t="s">
        <v>8418</v>
      </c>
    </row>
    <row r="5662">
      <c r="A5662" s="1" t="s">
        <v>15679</v>
      </c>
      <c r="B5662" s="1" t="s">
        <v>554</v>
      </c>
      <c r="C5662" s="1" t="s">
        <v>15680</v>
      </c>
      <c r="D5662" s="1" t="s">
        <v>28</v>
      </c>
      <c r="E5662" s="1" t="s">
        <v>29</v>
      </c>
      <c r="F5662" s="5">
        <v>1.0</v>
      </c>
      <c r="G5662" s="1" t="s">
        <v>7016</v>
      </c>
      <c r="H5662" s="1" t="s">
        <v>263</v>
      </c>
      <c r="I5662" s="1" t="s">
        <v>302</v>
      </c>
      <c r="K5662" s="1">
        <v>0.0</v>
      </c>
      <c r="L5662" s="1" t="s">
        <v>836</v>
      </c>
      <c r="M5662" s="1" t="str">
        <f>VLOOKUP(L5662,'Copy of PMD Workday Constants -'!B39:W725,22,false)</f>
        <v>#N/A</v>
      </c>
      <c r="N5662" s="1" t="s">
        <v>32</v>
      </c>
      <c r="O5662" s="1" t="s">
        <v>33</v>
      </c>
      <c r="P5662" s="1" t="s">
        <v>173</v>
      </c>
      <c r="Q5662" s="1" t="s">
        <v>173</v>
      </c>
      <c r="R5662" s="1" t="s">
        <v>174</v>
      </c>
      <c r="S5662" s="1" t="s">
        <v>612</v>
      </c>
      <c r="T5662" s="1">
        <v>1.00648457E8</v>
      </c>
      <c r="W5662" s="1" t="s">
        <v>436</v>
      </c>
      <c r="X5662" s="1" t="s">
        <v>15681</v>
      </c>
    </row>
    <row r="5663">
      <c r="A5663" s="1" t="s">
        <v>15682</v>
      </c>
      <c r="B5663" s="1" t="s">
        <v>3126</v>
      </c>
      <c r="C5663" s="1" t="s">
        <v>15683</v>
      </c>
      <c r="D5663" s="1" t="s">
        <v>28</v>
      </c>
      <c r="E5663" s="1" t="s">
        <v>29</v>
      </c>
      <c r="F5663" s="1">
        <v>1.0</v>
      </c>
      <c r="G5663" s="1" t="s">
        <v>7016</v>
      </c>
      <c r="H5663" s="1" t="s">
        <v>1186</v>
      </c>
      <c r="I5663" s="1" t="s">
        <v>43</v>
      </c>
      <c r="K5663" s="1">
        <v>0.0</v>
      </c>
      <c r="L5663" s="1" t="s">
        <v>1770</v>
      </c>
      <c r="M5663" s="1" t="str">
        <f>VLOOKUP(L5663,'Copy of PMD Workday Constants -'!B40:W726,22,false)</f>
        <v>Delivery</v>
      </c>
      <c r="N5663" s="1" t="s">
        <v>32</v>
      </c>
      <c r="O5663" s="1" t="s">
        <v>33</v>
      </c>
      <c r="P5663" s="1" t="s">
        <v>210</v>
      </c>
      <c r="Q5663" s="1" t="s">
        <v>210</v>
      </c>
      <c r="R5663" s="1" t="s">
        <v>211</v>
      </c>
      <c r="T5663" s="1">
        <v>1.00593918E8</v>
      </c>
      <c r="W5663" s="1" t="s">
        <v>436</v>
      </c>
      <c r="X5663" s="1" t="s">
        <v>6497</v>
      </c>
    </row>
    <row r="5664">
      <c r="A5664" s="1" t="s">
        <v>15684</v>
      </c>
      <c r="B5664" s="1" t="s">
        <v>3126</v>
      </c>
      <c r="C5664" s="1" t="s">
        <v>15685</v>
      </c>
      <c r="D5664" s="1" t="s">
        <v>28</v>
      </c>
      <c r="E5664" s="1" t="s">
        <v>29</v>
      </c>
      <c r="F5664" s="1">
        <v>1.0</v>
      </c>
      <c r="G5664" s="1" t="s">
        <v>7016</v>
      </c>
      <c r="H5664" s="1" t="s">
        <v>1186</v>
      </c>
      <c r="I5664" s="1" t="s">
        <v>43</v>
      </c>
      <c r="K5664" s="1">
        <v>0.0</v>
      </c>
      <c r="L5664" s="1" t="s">
        <v>1770</v>
      </c>
      <c r="M5664" s="1" t="str">
        <f>VLOOKUP(L5664,'Copy of PMD Workday Constants -'!B41:W727,22,false)</f>
        <v>Delivery</v>
      </c>
      <c r="N5664" s="1" t="s">
        <v>32</v>
      </c>
      <c r="O5664" s="1" t="s">
        <v>33</v>
      </c>
      <c r="P5664" s="1" t="s">
        <v>210</v>
      </c>
      <c r="Q5664" s="1" t="s">
        <v>210</v>
      </c>
      <c r="R5664" s="1" t="s">
        <v>211</v>
      </c>
      <c r="T5664" s="1">
        <v>1.00593918E8</v>
      </c>
      <c r="W5664" s="1" t="s">
        <v>436</v>
      </c>
      <c r="X5664" s="1" t="s">
        <v>6497</v>
      </c>
    </row>
    <row r="5665">
      <c r="A5665" s="1" t="s">
        <v>15686</v>
      </c>
      <c r="B5665" s="1" t="s">
        <v>3126</v>
      </c>
      <c r="C5665" s="1" t="s">
        <v>15687</v>
      </c>
      <c r="D5665" s="1" t="s">
        <v>28</v>
      </c>
      <c r="E5665" s="1" t="s">
        <v>29</v>
      </c>
      <c r="F5665" s="1">
        <v>1.0</v>
      </c>
      <c r="G5665" s="1" t="s">
        <v>7016</v>
      </c>
      <c r="H5665" s="1" t="s">
        <v>1186</v>
      </c>
      <c r="I5665" s="1" t="s">
        <v>43</v>
      </c>
      <c r="K5665" s="1">
        <v>0.0</v>
      </c>
      <c r="L5665" s="1" t="s">
        <v>1770</v>
      </c>
      <c r="M5665" s="1" t="str">
        <f>VLOOKUP(L5665,'Copy of PMD Workday Constants -'!B42:W728,22,false)</f>
        <v>Delivery</v>
      </c>
      <c r="N5665" s="1" t="s">
        <v>32</v>
      </c>
      <c r="O5665" s="1" t="s">
        <v>33</v>
      </c>
      <c r="P5665" s="1" t="s">
        <v>210</v>
      </c>
      <c r="Q5665" s="1" t="s">
        <v>210</v>
      </c>
      <c r="R5665" s="1" t="s">
        <v>211</v>
      </c>
      <c r="T5665" s="1">
        <v>1.00593918E8</v>
      </c>
      <c r="W5665" s="1" t="s">
        <v>287</v>
      </c>
      <c r="X5665" s="1" t="s">
        <v>6497</v>
      </c>
    </row>
    <row r="5666">
      <c r="A5666" s="1" t="s">
        <v>15688</v>
      </c>
      <c r="B5666" s="1" t="s">
        <v>3126</v>
      </c>
      <c r="C5666" s="1" t="s">
        <v>15689</v>
      </c>
      <c r="D5666" s="1" t="s">
        <v>28</v>
      </c>
      <c r="E5666" s="1" t="s">
        <v>29</v>
      </c>
      <c r="F5666" s="1">
        <v>1.0</v>
      </c>
      <c r="G5666" s="1" t="s">
        <v>7016</v>
      </c>
      <c r="H5666" s="1" t="s">
        <v>1186</v>
      </c>
      <c r="I5666" s="1" t="s">
        <v>43</v>
      </c>
      <c r="K5666" s="1">
        <v>0.0</v>
      </c>
      <c r="L5666" s="1" t="s">
        <v>1770</v>
      </c>
      <c r="M5666" s="1" t="str">
        <f>VLOOKUP(L5666,'Copy of PMD Workday Constants -'!B43:W729,22,false)</f>
        <v>Delivery</v>
      </c>
      <c r="N5666" s="1" t="s">
        <v>32</v>
      </c>
      <c r="O5666" s="1" t="s">
        <v>33</v>
      </c>
      <c r="P5666" s="1" t="s">
        <v>210</v>
      </c>
      <c r="Q5666" s="1" t="s">
        <v>210</v>
      </c>
      <c r="R5666" s="1" t="s">
        <v>211</v>
      </c>
      <c r="T5666" s="1">
        <v>1.00593918E8</v>
      </c>
      <c r="W5666" s="1" t="s">
        <v>74</v>
      </c>
      <c r="X5666" s="1" t="s">
        <v>6497</v>
      </c>
    </row>
    <row r="5667">
      <c r="A5667" s="1" t="s">
        <v>15690</v>
      </c>
      <c r="B5667" s="1" t="s">
        <v>3603</v>
      </c>
      <c r="C5667" s="1" t="s">
        <v>15691</v>
      </c>
      <c r="D5667" s="1" t="s">
        <v>28</v>
      </c>
      <c r="E5667" s="1" t="s">
        <v>29</v>
      </c>
      <c r="F5667" s="1">
        <v>1.0</v>
      </c>
      <c r="G5667" s="1" t="s">
        <v>7016</v>
      </c>
      <c r="H5667" s="4">
        <v>44208.0</v>
      </c>
      <c r="I5667" s="4">
        <v>44569.0</v>
      </c>
      <c r="K5667" s="1">
        <v>0.0</v>
      </c>
      <c r="L5667" s="1" t="s">
        <v>15692</v>
      </c>
      <c r="M5667" s="1" t="str">
        <f>VLOOKUP(L5667,'Copy of PMD Workday Constants -'!B44:W730,22,false)</f>
        <v>LCP</v>
      </c>
      <c r="N5667" s="1" t="s">
        <v>32</v>
      </c>
      <c r="O5667" s="1" t="s">
        <v>33</v>
      </c>
      <c r="P5667" s="1" t="s">
        <v>222</v>
      </c>
      <c r="Q5667" s="1" t="s">
        <v>222</v>
      </c>
      <c r="R5667" s="1" t="s">
        <v>223</v>
      </c>
      <c r="T5667" s="1">
        <v>1.00609078E8</v>
      </c>
      <c r="W5667" s="1" t="s">
        <v>74</v>
      </c>
      <c r="X5667" s="1" t="s">
        <v>15693</v>
      </c>
    </row>
    <row r="5668">
      <c r="A5668" s="1" t="s">
        <v>15694</v>
      </c>
      <c r="B5668" s="1" t="s">
        <v>1808</v>
      </c>
      <c r="C5668" s="1" t="s">
        <v>15695</v>
      </c>
      <c r="D5668" s="1" t="s">
        <v>28</v>
      </c>
      <c r="E5668" s="1" t="s">
        <v>29</v>
      </c>
      <c r="F5668" s="1">
        <v>1.0</v>
      </c>
      <c r="G5668" s="1" t="s">
        <v>7016</v>
      </c>
      <c r="H5668" s="1" t="s">
        <v>61</v>
      </c>
      <c r="I5668" s="4">
        <v>45303.0</v>
      </c>
      <c r="K5668" s="1">
        <v>0.0</v>
      </c>
      <c r="L5668" s="1" t="s">
        <v>1039</v>
      </c>
      <c r="M5668" s="1" t="str">
        <f>VLOOKUP(L5668,'Copy of PMD Workday Constants -'!B45:W731,22,false)</f>
        <v>Delivery</v>
      </c>
      <c r="N5668" s="1" t="s">
        <v>32</v>
      </c>
      <c r="O5668" s="1" t="s">
        <v>33</v>
      </c>
      <c r="P5668" s="1" t="s">
        <v>112</v>
      </c>
      <c r="Q5668" s="1" t="s">
        <v>112</v>
      </c>
      <c r="R5668" s="1" t="s">
        <v>113</v>
      </c>
      <c r="S5668" s="1" t="s">
        <v>134</v>
      </c>
      <c r="T5668" s="1">
        <v>1.00633489E8</v>
      </c>
      <c r="W5668" s="1" t="s">
        <v>493</v>
      </c>
      <c r="X5668" s="1" t="s">
        <v>6998</v>
      </c>
    </row>
    <row r="5669">
      <c r="A5669" s="1" t="s">
        <v>15696</v>
      </c>
      <c r="B5669" s="1" t="s">
        <v>15697</v>
      </c>
      <c r="C5669" s="1" t="s">
        <v>15698</v>
      </c>
      <c r="D5669" s="1" t="s">
        <v>79</v>
      </c>
      <c r="E5669" s="1" t="s">
        <v>29</v>
      </c>
      <c r="F5669" s="1">
        <v>1.0</v>
      </c>
      <c r="G5669" s="1" t="s">
        <v>7016</v>
      </c>
      <c r="H5669" s="1" t="s">
        <v>170</v>
      </c>
      <c r="I5669" s="1" t="s">
        <v>80</v>
      </c>
      <c r="K5669" s="1">
        <v>0.0</v>
      </c>
      <c r="L5669" s="1" t="s">
        <v>7656</v>
      </c>
      <c r="M5669" s="1" t="str">
        <f>VLOOKUP(L5669,'Copy of PMD Workday Constants -'!B46:W732,22,false)</f>
        <v>Catalyst</v>
      </c>
      <c r="N5669" s="1" t="s">
        <v>32</v>
      </c>
      <c r="O5669" s="1" t="s">
        <v>33</v>
      </c>
      <c r="P5669" s="1" t="s">
        <v>222</v>
      </c>
      <c r="Q5669" s="1" t="s">
        <v>222</v>
      </c>
      <c r="R5669" s="1" t="s">
        <v>223</v>
      </c>
      <c r="S5669" s="1" t="s">
        <v>482</v>
      </c>
      <c r="T5669" s="1">
        <v>1.01154613E8</v>
      </c>
      <c r="X5669" s="1" t="s">
        <v>3768</v>
      </c>
    </row>
    <row r="5670">
      <c r="A5670" s="1" t="s">
        <v>15699</v>
      </c>
      <c r="B5670" s="1" t="s">
        <v>1808</v>
      </c>
      <c r="C5670" s="1" t="s">
        <v>15700</v>
      </c>
      <c r="D5670" s="1" t="s">
        <v>28</v>
      </c>
      <c r="E5670" s="1" t="s">
        <v>29</v>
      </c>
      <c r="F5670" s="1">
        <v>1.0</v>
      </c>
      <c r="G5670" s="1" t="s">
        <v>7016</v>
      </c>
      <c r="H5670" s="1" t="s">
        <v>61</v>
      </c>
      <c r="I5670" s="4">
        <v>45303.0</v>
      </c>
      <c r="K5670" s="1">
        <v>0.0</v>
      </c>
      <c r="L5670" s="1" t="s">
        <v>2042</v>
      </c>
      <c r="M5670" s="1" t="str">
        <f>VLOOKUP(L5670,'Copy of PMD Workday Constants -'!B47:W733,22,false)</f>
        <v>Delivery</v>
      </c>
      <c r="N5670" s="1" t="s">
        <v>32</v>
      </c>
      <c r="O5670" s="1" t="s">
        <v>33</v>
      </c>
      <c r="P5670" s="1" t="s">
        <v>34</v>
      </c>
      <c r="Q5670" s="1" t="s">
        <v>34</v>
      </c>
      <c r="R5670" s="1" t="s">
        <v>35</v>
      </c>
      <c r="T5670" s="1">
        <v>1.00611284E8</v>
      </c>
      <c r="W5670" s="1" t="s">
        <v>493</v>
      </c>
      <c r="X5670" s="1" t="s">
        <v>6998</v>
      </c>
    </row>
    <row r="5671">
      <c r="A5671" s="1" t="s">
        <v>15701</v>
      </c>
      <c r="B5671" s="1" t="s">
        <v>3026</v>
      </c>
      <c r="C5671" s="1" t="s">
        <v>15702</v>
      </c>
      <c r="D5671" s="1" t="s">
        <v>51</v>
      </c>
      <c r="E5671" s="1" t="s">
        <v>29</v>
      </c>
      <c r="F5671" s="1">
        <v>1.0</v>
      </c>
      <c r="G5671" s="1" t="s">
        <v>7016</v>
      </c>
      <c r="H5671" s="1" t="s">
        <v>526</v>
      </c>
      <c r="I5671" s="1" t="s">
        <v>1349</v>
      </c>
      <c r="K5671" s="1">
        <v>0.0</v>
      </c>
      <c r="L5671" s="1" t="s">
        <v>3734</v>
      </c>
      <c r="M5671" s="1" t="str">
        <f>VLOOKUP(L5671,'Copy of PMD Workday Constants -'!B48:W734,22,false)</f>
        <v>Delivery</v>
      </c>
      <c r="N5671" s="1" t="s">
        <v>32</v>
      </c>
      <c r="O5671" s="1" t="s">
        <v>33</v>
      </c>
      <c r="P5671" s="1" t="s">
        <v>173</v>
      </c>
      <c r="Q5671" s="1" t="s">
        <v>173</v>
      </c>
      <c r="R5671" s="1" t="s">
        <v>174</v>
      </c>
      <c r="T5671" s="1">
        <v>1.00589248E8</v>
      </c>
      <c r="W5671" s="1" t="s">
        <v>258</v>
      </c>
      <c r="X5671" s="1" t="s">
        <v>5993</v>
      </c>
    </row>
    <row r="5672">
      <c r="A5672" s="1" t="s">
        <v>15703</v>
      </c>
      <c r="B5672" s="1" t="s">
        <v>2011</v>
      </c>
      <c r="C5672" s="1" t="s">
        <v>15704</v>
      </c>
      <c r="D5672" s="1" t="s">
        <v>28</v>
      </c>
      <c r="E5672" s="1" t="s">
        <v>29</v>
      </c>
      <c r="F5672" s="1">
        <v>1.0</v>
      </c>
      <c r="G5672" s="1" t="s">
        <v>7016</v>
      </c>
      <c r="H5672" s="4">
        <v>44595.0</v>
      </c>
      <c r="I5672" s="1" t="s">
        <v>80</v>
      </c>
      <c r="K5672" s="1">
        <v>0.0</v>
      </c>
      <c r="L5672" s="1" t="s">
        <v>3784</v>
      </c>
      <c r="M5672" s="1" t="str">
        <f>VLOOKUP(L5672,'Copy of PMD Workday Constants -'!B49:W735,22,false)</f>
        <v>Catalyst</v>
      </c>
      <c r="N5672" s="1" t="s">
        <v>32</v>
      </c>
      <c r="O5672" s="1" t="s">
        <v>33</v>
      </c>
      <c r="P5672" s="1" t="s">
        <v>210</v>
      </c>
      <c r="Q5672" s="1" t="s">
        <v>210</v>
      </c>
      <c r="R5672" s="1" t="s">
        <v>211</v>
      </c>
      <c r="T5672" s="1">
        <v>1.00637651E8</v>
      </c>
      <c r="W5672" s="1" t="s">
        <v>56</v>
      </c>
      <c r="X5672" s="1" t="s">
        <v>3784</v>
      </c>
    </row>
    <row r="5673">
      <c r="A5673" s="1" t="s">
        <v>15705</v>
      </c>
      <c r="B5673" s="1" t="s">
        <v>15706</v>
      </c>
      <c r="C5673" s="1" t="s">
        <v>15707</v>
      </c>
      <c r="D5673" s="1" t="s">
        <v>28</v>
      </c>
      <c r="E5673" s="1" t="s">
        <v>29</v>
      </c>
      <c r="F5673" s="5">
        <v>1.0</v>
      </c>
      <c r="G5673" s="1" t="s">
        <v>7016</v>
      </c>
      <c r="H5673" s="1" t="s">
        <v>1307</v>
      </c>
      <c r="I5673" s="1" t="s">
        <v>526</v>
      </c>
      <c r="K5673" s="1">
        <v>0.0</v>
      </c>
      <c r="L5673" s="1" t="s">
        <v>15708</v>
      </c>
      <c r="M5673" s="1" t="str">
        <f>VLOOKUP(L5673,'Copy of PMD Workday Constants -'!B50:W736,22,false)</f>
        <v>#N/A</v>
      </c>
      <c r="N5673" s="1" t="s">
        <v>32</v>
      </c>
      <c r="O5673" s="1" t="s">
        <v>33</v>
      </c>
      <c r="P5673" s="1" t="s">
        <v>112</v>
      </c>
      <c r="Q5673" s="1" t="s">
        <v>112</v>
      </c>
      <c r="R5673" s="1" t="s">
        <v>113</v>
      </c>
      <c r="T5673" s="1">
        <v>1.0062816E8</v>
      </c>
      <c r="W5673" s="1" t="s">
        <v>74</v>
      </c>
      <c r="X5673" s="1" t="s">
        <v>15708</v>
      </c>
    </row>
    <row r="5674">
      <c r="A5674" s="1" t="s">
        <v>15709</v>
      </c>
      <c r="B5674" s="1" t="s">
        <v>4602</v>
      </c>
      <c r="C5674" s="1" t="s">
        <v>15710</v>
      </c>
      <c r="D5674" s="1" t="s">
        <v>28</v>
      </c>
      <c r="E5674" s="1" t="s">
        <v>29</v>
      </c>
      <c r="F5674" s="5">
        <v>1.0</v>
      </c>
      <c r="G5674" s="1" t="s">
        <v>7016</v>
      </c>
      <c r="H5674" s="1" t="s">
        <v>1307</v>
      </c>
      <c r="I5674" s="1" t="s">
        <v>80</v>
      </c>
      <c r="K5674" s="1">
        <v>0.0</v>
      </c>
      <c r="L5674" s="1" t="s">
        <v>2946</v>
      </c>
      <c r="M5674" s="1" t="str">
        <f>VLOOKUP(L5674,'Copy of PMD Workday Constants -'!B51:W737,22,false)</f>
        <v>#N/A</v>
      </c>
      <c r="N5674" s="1" t="s">
        <v>32</v>
      </c>
      <c r="O5674" s="1" t="s">
        <v>33</v>
      </c>
      <c r="P5674" s="1" t="s">
        <v>64</v>
      </c>
      <c r="Q5674" s="1" t="s">
        <v>64</v>
      </c>
      <c r="R5674" s="1" t="s">
        <v>65</v>
      </c>
      <c r="T5674" s="1">
        <v>1.01074419E8</v>
      </c>
      <c r="W5674" s="1" t="s">
        <v>140</v>
      </c>
      <c r="X5674" s="1" t="s">
        <v>2946</v>
      </c>
    </row>
    <row r="5675">
      <c r="A5675" s="1" t="s">
        <v>15711</v>
      </c>
      <c r="B5675" s="1" t="s">
        <v>15712</v>
      </c>
      <c r="C5675" s="1" t="s">
        <v>15650</v>
      </c>
      <c r="D5675" s="1" t="s">
        <v>51</v>
      </c>
      <c r="E5675" s="1" t="s">
        <v>29</v>
      </c>
      <c r="F5675" s="1">
        <v>0.0</v>
      </c>
      <c r="G5675" s="1" t="s">
        <v>7016</v>
      </c>
      <c r="H5675" s="4">
        <v>44567.0</v>
      </c>
      <c r="I5675" s="4">
        <v>44689.0</v>
      </c>
      <c r="K5675" s="1">
        <v>0.0</v>
      </c>
      <c r="L5675" s="1" t="s">
        <v>428</v>
      </c>
      <c r="M5675" s="1" t="str">
        <f>VLOOKUP(L5675,'Copy of PMD Workday Constants -'!B52:W738,22,false)</f>
        <v>Delivery</v>
      </c>
      <c r="N5675" s="1" t="s">
        <v>32</v>
      </c>
      <c r="O5675" s="1" t="s">
        <v>33</v>
      </c>
      <c r="P5675" s="1" t="s">
        <v>173</v>
      </c>
      <c r="Q5675" s="1" t="s">
        <v>173</v>
      </c>
      <c r="R5675" s="1" t="s">
        <v>174</v>
      </c>
      <c r="T5675" s="1">
        <v>1.00654085E8</v>
      </c>
      <c r="X5675" s="1" t="s">
        <v>4982</v>
      </c>
    </row>
    <row r="5676">
      <c r="A5676" s="1" t="s">
        <v>15713</v>
      </c>
      <c r="B5676" s="1" t="s">
        <v>5219</v>
      </c>
      <c r="C5676" s="1" t="s">
        <v>15714</v>
      </c>
      <c r="D5676" s="1" t="s">
        <v>51</v>
      </c>
      <c r="E5676" s="1" t="s">
        <v>29</v>
      </c>
      <c r="F5676" s="1">
        <v>0.0</v>
      </c>
      <c r="G5676" s="1" t="s">
        <v>7016</v>
      </c>
      <c r="H5676" s="4">
        <v>44261.0</v>
      </c>
      <c r="I5676" s="1" t="s">
        <v>302</v>
      </c>
      <c r="K5676" s="1">
        <v>0.0</v>
      </c>
      <c r="L5676" s="1" t="s">
        <v>2097</v>
      </c>
      <c r="M5676" s="1" t="str">
        <f>VLOOKUP(L5676,'Copy of PMD Workday Constants -'!B53:W739,22,false)</f>
        <v>Delivery</v>
      </c>
      <c r="N5676" s="1" t="s">
        <v>32</v>
      </c>
      <c r="O5676" s="1" t="s">
        <v>33</v>
      </c>
      <c r="P5676" s="1" t="s">
        <v>82</v>
      </c>
      <c r="Q5676" s="1" t="s">
        <v>82</v>
      </c>
      <c r="R5676" s="1" t="s">
        <v>83</v>
      </c>
      <c r="S5676" s="1" t="s">
        <v>180</v>
      </c>
      <c r="T5676" s="1">
        <v>1.00619607E8</v>
      </c>
      <c r="U5676" s="1" t="s">
        <v>15714</v>
      </c>
      <c r="V5676" s="1" t="s">
        <v>46</v>
      </c>
      <c r="W5676" s="1" t="s">
        <v>85</v>
      </c>
      <c r="X5676" s="1" t="s">
        <v>7958</v>
      </c>
    </row>
    <row r="5677">
      <c r="A5677" s="1" t="s">
        <v>15715</v>
      </c>
      <c r="B5677" s="1" t="s">
        <v>11561</v>
      </c>
      <c r="C5677" s="1" t="s">
        <v>15716</v>
      </c>
      <c r="D5677" s="1" t="s">
        <v>103</v>
      </c>
      <c r="E5677" s="1" t="s">
        <v>29</v>
      </c>
      <c r="F5677" s="1">
        <v>0.0</v>
      </c>
      <c r="G5677" s="1" t="s">
        <v>7016</v>
      </c>
      <c r="H5677" s="1" t="s">
        <v>466</v>
      </c>
      <c r="I5677" s="1" t="s">
        <v>810</v>
      </c>
      <c r="K5677" s="1">
        <v>0.0</v>
      </c>
      <c r="L5677" s="1" t="s">
        <v>4490</v>
      </c>
      <c r="M5677" s="1" t="str">
        <f>VLOOKUP(L5677,'Copy of PMD Workday Constants -'!B54:W740,22,false)</f>
        <v>LCP</v>
      </c>
      <c r="N5677" s="1" t="s">
        <v>32</v>
      </c>
      <c r="O5677" s="1" t="s">
        <v>33</v>
      </c>
      <c r="P5677" s="1" t="s">
        <v>54</v>
      </c>
      <c r="Q5677" s="1" t="s">
        <v>54</v>
      </c>
      <c r="R5677" s="1" t="s">
        <v>55</v>
      </c>
      <c r="T5677" s="1">
        <v>1.00646804E8</v>
      </c>
      <c r="W5677" s="1" t="s">
        <v>258</v>
      </c>
      <c r="X5677" s="1" t="s">
        <v>5341</v>
      </c>
    </row>
    <row r="5678">
      <c r="A5678" s="1" t="s">
        <v>15717</v>
      </c>
      <c r="B5678" s="1" t="s">
        <v>3885</v>
      </c>
      <c r="C5678" s="1" t="s">
        <v>15718</v>
      </c>
      <c r="D5678" s="1" t="s">
        <v>103</v>
      </c>
      <c r="E5678" s="1" t="s">
        <v>29</v>
      </c>
      <c r="F5678" s="5">
        <v>0.0</v>
      </c>
      <c r="G5678" s="1" t="s">
        <v>7016</v>
      </c>
      <c r="H5678" s="1" t="s">
        <v>2510</v>
      </c>
      <c r="I5678" s="1" t="s">
        <v>152</v>
      </c>
      <c r="K5678" s="1">
        <v>0.0</v>
      </c>
      <c r="L5678" s="1" t="s">
        <v>2771</v>
      </c>
      <c r="M5678" s="1" t="str">
        <f>VLOOKUP(L5678,'Copy of PMD Workday Constants -'!B55:W741,22,false)</f>
        <v>#N/A</v>
      </c>
      <c r="N5678" s="1" t="s">
        <v>32</v>
      </c>
      <c r="O5678" s="1" t="s">
        <v>33</v>
      </c>
      <c r="P5678" s="1" t="s">
        <v>222</v>
      </c>
      <c r="Q5678" s="1" t="s">
        <v>222</v>
      </c>
      <c r="R5678" s="1" t="s">
        <v>223</v>
      </c>
      <c r="S5678" s="1" t="s">
        <v>601</v>
      </c>
      <c r="T5678" s="1">
        <v>1.00641939E8</v>
      </c>
      <c r="W5678" s="1" t="s">
        <v>533</v>
      </c>
      <c r="X5678" s="1" t="s">
        <v>13283</v>
      </c>
    </row>
    <row r="5679">
      <c r="A5679" s="1" t="s">
        <v>15719</v>
      </c>
      <c r="B5679" s="1" t="s">
        <v>3585</v>
      </c>
      <c r="C5679" s="1" t="s">
        <v>15720</v>
      </c>
      <c r="D5679" s="1" t="s">
        <v>28</v>
      </c>
      <c r="E5679" s="1" t="s">
        <v>29</v>
      </c>
      <c r="F5679" s="1">
        <v>0.0</v>
      </c>
      <c r="G5679" s="1" t="s">
        <v>7016</v>
      </c>
      <c r="H5679" s="1" t="s">
        <v>363</v>
      </c>
      <c r="I5679" s="1" t="s">
        <v>80</v>
      </c>
      <c r="K5679" s="1">
        <v>0.0</v>
      </c>
      <c r="L5679" s="1" t="s">
        <v>5807</v>
      </c>
      <c r="M5679" s="1" t="str">
        <f>VLOOKUP(L5679,'Copy of PMD Workday Constants -'!B56:W742,22,false)</f>
        <v>LCP</v>
      </c>
      <c r="N5679" s="1" t="s">
        <v>32</v>
      </c>
      <c r="O5679" s="1" t="s">
        <v>33</v>
      </c>
      <c r="P5679" s="1" t="s">
        <v>173</v>
      </c>
      <c r="Q5679" s="1" t="s">
        <v>173</v>
      </c>
      <c r="R5679" s="1" t="s">
        <v>174</v>
      </c>
      <c r="T5679" s="1">
        <v>1.00589278E8</v>
      </c>
      <c r="X5679" s="1" t="s">
        <v>6139</v>
      </c>
    </row>
    <row r="5680">
      <c r="A5680" s="1" t="s">
        <v>15721</v>
      </c>
      <c r="B5680" s="1" t="s">
        <v>787</v>
      </c>
      <c r="C5680" s="1" t="s">
        <v>15722</v>
      </c>
      <c r="D5680" s="1" t="s">
        <v>28</v>
      </c>
      <c r="E5680" s="1" t="s">
        <v>29</v>
      </c>
      <c r="F5680" s="1">
        <v>0.0</v>
      </c>
      <c r="G5680" s="1" t="s">
        <v>7016</v>
      </c>
      <c r="H5680" s="1" t="s">
        <v>2062</v>
      </c>
      <c r="I5680" s="1" t="s">
        <v>80</v>
      </c>
      <c r="K5680" s="1">
        <v>0.0</v>
      </c>
      <c r="L5680" s="1" t="s">
        <v>790</v>
      </c>
      <c r="M5680" s="1" t="str">
        <f>VLOOKUP(L5680,'Copy of PMD Workday Constants -'!B57:W743,22,false)</f>
        <v>LCP</v>
      </c>
      <c r="N5680" s="1" t="s">
        <v>32</v>
      </c>
      <c r="O5680" s="1" t="s">
        <v>33</v>
      </c>
      <c r="P5680" s="1" t="s">
        <v>64</v>
      </c>
      <c r="Q5680" s="1" t="s">
        <v>64</v>
      </c>
      <c r="R5680" s="1" t="s">
        <v>65</v>
      </c>
      <c r="S5680" s="1" t="s">
        <v>791</v>
      </c>
      <c r="T5680" s="1">
        <v>1.00661738E8</v>
      </c>
      <c r="W5680" s="1" t="s">
        <v>74</v>
      </c>
      <c r="X5680" s="1" t="s">
        <v>15578</v>
      </c>
    </row>
    <row r="5681">
      <c r="A5681" s="1" t="s">
        <v>15723</v>
      </c>
      <c r="B5681" s="1" t="s">
        <v>3585</v>
      </c>
      <c r="C5681" s="1" t="s">
        <v>15724</v>
      </c>
      <c r="D5681" s="1" t="s">
        <v>28</v>
      </c>
      <c r="E5681" s="1" t="s">
        <v>29</v>
      </c>
      <c r="F5681" s="1">
        <v>0.0</v>
      </c>
      <c r="G5681" s="1" t="s">
        <v>7016</v>
      </c>
      <c r="H5681" s="1" t="s">
        <v>363</v>
      </c>
      <c r="I5681" s="1" t="s">
        <v>166</v>
      </c>
      <c r="K5681" s="1">
        <v>0.0</v>
      </c>
      <c r="L5681" s="1" t="s">
        <v>1039</v>
      </c>
      <c r="M5681" s="1" t="str">
        <f>VLOOKUP(L5681,'Copy of PMD Workday Constants -'!B58:W744,22,false)</f>
        <v>Delivery</v>
      </c>
      <c r="N5681" s="1" t="s">
        <v>32</v>
      </c>
      <c r="O5681" s="1" t="s">
        <v>33</v>
      </c>
      <c r="P5681" s="1" t="s">
        <v>112</v>
      </c>
      <c r="Q5681" s="1" t="s">
        <v>112</v>
      </c>
      <c r="R5681" s="1" t="s">
        <v>113</v>
      </c>
      <c r="S5681" s="1" t="s">
        <v>134</v>
      </c>
      <c r="T5681" s="1">
        <v>1.00633489E8</v>
      </c>
      <c r="X5681" s="1" t="s">
        <v>6139</v>
      </c>
    </row>
    <row r="5682">
      <c r="A5682" s="1" t="s">
        <v>15725</v>
      </c>
      <c r="B5682" s="1" t="s">
        <v>787</v>
      </c>
      <c r="C5682" s="1" t="s">
        <v>15722</v>
      </c>
      <c r="D5682" s="1" t="s">
        <v>28</v>
      </c>
      <c r="E5682" s="1" t="s">
        <v>29</v>
      </c>
      <c r="F5682" s="1">
        <v>0.0</v>
      </c>
      <c r="G5682" s="1" t="s">
        <v>7016</v>
      </c>
      <c r="H5682" s="1" t="s">
        <v>2062</v>
      </c>
      <c r="I5682" s="1" t="s">
        <v>80</v>
      </c>
      <c r="K5682" s="1">
        <v>0.0</v>
      </c>
      <c r="L5682" s="1" t="s">
        <v>790</v>
      </c>
      <c r="M5682" s="1" t="str">
        <f>VLOOKUP(L5682,'Copy of PMD Workday Constants -'!B59:W745,22,false)</f>
        <v>LCP</v>
      </c>
      <c r="N5682" s="1" t="s">
        <v>32</v>
      </c>
      <c r="O5682" s="1" t="s">
        <v>33</v>
      </c>
      <c r="P5682" s="1" t="s">
        <v>64</v>
      </c>
      <c r="Q5682" s="1" t="s">
        <v>64</v>
      </c>
      <c r="R5682" s="1" t="s">
        <v>65</v>
      </c>
      <c r="S5682" s="1" t="s">
        <v>791</v>
      </c>
      <c r="T5682" s="1">
        <v>1.00661738E8</v>
      </c>
      <c r="W5682" s="1" t="s">
        <v>456</v>
      </c>
      <c r="X5682" s="1" t="s">
        <v>15578</v>
      </c>
    </row>
    <row r="5683">
      <c r="A5683" s="1" t="s">
        <v>15726</v>
      </c>
      <c r="B5683" s="1" t="s">
        <v>1112</v>
      </c>
      <c r="C5683" s="1" t="s">
        <v>9853</v>
      </c>
      <c r="D5683" s="1" t="s">
        <v>28</v>
      </c>
      <c r="E5683" s="1" t="s">
        <v>29</v>
      </c>
      <c r="F5683" s="1">
        <v>0.0</v>
      </c>
      <c r="G5683" s="1" t="s">
        <v>7016</v>
      </c>
      <c r="H5683" s="1" t="s">
        <v>2424</v>
      </c>
      <c r="I5683" s="4">
        <v>44872.0</v>
      </c>
      <c r="K5683" s="1">
        <v>0.0</v>
      </c>
      <c r="L5683" s="1" t="s">
        <v>963</v>
      </c>
      <c r="M5683" s="1" t="str">
        <f>VLOOKUP(L5683,'Copy of PMD Workday Constants -'!B60:W746,22,false)</f>
        <v>Delivery</v>
      </c>
      <c r="N5683" s="1" t="s">
        <v>32</v>
      </c>
      <c r="O5683" s="1" t="s">
        <v>33</v>
      </c>
      <c r="P5683" s="1" t="s">
        <v>173</v>
      </c>
      <c r="Q5683" s="1" t="s">
        <v>173</v>
      </c>
      <c r="R5683" s="1" t="s">
        <v>174</v>
      </c>
      <c r="S5683" s="1" t="s">
        <v>612</v>
      </c>
      <c r="T5683" s="1">
        <v>1.00708984E8</v>
      </c>
      <c r="W5683" s="1" t="s">
        <v>56</v>
      </c>
      <c r="X5683" s="1" t="s">
        <v>7614</v>
      </c>
    </row>
    <row r="5684">
      <c r="A5684" s="1" t="s">
        <v>15727</v>
      </c>
      <c r="B5684" s="1" t="s">
        <v>225</v>
      </c>
      <c r="C5684" s="1" t="s">
        <v>15728</v>
      </c>
      <c r="D5684" s="1" t="s">
        <v>28</v>
      </c>
      <c r="E5684" s="1" t="s">
        <v>29</v>
      </c>
      <c r="F5684" s="5">
        <v>0.0</v>
      </c>
      <c r="G5684" s="1" t="s">
        <v>7016</v>
      </c>
      <c r="H5684" s="1" t="s">
        <v>124</v>
      </c>
      <c r="I5684" s="1" t="s">
        <v>302</v>
      </c>
      <c r="K5684" s="1">
        <v>0.0</v>
      </c>
      <c r="L5684" s="1" t="s">
        <v>6791</v>
      </c>
      <c r="M5684" s="1" t="str">
        <f>VLOOKUP(L5684,'Copy of PMD Workday Constants -'!B61:W747,22,false)</f>
        <v>#N/A</v>
      </c>
      <c r="N5684" s="1" t="s">
        <v>32</v>
      </c>
      <c r="O5684" s="1" t="s">
        <v>33</v>
      </c>
      <c r="P5684" s="1" t="s">
        <v>82</v>
      </c>
      <c r="Q5684" s="1" t="s">
        <v>82</v>
      </c>
      <c r="R5684" s="1" t="s">
        <v>83</v>
      </c>
      <c r="S5684" s="1" t="s">
        <v>84</v>
      </c>
      <c r="T5684" s="1">
        <v>1.00594243E8</v>
      </c>
      <c r="W5684" s="1" t="s">
        <v>85</v>
      </c>
      <c r="X5684" s="1" t="s">
        <v>15729</v>
      </c>
    </row>
    <row r="5685">
      <c r="A5685" s="1" t="s">
        <v>15730</v>
      </c>
      <c r="B5685" s="1" t="s">
        <v>993</v>
      </c>
      <c r="C5685" s="1" t="s">
        <v>15731</v>
      </c>
      <c r="D5685" s="1" t="s">
        <v>28</v>
      </c>
      <c r="E5685" s="1" t="s">
        <v>29</v>
      </c>
      <c r="F5685" s="5">
        <v>0.0</v>
      </c>
      <c r="G5685" s="1" t="s">
        <v>7016</v>
      </c>
      <c r="H5685" s="1" t="s">
        <v>322</v>
      </c>
      <c r="I5685" s="1" t="s">
        <v>152</v>
      </c>
      <c r="K5685" s="1">
        <v>0.0</v>
      </c>
      <c r="L5685" s="1" t="s">
        <v>12216</v>
      </c>
      <c r="M5685" s="1" t="str">
        <f>VLOOKUP(L5685,'Copy of PMD Workday Constants -'!B62:W748,22,false)</f>
        <v>#N/A</v>
      </c>
      <c r="N5685" s="1" t="s">
        <v>32</v>
      </c>
      <c r="O5685" s="1" t="s">
        <v>33</v>
      </c>
      <c r="P5685" s="1" t="s">
        <v>173</v>
      </c>
      <c r="Q5685" s="1" t="s">
        <v>173</v>
      </c>
      <c r="R5685" s="1" t="s">
        <v>174</v>
      </c>
      <c r="T5685" s="1">
        <v>1.00904278E8</v>
      </c>
      <c r="W5685" s="1" t="s">
        <v>74</v>
      </c>
      <c r="X5685" s="1" t="s">
        <v>15732</v>
      </c>
    </row>
    <row r="5686">
      <c r="A5686" s="1" t="s">
        <v>15733</v>
      </c>
      <c r="B5686" s="1" t="s">
        <v>3355</v>
      </c>
      <c r="C5686" s="1" t="s">
        <v>15734</v>
      </c>
      <c r="D5686" s="1" t="s">
        <v>28</v>
      </c>
      <c r="E5686" s="1" t="s">
        <v>29</v>
      </c>
      <c r="F5686" s="1">
        <v>0.0</v>
      </c>
      <c r="G5686" s="1" t="s">
        <v>7016</v>
      </c>
      <c r="H5686" s="1" t="s">
        <v>4864</v>
      </c>
      <c r="I5686" s="1" t="s">
        <v>302</v>
      </c>
      <c r="K5686" s="1">
        <v>0.0</v>
      </c>
      <c r="L5686" s="1" t="s">
        <v>72</v>
      </c>
      <c r="M5686" s="1" t="str">
        <f>VLOOKUP(L5686,'Copy of PMD Workday Constants -'!B63:W749,22,false)</f>
        <v>LCP</v>
      </c>
      <c r="N5686" s="1" t="s">
        <v>32</v>
      </c>
      <c r="O5686" s="1" t="s">
        <v>33</v>
      </c>
      <c r="P5686" s="1" t="s">
        <v>34</v>
      </c>
      <c r="Q5686" s="1" t="s">
        <v>34</v>
      </c>
      <c r="R5686" s="1" t="s">
        <v>35</v>
      </c>
      <c r="S5686" s="1" t="s">
        <v>601</v>
      </c>
      <c r="T5686" s="1">
        <v>1.0060843E8</v>
      </c>
      <c r="W5686" s="1" t="s">
        <v>74</v>
      </c>
      <c r="X5686" s="1" t="s">
        <v>7550</v>
      </c>
    </row>
    <row r="5687">
      <c r="A5687" s="1" t="s">
        <v>15735</v>
      </c>
      <c r="B5687" s="1" t="s">
        <v>4968</v>
      </c>
      <c r="C5687" s="1" t="s">
        <v>15736</v>
      </c>
      <c r="D5687" s="1" t="s">
        <v>28</v>
      </c>
      <c r="E5687" s="1" t="s">
        <v>29</v>
      </c>
      <c r="F5687" s="1">
        <v>0.0</v>
      </c>
      <c r="G5687" s="1" t="s">
        <v>7016</v>
      </c>
      <c r="H5687" s="4">
        <v>43929.0</v>
      </c>
      <c r="I5687" s="1" t="s">
        <v>661</v>
      </c>
      <c r="K5687" s="1">
        <v>0.0</v>
      </c>
      <c r="L5687" s="1" t="s">
        <v>454</v>
      </c>
      <c r="M5687" s="1" t="str">
        <f>VLOOKUP(L5687,'Copy of PMD Workday Constants -'!B64:W750,22,false)</f>
        <v>LCP</v>
      </c>
      <c r="N5687" s="1" t="s">
        <v>32</v>
      </c>
      <c r="O5687" s="1" t="s">
        <v>33</v>
      </c>
      <c r="P5687" s="1" t="s">
        <v>112</v>
      </c>
      <c r="Q5687" s="1" t="s">
        <v>112</v>
      </c>
      <c r="R5687" s="1" t="s">
        <v>113</v>
      </c>
      <c r="S5687" s="1" t="s">
        <v>455</v>
      </c>
      <c r="T5687" s="1">
        <v>1.00611486E8</v>
      </c>
      <c r="W5687" s="1" t="s">
        <v>456</v>
      </c>
      <c r="X5687" s="1" t="s">
        <v>9375</v>
      </c>
    </row>
    <row r="5688">
      <c r="A5688" s="1" t="s">
        <v>15737</v>
      </c>
      <c r="B5688" s="1" t="s">
        <v>15738</v>
      </c>
      <c r="C5688" s="1" t="s">
        <v>15739</v>
      </c>
      <c r="D5688" s="1" t="s">
        <v>103</v>
      </c>
      <c r="E5688" s="1" t="s">
        <v>29</v>
      </c>
      <c r="F5688" s="1">
        <v>0.0</v>
      </c>
      <c r="G5688" s="1" t="s">
        <v>7016</v>
      </c>
      <c r="H5688" s="1" t="s">
        <v>15740</v>
      </c>
      <c r="I5688" s="1" t="s">
        <v>152</v>
      </c>
      <c r="K5688" s="1">
        <v>0.0</v>
      </c>
      <c r="L5688" s="1" t="s">
        <v>11255</v>
      </c>
      <c r="M5688" s="1" t="str">
        <f>VLOOKUP(L5688,'Copy of PMD Workday Constants -'!B65:W751,22,false)</f>
        <v>LCP</v>
      </c>
      <c r="N5688" s="1" t="s">
        <v>32</v>
      </c>
      <c r="O5688" s="1" t="s">
        <v>33</v>
      </c>
      <c r="P5688" s="1" t="s">
        <v>173</v>
      </c>
      <c r="Q5688" s="1" t="s">
        <v>173</v>
      </c>
      <c r="R5688" s="1" t="s">
        <v>174</v>
      </c>
      <c r="T5688" s="1">
        <v>1.00612715E8</v>
      </c>
      <c r="W5688" s="1" t="s">
        <v>74</v>
      </c>
      <c r="X5688" s="1" t="s">
        <v>7550</v>
      </c>
    </row>
    <row r="5689">
      <c r="A5689" s="1" t="s">
        <v>15741</v>
      </c>
      <c r="B5689" s="1" t="s">
        <v>4029</v>
      </c>
      <c r="C5689" s="1" t="s">
        <v>15742</v>
      </c>
      <c r="D5689" s="1" t="s">
        <v>28</v>
      </c>
      <c r="E5689" s="1" t="s">
        <v>29</v>
      </c>
      <c r="F5689" s="1">
        <v>0.0</v>
      </c>
      <c r="G5689" s="1" t="s">
        <v>7016</v>
      </c>
      <c r="H5689" s="1" t="s">
        <v>1570</v>
      </c>
      <c r="I5689" s="1" t="s">
        <v>699</v>
      </c>
      <c r="K5689" s="1">
        <v>0.0</v>
      </c>
      <c r="L5689" s="1" t="s">
        <v>139</v>
      </c>
      <c r="M5689" s="1" t="str">
        <f>VLOOKUP(L5689,'Copy of PMD Workday Constants -'!B66:W752,22,false)</f>
        <v>Delivery</v>
      </c>
      <c r="N5689" s="1" t="s">
        <v>32</v>
      </c>
      <c r="O5689" s="1" t="s">
        <v>33</v>
      </c>
      <c r="P5689" s="1" t="s">
        <v>112</v>
      </c>
      <c r="Q5689" s="1" t="s">
        <v>112</v>
      </c>
      <c r="R5689" s="1" t="s">
        <v>113</v>
      </c>
      <c r="S5689" s="1" t="s">
        <v>114</v>
      </c>
      <c r="T5689" s="1">
        <v>1.00592496E8</v>
      </c>
      <c r="W5689" s="1" t="s">
        <v>456</v>
      </c>
      <c r="X5689" s="1" t="s">
        <v>15708</v>
      </c>
    </row>
    <row r="5690">
      <c r="A5690" s="1" t="s">
        <v>15743</v>
      </c>
      <c r="B5690" s="1" t="s">
        <v>4029</v>
      </c>
      <c r="C5690" s="1" t="s">
        <v>15742</v>
      </c>
      <c r="D5690" s="1" t="s">
        <v>28</v>
      </c>
      <c r="E5690" s="1" t="s">
        <v>29</v>
      </c>
      <c r="F5690" s="1">
        <v>0.0</v>
      </c>
      <c r="G5690" s="1" t="s">
        <v>7016</v>
      </c>
      <c r="H5690" s="1" t="s">
        <v>1570</v>
      </c>
      <c r="I5690" s="1" t="s">
        <v>1349</v>
      </c>
      <c r="K5690" s="1">
        <v>0.0</v>
      </c>
      <c r="L5690" s="1" t="s">
        <v>139</v>
      </c>
      <c r="M5690" s="1" t="str">
        <f>VLOOKUP(L5690,'Copy of PMD Workday Constants -'!B67:W753,22,false)</f>
        <v>Delivery</v>
      </c>
      <c r="N5690" s="1" t="s">
        <v>32</v>
      </c>
      <c r="O5690" s="1" t="s">
        <v>33</v>
      </c>
      <c r="P5690" s="1" t="s">
        <v>112</v>
      </c>
      <c r="Q5690" s="1" t="s">
        <v>112</v>
      </c>
      <c r="R5690" s="1" t="s">
        <v>113</v>
      </c>
      <c r="S5690" s="1" t="s">
        <v>114</v>
      </c>
      <c r="T5690" s="1">
        <v>1.00592496E8</v>
      </c>
      <c r="W5690" s="1" t="s">
        <v>456</v>
      </c>
      <c r="X5690" s="1" t="s">
        <v>15708</v>
      </c>
    </row>
    <row r="5691">
      <c r="A5691" s="1" t="s">
        <v>15744</v>
      </c>
      <c r="B5691" s="1" t="s">
        <v>669</v>
      </c>
      <c r="C5691" s="1" t="s">
        <v>15745</v>
      </c>
      <c r="D5691" s="1" t="s">
        <v>79</v>
      </c>
      <c r="E5691" s="1" t="s">
        <v>29</v>
      </c>
      <c r="F5691" s="1">
        <v>0.0</v>
      </c>
      <c r="G5691" s="1" t="s">
        <v>7016</v>
      </c>
      <c r="H5691" s="4">
        <v>44597.0</v>
      </c>
      <c r="I5691" s="1" t="s">
        <v>526</v>
      </c>
      <c r="K5691" s="1">
        <v>0.0</v>
      </c>
      <c r="L5691" s="1" t="s">
        <v>564</v>
      </c>
      <c r="M5691" s="1" t="str">
        <f>VLOOKUP(L5691,'Copy of PMD Workday Constants -'!B68:W754,22,false)</f>
        <v>LCP</v>
      </c>
      <c r="N5691" s="1" t="s">
        <v>32</v>
      </c>
      <c r="O5691" s="1" t="s">
        <v>33</v>
      </c>
      <c r="P5691" s="1" t="s">
        <v>112</v>
      </c>
      <c r="Q5691" s="1" t="s">
        <v>112</v>
      </c>
      <c r="R5691" s="1" t="s">
        <v>113</v>
      </c>
      <c r="S5691" s="1" t="s">
        <v>204</v>
      </c>
      <c r="T5691" s="1">
        <v>1.005886E8</v>
      </c>
      <c r="W5691" s="1" t="s">
        <v>37</v>
      </c>
      <c r="X5691" s="1" t="s">
        <v>1815</v>
      </c>
    </row>
    <row r="5692">
      <c r="A5692" s="1" t="s">
        <v>15746</v>
      </c>
      <c r="B5692" s="1" t="s">
        <v>15747</v>
      </c>
      <c r="C5692" s="1" t="s">
        <v>15748</v>
      </c>
      <c r="D5692" s="1" t="s">
        <v>51</v>
      </c>
      <c r="E5692" s="1" t="s">
        <v>29</v>
      </c>
      <c r="F5692" s="5">
        <v>0.0</v>
      </c>
      <c r="G5692" s="1" t="s">
        <v>7016</v>
      </c>
      <c r="H5692" s="4">
        <v>44564.0</v>
      </c>
      <c r="I5692" s="1" t="s">
        <v>132</v>
      </c>
      <c r="K5692" s="1">
        <v>0.0</v>
      </c>
      <c r="L5692" s="1" t="s">
        <v>12216</v>
      </c>
      <c r="M5692" s="1" t="str">
        <f>VLOOKUP(L5692,'Copy of PMD Workday Constants -'!B69:W755,22,false)</f>
        <v>#N/A</v>
      </c>
      <c r="N5692" s="1" t="s">
        <v>32</v>
      </c>
      <c r="O5692" s="1" t="s">
        <v>33</v>
      </c>
      <c r="P5692" s="1" t="s">
        <v>173</v>
      </c>
      <c r="Q5692" s="1" t="s">
        <v>173</v>
      </c>
      <c r="R5692" s="1" t="s">
        <v>174</v>
      </c>
      <c r="T5692" s="1">
        <v>1.00904278E8</v>
      </c>
      <c r="W5692" s="1" t="s">
        <v>115</v>
      </c>
      <c r="X5692" s="1" t="s">
        <v>12218</v>
      </c>
    </row>
    <row r="5693">
      <c r="A5693" s="1" t="s">
        <v>15749</v>
      </c>
      <c r="B5693" s="1" t="s">
        <v>5515</v>
      </c>
      <c r="C5693" s="1" t="s">
        <v>15750</v>
      </c>
      <c r="D5693" s="1" t="s">
        <v>28</v>
      </c>
      <c r="E5693" s="1" t="s">
        <v>29</v>
      </c>
      <c r="F5693" s="1">
        <v>0.0</v>
      </c>
      <c r="G5693" s="1" t="s">
        <v>7016</v>
      </c>
      <c r="H5693" s="1" t="s">
        <v>1455</v>
      </c>
      <c r="I5693" s="1" t="s">
        <v>414</v>
      </c>
      <c r="K5693" s="1">
        <v>0.0</v>
      </c>
      <c r="L5693" s="1" t="s">
        <v>2630</v>
      </c>
      <c r="M5693" s="1" t="str">
        <f>VLOOKUP(L5693,'Copy of PMD Workday Constants -'!B70:W756,22,false)</f>
        <v>LCP</v>
      </c>
      <c r="N5693" s="1" t="s">
        <v>32</v>
      </c>
      <c r="O5693" s="1" t="s">
        <v>33</v>
      </c>
      <c r="P5693" s="1" t="s">
        <v>34</v>
      </c>
      <c r="Q5693" s="1" t="s">
        <v>34</v>
      </c>
      <c r="R5693" s="1" t="s">
        <v>35</v>
      </c>
      <c r="S5693" s="1" t="s">
        <v>1166</v>
      </c>
      <c r="T5693" s="1">
        <v>1.00606975E8</v>
      </c>
      <c r="W5693" s="1" t="s">
        <v>456</v>
      </c>
      <c r="X5693" s="1" t="s">
        <v>7048</v>
      </c>
    </row>
    <row r="5694">
      <c r="A5694" s="1" t="s">
        <v>15751</v>
      </c>
      <c r="B5694" s="1" t="s">
        <v>12050</v>
      </c>
      <c r="C5694" s="1" t="s">
        <v>15752</v>
      </c>
      <c r="D5694" s="1" t="s">
        <v>79</v>
      </c>
      <c r="E5694" s="1" t="s">
        <v>29</v>
      </c>
      <c r="F5694" s="5">
        <v>0.0</v>
      </c>
      <c r="G5694" s="1" t="s">
        <v>7016</v>
      </c>
      <c r="H5694" s="1" t="s">
        <v>1287</v>
      </c>
      <c r="I5694" s="1" t="s">
        <v>421</v>
      </c>
      <c r="K5694" s="1">
        <v>0.0</v>
      </c>
      <c r="L5694" s="1" t="s">
        <v>11159</v>
      </c>
      <c r="M5694" s="1" t="str">
        <f>VLOOKUP(L5694,'Copy of PMD Workday Constants -'!B71:W757,22,false)</f>
        <v>#N/A</v>
      </c>
      <c r="N5694" s="1" t="s">
        <v>32</v>
      </c>
      <c r="O5694" s="1" t="s">
        <v>33</v>
      </c>
      <c r="P5694" s="1" t="s">
        <v>222</v>
      </c>
      <c r="Q5694" s="1" t="s">
        <v>222</v>
      </c>
      <c r="R5694" s="1" t="s">
        <v>223</v>
      </c>
      <c r="S5694" s="1" t="s">
        <v>482</v>
      </c>
      <c r="T5694" s="1">
        <v>1.00602248E8</v>
      </c>
      <c r="W5694" s="1" t="s">
        <v>115</v>
      </c>
      <c r="X5694" s="1" t="s">
        <v>14372</v>
      </c>
    </row>
    <row r="5695">
      <c r="A5695" s="1" t="s">
        <v>15753</v>
      </c>
      <c r="B5695" s="1" t="s">
        <v>2976</v>
      </c>
      <c r="C5695" s="1" t="s">
        <v>15754</v>
      </c>
      <c r="D5695" s="1" t="s">
        <v>28</v>
      </c>
      <c r="E5695" s="1" t="s">
        <v>29</v>
      </c>
      <c r="F5695" s="1">
        <v>0.0</v>
      </c>
      <c r="G5695" s="1" t="s">
        <v>7016</v>
      </c>
      <c r="H5695" s="4">
        <v>44625.0</v>
      </c>
      <c r="I5695" s="1" t="s">
        <v>152</v>
      </c>
      <c r="K5695" s="1">
        <v>0.0</v>
      </c>
      <c r="L5695" s="1" t="s">
        <v>1288</v>
      </c>
      <c r="M5695" s="1" t="str">
        <f>VLOOKUP(L5695,'Copy of PMD Workday Constants -'!B72:W758,22,false)</f>
        <v>LCP</v>
      </c>
      <c r="N5695" s="1" t="s">
        <v>32</v>
      </c>
      <c r="O5695" s="1" t="s">
        <v>33</v>
      </c>
      <c r="P5695" s="1" t="s">
        <v>173</v>
      </c>
      <c r="Q5695" s="1" t="s">
        <v>173</v>
      </c>
      <c r="R5695" s="1" t="s">
        <v>174</v>
      </c>
      <c r="T5695" s="1">
        <v>1.00584043E8</v>
      </c>
      <c r="W5695" s="1" t="s">
        <v>250</v>
      </c>
      <c r="X5695" s="1" t="s">
        <v>1288</v>
      </c>
    </row>
    <row r="5696">
      <c r="A5696" s="1" t="s">
        <v>15755</v>
      </c>
      <c r="B5696" s="1" t="s">
        <v>353</v>
      </c>
      <c r="C5696" s="1" t="s">
        <v>15756</v>
      </c>
      <c r="D5696" s="1" t="s">
        <v>28</v>
      </c>
      <c r="E5696" s="1" t="s">
        <v>29</v>
      </c>
      <c r="F5696" s="1">
        <v>0.0</v>
      </c>
      <c r="G5696" s="1" t="s">
        <v>7016</v>
      </c>
      <c r="H5696" s="4">
        <v>44532.0</v>
      </c>
      <c r="I5696" s="1" t="s">
        <v>274</v>
      </c>
      <c r="K5696" s="1">
        <v>0.0</v>
      </c>
      <c r="L5696" s="1" t="s">
        <v>963</v>
      </c>
      <c r="M5696" s="1" t="str">
        <f>VLOOKUP(L5696,'Copy of PMD Workday Constants -'!B73:W759,22,false)</f>
        <v>Delivery</v>
      </c>
      <c r="N5696" s="1" t="s">
        <v>32</v>
      </c>
      <c r="O5696" s="1" t="s">
        <v>33</v>
      </c>
      <c r="P5696" s="1" t="s">
        <v>173</v>
      </c>
      <c r="Q5696" s="1" t="s">
        <v>173</v>
      </c>
      <c r="R5696" s="1" t="s">
        <v>174</v>
      </c>
      <c r="S5696" s="1" t="s">
        <v>612</v>
      </c>
      <c r="T5696" s="1">
        <v>1.00708984E8</v>
      </c>
      <c r="W5696" s="1" t="s">
        <v>258</v>
      </c>
      <c r="X5696" s="1" t="s">
        <v>9016</v>
      </c>
    </row>
    <row r="5697">
      <c r="A5697" s="1" t="s">
        <v>15757</v>
      </c>
      <c r="B5697" s="1" t="s">
        <v>15758</v>
      </c>
      <c r="C5697" s="1" t="s">
        <v>15759</v>
      </c>
      <c r="D5697" s="1" t="s">
        <v>51</v>
      </c>
      <c r="E5697" s="1" t="s">
        <v>29</v>
      </c>
      <c r="F5697" s="1">
        <v>0.0</v>
      </c>
      <c r="G5697" s="1" t="s">
        <v>7016</v>
      </c>
      <c r="H5697" s="4">
        <v>44746.0</v>
      </c>
      <c r="I5697" s="1" t="s">
        <v>865</v>
      </c>
      <c r="K5697" s="1">
        <v>0.0</v>
      </c>
      <c r="L5697" s="1" t="s">
        <v>461</v>
      </c>
      <c r="M5697" s="1" t="str">
        <f>VLOOKUP(L5697,'Copy of PMD Workday Constants -'!B74:W760,22,false)</f>
        <v>Delivery</v>
      </c>
      <c r="N5697" s="1" t="s">
        <v>32</v>
      </c>
      <c r="O5697" s="1" t="s">
        <v>33</v>
      </c>
      <c r="P5697" s="1" t="s">
        <v>210</v>
      </c>
      <c r="Q5697" s="1" t="s">
        <v>210</v>
      </c>
      <c r="R5697" s="1" t="s">
        <v>211</v>
      </c>
      <c r="T5697" s="1">
        <v>1.00652846E8</v>
      </c>
      <c r="X5697" s="1" t="s">
        <v>3213</v>
      </c>
    </row>
    <row r="5698">
      <c r="A5698" s="1" t="s">
        <v>15760</v>
      </c>
      <c r="B5698" s="1" t="s">
        <v>954</v>
      </c>
      <c r="C5698" s="1" t="s">
        <v>15761</v>
      </c>
      <c r="D5698" s="1" t="s">
        <v>51</v>
      </c>
      <c r="E5698" s="1" t="s">
        <v>29</v>
      </c>
      <c r="F5698" s="1">
        <v>0.0</v>
      </c>
      <c r="G5698" s="1" t="s">
        <v>7016</v>
      </c>
      <c r="H5698" s="1" t="s">
        <v>795</v>
      </c>
      <c r="I5698" s="1" t="s">
        <v>80</v>
      </c>
      <c r="K5698" s="1">
        <v>0.0</v>
      </c>
      <c r="L5698" s="1" t="s">
        <v>2703</v>
      </c>
      <c r="M5698" s="1" t="str">
        <f>VLOOKUP(L5698,'Copy of PMD Workday Constants -'!B75:W761,22,false)</f>
        <v>Delivery</v>
      </c>
      <c r="N5698" s="1" t="s">
        <v>32</v>
      </c>
      <c r="O5698" s="1" t="s">
        <v>33</v>
      </c>
      <c r="P5698" s="1" t="s">
        <v>34</v>
      </c>
      <c r="Q5698" s="1" t="s">
        <v>34</v>
      </c>
      <c r="R5698" s="1" t="s">
        <v>35</v>
      </c>
      <c r="T5698" s="1">
        <v>1.00866856E8</v>
      </c>
      <c r="W5698" s="1" t="s">
        <v>147</v>
      </c>
      <c r="X5698" s="1" t="s">
        <v>2704</v>
      </c>
    </row>
    <row r="5699">
      <c r="A5699" s="1" t="s">
        <v>15762</v>
      </c>
      <c r="B5699" s="1" t="s">
        <v>1725</v>
      </c>
      <c r="C5699" s="1" t="s">
        <v>15763</v>
      </c>
      <c r="D5699" s="1" t="s">
        <v>28</v>
      </c>
      <c r="E5699" s="1" t="s">
        <v>29</v>
      </c>
      <c r="F5699" s="1">
        <v>0.0</v>
      </c>
      <c r="G5699" s="1" t="s">
        <v>7016</v>
      </c>
      <c r="H5699" s="1" t="s">
        <v>42</v>
      </c>
      <c r="I5699" s="1" t="s">
        <v>302</v>
      </c>
      <c r="K5699" s="1">
        <v>0.0</v>
      </c>
      <c r="L5699" s="1" t="s">
        <v>1973</v>
      </c>
      <c r="M5699" s="1" t="str">
        <f>VLOOKUP(L5699,'Copy of PMD Workday Constants -'!B76:W762,22,false)</f>
        <v>Delivery</v>
      </c>
      <c r="N5699" s="1" t="s">
        <v>32</v>
      </c>
      <c r="O5699" s="1" t="s">
        <v>33</v>
      </c>
      <c r="P5699" s="1" t="s">
        <v>82</v>
      </c>
      <c r="Q5699" s="1" t="s">
        <v>82</v>
      </c>
      <c r="R5699" s="1" t="s">
        <v>83</v>
      </c>
      <c r="S5699" s="1" t="s">
        <v>14113</v>
      </c>
      <c r="T5699" s="1">
        <v>1.00619692E8</v>
      </c>
      <c r="W5699" s="1" t="s">
        <v>85</v>
      </c>
      <c r="X5699" s="1" t="s">
        <v>5793</v>
      </c>
    </row>
    <row r="5700">
      <c r="A5700" s="1" t="s">
        <v>15764</v>
      </c>
      <c r="B5700" s="1" t="s">
        <v>973</v>
      </c>
      <c r="C5700" s="1" t="s">
        <v>15765</v>
      </c>
      <c r="D5700" s="1" t="s">
        <v>28</v>
      </c>
      <c r="E5700" s="1" t="s">
        <v>29</v>
      </c>
      <c r="F5700" s="5">
        <v>0.0</v>
      </c>
      <c r="G5700" s="1" t="s">
        <v>7016</v>
      </c>
      <c r="H5700" s="4">
        <v>44448.0</v>
      </c>
      <c r="I5700" s="1" t="s">
        <v>1859</v>
      </c>
      <c r="K5700" s="1">
        <v>0.0</v>
      </c>
      <c r="L5700" s="1" t="s">
        <v>3499</v>
      </c>
      <c r="M5700" s="1" t="str">
        <f>VLOOKUP(L5700,'Copy of PMD Workday Constants -'!B77:W763,22,false)</f>
        <v>#N/A</v>
      </c>
      <c r="N5700" s="1" t="s">
        <v>32</v>
      </c>
      <c r="O5700" s="1" t="s">
        <v>33</v>
      </c>
      <c r="P5700" s="1" t="s">
        <v>222</v>
      </c>
      <c r="Q5700" s="1" t="s">
        <v>222</v>
      </c>
      <c r="R5700" s="1" t="s">
        <v>223</v>
      </c>
      <c r="S5700" s="1" t="s">
        <v>646</v>
      </c>
      <c r="T5700" s="1">
        <v>1.00662113E8</v>
      </c>
      <c r="W5700" s="1" t="s">
        <v>456</v>
      </c>
      <c r="X5700" s="1" t="s">
        <v>977</v>
      </c>
    </row>
    <row r="5701">
      <c r="A5701" s="1" t="s">
        <v>15766</v>
      </c>
      <c r="B5701" s="1" t="s">
        <v>2212</v>
      </c>
      <c r="C5701" s="1" t="s">
        <v>15767</v>
      </c>
      <c r="D5701" s="1" t="s">
        <v>28</v>
      </c>
      <c r="E5701" s="1" t="s">
        <v>29</v>
      </c>
      <c r="F5701" s="1">
        <v>0.0</v>
      </c>
      <c r="G5701" s="1" t="s">
        <v>7016</v>
      </c>
      <c r="H5701" s="1" t="s">
        <v>15216</v>
      </c>
      <c r="I5701" s="1" t="s">
        <v>80</v>
      </c>
      <c r="K5701" s="1">
        <v>0.0</v>
      </c>
      <c r="L5701" s="1" t="s">
        <v>934</v>
      </c>
      <c r="M5701" s="1" t="str">
        <f>VLOOKUP(L5701,'Copy of PMD Workday Constants -'!B78:W764,22,false)</f>
        <v>LCP</v>
      </c>
      <c r="N5701" s="1" t="s">
        <v>32</v>
      </c>
      <c r="O5701" s="1" t="s">
        <v>33</v>
      </c>
      <c r="P5701" s="1" t="s">
        <v>173</v>
      </c>
      <c r="Q5701" s="1" t="s">
        <v>173</v>
      </c>
      <c r="R5701" s="1" t="s">
        <v>174</v>
      </c>
      <c r="S5701" s="1" t="s">
        <v>153</v>
      </c>
      <c r="T5701" s="1">
        <v>1.00653269E8</v>
      </c>
      <c r="W5701" s="1" t="s">
        <v>85</v>
      </c>
      <c r="X5701" s="1" t="s">
        <v>1940</v>
      </c>
    </row>
    <row r="5702">
      <c r="A5702" s="1" t="s">
        <v>15768</v>
      </c>
      <c r="B5702" s="1" t="s">
        <v>15769</v>
      </c>
      <c r="C5702" s="1" t="s">
        <v>15770</v>
      </c>
      <c r="D5702" s="1" t="s">
        <v>28</v>
      </c>
      <c r="E5702" s="1" t="s">
        <v>29</v>
      </c>
      <c r="F5702" s="1">
        <v>0.0</v>
      </c>
      <c r="G5702" s="1" t="s">
        <v>7016</v>
      </c>
      <c r="H5702" s="4">
        <v>44350.0</v>
      </c>
      <c r="I5702" s="1" t="s">
        <v>274</v>
      </c>
      <c r="K5702" s="1">
        <v>0.0</v>
      </c>
      <c r="L5702" s="1" t="s">
        <v>963</v>
      </c>
      <c r="M5702" s="1" t="str">
        <f>VLOOKUP(L5702,'Copy of PMD Workday Constants -'!B79:W765,22,false)</f>
        <v>Delivery</v>
      </c>
      <c r="N5702" s="1" t="s">
        <v>32</v>
      </c>
      <c r="O5702" s="1" t="s">
        <v>33</v>
      </c>
      <c r="P5702" s="1" t="s">
        <v>173</v>
      </c>
      <c r="Q5702" s="1" t="s">
        <v>173</v>
      </c>
      <c r="R5702" s="1" t="s">
        <v>174</v>
      </c>
      <c r="S5702" s="1" t="s">
        <v>612</v>
      </c>
      <c r="T5702" s="1">
        <v>1.00708984E8</v>
      </c>
      <c r="W5702" s="1" t="s">
        <v>140</v>
      </c>
      <c r="X5702" s="1" t="s">
        <v>9016</v>
      </c>
    </row>
    <row r="5703">
      <c r="A5703" s="1" t="s">
        <v>15771</v>
      </c>
      <c r="B5703" s="1" t="s">
        <v>489</v>
      </c>
      <c r="C5703" s="1" t="s">
        <v>15772</v>
      </c>
      <c r="D5703" s="1" t="s">
        <v>28</v>
      </c>
      <c r="E5703" s="1" t="s">
        <v>29</v>
      </c>
      <c r="F5703" s="1">
        <v>0.0</v>
      </c>
      <c r="G5703" s="1" t="s">
        <v>7016</v>
      </c>
      <c r="H5703" s="1" t="s">
        <v>1842</v>
      </c>
      <c r="I5703" s="4">
        <v>44780.0</v>
      </c>
      <c r="K5703" s="1">
        <v>0.0</v>
      </c>
      <c r="L5703" s="1" t="s">
        <v>1039</v>
      </c>
      <c r="M5703" s="1" t="str">
        <f>VLOOKUP(L5703,'Copy of PMD Workday Constants -'!B80:W766,22,false)</f>
        <v>Delivery</v>
      </c>
      <c r="N5703" s="1" t="s">
        <v>32</v>
      </c>
      <c r="O5703" s="1" t="s">
        <v>33</v>
      </c>
      <c r="P5703" s="1" t="s">
        <v>112</v>
      </c>
      <c r="Q5703" s="1" t="s">
        <v>112</v>
      </c>
      <c r="R5703" s="1" t="s">
        <v>113</v>
      </c>
      <c r="S5703" s="1" t="s">
        <v>134</v>
      </c>
      <c r="T5703" s="1">
        <v>1.00633489E8</v>
      </c>
      <c r="W5703" s="1" t="s">
        <v>493</v>
      </c>
      <c r="X5703" s="1" t="s">
        <v>494</v>
      </c>
    </row>
    <row r="5704">
      <c r="A5704" s="1" t="s">
        <v>15773</v>
      </c>
      <c r="B5704" s="1" t="s">
        <v>15774</v>
      </c>
      <c r="C5704" s="1" t="s">
        <v>15775</v>
      </c>
      <c r="D5704" s="1" t="s">
        <v>28</v>
      </c>
      <c r="E5704" s="1" t="s">
        <v>29</v>
      </c>
      <c r="F5704" s="1">
        <v>0.0</v>
      </c>
      <c r="G5704" s="1" t="s">
        <v>7016</v>
      </c>
      <c r="H5704" s="4">
        <v>44319.0</v>
      </c>
      <c r="I5704" s="1" t="s">
        <v>274</v>
      </c>
      <c r="K5704" s="1">
        <v>0.0</v>
      </c>
      <c r="L5704" s="1" t="s">
        <v>963</v>
      </c>
      <c r="M5704" s="1" t="str">
        <f>VLOOKUP(L5704,'Copy of PMD Workday Constants -'!B81:W767,22,false)</f>
        <v>Delivery</v>
      </c>
      <c r="N5704" s="1" t="s">
        <v>32</v>
      </c>
      <c r="O5704" s="1" t="s">
        <v>33</v>
      </c>
      <c r="P5704" s="1" t="s">
        <v>173</v>
      </c>
      <c r="Q5704" s="1" t="s">
        <v>173</v>
      </c>
      <c r="R5704" s="1" t="s">
        <v>174</v>
      </c>
      <c r="S5704" s="1" t="s">
        <v>612</v>
      </c>
      <c r="T5704" s="1">
        <v>1.00708984E8</v>
      </c>
      <c r="W5704" s="1" t="s">
        <v>493</v>
      </c>
      <c r="X5704" s="1" t="s">
        <v>9016</v>
      </c>
    </row>
    <row r="5705">
      <c r="A5705" s="1" t="s">
        <v>15776</v>
      </c>
      <c r="B5705" s="1" t="s">
        <v>2011</v>
      </c>
      <c r="C5705" s="1" t="s">
        <v>15777</v>
      </c>
      <c r="D5705" s="1" t="s">
        <v>28</v>
      </c>
      <c r="E5705" s="1" t="s">
        <v>29</v>
      </c>
      <c r="F5705" s="1">
        <v>0.0</v>
      </c>
      <c r="G5705" s="1" t="s">
        <v>7016</v>
      </c>
      <c r="H5705" s="4">
        <v>44350.0</v>
      </c>
      <c r="I5705" s="1" t="s">
        <v>274</v>
      </c>
      <c r="K5705" s="1">
        <v>0.0</v>
      </c>
      <c r="L5705" s="1" t="s">
        <v>963</v>
      </c>
      <c r="M5705" s="1" t="str">
        <f>VLOOKUP(L5705,'Copy of PMD Workday Constants -'!B82:W768,22,false)</f>
        <v>Delivery</v>
      </c>
      <c r="N5705" s="1" t="s">
        <v>32</v>
      </c>
      <c r="O5705" s="1" t="s">
        <v>33</v>
      </c>
      <c r="P5705" s="1" t="s">
        <v>173</v>
      </c>
      <c r="Q5705" s="1" t="s">
        <v>173</v>
      </c>
      <c r="R5705" s="1" t="s">
        <v>174</v>
      </c>
      <c r="S5705" s="1" t="s">
        <v>612</v>
      </c>
      <c r="T5705" s="1">
        <v>1.00708984E8</v>
      </c>
      <c r="W5705" s="1" t="s">
        <v>56</v>
      </c>
      <c r="X5705" s="1" t="s">
        <v>9016</v>
      </c>
    </row>
    <row r="5706">
      <c r="A5706" s="1" t="s">
        <v>15778</v>
      </c>
      <c r="B5706" s="1" t="s">
        <v>15779</v>
      </c>
      <c r="C5706" s="1" t="s">
        <v>15780</v>
      </c>
      <c r="D5706" s="1" t="s">
        <v>28</v>
      </c>
      <c r="E5706" s="1" t="s">
        <v>29</v>
      </c>
      <c r="F5706" s="1">
        <v>0.0</v>
      </c>
      <c r="G5706" s="1" t="s">
        <v>7016</v>
      </c>
      <c r="H5706" s="4">
        <v>44350.0</v>
      </c>
      <c r="I5706" s="1" t="s">
        <v>274</v>
      </c>
      <c r="K5706" s="1">
        <v>0.0</v>
      </c>
      <c r="L5706" s="1" t="s">
        <v>963</v>
      </c>
      <c r="M5706" s="1" t="str">
        <f>VLOOKUP(L5706,'Copy of PMD Workday Constants -'!B83:W769,22,false)</f>
        <v>Delivery</v>
      </c>
      <c r="N5706" s="1" t="s">
        <v>32</v>
      </c>
      <c r="O5706" s="1" t="s">
        <v>33</v>
      </c>
      <c r="P5706" s="1" t="s">
        <v>173</v>
      </c>
      <c r="Q5706" s="1" t="s">
        <v>173</v>
      </c>
      <c r="R5706" s="1" t="s">
        <v>174</v>
      </c>
      <c r="S5706" s="1" t="s">
        <v>612</v>
      </c>
      <c r="T5706" s="1">
        <v>1.00708984E8</v>
      </c>
      <c r="W5706" s="1" t="s">
        <v>147</v>
      </c>
      <c r="X5706" s="1" t="s">
        <v>9016</v>
      </c>
    </row>
    <row r="5707">
      <c r="A5707" s="1" t="s">
        <v>15781</v>
      </c>
      <c r="B5707" s="1" t="s">
        <v>15782</v>
      </c>
      <c r="C5707" s="1" t="s">
        <v>15783</v>
      </c>
      <c r="D5707" s="1" t="s">
        <v>28</v>
      </c>
      <c r="E5707" s="1" t="s">
        <v>29</v>
      </c>
      <c r="F5707" s="5">
        <v>0.0</v>
      </c>
      <c r="G5707" s="1" t="s">
        <v>7016</v>
      </c>
      <c r="H5707" s="1" t="s">
        <v>322</v>
      </c>
      <c r="I5707" s="1" t="s">
        <v>191</v>
      </c>
      <c r="K5707" s="1">
        <v>0.0</v>
      </c>
      <c r="L5707" s="1" t="s">
        <v>12216</v>
      </c>
      <c r="M5707" s="1" t="str">
        <f>VLOOKUP(L5707,'Copy of PMD Workday Constants -'!B84:W770,22,false)</f>
        <v>#N/A</v>
      </c>
      <c r="N5707" s="1" t="s">
        <v>32</v>
      </c>
      <c r="O5707" s="1" t="s">
        <v>33</v>
      </c>
      <c r="P5707" s="1" t="s">
        <v>173</v>
      </c>
      <c r="Q5707" s="1" t="s">
        <v>173</v>
      </c>
      <c r="R5707" s="1" t="s">
        <v>174</v>
      </c>
      <c r="T5707" s="1">
        <v>1.00904278E8</v>
      </c>
      <c r="W5707" s="1" t="s">
        <v>56</v>
      </c>
      <c r="X5707" s="1" t="s">
        <v>12218</v>
      </c>
    </row>
    <row r="5708">
      <c r="A5708" s="1" t="s">
        <v>15784</v>
      </c>
      <c r="B5708" s="1" t="s">
        <v>1387</v>
      </c>
      <c r="C5708" s="1" t="s">
        <v>8272</v>
      </c>
      <c r="D5708" s="1" t="s">
        <v>79</v>
      </c>
      <c r="E5708" s="1" t="s">
        <v>29</v>
      </c>
      <c r="F5708" s="1">
        <v>0.0</v>
      </c>
      <c r="G5708" s="1" t="s">
        <v>7016</v>
      </c>
      <c r="H5708" s="4">
        <v>44238.0</v>
      </c>
      <c r="I5708" s="1" t="s">
        <v>80</v>
      </c>
      <c r="K5708" s="1">
        <v>0.0</v>
      </c>
      <c r="L5708" s="1" t="s">
        <v>1389</v>
      </c>
      <c r="M5708" s="1" t="str">
        <f>VLOOKUP(L5708,'Copy of PMD Workday Constants -'!B85:W771,22,false)</f>
        <v>LCP</v>
      </c>
      <c r="N5708" s="1" t="s">
        <v>32</v>
      </c>
      <c r="O5708" s="1" t="s">
        <v>33</v>
      </c>
      <c r="P5708" s="1" t="s">
        <v>64</v>
      </c>
      <c r="Q5708" s="1" t="s">
        <v>64</v>
      </c>
      <c r="R5708" s="1" t="s">
        <v>65</v>
      </c>
      <c r="S5708" s="1" t="s">
        <v>1336</v>
      </c>
      <c r="T5708" s="1">
        <v>1.00610014E8</v>
      </c>
      <c r="U5708" s="1" t="s">
        <v>14016</v>
      </c>
      <c r="V5708" s="1" t="s">
        <v>46</v>
      </c>
      <c r="W5708" s="1" t="s">
        <v>91</v>
      </c>
      <c r="X5708" s="1" t="s">
        <v>1511</v>
      </c>
    </row>
    <row r="5709">
      <c r="A5709" s="1" t="s">
        <v>15785</v>
      </c>
      <c r="B5709" s="1" t="s">
        <v>2212</v>
      </c>
      <c r="C5709" s="1" t="s">
        <v>15786</v>
      </c>
      <c r="D5709" s="1" t="s">
        <v>28</v>
      </c>
      <c r="E5709" s="1" t="s">
        <v>29</v>
      </c>
      <c r="F5709" s="1">
        <v>0.0</v>
      </c>
      <c r="G5709" s="1" t="s">
        <v>7016</v>
      </c>
      <c r="H5709" s="1" t="s">
        <v>644</v>
      </c>
      <c r="I5709" s="4">
        <v>44568.0</v>
      </c>
      <c r="K5709" s="1">
        <v>0.0</v>
      </c>
      <c r="L5709" s="1" t="s">
        <v>934</v>
      </c>
      <c r="M5709" s="1" t="str">
        <f>VLOOKUP(L5709,'Copy of PMD Workday Constants -'!B86:W772,22,false)</f>
        <v>LCP</v>
      </c>
      <c r="N5709" s="1" t="s">
        <v>32</v>
      </c>
      <c r="O5709" s="1" t="s">
        <v>33</v>
      </c>
      <c r="P5709" s="1" t="s">
        <v>173</v>
      </c>
      <c r="Q5709" s="1" t="s">
        <v>173</v>
      </c>
      <c r="R5709" s="1" t="s">
        <v>174</v>
      </c>
      <c r="S5709" s="1" t="s">
        <v>153</v>
      </c>
      <c r="T5709" s="1">
        <v>1.00653269E8</v>
      </c>
      <c r="W5709" s="1" t="s">
        <v>85</v>
      </c>
      <c r="X5709" s="1" t="s">
        <v>5697</v>
      </c>
    </row>
    <row r="5710">
      <c r="A5710" s="1" t="s">
        <v>15787</v>
      </c>
      <c r="B5710" s="1" t="s">
        <v>765</v>
      </c>
      <c r="C5710" s="1" t="s">
        <v>15788</v>
      </c>
      <c r="D5710" s="1" t="s">
        <v>28</v>
      </c>
      <c r="E5710" s="1" t="s">
        <v>29</v>
      </c>
      <c r="F5710" s="1">
        <v>0.0</v>
      </c>
      <c r="G5710" s="1" t="s">
        <v>7016</v>
      </c>
      <c r="H5710" s="1" t="s">
        <v>405</v>
      </c>
      <c r="I5710" s="1" t="s">
        <v>248</v>
      </c>
      <c r="K5710" s="1">
        <v>0.0</v>
      </c>
      <c r="L5710" s="1" t="s">
        <v>3302</v>
      </c>
      <c r="M5710" s="1" t="str">
        <f>VLOOKUP(L5710,'Copy of PMD Workday Constants -'!B87:W773,22,false)</f>
        <v>Delivery</v>
      </c>
      <c r="N5710" s="1" t="s">
        <v>32</v>
      </c>
      <c r="O5710" s="1" t="s">
        <v>33</v>
      </c>
      <c r="P5710" s="1" t="s">
        <v>34</v>
      </c>
      <c r="Q5710" s="1" t="s">
        <v>34</v>
      </c>
      <c r="R5710" s="1" t="s">
        <v>35</v>
      </c>
      <c r="S5710" s="1" t="s">
        <v>1166</v>
      </c>
      <c r="T5710" s="1">
        <v>1.00586233E8</v>
      </c>
      <c r="W5710" s="1" t="s">
        <v>456</v>
      </c>
      <c r="X5710" s="1" t="s">
        <v>2630</v>
      </c>
    </row>
    <row r="5711">
      <c r="A5711" s="1" t="s">
        <v>15789</v>
      </c>
      <c r="B5711" s="1" t="s">
        <v>1285</v>
      </c>
      <c r="C5711" s="1" t="s">
        <v>15790</v>
      </c>
      <c r="D5711" s="1" t="s">
        <v>28</v>
      </c>
      <c r="E5711" s="1" t="s">
        <v>29</v>
      </c>
      <c r="F5711" s="1">
        <v>0.0</v>
      </c>
      <c r="G5711" s="1" t="s">
        <v>7016</v>
      </c>
      <c r="H5711" s="1" t="s">
        <v>1265</v>
      </c>
      <c r="I5711" s="1" t="s">
        <v>104</v>
      </c>
      <c r="K5711" s="1">
        <v>0.0</v>
      </c>
      <c r="L5711" s="1" t="s">
        <v>7718</v>
      </c>
      <c r="M5711" s="1" t="str">
        <f>VLOOKUP(L5711,'Copy of PMD Workday Constants -'!B88:W774,22,false)</f>
        <v>Delivery</v>
      </c>
      <c r="N5711" s="1" t="s">
        <v>32</v>
      </c>
      <c r="O5711" s="1" t="s">
        <v>33</v>
      </c>
      <c r="P5711" s="1" t="s">
        <v>112</v>
      </c>
      <c r="Q5711" s="1" t="s">
        <v>112</v>
      </c>
      <c r="R5711" s="1" t="s">
        <v>113</v>
      </c>
      <c r="S5711" s="1" t="s">
        <v>134</v>
      </c>
      <c r="T5711" s="1">
        <v>1.00625107E8</v>
      </c>
      <c r="W5711" s="1" t="s">
        <v>74</v>
      </c>
      <c r="X5711" s="1" t="s">
        <v>1288</v>
      </c>
    </row>
    <row r="5712">
      <c r="A5712" s="1" t="s">
        <v>15791</v>
      </c>
      <c r="B5712" s="1" t="s">
        <v>954</v>
      </c>
      <c r="C5712" s="1" t="s">
        <v>15792</v>
      </c>
      <c r="D5712" s="1" t="s">
        <v>103</v>
      </c>
      <c r="E5712" s="1" t="s">
        <v>29</v>
      </c>
      <c r="F5712" s="1">
        <v>0.0</v>
      </c>
      <c r="G5712" s="1" t="s">
        <v>7016</v>
      </c>
      <c r="H5712" s="1" t="s">
        <v>1330</v>
      </c>
      <c r="I5712" s="1" t="s">
        <v>248</v>
      </c>
      <c r="K5712" s="1">
        <v>0.0</v>
      </c>
      <c r="L5712" s="1" t="s">
        <v>2703</v>
      </c>
      <c r="M5712" s="1" t="str">
        <f>VLOOKUP(L5712,'Copy of PMD Workday Constants -'!B89:W775,22,false)</f>
        <v>Delivery</v>
      </c>
      <c r="N5712" s="1" t="s">
        <v>32</v>
      </c>
      <c r="O5712" s="1" t="s">
        <v>33</v>
      </c>
      <c r="P5712" s="1" t="s">
        <v>34</v>
      </c>
      <c r="Q5712" s="1" t="s">
        <v>34</v>
      </c>
      <c r="R5712" s="1" t="s">
        <v>35</v>
      </c>
      <c r="T5712" s="1">
        <v>1.00866856E8</v>
      </c>
      <c r="U5712" s="1" t="s">
        <v>15793</v>
      </c>
      <c r="V5712" s="1" t="s">
        <v>781</v>
      </c>
      <c r="W5712" s="1" t="s">
        <v>147</v>
      </c>
      <c r="X5712" s="1" t="s">
        <v>2704</v>
      </c>
    </row>
    <row r="5713">
      <c r="A5713" s="1" t="s">
        <v>15794</v>
      </c>
      <c r="B5713" s="1" t="s">
        <v>965</v>
      </c>
      <c r="C5713" s="1" t="s">
        <v>15795</v>
      </c>
      <c r="D5713" s="1" t="s">
        <v>103</v>
      </c>
      <c r="E5713" s="1" t="s">
        <v>29</v>
      </c>
      <c r="F5713" s="1">
        <v>0.0</v>
      </c>
      <c r="G5713" s="1" t="s">
        <v>7016</v>
      </c>
      <c r="H5713" s="4">
        <v>44746.0</v>
      </c>
      <c r="I5713" s="1" t="s">
        <v>152</v>
      </c>
      <c r="K5713" s="1">
        <v>0.0</v>
      </c>
      <c r="L5713" s="1" t="s">
        <v>461</v>
      </c>
      <c r="M5713" s="1" t="str">
        <f>VLOOKUP(L5713,'Copy of PMD Workday Constants -'!B90:W776,22,false)</f>
        <v>Delivery</v>
      </c>
      <c r="N5713" s="1" t="s">
        <v>32</v>
      </c>
      <c r="O5713" s="1" t="s">
        <v>33</v>
      </c>
      <c r="P5713" s="1" t="s">
        <v>210</v>
      </c>
      <c r="Q5713" s="1" t="s">
        <v>210</v>
      </c>
      <c r="R5713" s="1" t="s">
        <v>211</v>
      </c>
      <c r="S5713" s="1" t="s">
        <v>416</v>
      </c>
      <c r="T5713" s="1">
        <v>1.00652846E8</v>
      </c>
      <c r="W5713" s="1" t="s">
        <v>56</v>
      </c>
      <c r="X5713" s="1" t="s">
        <v>6280</v>
      </c>
    </row>
    <row r="5714">
      <c r="A5714" s="1" t="s">
        <v>15796</v>
      </c>
      <c r="B5714" s="1" t="s">
        <v>8086</v>
      </c>
      <c r="C5714" s="1" t="s">
        <v>15797</v>
      </c>
      <c r="D5714" s="1" t="s">
        <v>28</v>
      </c>
      <c r="E5714" s="1" t="s">
        <v>29</v>
      </c>
      <c r="F5714" s="5">
        <v>0.0</v>
      </c>
      <c r="G5714" s="1" t="s">
        <v>7016</v>
      </c>
      <c r="H5714" s="1" t="s">
        <v>15798</v>
      </c>
      <c r="I5714" s="1" t="s">
        <v>302</v>
      </c>
      <c r="K5714" s="1">
        <v>0.0</v>
      </c>
      <c r="L5714" s="1" t="s">
        <v>3259</v>
      </c>
      <c r="M5714" s="1" t="str">
        <f>VLOOKUP(L5714,'Copy of PMD Workday Constants -'!B91:W777,22,false)</f>
        <v>#N/A</v>
      </c>
      <c r="N5714" s="1" t="s">
        <v>32</v>
      </c>
      <c r="O5714" s="1" t="s">
        <v>33</v>
      </c>
      <c r="P5714" s="1" t="s">
        <v>64</v>
      </c>
      <c r="Q5714" s="1" t="s">
        <v>64</v>
      </c>
      <c r="R5714" s="1" t="s">
        <v>65</v>
      </c>
      <c r="S5714" s="1" t="s">
        <v>791</v>
      </c>
      <c r="T5714" s="1">
        <v>1.01054865E8</v>
      </c>
      <c r="W5714" s="1" t="s">
        <v>456</v>
      </c>
      <c r="X5714" s="1" t="s">
        <v>3259</v>
      </c>
    </row>
    <row r="5715">
      <c r="A5715" s="1" t="s">
        <v>15799</v>
      </c>
      <c r="B5715" s="1" t="s">
        <v>15800</v>
      </c>
      <c r="C5715" s="1" t="s">
        <v>15801</v>
      </c>
      <c r="D5715" s="1" t="s">
        <v>28</v>
      </c>
      <c r="E5715" s="1" t="s">
        <v>29</v>
      </c>
      <c r="F5715" s="5">
        <v>0.0</v>
      </c>
      <c r="G5715" s="1" t="s">
        <v>7016</v>
      </c>
      <c r="H5715" s="1" t="s">
        <v>15798</v>
      </c>
      <c r="I5715" s="1" t="s">
        <v>302</v>
      </c>
      <c r="K5715" s="1">
        <v>0.0</v>
      </c>
      <c r="L5715" s="1" t="s">
        <v>3259</v>
      </c>
      <c r="M5715" s="1" t="str">
        <f>VLOOKUP(L5715,'Copy of PMD Workday Constants -'!B92:W778,22,false)</f>
        <v>#N/A</v>
      </c>
      <c r="N5715" s="1" t="s">
        <v>32</v>
      </c>
      <c r="O5715" s="1" t="s">
        <v>33</v>
      </c>
      <c r="P5715" s="1" t="s">
        <v>64</v>
      </c>
      <c r="Q5715" s="1" t="s">
        <v>64</v>
      </c>
      <c r="R5715" s="1" t="s">
        <v>65</v>
      </c>
      <c r="S5715" s="1" t="s">
        <v>791</v>
      </c>
      <c r="T5715" s="1">
        <v>1.01054865E8</v>
      </c>
      <c r="W5715" s="1" t="s">
        <v>456</v>
      </c>
      <c r="X5715" s="1" t="s">
        <v>3259</v>
      </c>
    </row>
    <row r="5716">
      <c r="A5716" s="1" t="s">
        <v>15802</v>
      </c>
      <c r="B5716" s="1" t="s">
        <v>1319</v>
      </c>
      <c r="C5716" s="1" t="s">
        <v>15803</v>
      </c>
      <c r="D5716" s="1" t="s">
        <v>28</v>
      </c>
      <c r="E5716" s="1" t="s">
        <v>29</v>
      </c>
      <c r="F5716" s="1">
        <v>0.0</v>
      </c>
      <c r="G5716" s="1" t="s">
        <v>7016</v>
      </c>
      <c r="H5716" s="4">
        <v>44350.0</v>
      </c>
      <c r="I5716" s="1" t="s">
        <v>274</v>
      </c>
      <c r="K5716" s="1">
        <v>0.0</v>
      </c>
      <c r="L5716" s="1" t="s">
        <v>963</v>
      </c>
      <c r="M5716" s="1" t="str">
        <f>VLOOKUP(L5716,'Copy of PMD Workday Constants -'!B93:W779,22,false)</f>
        <v>Delivery</v>
      </c>
      <c r="N5716" s="1" t="s">
        <v>32</v>
      </c>
      <c r="O5716" s="1" t="s">
        <v>33</v>
      </c>
      <c r="P5716" s="1" t="s">
        <v>173</v>
      </c>
      <c r="Q5716" s="1" t="s">
        <v>173</v>
      </c>
      <c r="R5716" s="1" t="s">
        <v>174</v>
      </c>
      <c r="S5716" s="1" t="s">
        <v>612</v>
      </c>
      <c r="T5716" s="1">
        <v>1.00708984E8</v>
      </c>
      <c r="W5716" s="1" t="s">
        <v>56</v>
      </c>
      <c r="X5716" s="1" t="s">
        <v>9016</v>
      </c>
    </row>
    <row r="5717">
      <c r="A5717" s="1" t="s">
        <v>15804</v>
      </c>
      <c r="B5717" s="1" t="s">
        <v>5515</v>
      </c>
      <c r="C5717" s="1" t="s">
        <v>15805</v>
      </c>
      <c r="D5717" s="1" t="s">
        <v>28</v>
      </c>
      <c r="E5717" s="1" t="s">
        <v>29</v>
      </c>
      <c r="F5717" s="1">
        <v>0.0</v>
      </c>
      <c r="G5717" s="1" t="s">
        <v>7016</v>
      </c>
      <c r="H5717" s="1" t="s">
        <v>405</v>
      </c>
      <c r="I5717" s="1" t="s">
        <v>104</v>
      </c>
      <c r="K5717" s="1">
        <v>0.0</v>
      </c>
      <c r="L5717" s="1" t="s">
        <v>2630</v>
      </c>
      <c r="M5717" s="1" t="str">
        <f>VLOOKUP(L5717,'Copy of PMD Workday Constants -'!B94:W780,22,false)</f>
        <v>LCP</v>
      </c>
      <c r="N5717" s="1" t="s">
        <v>32</v>
      </c>
      <c r="O5717" s="1" t="s">
        <v>33</v>
      </c>
      <c r="P5717" s="1" t="s">
        <v>34</v>
      </c>
      <c r="Q5717" s="1" t="s">
        <v>34</v>
      </c>
      <c r="R5717" s="1" t="s">
        <v>35</v>
      </c>
      <c r="S5717" s="1" t="s">
        <v>1166</v>
      </c>
      <c r="T5717" s="1">
        <v>1.00606975E8</v>
      </c>
      <c r="W5717" s="1" t="s">
        <v>456</v>
      </c>
      <c r="X5717" s="1" t="s">
        <v>2630</v>
      </c>
    </row>
    <row r="5718">
      <c r="A5718" s="1" t="s">
        <v>15806</v>
      </c>
      <c r="B5718" s="1" t="s">
        <v>15807</v>
      </c>
      <c r="C5718" s="1" t="s">
        <v>15808</v>
      </c>
      <c r="D5718" s="1" t="s">
        <v>28</v>
      </c>
      <c r="E5718" s="1" t="s">
        <v>29</v>
      </c>
      <c r="F5718" s="1">
        <v>0.0</v>
      </c>
      <c r="G5718" s="1" t="s">
        <v>7016</v>
      </c>
      <c r="H5718" s="4">
        <v>44350.0</v>
      </c>
      <c r="I5718" s="1" t="s">
        <v>9015</v>
      </c>
      <c r="K5718" s="1">
        <v>0.0</v>
      </c>
      <c r="L5718" s="1" t="s">
        <v>963</v>
      </c>
      <c r="M5718" s="1" t="str">
        <f>VLOOKUP(L5718,'Copy of PMD Workday Constants -'!B95:W781,22,false)</f>
        <v>Delivery</v>
      </c>
      <c r="N5718" s="1" t="s">
        <v>32</v>
      </c>
      <c r="O5718" s="1" t="s">
        <v>33</v>
      </c>
      <c r="P5718" s="1" t="s">
        <v>173</v>
      </c>
      <c r="Q5718" s="1" t="s">
        <v>173</v>
      </c>
      <c r="R5718" s="1" t="s">
        <v>174</v>
      </c>
      <c r="S5718" s="1" t="s">
        <v>612</v>
      </c>
      <c r="T5718" s="1">
        <v>1.00708984E8</v>
      </c>
      <c r="W5718" s="1" t="s">
        <v>56</v>
      </c>
      <c r="X5718" s="1" t="s">
        <v>9016</v>
      </c>
    </row>
    <row r="5719">
      <c r="A5719" s="1" t="s">
        <v>15809</v>
      </c>
      <c r="B5719" s="1" t="s">
        <v>954</v>
      </c>
      <c r="C5719" s="1" t="s">
        <v>15810</v>
      </c>
      <c r="D5719" s="1" t="s">
        <v>28</v>
      </c>
      <c r="E5719" s="1" t="s">
        <v>29</v>
      </c>
      <c r="F5719" s="5">
        <v>0.0</v>
      </c>
      <c r="G5719" s="1" t="s">
        <v>7016</v>
      </c>
      <c r="H5719" s="1" t="s">
        <v>5799</v>
      </c>
      <c r="I5719" s="1" t="s">
        <v>43</v>
      </c>
      <c r="K5719" s="1">
        <v>0.0</v>
      </c>
      <c r="L5719" s="1" t="s">
        <v>3408</v>
      </c>
      <c r="M5719" s="1" t="str">
        <f>VLOOKUP(L5719,'Copy of PMD Workday Constants -'!B96:W782,22,false)</f>
        <v>#N/A</v>
      </c>
      <c r="N5719" s="1" t="s">
        <v>32</v>
      </c>
      <c r="O5719" s="1" t="s">
        <v>33</v>
      </c>
      <c r="P5719" s="1" t="s">
        <v>222</v>
      </c>
      <c r="Q5719" s="1" t="s">
        <v>222</v>
      </c>
      <c r="R5719" s="1" t="s">
        <v>223</v>
      </c>
      <c r="S5719" s="1" t="s">
        <v>482</v>
      </c>
      <c r="T5719" s="1">
        <v>1.0066189E8</v>
      </c>
      <c r="W5719" s="1" t="s">
        <v>147</v>
      </c>
      <c r="X5719" s="1" t="s">
        <v>3809</v>
      </c>
    </row>
    <row r="5720">
      <c r="A5720" s="1" t="s">
        <v>15811</v>
      </c>
      <c r="B5720" s="1" t="s">
        <v>4986</v>
      </c>
      <c r="C5720" s="1" t="s">
        <v>15812</v>
      </c>
      <c r="D5720" s="1" t="s">
        <v>28</v>
      </c>
      <c r="E5720" s="1" t="s">
        <v>29</v>
      </c>
      <c r="F5720" s="1">
        <v>0.0</v>
      </c>
      <c r="G5720" s="1" t="s">
        <v>7016</v>
      </c>
      <c r="H5720" s="4">
        <v>44319.0</v>
      </c>
      <c r="I5720" s="1" t="s">
        <v>3592</v>
      </c>
      <c r="K5720" s="1">
        <v>0.0</v>
      </c>
      <c r="L5720" s="1" t="s">
        <v>963</v>
      </c>
      <c r="M5720" s="1" t="str">
        <f>VLOOKUP(L5720,'Copy of PMD Workday Constants -'!B97:W783,22,false)</f>
        <v>Delivery</v>
      </c>
      <c r="N5720" s="1" t="s">
        <v>32</v>
      </c>
      <c r="O5720" s="1" t="s">
        <v>33</v>
      </c>
      <c r="P5720" s="1" t="s">
        <v>173</v>
      </c>
      <c r="Q5720" s="1" t="s">
        <v>173</v>
      </c>
      <c r="R5720" s="1" t="s">
        <v>174</v>
      </c>
      <c r="S5720" s="1" t="s">
        <v>612</v>
      </c>
      <c r="T5720" s="1">
        <v>1.00708984E8</v>
      </c>
      <c r="W5720" s="1" t="s">
        <v>147</v>
      </c>
      <c r="X5720" s="1" t="s">
        <v>9016</v>
      </c>
    </row>
    <row r="5721">
      <c r="A5721" s="1" t="s">
        <v>15813</v>
      </c>
      <c r="B5721" s="1" t="s">
        <v>1483</v>
      </c>
      <c r="C5721" s="1" t="s">
        <v>15814</v>
      </c>
      <c r="D5721" s="1" t="s">
        <v>28</v>
      </c>
      <c r="E5721" s="1" t="s">
        <v>29</v>
      </c>
      <c r="F5721" s="5">
        <v>0.0</v>
      </c>
      <c r="G5721" s="1" t="s">
        <v>7016</v>
      </c>
      <c r="H5721" s="1" t="s">
        <v>15815</v>
      </c>
      <c r="I5721" s="1" t="s">
        <v>80</v>
      </c>
      <c r="K5721" s="1">
        <v>0.0</v>
      </c>
      <c r="L5721" s="1" t="s">
        <v>1780</v>
      </c>
      <c r="M5721" s="1" t="str">
        <f>VLOOKUP(L5721,'Copy of PMD Workday Constants -'!B98:W784,22,false)</f>
        <v>#N/A</v>
      </c>
      <c r="N5721" s="1" t="s">
        <v>32</v>
      </c>
      <c r="O5721" s="1" t="s">
        <v>33</v>
      </c>
      <c r="P5721" s="1" t="s">
        <v>82</v>
      </c>
      <c r="Q5721" s="1" t="s">
        <v>82</v>
      </c>
      <c r="R5721" s="1" t="s">
        <v>83</v>
      </c>
      <c r="S5721" s="1" t="s">
        <v>583</v>
      </c>
      <c r="T5721" s="1">
        <v>1.00617113E8</v>
      </c>
      <c r="W5721" s="1" t="s">
        <v>456</v>
      </c>
      <c r="X5721" s="1" t="s">
        <v>1781</v>
      </c>
    </row>
    <row r="5722">
      <c r="A5722" s="1" t="s">
        <v>15816</v>
      </c>
      <c r="B5722" s="1" t="s">
        <v>1483</v>
      </c>
      <c r="C5722" s="1" t="s">
        <v>15817</v>
      </c>
      <c r="D5722" s="1" t="s">
        <v>28</v>
      </c>
      <c r="E5722" s="1" t="s">
        <v>29</v>
      </c>
      <c r="F5722" s="5">
        <v>0.0</v>
      </c>
      <c r="G5722" s="1" t="s">
        <v>7016</v>
      </c>
      <c r="H5722" s="1" t="s">
        <v>15815</v>
      </c>
      <c r="I5722" s="1" t="s">
        <v>80</v>
      </c>
      <c r="K5722" s="1">
        <v>0.0</v>
      </c>
      <c r="L5722" s="1" t="s">
        <v>1780</v>
      </c>
      <c r="M5722" s="1" t="str">
        <f>VLOOKUP(L5722,'Copy of PMD Workday Constants -'!B99:W785,22,false)</f>
        <v>#N/A</v>
      </c>
      <c r="N5722" s="1" t="s">
        <v>32</v>
      </c>
      <c r="O5722" s="1" t="s">
        <v>33</v>
      </c>
      <c r="P5722" s="1" t="s">
        <v>82</v>
      </c>
      <c r="Q5722" s="1" t="s">
        <v>82</v>
      </c>
      <c r="R5722" s="1" t="s">
        <v>83</v>
      </c>
      <c r="S5722" s="1" t="s">
        <v>1385</v>
      </c>
      <c r="T5722" s="1">
        <v>1.00617113E8</v>
      </c>
      <c r="W5722" s="1" t="s">
        <v>456</v>
      </c>
      <c r="X5722" s="1" t="s">
        <v>1781</v>
      </c>
    </row>
    <row r="5723">
      <c r="A5723" s="1" t="s">
        <v>15818</v>
      </c>
      <c r="B5723" s="1" t="s">
        <v>521</v>
      </c>
      <c r="C5723" s="1" t="s">
        <v>15819</v>
      </c>
      <c r="D5723" s="1" t="s">
        <v>103</v>
      </c>
      <c r="E5723" s="1" t="s">
        <v>29</v>
      </c>
      <c r="F5723" s="1">
        <v>0.0</v>
      </c>
      <c r="G5723" s="1" t="s">
        <v>7016</v>
      </c>
      <c r="H5723" s="1" t="s">
        <v>2054</v>
      </c>
      <c r="I5723" s="1" t="s">
        <v>96</v>
      </c>
      <c r="K5723" s="1">
        <v>0.0</v>
      </c>
      <c r="L5723" s="1" t="s">
        <v>2086</v>
      </c>
      <c r="M5723" s="1" t="str">
        <f>VLOOKUP(L5723,'Copy of PMD Workday Constants -'!B100:W786,22,false)</f>
        <v>Delivery</v>
      </c>
      <c r="N5723" s="1" t="s">
        <v>32</v>
      </c>
      <c r="O5723" s="1" t="s">
        <v>33</v>
      </c>
      <c r="P5723" s="1" t="s">
        <v>82</v>
      </c>
      <c r="Q5723" s="1" t="s">
        <v>82</v>
      </c>
      <c r="R5723" s="1" t="s">
        <v>83</v>
      </c>
      <c r="S5723" s="1" t="s">
        <v>84</v>
      </c>
      <c r="T5723" s="1">
        <v>1.0061233E8</v>
      </c>
      <c r="W5723" s="1" t="s">
        <v>85</v>
      </c>
      <c r="X5723" s="1" t="s">
        <v>2086</v>
      </c>
    </row>
    <row r="5724">
      <c r="A5724" s="1" t="s">
        <v>15820</v>
      </c>
      <c r="B5724" s="1" t="s">
        <v>489</v>
      </c>
      <c r="C5724" s="1" t="s">
        <v>15821</v>
      </c>
      <c r="D5724" s="1" t="s">
        <v>28</v>
      </c>
      <c r="E5724" s="1" t="s">
        <v>29</v>
      </c>
      <c r="F5724" s="5">
        <v>0.0</v>
      </c>
      <c r="G5724" s="1" t="s">
        <v>7016</v>
      </c>
      <c r="H5724" s="1" t="s">
        <v>12712</v>
      </c>
      <c r="I5724" s="1" t="s">
        <v>80</v>
      </c>
      <c r="K5724" s="1">
        <v>0.0</v>
      </c>
      <c r="L5724" s="1" t="s">
        <v>15822</v>
      </c>
      <c r="M5724" s="1" t="str">
        <f>VLOOKUP(L5724,'Copy of PMD Workday Constants -'!B101:W787,22,false)</f>
        <v>#N/A</v>
      </c>
      <c r="N5724" s="1" t="s">
        <v>32</v>
      </c>
      <c r="O5724" s="1" t="s">
        <v>33</v>
      </c>
      <c r="P5724" s="1" t="s">
        <v>173</v>
      </c>
      <c r="Q5724" s="1" t="s">
        <v>173</v>
      </c>
      <c r="R5724" s="1" t="s">
        <v>174</v>
      </c>
      <c r="T5724" s="1">
        <v>1.00632697E8</v>
      </c>
      <c r="W5724" s="1" t="s">
        <v>493</v>
      </c>
      <c r="X5724" s="1" t="s">
        <v>15823</v>
      </c>
    </row>
    <row r="5725">
      <c r="A5725" s="1" t="s">
        <v>15824</v>
      </c>
      <c r="B5725" s="1" t="s">
        <v>489</v>
      </c>
      <c r="C5725" s="1" t="s">
        <v>15825</v>
      </c>
      <c r="D5725" s="1" t="s">
        <v>28</v>
      </c>
      <c r="E5725" s="1" t="s">
        <v>29</v>
      </c>
      <c r="F5725" s="5">
        <v>0.0</v>
      </c>
      <c r="G5725" s="1" t="s">
        <v>7016</v>
      </c>
      <c r="H5725" s="1" t="s">
        <v>12712</v>
      </c>
      <c r="I5725" s="1" t="s">
        <v>80</v>
      </c>
      <c r="K5725" s="1">
        <v>0.0</v>
      </c>
      <c r="L5725" s="1" t="s">
        <v>1711</v>
      </c>
      <c r="M5725" s="1" t="str">
        <f>VLOOKUP(L5725,'Copy of PMD Workday Constants -'!B102:W788,22,false)</f>
        <v>#N/A</v>
      </c>
      <c r="N5725" s="1" t="s">
        <v>32</v>
      </c>
      <c r="O5725" s="1" t="s">
        <v>33</v>
      </c>
      <c r="P5725" s="1" t="s">
        <v>112</v>
      </c>
      <c r="Q5725" s="1" t="s">
        <v>112</v>
      </c>
      <c r="R5725" s="1" t="s">
        <v>113</v>
      </c>
      <c r="T5725" s="1">
        <v>1.00639641E8</v>
      </c>
      <c r="W5725" s="1" t="s">
        <v>493</v>
      </c>
      <c r="X5725" s="1" t="s">
        <v>15823</v>
      </c>
    </row>
    <row r="5726">
      <c r="A5726" s="1" t="s">
        <v>15826</v>
      </c>
      <c r="B5726" s="1" t="s">
        <v>5270</v>
      </c>
      <c r="C5726" s="1" t="s">
        <v>15827</v>
      </c>
      <c r="D5726" s="1" t="s">
        <v>51</v>
      </c>
      <c r="E5726" s="1" t="s">
        <v>29</v>
      </c>
      <c r="F5726" s="5">
        <v>0.0</v>
      </c>
      <c r="G5726" s="1" t="s">
        <v>7016</v>
      </c>
      <c r="H5726" s="4">
        <v>44352.0</v>
      </c>
      <c r="I5726" s="1" t="s">
        <v>302</v>
      </c>
      <c r="K5726" s="1">
        <v>0.0</v>
      </c>
      <c r="L5726" s="1" t="s">
        <v>2540</v>
      </c>
      <c r="M5726" s="1" t="str">
        <f>VLOOKUP(L5726,'Copy of PMD Workday Constants -'!B103:W789,22,false)</f>
        <v>#N/A</v>
      </c>
      <c r="N5726" s="1" t="s">
        <v>32</v>
      </c>
      <c r="O5726" s="1" t="s">
        <v>33</v>
      </c>
      <c r="P5726" s="1" t="s">
        <v>222</v>
      </c>
      <c r="Q5726" s="1" t="s">
        <v>222</v>
      </c>
      <c r="R5726" s="1" t="s">
        <v>223</v>
      </c>
      <c r="S5726" s="1" t="s">
        <v>134</v>
      </c>
      <c r="T5726" s="1">
        <v>1.00599268E8</v>
      </c>
      <c r="W5726" s="1" t="s">
        <v>74</v>
      </c>
      <c r="X5726" s="1" t="s">
        <v>7550</v>
      </c>
    </row>
    <row r="5727">
      <c r="A5727" s="1" t="s">
        <v>15828</v>
      </c>
      <c r="B5727" s="1" t="s">
        <v>9629</v>
      </c>
      <c r="C5727" s="1" t="s">
        <v>15829</v>
      </c>
      <c r="D5727" s="1" t="s">
        <v>28</v>
      </c>
      <c r="E5727" s="1" t="s">
        <v>29</v>
      </c>
      <c r="F5727" s="1">
        <v>0.0</v>
      </c>
      <c r="G5727" s="1" t="s">
        <v>7016</v>
      </c>
      <c r="H5727" s="4">
        <v>44319.0</v>
      </c>
      <c r="I5727" s="1" t="s">
        <v>274</v>
      </c>
      <c r="K5727" s="1">
        <v>0.0</v>
      </c>
      <c r="L5727" s="1" t="s">
        <v>963</v>
      </c>
      <c r="M5727" s="1" t="str">
        <f>VLOOKUP(L5727,'Copy of PMD Workday Constants -'!B104:W790,22,false)</f>
        <v>Delivery</v>
      </c>
      <c r="N5727" s="1" t="s">
        <v>32</v>
      </c>
      <c r="O5727" s="1" t="s">
        <v>33</v>
      </c>
      <c r="P5727" s="1" t="s">
        <v>173</v>
      </c>
      <c r="Q5727" s="1" t="s">
        <v>173</v>
      </c>
      <c r="R5727" s="1" t="s">
        <v>174</v>
      </c>
      <c r="S5727" s="1" t="s">
        <v>612</v>
      </c>
      <c r="T5727" s="1">
        <v>1.00708984E8</v>
      </c>
      <c r="W5727" s="1" t="s">
        <v>1303</v>
      </c>
      <c r="X5727" s="1" t="s">
        <v>9016</v>
      </c>
    </row>
    <row r="5728">
      <c r="A5728" s="1" t="s">
        <v>15830</v>
      </c>
      <c r="B5728" s="1" t="s">
        <v>489</v>
      </c>
      <c r="C5728" s="1" t="s">
        <v>15831</v>
      </c>
      <c r="D5728" s="1" t="s">
        <v>28</v>
      </c>
      <c r="E5728" s="1" t="s">
        <v>29</v>
      </c>
      <c r="F5728" s="5">
        <v>0.0</v>
      </c>
      <c r="G5728" s="1" t="s">
        <v>7016</v>
      </c>
      <c r="H5728" s="1" t="s">
        <v>12712</v>
      </c>
      <c r="I5728" s="1" t="s">
        <v>80</v>
      </c>
      <c r="K5728" s="1">
        <v>0.0</v>
      </c>
      <c r="L5728" s="1" t="s">
        <v>5719</v>
      </c>
      <c r="M5728" s="1" t="str">
        <f>VLOOKUP(L5728,'Copy of PMD Workday Constants -'!B105:W791,22,false)</f>
        <v>#N/A</v>
      </c>
      <c r="N5728" s="1" t="s">
        <v>32</v>
      </c>
      <c r="O5728" s="1" t="s">
        <v>33</v>
      </c>
      <c r="P5728" s="1" t="s">
        <v>34</v>
      </c>
      <c r="Q5728" s="1" t="s">
        <v>34</v>
      </c>
      <c r="R5728" s="1" t="s">
        <v>35</v>
      </c>
      <c r="T5728" s="1">
        <v>1.00599601E8</v>
      </c>
      <c r="W5728" s="1" t="s">
        <v>493</v>
      </c>
      <c r="X5728" s="1" t="s">
        <v>15823</v>
      </c>
    </row>
    <row r="5729">
      <c r="A5729" s="1" t="s">
        <v>15832</v>
      </c>
      <c r="B5729" s="1" t="s">
        <v>15833</v>
      </c>
      <c r="C5729" s="1" t="s">
        <v>15834</v>
      </c>
      <c r="D5729" s="1" t="s">
        <v>51</v>
      </c>
      <c r="E5729" s="1" t="s">
        <v>29</v>
      </c>
      <c r="F5729" s="1">
        <v>0.0</v>
      </c>
      <c r="G5729" s="1" t="s">
        <v>7016</v>
      </c>
      <c r="H5729" s="1" t="s">
        <v>301</v>
      </c>
      <c r="I5729" s="4">
        <v>44840.0</v>
      </c>
      <c r="K5729" s="1">
        <v>0.0</v>
      </c>
      <c r="L5729" s="1" t="s">
        <v>1370</v>
      </c>
      <c r="M5729" s="1" t="str">
        <f>VLOOKUP(L5729,'Copy of PMD Workday Constants -'!B106:W792,22,false)</f>
        <v>Delivery</v>
      </c>
      <c r="N5729" s="1" t="s">
        <v>32</v>
      </c>
      <c r="O5729" s="1" t="s">
        <v>33</v>
      </c>
      <c r="P5729" s="1" t="s">
        <v>173</v>
      </c>
      <c r="Q5729" s="1" t="s">
        <v>173</v>
      </c>
      <c r="R5729" s="1" t="s">
        <v>174</v>
      </c>
      <c r="S5729" s="1" t="s">
        <v>153</v>
      </c>
      <c r="T5729" s="1">
        <v>1.00869794E8</v>
      </c>
      <c r="W5729" s="1" t="s">
        <v>287</v>
      </c>
      <c r="X5729" s="1" t="s">
        <v>1370</v>
      </c>
    </row>
    <row r="5730">
      <c r="A5730" s="1" t="s">
        <v>15835</v>
      </c>
      <c r="B5730" s="1" t="s">
        <v>489</v>
      </c>
      <c r="C5730" s="1" t="s">
        <v>15836</v>
      </c>
      <c r="D5730" s="1" t="s">
        <v>28</v>
      </c>
      <c r="E5730" s="1" t="s">
        <v>29</v>
      </c>
      <c r="F5730" s="5">
        <v>0.0</v>
      </c>
      <c r="G5730" s="1" t="s">
        <v>7016</v>
      </c>
      <c r="H5730" s="1" t="s">
        <v>12712</v>
      </c>
      <c r="I5730" s="1" t="s">
        <v>15837</v>
      </c>
      <c r="K5730" s="1">
        <v>0.0</v>
      </c>
      <c r="L5730" s="1" t="s">
        <v>1529</v>
      </c>
      <c r="M5730" s="1" t="str">
        <f>VLOOKUP(L5730,'Copy of PMD Workday Constants -'!B107:W793,22,false)</f>
        <v>#N/A</v>
      </c>
      <c r="N5730" s="1" t="s">
        <v>32</v>
      </c>
      <c r="O5730" s="1" t="s">
        <v>33</v>
      </c>
      <c r="P5730" s="1" t="s">
        <v>173</v>
      </c>
      <c r="Q5730" s="1" t="s">
        <v>173</v>
      </c>
      <c r="R5730" s="1" t="s">
        <v>174</v>
      </c>
      <c r="T5730" s="1">
        <v>1.00660048E8</v>
      </c>
      <c r="W5730" s="1" t="s">
        <v>493</v>
      </c>
      <c r="X5730" s="1" t="s">
        <v>15823</v>
      </c>
    </row>
    <row r="5731">
      <c r="A5731" s="1" t="s">
        <v>15838</v>
      </c>
      <c r="B5731" s="1" t="s">
        <v>225</v>
      </c>
      <c r="C5731" s="1" t="s">
        <v>15839</v>
      </c>
      <c r="D5731" s="1" t="s">
        <v>103</v>
      </c>
      <c r="E5731" s="1" t="s">
        <v>29</v>
      </c>
      <c r="F5731" s="5">
        <v>0.0</v>
      </c>
      <c r="G5731" s="1" t="s">
        <v>7016</v>
      </c>
      <c r="H5731" s="4">
        <v>44685.0</v>
      </c>
      <c r="I5731" s="4">
        <v>44780.0</v>
      </c>
      <c r="K5731" s="1">
        <v>0.0</v>
      </c>
      <c r="L5731" s="1" t="s">
        <v>767</v>
      </c>
      <c r="M5731" s="1" t="str">
        <f>VLOOKUP(L5731,'Copy of PMD Workday Constants -'!B108:W794,22,false)</f>
        <v>#N/A</v>
      </c>
      <c r="N5731" s="1" t="s">
        <v>32</v>
      </c>
      <c r="O5731" s="1" t="s">
        <v>33</v>
      </c>
      <c r="P5731" s="1" t="s">
        <v>82</v>
      </c>
      <c r="Q5731" s="1" t="s">
        <v>82</v>
      </c>
      <c r="R5731" s="1" t="s">
        <v>83</v>
      </c>
      <c r="S5731" s="1" t="s">
        <v>583</v>
      </c>
      <c r="T5731" s="1">
        <v>1.00589481E8</v>
      </c>
      <c r="W5731" s="1" t="s">
        <v>85</v>
      </c>
      <c r="X5731" s="1" t="s">
        <v>4406</v>
      </c>
    </row>
    <row r="5732">
      <c r="A5732" s="1" t="s">
        <v>15840</v>
      </c>
      <c r="B5732" s="1" t="s">
        <v>15841</v>
      </c>
      <c r="C5732" s="1" t="s">
        <v>15842</v>
      </c>
      <c r="D5732" s="1" t="s">
        <v>51</v>
      </c>
      <c r="E5732" s="1" t="s">
        <v>29</v>
      </c>
      <c r="F5732" s="1">
        <v>0.0</v>
      </c>
      <c r="G5732" s="1" t="s">
        <v>7016</v>
      </c>
      <c r="H5732" s="1" t="s">
        <v>1444</v>
      </c>
      <c r="I5732" s="1" t="s">
        <v>406</v>
      </c>
      <c r="K5732" s="1">
        <v>0.0</v>
      </c>
      <c r="L5732" s="1" t="s">
        <v>505</v>
      </c>
      <c r="M5732" s="1" t="str">
        <f>VLOOKUP(L5732,'Copy of PMD Workday Constants -'!B109:W795,22,false)</f>
        <v>LCP</v>
      </c>
      <c r="N5732" s="1" t="s">
        <v>32</v>
      </c>
      <c r="O5732" s="1" t="s">
        <v>33</v>
      </c>
      <c r="P5732" s="1" t="s">
        <v>112</v>
      </c>
      <c r="Q5732" s="1" t="s">
        <v>112</v>
      </c>
      <c r="R5732" s="1" t="s">
        <v>113</v>
      </c>
      <c r="S5732" s="1" t="s">
        <v>307</v>
      </c>
      <c r="T5732" s="1">
        <v>1.0062347E8</v>
      </c>
      <c r="W5732" s="1" t="s">
        <v>391</v>
      </c>
      <c r="X5732" s="1" t="s">
        <v>6359</v>
      </c>
    </row>
    <row r="5733">
      <c r="A5733" s="1" t="s">
        <v>15843</v>
      </c>
      <c r="B5733" s="1" t="s">
        <v>8221</v>
      </c>
      <c r="C5733" s="1" t="s">
        <v>15844</v>
      </c>
      <c r="D5733" s="1" t="s">
        <v>79</v>
      </c>
      <c r="E5733" s="1" t="s">
        <v>29</v>
      </c>
      <c r="F5733" s="5">
        <v>0.0</v>
      </c>
      <c r="G5733" s="1" t="s">
        <v>7016</v>
      </c>
      <c r="H5733" s="1" t="s">
        <v>4892</v>
      </c>
      <c r="I5733" s="1" t="s">
        <v>301</v>
      </c>
      <c r="K5733" s="1">
        <v>0.0</v>
      </c>
      <c r="L5733" s="1" t="s">
        <v>2093</v>
      </c>
      <c r="M5733" s="1" t="str">
        <f>VLOOKUP(L5733,'Copy of PMD Workday Constants -'!B110:W796,22,false)</f>
        <v>#N/A</v>
      </c>
      <c r="N5733" s="1" t="s">
        <v>32</v>
      </c>
      <c r="O5733" s="1" t="s">
        <v>33</v>
      </c>
      <c r="P5733" s="1" t="s">
        <v>222</v>
      </c>
      <c r="Q5733" s="1" t="s">
        <v>222</v>
      </c>
      <c r="R5733" s="1" t="s">
        <v>223</v>
      </c>
      <c r="S5733" s="1" t="s">
        <v>646</v>
      </c>
      <c r="T5733" s="1">
        <v>1.00612055E8</v>
      </c>
      <c r="W5733" s="1" t="s">
        <v>74</v>
      </c>
      <c r="X5733" s="1" t="s">
        <v>2093</v>
      </c>
    </row>
    <row r="5734">
      <c r="A5734" s="1" t="s">
        <v>15845</v>
      </c>
      <c r="B5734" s="1" t="s">
        <v>5470</v>
      </c>
      <c r="C5734" s="1" t="s">
        <v>15846</v>
      </c>
      <c r="D5734" s="1" t="s">
        <v>103</v>
      </c>
      <c r="E5734" s="1" t="s">
        <v>29</v>
      </c>
      <c r="F5734" s="1">
        <v>0.0</v>
      </c>
      <c r="G5734" s="1" t="s">
        <v>7016</v>
      </c>
      <c r="H5734" s="4">
        <v>44236.0</v>
      </c>
      <c r="I5734" s="1" t="s">
        <v>104</v>
      </c>
      <c r="K5734" s="1">
        <v>0.0</v>
      </c>
      <c r="L5734" s="1" t="s">
        <v>5607</v>
      </c>
      <c r="M5734" s="1" t="str">
        <f>VLOOKUP(L5734,'Copy of PMD Workday Constants -'!B111:W797,22,false)</f>
        <v>LCP</v>
      </c>
      <c r="N5734" s="1" t="s">
        <v>32</v>
      </c>
      <c r="O5734" s="1" t="s">
        <v>33</v>
      </c>
      <c r="P5734" s="1" t="s">
        <v>173</v>
      </c>
      <c r="Q5734" s="1" t="s">
        <v>173</v>
      </c>
      <c r="R5734" s="1" t="s">
        <v>174</v>
      </c>
      <c r="T5734" s="1">
        <v>1.00612746E8</v>
      </c>
      <c r="W5734" s="1" t="s">
        <v>74</v>
      </c>
      <c r="X5734" s="1" t="s">
        <v>7550</v>
      </c>
    </row>
    <row r="5735">
      <c r="A5735" s="1" t="s">
        <v>15847</v>
      </c>
      <c r="B5735" s="1" t="s">
        <v>15848</v>
      </c>
      <c r="C5735" s="1" t="s">
        <v>15849</v>
      </c>
      <c r="D5735" s="1" t="s">
        <v>51</v>
      </c>
      <c r="E5735" s="1" t="s">
        <v>29</v>
      </c>
      <c r="F5735" s="1">
        <v>0.0</v>
      </c>
      <c r="G5735" s="1" t="s">
        <v>7016</v>
      </c>
      <c r="H5735" s="4">
        <v>44810.0</v>
      </c>
      <c r="I5735" s="1" t="s">
        <v>104</v>
      </c>
      <c r="K5735" s="1">
        <v>0.0</v>
      </c>
      <c r="L5735" s="1" t="s">
        <v>3249</v>
      </c>
      <c r="M5735" s="1" t="str">
        <f>VLOOKUP(L5735,'Copy of PMD Workday Constants -'!B112:W798,22,false)</f>
        <v>Delivery</v>
      </c>
      <c r="N5735" s="1" t="s">
        <v>32</v>
      </c>
      <c r="O5735" s="1" t="s">
        <v>33</v>
      </c>
      <c r="P5735" s="1" t="s">
        <v>173</v>
      </c>
      <c r="Q5735" s="1" t="s">
        <v>173</v>
      </c>
      <c r="R5735" s="1" t="s">
        <v>174</v>
      </c>
      <c r="T5735" s="1">
        <v>1.00633763E8</v>
      </c>
      <c r="W5735" s="1" t="s">
        <v>74</v>
      </c>
      <c r="X5735" s="1" t="s">
        <v>5014</v>
      </c>
    </row>
    <row r="5736">
      <c r="A5736" s="1" t="s">
        <v>15850</v>
      </c>
      <c r="B5736" s="1" t="s">
        <v>521</v>
      </c>
      <c r="C5736" s="1" t="s">
        <v>15851</v>
      </c>
      <c r="D5736" s="1" t="s">
        <v>51</v>
      </c>
      <c r="E5736" s="1" t="s">
        <v>29</v>
      </c>
      <c r="F5736" s="5">
        <v>0.0</v>
      </c>
      <c r="G5736" s="1" t="s">
        <v>7016</v>
      </c>
      <c r="H5736" s="1" t="s">
        <v>1681</v>
      </c>
      <c r="I5736" s="4">
        <v>44569.0</v>
      </c>
      <c r="K5736" s="1">
        <v>0.0</v>
      </c>
      <c r="L5736" s="1" t="s">
        <v>639</v>
      </c>
      <c r="M5736" s="1" t="str">
        <f>VLOOKUP(L5736,'Copy of PMD Workday Constants -'!B113:W799,22,false)</f>
        <v>#N/A</v>
      </c>
      <c r="N5736" s="1" t="s">
        <v>32</v>
      </c>
      <c r="O5736" s="1" t="s">
        <v>33</v>
      </c>
      <c r="P5736" s="1" t="s">
        <v>222</v>
      </c>
      <c r="Q5736" s="1" t="s">
        <v>222</v>
      </c>
      <c r="R5736" s="1" t="s">
        <v>223</v>
      </c>
      <c r="S5736" s="1" t="s">
        <v>601</v>
      </c>
      <c r="T5736" s="1">
        <v>1.0089503E8</v>
      </c>
      <c r="W5736" s="1" t="s">
        <v>85</v>
      </c>
      <c r="X5736" s="1" t="s">
        <v>9375</v>
      </c>
    </row>
    <row r="5737">
      <c r="A5737" s="1" t="s">
        <v>15852</v>
      </c>
      <c r="B5737" s="1" t="s">
        <v>5871</v>
      </c>
      <c r="C5737" s="1" t="s">
        <v>15853</v>
      </c>
      <c r="D5737" s="1" t="s">
        <v>28</v>
      </c>
      <c r="E5737" s="1" t="s">
        <v>29</v>
      </c>
      <c r="F5737" s="5">
        <v>0.0</v>
      </c>
      <c r="G5737" s="1" t="s">
        <v>7016</v>
      </c>
      <c r="H5737" s="1" t="s">
        <v>3998</v>
      </c>
      <c r="I5737" s="1" t="s">
        <v>191</v>
      </c>
      <c r="K5737" s="1">
        <v>0.0</v>
      </c>
      <c r="L5737" s="1" t="s">
        <v>3480</v>
      </c>
      <c r="M5737" s="1" t="str">
        <f>VLOOKUP(L5737,'Copy of PMD Workday Constants -'!B114:W800,22,false)</f>
        <v>#N/A</v>
      </c>
      <c r="N5737" s="1" t="s">
        <v>32</v>
      </c>
      <c r="O5737" s="1" t="s">
        <v>33</v>
      </c>
      <c r="P5737" s="1" t="s">
        <v>112</v>
      </c>
      <c r="Q5737" s="1" t="s">
        <v>112</v>
      </c>
      <c r="R5737" s="1" t="s">
        <v>113</v>
      </c>
      <c r="S5737" s="1" t="s">
        <v>307</v>
      </c>
      <c r="T5737" s="1">
        <v>1.00628223E8</v>
      </c>
      <c r="W5737" s="1" t="s">
        <v>47</v>
      </c>
      <c r="X5737" s="1" t="s">
        <v>15854</v>
      </c>
    </row>
    <row r="5738">
      <c r="A5738" s="1" t="s">
        <v>15855</v>
      </c>
      <c r="B5738" s="1" t="s">
        <v>4101</v>
      </c>
      <c r="C5738" s="1" t="s">
        <v>15856</v>
      </c>
      <c r="D5738" s="1" t="s">
        <v>28</v>
      </c>
      <c r="E5738" s="1" t="s">
        <v>29</v>
      </c>
      <c r="F5738" s="5">
        <v>0.0</v>
      </c>
      <c r="G5738" s="1" t="s">
        <v>7016</v>
      </c>
      <c r="H5738" s="1" t="s">
        <v>2622</v>
      </c>
      <c r="I5738" s="4">
        <v>44601.0</v>
      </c>
      <c r="K5738" s="1">
        <v>0.0</v>
      </c>
      <c r="L5738" s="1" t="s">
        <v>7047</v>
      </c>
      <c r="M5738" s="1" t="str">
        <f>VLOOKUP(L5738,'Copy of PMD Workday Constants -'!B115:W801,22,false)</f>
        <v>#N/A</v>
      </c>
      <c r="N5738" s="1" t="s">
        <v>32</v>
      </c>
      <c r="O5738" s="1" t="s">
        <v>33</v>
      </c>
      <c r="P5738" s="1" t="s">
        <v>34</v>
      </c>
      <c r="Q5738" s="1" t="s">
        <v>34</v>
      </c>
      <c r="R5738" s="1" t="s">
        <v>35</v>
      </c>
      <c r="S5738" s="1" t="s">
        <v>1166</v>
      </c>
      <c r="T5738" s="1">
        <v>1.01090216E8</v>
      </c>
      <c r="W5738" s="1" t="s">
        <v>456</v>
      </c>
      <c r="X5738" s="1" t="s">
        <v>1525</v>
      </c>
    </row>
    <row r="5739">
      <c r="A5739" s="1" t="s">
        <v>15857</v>
      </c>
      <c r="B5739" s="1" t="s">
        <v>15858</v>
      </c>
      <c r="C5739" s="1" t="s">
        <v>15859</v>
      </c>
      <c r="D5739" s="1" t="s">
        <v>28</v>
      </c>
      <c r="E5739" s="1" t="s">
        <v>29</v>
      </c>
      <c r="F5739" s="1">
        <v>0.0</v>
      </c>
      <c r="G5739" s="1" t="s">
        <v>7016</v>
      </c>
      <c r="H5739" s="1" t="s">
        <v>870</v>
      </c>
      <c r="I5739" s="1" t="s">
        <v>302</v>
      </c>
      <c r="K5739" s="1">
        <v>0.0</v>
      </c>
      <c r="L5739" s="1" t="s">
        <v>15860</v>
      </c>
      <c r="M5739" s="1" t="str">
        <f>VLOOKUP(L5739,'Copy of PMD Workday Constants -'!B116:W802,22,false)</f>
        <v>Delivery</v>
      </c>
      <c r="N5739" s="1" t="s">
        <v>32</v>
      </c>
      <c r="O5739" s="1" t="s">
        <v>33</v>
      </c>
      <c r="P5739" s="1" t="s">
        <v>210</v>
      </c>
      <c r="Q5739" s="1" t="s">
        <v>210</v>
      </c>
      <c r="R5739" s="1" t="s">
        <v>211</v>
      </c>
      <c r="T5739" s="1">
        <v>1.00612587E8</v>
      </c>
      <c r="W5739" s="1" t="s">
        <v>2098</v>
      </c>
      <c r="X5739" s="1" t="s">
        <v>15861</v>
      </c>
    </row>
    <row r="5740">
      <c r="A5740" s="1" t="s">
        <v>15862</v>
      </c>
      <c r="B5740" s="1" t="s">
        <v>5577</v>
      </c>
      <c r="C5740" s="1" t="s">
        <v>15863</v>
      </c>
      <c r="D5740" s="1" t="s">
        <v>28</v>
      </c>
      <c r="E5740" s="1" t="s">
        <v>29</v>
      </c>
      <c r="F5740" s="5">
        <v>0.0</v>
      </c>
      <c r="G5740" s="1" t="s">
        <v>7016</v>
      </c>
      <c r="H5740" s="1" t="s">
        <v>1575</v>
      </c>
      <c r="I5740" s="4">
        <v>44626.0</v>
      </c>
      <c r="K5740" s="1">
        <v>0.0</v>
      </c>
      <c r="L5740" s="1" t="s">
        <v>7193</v>
      </c>
      <c r="M5740" s="1" t="str">
        <f>VLOOKUP(L5740,'Copy of PMD Workday Constants -'!B117:W803,22,false)</f>
        <v>#N/A</v>
      </c>
      <c r="N5740" s="1" t="s">
        <v>32</v>
      </c>
      <c r="O5740" s="1" t="s">
        <v>33</v>
      </c>
      <c r="P5740" s="1" t="s">
        <v>82</v>
      </c>
      <c r="Q5740" s="1" t="s">
        <v>82</v>
      </c>
      <c r="R5740" s="1" t="s">
        <v>83</v>
      </c>
      <c r="S5740" s="1" t="s">
        <v>84</v>
      </c>
      <c r="T5740" s="1">
        <v>1.00635527E8</v>
      </c>
      <c r="W5740" s="1" t="s">
        <v>85</v>
      </c>
      <c r="X5740" s="1" t="s">
        <v>7193</v>
      </c>
    </row>
    <row r="5741">
      <c r="A5741" s="1" t="s">
        <v>15864</v>
      </c>
      <c r="B5741" s="1" t="s">
        <v>1234</v>
      </c>
      <c r="C5741" s="1" t="s">
        <v>15865</v>
      </c>
      <c r="D5741" s="1" t="s">
        <v>28</v>
      </c>
      <c r="E5741" s="1" t="s">
        <v>29</v>
      </c>
      <c r="F5741" s="1">
        <v>0.0</v>
      </c>
      <c r="G5741" s="1" t="s">
        <v>7016</v>
      </c>
      <c r="H5741" s="1" t="s">
        <v>466</v>
      </c>
      <c r="I5741" s="4">
        <v>44812.0</v>
      </c>
      <c r="K5741" s="1">
        <v>0.0</v>
      </c>
      <c r="L5741" s="1" t="s">
        <v>6557</v>
      </c>
      <c r="M5741" s="1" t="str">
        <f>VLOOKUP(L5741,'Copy of PMD Workday Constants -'!B118:W804,22,false)</f>
        <v>Catalyst</v>
      </c>
      <c r="N5741" s="1" t="s">
        <v>32</v>
      </c>
      <c r="O5741" s="1" t="s">
        <v>33</v>
      </c>
      <c r="P5741" s="1" t="s">
        <v>82</v>
      </c>
      <c r="Q5741" s="1" t="s">
        <v>82</v>
      </c>
      <c r="R5741" s="1" t="s">
        <v>83</v>
      </c>
      <c r="S5741" s="1" t="s">
        <v>180</v>
      </c>
      <c r="T5741" s="1">
        <v>1.01152256E8</v>
      </c>
      <c r="W5741" s="1" t="s">
        <v>85</v>
      </c>
      <c r="X5741" s="1" t="s">
        <v>1692</v>
      </c>
    </row>
    <row r="5742">
      <c r="A5742" s="1" t="s">
        <v>15866</v>
      </c>
      <c r="B5742" s="1" t="s">
        <v>931</v>
      </c>
      <c r="C5742" s="1" t="s">
        <v>15867</v>
      </c>
      <c r="D5742" s="1" t="s">
        <v>51</v>
      </c>
      <c r="E5742" s="1" t="s">
        <v>29</v>
      </c>
      <c r="F5742" s="1">
        <v>0.0</v>
      </c>
      <c r="G5742" s="1" t="s">
        <v>7016</v>
      </c>
      <c r="H5742" s="4">
        <v>44288.0</v>
      </c>
      <c r="I5742" s="1" t="s">
        <v>80</v>
      </c>
      <c r="K5742" s="1">
        <v>0.0</v>
      </c>
      <c r="L5742" s="1" t="s">
        <v>934</v>
      </c>
      <c r="M5742" s="1" t="str">
        <f>VLOOKUP(L5742,'Copy of PMD Workday Constants -'!B119:W805,22,false)</f>
        <v>LCP</v>
      </c>
      <c r="N5742" s="1" t="s">
        <v>32</v>
      </c>
      <c r="O5742" s="1" t="s">
        <v>33</v>
      </c>
      <c r="P5742" s="1" t="s">
        <v>173</v>
      </c>
      <c r="Q5742" s="1" t="s">
        <v>173</v>
      </c>
      <c r="R5742" s="1" t="s">
        <v>174</v>
      </c>
      <c r="S5742" s="1" t="s">
        <v>153</v>
      </c>
      <c r="T5742" s="1">
        <v>1.00653269E8</v>
      </c>
      <c r="W5742" s="1" t="s">
        <v>85</v>
      </c>
      <c r="X5742" s="1" t="s">
        <v>1212</v>
      </c>
    </row>
    <row r="5743">
      <c r="A5743" s="1" t="s">
        <v>15868</v>
      </c>
      <c r="B5743" s="1" t="s">
        <v>15869</v>
      </c>
      <c r="C5743" s="1" t="s">
        <v>11952</v>
      </c>
      <c r="D5743" s="1" t="s">
        <v>51</v>
      </c>
      <c r="E5743" s="1" t="s">
        <v>29</v>
      </c>
      <c r="F5743" s="1">
        <v>0.0</v>
      </c>
      <c r="G5743" s="1" t="s">
        <v>7016</v>
      </c>
      <c r="H5743" s="1" t="s">
        <v>1287</v>
      </c>
      <c r="I5743" s="1" t="s">
        <v>302</v>
      </c>
      <c r="K5743" s="1">
        <v>0.0</v>
      </c>
      <c r="L5743" s="1" t="s">
        <v>428</v>
      </c>
      <c r="M5743" s="1" t="str">
        <f>VLOOKUP(L5743,'Copy of PMD Workday Constants -'!B120:W806,22,false)</f>
        <v>Delivery</v>
      </c>
      <c r="N5743" s="1" t="s">
        <v>32</v>
      </c>
      <c r="O5743" s="1" t="s">
        <v>33</v>
      </c>
      <c r="P5743" s="1" t="s">
        <v>173</v>
      </c>
      <c r="Q5743" s="1" t="s">
        <v>173</v>
      </c>
      <c r="R5743" s="1" t="s">
        <v>174</v>
      </c>
      <c r="T5743" s="1">
        <v>1.00654085E8</v>
      </c>
      <c r="X5743" s="1" t="s">
        <v>4982</v>
      </c>
    </row>
    <row r="5744">
      <c r="A5744" s="1" t="s">
        <v>15870</v>
      </c>
      <c r="B5744" s="1" t="s">
        <v>15871</v>
      </c>
      <c r="C5744" s="1" t="s">
        <v>15872</v>
      </c>
      <c r="D5744" s="1" t="s">
        <v>51</v>
      </c>
      <c r="E5744" s="1" t="s">
        <v>29</v>
      </c>
      <c r="F5744" s="1">
        <v>0.0</v>
      </c>
      <c r="G5744" s="1" t="s">
        <v>7016</v>
      </c>
      <c r="H5744" s="4">
        <v>44809.0</v>
      </c>
      <c r="I5744" s="1" t="s">
        <v>152</v>
      </c>
      <c r="K5744" s="1">
        <v>0.0</v>
      </c>
      <c r="L5744" s="1" t="s">
        <v>3630</v>
      </c>
      <c r="M5744" s="1" t="str">
        <f>VLOOKUP(L5744,'Copy of PMD Workday Constants -'!B121:W807,22,false)</f>
        <v>Delivery</v>
      </c>
      <c r="N5744" s="1" t="s">
        <v>32</v>
      </c>
      <c r="O5744" s="1" t="s">
        <v>33</v>
      </c>
      <c r="P5744" s="1" t="s">
        <v>64</v>
      </c>
      <c r="Q5744" s="1" t="s">
        <v>64</v>
      </c>
      <c r="R5744" s="1" t="s">
        <v>65</v>
      </c>
      <c r="T5744" s="1">
        <v>1.00650382E8</v>
      </c>
      <c r="W5744" s="1" t="s">
        <v>1801</v>
      </c>
      <c r="X5744" s="1" t="s">
        <v>3630</v>
      </c>
    </row>
    <row r="5745">
      <c r="A5745" s="1" t="s">
        <v>15873</v>
      </c>
      <c r="B5745" s="1" t="s">
        <v>26</v>
      </c>
      <c r="C5745" s="1" t="s">
        <v>15874</v>
      </c>
      <c r="D5745" s="1" t="s">
        <v>28</v>
      </c>
      <c r="E5745" s="1" t="s">
        <v>29</v>
      </c>
      <c r="F5745" s="1">
        <v>0.0</v>
      </c>
      <c r="G5745" s="1" t="s">
        <v>7016</v>
      </c>
      <c r="H5745" s="4">
        <v>44205.0</v>
      </c>
      <c r="I5745" s="1" t="s">
        <v>104</v>
      </c>
      <c r="K5745" s="1">
        <v>0.0</v>
      </c>
      <c r="L5745" s="1" t="s">
        <v>3509</v>
      </c>
      <c r="M5745" s="1" t="str">
        <f>VLOOKUP(L5745,'Copy of PMD Workday Constants -'!B122:W808,22,false)</f>
        <v>LCP</v>
      </c>
      <c r="N5745" s="1" t="s">
        <v>32</v>
      </c>
      <c r="O5745" s="1" t="s">
        <v>33</v>
      </c>
      <c r="P5745" s="1" t="s">
        <v>34</v>
      </c>
      <c r="Q5745" s="1" t="s">
        <v>34</v>
      </c>
      <c r="R5745" s="1" t="s">
        <v>35</v>
      </c>
      <c r="T5745" s="1">
        <v>1.00610426E8</v>
      </c>
      <c r="W5745" s="1" t="s">
        <v>37</v>
      </c>
      <c r="X5745" s="1" t="s">
        <v>15875</v>
      </c>
    </row>
    <row r="5746">
      <c r="A5746" s="1" t="s">
        <v>15876</v>
      </c>
      <c r="B5746" s="1" t="s">
        <v>317</v>
      </c>
      <c r="C5746" s="1" t="s">
        <v>15877</v>
      </c>
      <c r="D5746" s="1" t="s">
        <v>28</v>
      </c>
      <c r="E5746" s="1" t="s">
        <v>29</v>
      </c>
      <c r="F5746" s="1">
        <v>0.0</v>
      </c>
      <c r="G5746" s="1" t="s">
        <v>7016</v>
      </c>
      <c r="H5746" s="1" t="s">
        <v>14522</v>
      </c>
      <c r="I5746" s="1" t="s">
        <v>6546</v>
      </c>
      <c r="K5746" s="1">
        <v>0.0</v>
      </c>
      <c r="L5746" s="1" t="s">
        <v>2143</v>
      </c>
      <c r="M5746" s="1" t="str">
        <f>VLOOKUP(L5746,'Copy of PMD Workday Constants -'!B123:W809,22,false)</f>
        <v>LCP</v>
      </c>
      <c r="N5746" s="1" t="s">
        <v>32</v>
      </c>
      <c r="O5746" s="1" t="s">
        <v>33</v>
      </c>
      <c r="P5746" s="1" t="s">
        <v>82</v>
      </c>
      <c r="Q5746" s="1" t="s">
        <v>82</v>
      </c>
      <c r="R5746" s="1" t="s">
        <v>83</v>
      </c>
      <c r="S5746" s="1" t="s">
        <v>84</v>
      </c>
      <c r="T5746" s="1">
        <v>1.00612395E8</v>
      </c>
      <c r="W5746" s="1" t="s">
        <v>85</v>
      </c>
      <c r="X5746" s="1" t="s">
        <v>3287</v>
      </c>
    </row>
    <row r="5747">
      <c r="A5747" s="1" t="s">
        <v>15878</v>
      </c>
      <c r="B5747" s="1" t="s">
        <v>521</v>
      </c>
      <c r="C5747" s="1" t="s">
        <v>15879</v>
      </c>
      <c r="D5747" s="1" t="s">
        <v>28</v>
      </c>
      <c r="E5747" s="1" t="s">
        <v>29</v>
      </c>
      <c r="F5747" s="1">
        <v>0.0</v>
      </c>
      <c r="G5747" s="1" t="s">
        <v>7016</v>
      </c>
      <c r="H5747" s="4">
        <v>44319.0</v>
      </c>
      <c r="I5747" s="1" t="s">
        <v>274</v>
      </c>
      <c r="K5747" s="1">
        <v>0.0</v>
      </c>
      <c r="L5747" s="1" t="s">
        <v>963</v>
      </c>
      <c r="M5747" s="1" t="str">
        <f>VLOOKUP(L5747,'Copy of PMD Workday Constants -'!B124:W810,22,false)</f>
        <v>Delivery</v>
      </c>
      <c r="N5747" s="1" t="s">
        <v>32</v>
      </c>
      <c r="O5747" s="1" t="s">
        <v>33</v>
      </c>
      <c r="P5747" s="1" t="s">
        <v>173</v>
      </c>
      <c r="Q5747" s="1" t="s">
        <v>173</v>
      </c>
      <c r="R5747" s="1" t="s">
        <v>174</v>
      </c>
      <c r="S5747" s="1" t="s">
        <v>612</v>
      </c>
      <c r="T5747" s="1">
        <v>1.00708984E8</v>
      </c>
      <c r="W5747" s="1" t="s">
        <v>85</v>
      </c>
      <c r="X5747" s="1" t="s">
        <v>9016</v>
      </c>
    </row>
    <row r="5748">
      <c r="A5748" s="1" t="s">
        <v>15880</v>
      </c>
      <c r="B5748" s="1" t="s">
        <v>15881</v>
      </c>
      <c r="C5748" s="1" t="s">
        <v>15642</v>
      </c>
      <c r="D5748" s="1" t="s">
        <v>51</v>
      </c>
      <c r="E5748" s="1" t="s">
        <v>29</v>
      </c>
      <c r="F5748" s="1">
        <v>0.0</v>
      </c>
      <c r="G5748" s="1" t="s">
        <v>7016</v>
      </c>
      <c r="H5748" s="1" t="s">
        <v>1733</v>
      </c>
      <c r="I5748" s="1" t="s">
        <v>152</v>
      </c>
      <c r="K5748" s="1">
        <v>0.0</v>
      </c>
      <c r="L5748" s="1" t="s">
        <v>428</v>
      </c>
      <c r="M5748" s="1" t="str">
        <f>VLOOKUP(L5748,'Copy of PMD Workday Constants -'!B125:W811,22,false)</f>
        <v>Delivery</v>
      </c>
      <c r="N5748" s="1" t="s">
        <v>32</v>
      </c>
      <c r="O5748" s="1" t="s">
        <v>33</v>
      </c>
      <c r="P5748" s="1" t="s">
        <v>173</v>
      </c>
      <c r="Q5748" s="1" t="s">
        <v>173</v>
      </c>
      <c r="R5748" s="1" t="s">
        <v>174</v>
      </c>
      <c r="T5748" s="1">
        <v>1.00654085E8</v>
      </c>
      <c r="W5748" s="1" t="s">
        <v>115</v>
      </c>
      <c r="X5748" s="1" t="s">
        <v>4982</v>
      </c>
    </row>
    <row r="5749">
      <c r="A5749" s="1" t="s">
        <v>15882</v>
      </c>
      <c r="B5749" s="1" t="s">
        <v>1568</v>
      </c>
      <c r="C5749" s="1" t="s">
        <v>15883</v>
      </c>
      <c r="D5749" s="1" t="s">
        <v>28</v>
      </c>
      <c r="E5749" s="1" t="s">
        <v>29</v>
      </c>
      <c r="F5749" s="1">
        <v>0.0</v>
      </c>
      <c r="G5749" s="1" t="s">
        <v>7016</v>
      </c>
      <c r="H5749" s="1" t="s">
        <v>7861</v>
      </c>
      <c r="I5749" s="1" t="s">
        <v>816</v>
      </c>
      <c r="K5749" s="1">
        <v>0.0</v>
      </c>
      <c r="L5749" s="1" t="s">
        <v>9146</v>
      </c>
      <c r="M5749" s="1" t="str">
        <f>VLOOKUP(L5749,'Copy of PMD Workday Constants -'!B126:W812,22,false)</f>
        <v>LCP</v>
      </c>
      <c r="N5749" s="1" t="s">
        <v>32</v>
      </c>
      <c r="O5749" s="1" t="s">
        <v>33</v>
      </c>
      <c r="P5749" s="1" t="s">
        <v>173</v>
      </c>
      <c r="Q5749" s="1" t="s">
        <v>173</v>
      </c>
      <c r="R5749" s="1" t="s">
        <v>174</v>
      </c>
      <c r="S5749" s="1" t="s">
        <v>153</v>
      </c>
      <c r="T5749" s="1">
        <v>1.00653538E8</v>
      </c>
      <c r="W5749" s="1" t="s">
        <v>147</v>
      </c>
      <c r="X5749" s="1" t="s">
        <v>7503</v>
      </c>
    </row>
    <row r="5750">
      <c r="A5750" s="1" t="s">
        <v>15884</v>
      </c>
      <c r="B5750" s="1" t="s">
        <v>15885</v>
      </c>
      <c r="C5750" s="1" t="s">
        <v>15886</v>
      </c>
      <c r="D5750" s="1" t="s">
        <v>51</v>
      </c>
      <c r="E5750" s="1" t="s">
        <v>29</v>
      </c>
      <c r="F5750" s="5">
        <v>0.0</v>
      </c>
      <c r="G5750" s="1" t="s">
        <v>7016</v>
      </c>
      <c r="H5750" s="1" t="s">
        <v>2935</v>
      </c>
      <c r="I5750" s="1" t="s">
        <v>43</v>
      </c>
      <c r="K5750" s="1">
        <v>0.0</v>
      </c>
      <c r="L5750" s="1" t="s">
        <v>12216</v>
      </c>
      <c r="M5750" s="1" t="str">
        <f>VLOOKUP(L5750,'Copy of PMD Workday Constants -'!B127:W813,22,false)</f>
        <v>#N/A</v>
      </c>
      <c r="N5750" s="1" t="s">
        <v>32</v>
      </c>
      <c r="O5750" s="1" t="s">
        <v>33</v>
      </c>
      <c r="P5750" s="1" t="s">
        <v>173</v>
      </c>
      <c r="Q5750" s="1" t="s">
        <v>173</v>
      </c>
      <c r="R5750" s="1" t="s">
        <v>174</v>
      </c>
      <c r="T5750" s="1">
        <v>1.00904278E8</v>
      </c>
      <c r="W5750" s="1" t="s">
        <v>287</v>
      </c>
      <c r="X5750" s="1" t="s">
        <v>15732</v>
      </c>
    </row>
    <row r="5751">
      <c r="A5751" s="1" t="s">
        <v>15887</v>
      </c>
      <c r="B5751" s="1" t="s">
        <v>15888</v>
      </c>
      <c r="C5751" s="1" t="s">
        <v>15889</v>
      </c>
      <c r="D5751" s="1" t="s">
        <v>51</v>
      </c>
      <c r="E5751" s="1" t="s">
        <v>29</v>
      </c>
      <c r="F5751" s="5">
        <v>0.0</v>
      </c>
      <c r="G5751" s="1" t="s">
        <v>7016</v>
      </c>
      <c r="H5751" s="4">
        <v>44900.0</v>
      </c>
      <c r="I5751" s="1" t="s">
        <v>302</v>
      </c>
      <c r="K5751" s="1">
        <v>0.0</v>
      </c>
      <c r="L5751" s="1" t="s">
        <v>11159</v>
      </c>
      <c r="M5751" s="1" t="str">
        <f>VLOOKUP(L5751,'Copy of PMD Workday Constants -'!B128:W814,22,false)</f>
        <v>#N/A</v>
      </c>
      <c r="N5751" s="1" t="s">
        <v>32</v>
      </c>
      <c r="O5751" s="1" t="s">
        <v>33</v>
      </c>
      <c r="P5751" s="1" t="s">
        <v>222</v>
      </c>
      <c r="Q5751" s="1" t="s">
        <v>222</v>
      </c>
      <c r="R5751" s="1" t="s">
        <v>223</v>
      </c>
      <c r="S5751" s="1" t="s">
        <v>482</v>
      </c>
      <c r="T5751" s="1">
        <v>1.00602248E8</v>
      </c>
      <c r="W5751" s="1" t="s">
        <v>1801</v>
      </c>
      <c r="X5751" s="1" t="s">
        <v>12065</v>
      </c>
    </row>
    <row r="5752">
      <c r="A5752" s="1" t="s">
        <v>15890</v>
      </c>
      <c r="B5752" s="1" t="s">
        <v>143</v>
      </c>
      <c r="C5752" s="1" t="s">
        <v>15891</v>
      </c>
      <c r="D5752" s="1" t="s">
        <v>79</v>
      </c>
      <c r="E5752" s="1" t="s">
        <v>29</v>
      </c>
      <c r="F5752" s="1">
        <v>0.0</v>
      </c>
      <c r="G5752" s="1" t="s">
        <v>7016</v>
      </c>
      <c r="H5752" s="4">
        <v>44809.0</v>
      </c>
      <c r="I5752" s="4">
        <v>44809.0</v>
      </c>
      <c r="K5752" s="1">
        <v>0.0</v>
      </c>
      <c r="L5752" s="1" t="s">
        <v>2284</v>
      </c>
      <c r="M5752" s="1" t="str">
        <f>VLOOKUP(L5752,'Copy of PMD Workday Constants -'!B129:W815,22,false)</f>
        <v>Delivery</v>
      </c>
      <c r="N5752" s="1" t="s">
        <v>32</v>
      </c>
      <c r="O5752" s="1" t="s">
        <v>33</v>
      </c>
      <c r="P5752" s="1" t="s">
        <v>173</v>
      </c>
      <c r="Q5752" s="1" t="s">
        <v>173</v>
      </c>
      <c r="R5752" s="1" t="s">
        <v>174</v>
      </c>
      <c r="T5752" s="1">
        <v>1.00650678E8</v>
      </c>
      <c r="W5752" s="1" t="s">
        <v>147</v>
      </c>
      <c r="X5752" s="1" t="s">
        <v>2194</v>
      </c>
    </row>
    <row r="5753">
      <c r="A5753" s="1" t="s">
        <v>15892</v>
      </c>
      <c r="B5753" s="1" t="s">
        <v>160</v>
      </c>
      <c r="C5753" s="1" t="s">
        <v>15893</v>
      </c>
      <c r="D5753" s="1" t="s">
        <v>28</v>
      </c>
      <c r="E5753" s="1" t="s">
        <v>29</v>
      </c>
      <c r="F5753" s="1">
        <v>0.0</v>
      </c>
      <c r="G5753" s="1" t="s">
        <v>7016</v>
      </c>
      <c r="H5753" s="4">
        <v>44837.0</v>
      </c>
      <c r="I5753" s="1" t="s">
        <v>80</v>
      </c>
      <c r="K5753" s="1">
        <v>0.0</v>
      </c>
      <c r="L5753" s="1" t="s">
        <v>570</v>
      </c>
      <c r="M5753" s="1" t="str">
        <f>VLOOKUP(L5753,'Copy of PMD Workday Constants -'!B130:W816,22,false)</f>
        <v>Delivery</v>
      </c>
      <c r="N5753" s="1" t="s">
        <v>32</v>
      </c>
      <c r="O5753" s="1" t="s">
        <v>33</v>
      </c>
      <c r="P5753" s="1" t="s">
        <v>112</v>
      </c>
      <c r="Q5753" s="1" t="s">
        <v>112</v>
      </c>
      <c r="R5753" s="1" t="s">
        <v>113</v>
      </c>
      <c r="S5753" s="1" t="s">
        <v>120</v>
      </c>
      <c r="T5753" s="1">
        <v>1.00625415E8</v>
      </c>
      <c r="W5753" s="1" t="s">
        <v>56</v>
      </c>
      <c r="X5753" s="1" t="s">
        <v>571</v>
      </c>
    </row>
    <row r="5754">
      <c r="A5754" s="1" t="s">
        <v>15894</v>
      </c>
      <c r="B5754" s="1" t="s">
        <v>15895</v>
      </c>
      <c r="C5754" s="1" t="s">
        <v>15896</v>
      </c>
      <c r="D5754" s="1" t="s">
        <v>79</v>
      </c>
      <c r="E5754" s="1" t="s">
        <v>29</v>
      </c>
      <c r="F5754" s="5">
        <v>0.0</v>
      </c>
      <c r="G5754" s="1" t="s">
        <v>7016</v>
      </c>
      <c r="H5754" s="4">
        <v>44837.0</v>
      </c>
      <c r="I5754" s="4">
        <v>44597.0</v>
      </c>
      <c r="K5754" s="1">
        <v>0.0</v>
      </c>
      <c r="L5754" s="1" t="s">
        <v>2771</v>
      </c>
      <c r="M5754" s="1" t="str">
        <f>VLOOKUP(L5754,'Copy of PMD Workday Constants -'!B131:W817,22,false)</f>
        <v>#N/A</v>
      </c>
      <c r="N5754" s="1" t="s">
        <v>32</v>
      </c>
      <c r="O5754" s="1" t="s">
        <v>33</v>
      </c>
      <c r="P5754" s="1" t="s">
        <v>222</v>
      </c>
      <c r="Q5754" s="1" t="s">
        <v>222</v>
      </c>
      <c r="R5754" s="1" t="s">
        <v>223</v>
      </c>
      <c r="S5754" s="1" t="s">
        <v>601</v>
      </c>
      <c r="T5754" s="1">
        <v>1.00641939E8</v>
      </c>
      <c r="W5754" s="1" t="s">
        <v>1801</v>
      </c>
      <c r="X5754" s="1" t="s">
        <v>6824</v>
      </c>
    </row>
    <row r="5755">
      <c r="A5755" s="1" t="s">
        <v>15897</v>
      </c>
      <c r="B5755" s="1" t="s">
        <v>15898</v>
      </c>
      <c r="C5755" s="1" t="s">
        <v>15899</v>
      </c>
      <c r="D5755" s="1" t="s">
        <v>28</v>
      </c>
      <c r="E5755" s="1" t="s">
        <v>29</v>
      </c>
      <c r="F5755" s="5">
        <v>0.0</v>
      </c>
      <c r="G5755" s="1" t="s">
        <v>7016</v>
      </c>
      <c r="H5755" s="1" t="s">
        <v>434</v>
      </c>
      <c r="I5755" s="1" t="s">
        <v>217</v>
      </c>
      <c r="K5755" s="1">
        <v>0.0</v>
      </c>
      <c r="L5755" s="1" t="s">
        <v>12216</v>
      </c>
      <c r="M5755" s="1" t="str">
        <f>VLOOKUP(L5755,'Copy of PMD Workday Constants -'!B132:W818,22,false)</f>
        <v>#N/A</v>
      </c>
      <c r="N5755" s="1" t="s">
        <v>32</v>
      </c>
      <c r="O5755" s="1" t="s">
        <v>33</v>
      </c>
      <c r="P5755" s="1" t="s">
        <v>173</v>
      </c>
      <c r="Q5755" s="1" t="s">
        <v>173</v>
      </c>
      <c r="R5755" s="1" t="s">
        <v>174</v>
      </c>
      <c r="T5755" s="1">
        <v>1.00904278E8</v>
      </c>
      <c r="W5755" s="1" t="s">
        <v>56</v>
      </c>
      <c r="X5755" s="1" t="s">
        <v>15732</v>
      </c>
    </row>
    <row r="5756">
      <c r="A5756" s="1" t="s">
        <v>15900</v>
      </c>
      <c r="B5756" s="1" t="s">
        <v>14393</v>
      </c>
      <c r="C5756" s="1" t="s">
        <v>15901</v>
      </c>
      <c r="D5756" s="1" t="s">
        <v>51</v>
      </c>
      <c r="E5756" s="1" t="s">
        <v>29</v>
      </c>
      <c r="F5756" s="1">
        <v>0.0</v>
      </c>
      <c r="G5756" s="1" t="s">
        <v>7016</v>
      </c>
      <c r="H5756" s="1" t="s">
        <v>330</v>
      </c>
      <c r="I5756" s="1" t="s">
        <v>301</v>
      </c>
      <c r="K5756" s="1">
        <v>0.0</v>
      </c>
      <c r="L5756" s="1" t="s">
        <v>4644</v>
      </c>
      <c r="M5756" s="1" t="str">
        <f>VLOOKUP(L5756,'Copy of PMD Workday Constants -'!B133:W819,22,false)</f>
        <v>LCP</v>
      </c>
      <c r="N5756" s="1" t="s">
        <v>32</v>
      </c>
      <c r="O5756" s="1" t="s">
        <v>33</v>
      </c>
      <c r="P5756" s="1" t="s">
        <v>210</v>
      </c>
      <c r="Q5756" s="1" t="s">
        <v>210</v>
      </c>
      <c r="R5756" s="1" t="s">
        <v>211</v>
      </c>
      <c r="S5756" s="1" t="s">
        <v>1313</v>
      </c>
      <c r="T5756" s="1">
        <v>1.00637587E8</v>
      </c>
      <c r="W5756" s="1" t="s">
        <v>436</v>
      </c>
      <c r="X5756" s="1" t="s">
        <v>15902</v>
      </c>
    </row>
    <row r="5757">
      <c r="A5757" s="1" t="s">
        <v>15903</v>
      </c>
      <c r="B5757" s="1" t="s">
        <v>289</v>
      </c>
      <c r="C5757" s="1" t="s">
        <v>15904</v>
      </c>
      <c r="D5757" s="1" t="s">
        <v>28</v>
      </c>
      <c r="E5757" s="1" t="s">
        <v>29</v>
      </c>
      <c r="F5757" s="1">
        <v>0.0</v>
      </c>
      <c r="G5757" s="1" t="s">
        <v>7016</v>
      </c>
      <c r="H5757" s="1" t="s">
        <v>1349</v>
      </c>
      <c r="I5757" s="1" t="s">
        <v>104</v>
      </c>
      <c r="K5757" s="1">
        <v>0.0</v>
      </c>
      <c r="L5757" s="1" t="s">
        <v>3784</v>
      </c>
      <c r="M5757" s="1" t="str">
        <f>VLOOKUP(L5757,'Copy of PMD Workday Constants -'!B134:W820,22,false)</f>
        <v>Catalyst</v>
      </c>
      <c r="N5757" s="1" t="s">
        <v>32</v>
      </c>
      <c r="O5757" s="1" t="s">
        <v>33</v>
      </c>
      <c r="P5757" s="1" t="s">
        <v>210</v>
      </c>
      <c r="Q5757" s="1" t="s">
        <v>210</v>
      </c>
      <c r="R5757" s="1" t="s">
        <v>211</v>
      </c>
      <c r="T5757" s="1">
        <v>1.00637651E8</v>
      </c>
      <c r="W5757" s="1" t="s">
        <v>74</v>
      </c>
      <c r="X5757" s="1" t="s">
        <v>852</v>
      </c>
    </row>
    <row r="5758">
      <c r="A5758" s="1" t="s">
        <v>15905</v>
      </c>
      <c r="B5758" s="1" t="s">
        <v>411</v>
      </c>
      <c r="C5758" s="1" t="s">
        <v>15906</v>
      </c>
      <c r="D5758" s="1" t="s">
        <v>28</v>
      </c>
      <c r="E5758" s="1" t="s">
        <v>29</v>
      </c>
      <c r="F5758" s="5">
        <v>0.0</v>
      </c>
      <c r="G5758" s="1" t="s">
        <v>7016</v>
      </c>
      <c r="H5758" s="4">
        <v>43929.0</v>
      </c>
      <c r="I5758" s="1" t="s">
        <v>80</v>
      </c>
      <c r="K5758" s="1">
        <v>0.0</v>
      </c>
      <c r="L5758" s="1" t="s">
        <v>4794</v>
      </c>
      <c r="M5758" s="1" t="str">
        <f>VLOOKUP(L5758,'Copy of PMD Workday Constants -'!B135:W821,22,false)</f>
        <v>#N/A</v>
      </c>
      <c r="N5758" s="1" t="s">
        <v>32</v>
      </c>
      <c r="O5758" s="1" t="s">
        <v>33</v>
      </c>
      <c r="P5758" s="1" t="s">
        <v>173</v>
      </c>
      <c r="Q5758" s="1" t="s">
        <v>173</v>
      </c>
      <c r="R5758" s="1" t="s">
        <v>174</v>
      </c>
      <c r="S5758" s="1" t="s">
        <v>540</v>
      </c>
      <c r="T5758" s="1">
        <v>1.00875111E8</v>
      </c>
      <c r="W5758" s="1" t="s">
        <v>56</v>
      </c>
      <c r="X5758" s="1" t="s">
        <v>4795</v>
      </c>
    </row>
    <row r="5759">
      <c r="A5759" s="1" t="s">
        <v>15907</v>
      </c>
      <c r="B5759" s="1" t="s">
        <v>3585</v>
      </c>
      <c r="C5759" s="1" t="s">
        <v>15908</v>
      </c>
      <c r="D5759" s="1" t="s">
        <v>51</v>
      </c>
      <c r="E5759" s="1" t="s">
        <v>29</v>
      </c>
      <c r="F5759" s="1">
        <v>0.0</v>
      </c>
      <c r="G5759" s="1" t="s">
        <v>7016</v>
      </c>
      <c r="H5759" s="4">
        <v>44598.0</v>
      </c>
      <c r="I5759" s="1" t="s">
        <v>104</v>
      </c>
      <c r="K5759" s="1">
        <v>0.0</v>
      </c>
      <c r="L5759" s="1" t="s">
        <v>5807</v>
      </c>
      <c r="M5759" s="1" t="str">
        <f>VLOOKUP(L5759,'Copy of PMD Workday Constants -'!B136:W822,22,false)</f>
        <v>LCP</v>
      </c>
      <c r="N5759" s="1" t="s">
        <v>32</v>
      </c>
      <c r="O5759" s="1" t="s">
        <v>33</v>
      </c>
      <c r="P5759" s="1" t="s">
        <v>173</v>
      </c>
      <c r="Q5759" s="1" t="s">
        <v>173</v>
      </c>
      <c r="R5759" s="1" t="s">
        <v>174</v>
      </c>
      <c r="T5759" s="1">
        <v>1.00589278E8</v>
      </c>
      <c r="U5759" s="1" t="s">
        <v>15909</v>
      </c>
      <c r="V5759" s="1" t="s">
        <v>781</v>
      </c>
      <c r="X5759" s="1" t="s">
        <v>15910</v>
      </c>
    </row>
    <row r="5760">
      <c r="A5760" s="1" t="s">
        <v>15911</v>
      </c>
      <c r="B5760" s="1" t="s">
        <v>1257</v>
      </c>
      <c r="C5760" s="1" t="s">
        <v>15912</v>
      </c>
      <c r="D5760" s="1" t="s">
        <v>28</v>
      </c>
      <c r="E5760" s="1" t="s">
        <v>29</v>
      </c>
      <c r="F5760" s="5">
        <v>0.0</v>
      </c>
      <c r="G5760" s="1" t="s">
        <v>7016</v>
      </c>
      <c r="H5760" s="4">
        <v>43959.0</v>
      </c>
      <c r="I5760" s="1" t="s">
        <v>80</v>
      </c>
      <c r="K5760" s="1">
        <v>0.0</v>
      </c>
      <c r="L5760" s="1" t="s">
        <v>4794</v>
      </c>
      <c r="M5760" s="1" t="str">
        <f>VLOOKUP(L5760,'Copy of PMD Workday Constants -'!B137:W823,22,false)</f>
        <v>#N/A</v>
      </c>
      <c r="N5760" s="1" t="s">
        <v>32</v>
      </c>
      <c r="O5760" s="1" t="s">
        <v>33</v>
      </c>
      <c r="P5760" s="1" t="s">
        <v>173</v>
      </c>
      <c r="Q5760" s="1" t="s">
        <v>173</v>
      </c>
      <c r="R5760" s="1" t="s">
        <v>174</v>
      </c>
      <c r="S5760" s="1" t="s">
        <v>540</v>
      </c>
      <c r="T5760" s="1">
        <v>1.00875111E8</v>
      </c>
      <c r="W5760" s="1" t="s">
        <v>56</v>
      </c>
      <c r="X5760" s="1" t="s">
        <v>4795</v>
      </c>
    </row>
    <row r="5761">
      <c r="A5761" s="1" t="s">
        <v>15913</v>
      </c>
      <c r="B5761" s="1" t="s">
        <v>324</v>
      </c>
      <c r="C5761" s="1" t="s">
        <v>15914</v>
      </c>
      <c r="D5761" s="1" t="s">
        <v>28</v>
      </c>
      <c r="E5761" s="1" t="s">
        <v>29</v>
      </c>
      <c r="F5761" s="5">
        <v>0.0</v>
      </c>
      <c r="G5761" s="1" t="s">
        <v>7016</v>
      </c>
      <c r="H5761" s="4">
        <v>43959.0</v>
      </c>
      <c r="I5761" s="4">
        <v>44569.0</v>
      </c>
      <c r="K5761" s="1">
        <v>0.0</v>
      </c>
      <c r="L5761" s="1" t="s">
        <v>4794</v>
      </c>
      <c r="M5761" s="1" t="str">
        <f>VLOOKUP(L5761,'Copy of PMD Workday Constants -'!B138:W824,22,false)</f>
        <v>#N/A</v>
      </c>
      <c r="N5761" s="1" t="s">
        <v>32</v>
      </c>
      <c r="O5761" s="1" t="s">
        <v>33</v>
      </c>
      <c r="P5761" s="1" t="s">
        <v>173</v>
      </c>
      <c r="Q5761" s="1" t="s">
        <v>173</v>
      </c>
      <c r="R5761" s="1" t="s">
        <v>174</v>
      </c>
      <c r="S5761" s="1" t="s">
        <v>540</v>
      </c>
      <c r="T5761" s="1">
        <v>1.00875111E8</v>
      </c>
      <c r="W5761" s="1" t="s">
        <v>56</v>
      </c>
      <c r="X5761" s="1" t="s">
        <v>4795</v>
      </c>
    </row>
    <row r="5762">
      <c r="A5762" s="1" t="s">
        <v>15915</v>
      </c>
      <c r="B5762" s="1" t="s">
        <v>348</v>
      </c>
      <c r="C5762" s="1" t="s">
        <v>15916</v>
      </c>
      <c r="D5762" s="1" t="s">
        <v>28</v>
      </c>
      <c r="E5762" s="1" t="s">
        <v>29</v>
      </c>
      <c r="F5762" s="5">
        <v>0.0</v>
      </c>
      <c r="G5762" s="1" t="s">
        <v>7016</v>
      </c>
      <c r="H5762" s="1" t="s">
        <v>1650</v>
      </c>
      <c r="I5762" s="1" t="s">
        <v>104</v>
      </c>
      <c r="K5762" s="1">
        <v>0.0</v>
      </c>
      <c r="L5762" s="1" t="s">
        <v>1206</v>
      </c>
      <c r="M5762" s="1" t="str">
        <f>VLOOKUP(L5762,'Copy of PMD Workday Constants -'!B139:W825,22,false)</f>
        <v>#N/A</v>
      </c>
      <c r="N5762" s="1" t="s">
        <v>32</v>
      </c>
      <c r="O5762" s="1" t="s">
        <v>33</v>
      </c>
      <c r="P5762" s="1" t="s">
        <v>82</v>
      </c>
      <c r="Q5762" s="1" t="s">
        <v>82</v>
      </c>
      <c r="R5762" s="1" t="s">
        <v>83</v>
      </c>
      <c r="S5762" s="1" t="s">
        <v>180</v>
      </c>
      <c r="T5762" s="1">
        <v>1.00943277E8</v>
      </c>
      <c r="W5762" s="1" t="s">
        <v>85</v>
      </c>
      <c r="X5762" s="1" t="s">
        <v>1692</v>
      </c>
    </row>
    <row r="5763">
      <c r="A5763" s="1" t="s">
        <v>15917</v>
      </c>
      <c r="B5763" s="1" t="s">
        <v>15918</v>
      </c>
      <c r="C5763" s="1" t="s">
        <v>15919</v>
      </c>
      <c r="D5763" s="1" t="s">
        <v>51</v>
      </c>
      <c r="E5763" s="1" t="s">
        <v>29</v>
      </c>
      <c r="F5763" s="5">
        <v>0.0</v>
      </c>
      <c r="G5763" s="1" t="s">
        <v>7016</v>
      </c>
      <c r="H5763" s="1" t="s">
        <v>1134</v>
      </c>
      <c r="I5763" s="1" t="s">
        <v>1245</v>
      </c>
      <c r="K5763" s="1">
        <v>0.0</v>
      </c>
      <c r="L5763" s="1" t="s">
        <v>8293</v>
      </c>
      <c r="M5763" s="1" t="str">
        <f>VLOOKUP(L5763,'Copy of PMD Workday Constants -'!B140:W826,22,false)</f>
        <v>#N/A</v>
      </c>
      <c r="N5763" s="1" t="s">
        <v>32</v>
      </c>
      <c r="O5763" s="1" t="s">
        <v>33</v>
      </c>
      <c r="P5763" s="1" t="s">
        <v>5253</v>
      </c>
      <c r="Q5763" s="1" t="s">
        <v>5253</v>
      </c>
      <c r="R5763" s="1" t="s">
        <v>65</v>
      </c>
      <c r="T5763" s="1">
        <v>1.00591676E8</v>
      </c>
      <c r="X5763" s="1" t="s">
        <v>13309</v>
      </c>
    </row>
    <row r="5764">
      <c r="A5764" s="1" t="s">
        <v>15920</v>
      </c>
      <c r="B5764" s="1" t="s">
        <v>15921</v>
      </c>
      <c r="C5764" s="1" t="s">
        <v>15922</v>
      </c>
      <c r="D5764" s="1" t="s">
        <v>51</v>
      </c>
      <c r="E5764" s="1" t="s">
        <v>29</v>
      </c>
      <c r="F5764" s="1">
        <v>0.0</v>
      </c>
      <c r="G5764" s="1" t="s">
        <v>7016</v>
      </c>
      <c r="H5764" s="4">
        <v>44776.0</v>
      </c>
      <c r="I5764" s="1" t="s">
        <v>80</v>
      </c>
      <c r="K5764" s="1">
        <v>0.0</v>
      </c>
      <c r="L5764" s="1" t="s">
        <v>428</v>
      </c>
      <c r="M5764" s="1" t="str">
        <f>VLOOKUP(L5764,'Copy of PMD Workday Constants -'!B141:W827,22,false)</f>
        <v>Delivery</v>
      </c>
      <c r="N5764" s="1" t="s">
        <v>32</v>
      </c>
      <c r="O5764" s="1" t="s">
        <v>33</v>
      </c>
      <c r="P5764" s="1" t="s">
        <v>173</v>
      </c>
      <c r="Q5764" s="1" t="s">
        <v>173</v>
      </c>
      <c r="R5764" s="1" t="s">
        <v>174</v>
      </c>
      <c r="T5764" s="1">
        <v>1.00654085E8</v>
      </c>
      <c r="W5764" s="1" t="s">
        <v>115</v>
      </c>
      <c r="X5764" s="1" t="s">
        <v>4982</v>
      </c>
    </row>
    <row r="5765">
      <c r="A5765" s="1" t="s">
        <v>15923</v>
      </c>
      <c r="B5765" s="1" t="s">
        <v>507</v>
      </c>
      <c r="C5765" s="1" t="s">
        <v>15924</v>
      </c>
      <c r="D5765" s="1" t="s">
        <v>28</v>
      </c>
      <c r="E5765" s="1" t="s">
        <v>29</v>
      </c>
      <c r="F5765" s="1">
        <v>0.0</v>
      </c>
      <c r="G5765" s="1" t="s">
        <v>7016</v>
      </c>
      <c r="H5765" s="4">
        <v>44900.0</v>
      </c>
      <c r="I5765" s="1" t="s">
        <v>453</v>
      </c>
      <c r="K5765" s="1">
        <v>0.0</v>
      </c>
      <c r="L5765" s="1" t="s">
        <v>582</v>
      </c>
      <c r="M5765" s="1" t="str">
        <f>VLOOKUP(L5765,'Copy of PMD Workday Constants -'!B142:W828,22,false)</f>
        <v>Delivery</v>
      </c>
      <c r="N5765" s="1" t="s">
        <v>32</v>
      </c>
      <c r="O5765" s="1" t="s">
        <v>33</v>
      </c>
      <c r="P5765" s="1" t="s">
        <v>82</v>
      </c>
      <c r="Q5765" s="1" t="s">
        <v>82</v>
      </c>
      <c r="R5765" s="1" t="s">
        <v>83</v>
      </c>
      <c r="T5765" s="1">
        <v>1.00869732E8</v>
      </c>
      <c r="W5765" s="1" t="s">
        <v>456</v>
      </c>
      <c r="X5765" s="1" t="s">
        <v>1617</v>
      </c>
    </row>
    <row r="5766">
      <c r="A5766" s="1" t="s">
        <v>15925</v>
      </c>
      <c r="B5766" s="1" t="s">
        <v>507</v>
      </c>
      <c r="C5766" s="1" t="s">
        <v>15926</v>
      </c>
      <c r="D5766" s="1" t="s">
        <v>28</v>
      </c>
      <c r="E5766" s="1" t="s">
        <v>29</v>
      </c>
      <c r="F5766" s="1">
        <v>0.0</v>
      </c>
      <c r="G5766" s="1" t="s">
        <v>7016</v>
      </c>
      <c r="H5766" s="4">
        <v>44900.0</v>
      </c>
      <c r="I5766" s="1" t="s">
        <v>453</v>
      </c>
      <c r="K5766" s="1">
        <v>0.0</v>
      </c>
      <c r="L5766" s="1" t="s">
        <v>582</v>
      </c>
      <c r="M5766" s="1" t="str">
        <f>VLOOKUP(L5766,'Copy of PMD Workday Constants -'!B143:W829,22,false)</f>
        <v>Delivery</v>
      </c>
      <c r="N5766" s="1" t="s">
        <v>32</v>
      </c>
      <c r="O5766" s="1" t="s">
        <v>33</v>
      </c>
      <c r="P5766" s="1" t="s">
        <v>82</v>
      </c>
      <c r="Q5766" s="1" t="s">
        <v>82</v>
      </c>
      <c r="R5766" s="1" t="s">
        <v>83</v>
      </c>
      <c r="T5766" s="1">
        <v>1.00869732E8</v>
      </c>
      <c r="W5766" s="1" t="s">
        <v>456</v>
      </c>
      <c r="X5766" s="1" t="s">
        <v>1617</v>
      </c>
    </row>
    <row r="5767">
      <c r="A5767" s="1" t="s">
        <v>15927</v>
      </c>
      <c r="B5767" s="1" t="s">
        <v>776</v>
      </c>
      <c r="C5767" s="1" t="s">
        <v>15928</v>
      </c>
      <c r="D5767" s="1" t="s">
        <v>51</v>
      </c>
      <c r="E5767" s="1" t="s">
        <v>29</v>
      </c>
      <c r="F5767" s="1">
        <v>0.0</v>
      </c>
      <c r="G5767" s="1" t="s">
        <v>7016</v>
      </c>
      <c r="H5767" s="4">
        <v>44900.0</v>
      </c>
      <c r="I5767" s="1" t="s">
        <v>526</v>
      </c>
      <c r="K5767" s="1">
        <v>0.0</v>
      </c>
      <c r="L5767" s="1" t="s">
        <v>779</v>
      </c>
      <c r="M5767" s="1" t="str">
        <f>VLOOKUP(L5767,'Copy of PMD Workday Constants -'!B144:W830,22,false)</f>
        <v>LCP</v>
      </c>
      <c r="N5767" s="1" t="s">
        <v>32</v>
      </c>
      <c r="O5767" s="1" t="s">
        <v>33</v>
      </c>
      <c r="P5767" s="1" t="s">
        <v>222</v>
      </c>
      <c r="Q5767" s="1" t="s">
        <v>222</v>
      </c>
      <c r="R5767" s="1" t="s">
        <v>223</v>
      </c>
      <c r="T5767" s="1">
        <v>1.0061139E8</v>
      </c>
      <c r="W5767" s="1" t="s">
        <v>74</v>
      </c>
      <c r="X5767" s="1" t="s">
        <v>12264</v>
      </c>
    </row>
    <row r="5768">
      <c r="A5768" s="1" t="s">
        <v>15929</v>
      </c>
      <c r="B5768" s="1" t="s">
        <v>507</v>
      </c>
      <c r="C5768" s="1" t="s">
        <v>15930</v>
      </c>
      <c r="D5768" s="1" t="s">
        <v>28</v>
      </c>
      <c r="E5768" s="1" t="s">
        <v>29</v>
      </c>
      <c r="F5768" s="1">
        <v>0.0</v>
      </c>
      <c r="G5768" s="1" t="s">
        <v>7016</v>
      </c>
      <c r="H5768" s="4">
        <v>44900.0</v>
      </c>
      <c r="I5768" s="1" t="s">
        <v>453</v>
      </c>
      <c r="K5768" s="1">
        <v>0.0</v>
      </c>
      <c r="L5768" s="1" t="s">
        <v>582</v>
      </c>
      <c r="M5768" s="1" t="str">
        <f>VLOOKUP(L5768,'Copy of PMD Workday Constants -'!B145:W831,22,false)</f>
        <v>Delivery</v>
      </c>
      <c r="N5768" s="1" t="s">
        <v>32</v>
      </c>
      <c r="O5768" s="1" t="s">
        <v>33</v>
      </c>
      <c r="P5768" s="1" t="s">
        <v>82</v>
      </c>
      <c r="Q5768" s="1" t="s">
        <v>82</v>
      </c>
      <c r="R5768" s="1" t="s">
        <v>83</v>
      </c>
      <c r="T5768" s="1">
        <v>1.00869732E8</v>
      </c>
      <c r="W5768" s="1" t="s">
        <v>456</v>
      </c>
      <c r="X5768" s="1" t="s">
        <v>1617</v>
      </c>
    </row>
    <row r="5769">
      <c r="A5769" s="1" t="s">
        <v>15931</v>
      </c>
      <c r="B5769" s="1" t="s">
        <v>15932</v>
      </c>
      <c r="C5769" s="1" t="s">
        <v>15933</v>
      </c>
      <c r="D5769" s="1" t="s">
        <v>51</v>
      </c>
      <c r="E5769" s="1" t="s">
        <v>29</v>
      </c>
      <c r="F5769" s="1">
        <v>0.0</v>
      </c>
      <c r="G5769" s="1" t="s">
        <v>7016</v>
      </c>
      <c r="H5769" s="4">
        <v>44868.0</v>
      </c>
      <c r="I5769" s="1" t="s">
        <v>15934</v>
      </c>
      <c r="K5769" s="1">
        <v>0.0</v>
      </c>
      <c r="L5769" s="1" t="s">
        <v>2477</v>
      </c>
      <c r="M5769" s="1" t="str">
        <f>VLOOKUP(L5769,'Copy of PMD Workday Constants -'!B146:W832,22,false)</f>
        <v>Delivery</v>
      </c>
      <c r="N5769" s="1" t="s">
        <v>32</v>
      </c>
      <c r="O5769" s="1" t="s">
        <v>33</v>
      </c>
      <c r="P5769" s="1" t="s">
        <v>112</v>
      </c>
      <c r="Q5769" s="1" t="s">
        <v>112</v>
      </c>
      <c r="R5769" s="1" t="s">
        <v>113</v>
      </c>
      <c r="T5769" s="1">
        <v>1.00660092E8</v>
      </c>
      <c r="W5769" s="1" t="s">
        <v>1801</v>
      </c>
      <c r="X5769" s="1" t="s">
        <v>15935</v>
      </c>
    </row>
    <row r="5770">
      <c r="A5770" s="1" t="s">
        <v>15936</v>
      </c>
      <c r="B5770" s="1" t="s">
        <v>8121</v>
      </c>
      <c r="C5770" s="1" t="s">
        <v>15937</v>
      </c>
      <c r="D5770" s="1" t="s">
        <v>51</v>
      </c>
      <c r="E5770" s="1" t="s">
        <v>29</v>
      </c>
      <c r="F5770" s="1">
        <v>0.0</v>
      </c>
      <c r="G5770" s="1" t="s">
        <v>7016</v>
      </c>
      <c r="H5770" s="4">
        <v>44748.0</v>
      </c>
      <c r="I5770" s="1" t="s">
        <v>104</v>
      </c>
      <c r="K5770" s="1">
        <v>0.0</v>
      </c>
      <c r="L5770" s="1" t="s">
        <v>428</v>
      </c>
      <c r="M5770" s="1" t="str">
        <f>VLOOKUP(L5770,'Copy of PMD Workday Constants -'!B147:W833,22,false)</f>
        <v>Delivery</v>
      </c>
      <c r="N5770" s="1" t="s">
        <v>32</v>
      </c>
      <c r="O5770" s="1" t="s">
        <v>33</v>
      </c>
      <c r="P5770" s="1" t="s">
        <v>173</v>
      </c>
      <c r="Q5770" s="1" t="s">
        <v>173</v>
      </c>
      <c r="R5770" s="1" t="s">
        <v>174</v>
      </c>
      <c r="T5770" s="1">
        <v>1.00654085E8</v>
      </c>
      <c r="W5770" s="1" t="s">
        <v>85</v>
      </c>
      <c r="X5770" s="1" t="s">
        <v>4982</v>
      </c>
    </row>
    <row r="5771">
      <c r="A5771" s="1" t="s">
        <v>15938</v>
      </c>
      <c r="B5771" s="1" t="s">
        <v>5159</v>
      </c>
      <c r="C5771" s="1" t="s">
        <v>15939</v>
      </c>
      <c r="D5771" s="1" t="s">
        <v>28</v>
      </c>
      <c r="E5771" s="1" t="s">
        <v>29</v>
      </c>
      <c r="F5771" s="1">
        <v>0.0</v>
      </c>
      <c r="G5771" s="1" t="s">
        <v>7016</v>
      </c>
      <c r="H5771" s="4">
        <v>44686.0</v>
      </c>
      <c r="I5771" s="1" t="s">
        <v>1134</v>
      </c>
      <c r="K5771" s="1">
        <v>0.0</v>
      </c>
      <c r="L5771" s="1" t="s">
        <v>3891</v>
      </c>
      <c r="M5771" s="1" t="str">
        <f>VLOOKUP(L5771,'Copy of PMD Workday Constants -'!B148:W834,22,false)</f>
        <v>Delivery</v>
      </c>
      <c r="N5771" s="1" t="s">
        <v>32</v>
      </c>
      <c r="O5771" s="1" t="s">
        <v>33</v>
      </c>
      <c r="P5771" s="1" t="s">
        <v>112</v>
      </c>
      <c r="Q5771" s="1" t="s">
        <v>112</v>
      </c>
      <c r="R5771" s="1" t="s">
        <v>113</v>
      </c>
      <c r="S5771" s="1" t="s">
        <v>114</v>
      </c>
      <c r="T5771" s="1">
        <v>1.00589299E8</v>
      </c>
      <c r="W5771" s="1" t="s">
        <v>147</v>
      </c>
      <c r="X5771" s="1" t="s">
        <v>5161</v>
      </c>
    </row>
    <row r="5772">
      <c r="A5772" s="1" t="s">
        <v>15940</v>
      </c>
      <c r="B5772" s="1" t="s">
        <v>3557</v>
      </c>
      <c r="C5772" s="1" t="s">
        <v>15941</v>
      </c>
      <c r="D5772" s="1" t="s">
        <v>28</v>
      </c>
      <c r="E5772" s="1" t="s">
        <v>29</v>
      </c>
      <c r="F5772" s="1">
        <v>0.0</v>
      </c>
      <c r="G5772" s="1" t="s">
        <v>7016</v>
      </c>
      <c r="H5772" s="1" t="s">
        <v>12160</v>
      </c>
      <c r="I5772" s="4">
        <v>44630.0</v>
      </c>
      <c r="K5772" s="1">
        <v>0.0</v>
      </c>
      <c r="L5772" s="1" t="s">
        <v>963</v>
      </c>
      <c r="M5772" s="1" t="str">
        <f>VLOOKUP(L5772,'Copy of PMD Workday Constants -'!B149:W835,22,false)</f>
        <v>Delivery</v>
      </c>
      <c r="N5772" s="1" t="s">
        <v>32</v>
      </c>
      <c r="O5772" s="1" t="s">
        <v>33</v>
      </c>
      <c r="P5772" s="1" t="s">
        <v>173</v>
      </c>
      <c r="Q5772" s="1" t="s">
        <v>173</v>
      </c>
      <c r="R5772" s="1" t="s">
        <v>174</v>
      </c>
      <c r="S5772" s="1" t="s">
        <v>612</v>
      </c>
      <c r="T5772" s="1">
        <v>1.00708984E8</v>
      </c>
      <c r="W5772" s="1" t="s">
        <v>140</v>
      </c>
      <c r="X5772" s="1" t="s">
        <v>3066</v>
      </c>
    </row>
    <row r="5773">
      <c r="A5773" s="1" t="s">
        <v>15942</v>
      </c>
      <c r="B5773" s="1" t="s">
        <v>3981</v>
      </c>
      <c r="C5773" s="1" t="s">
        <v>15722</v>
      </c>
      <c r="D5773" s="1" t="s">
        <v>28</v>
      </c>
      <c r="E5773" s="1" t="s">
        <v>29</v>
      </c>
      <c r="F5773" s="1">
        <v>0.0</v>
      </c>
      <c r="G5773" s="1" t="s">
        <v>7016</v>
      </c>
      <c r="H5773" s="4">
        <v>44238.0</v>
      </c>
      <c r="I5773" s="1" t="s">
        <v>80</v>
      </c>
      <c r="K5773" s="1">
        <v>0.0</v>
      </c>
      <c r="L5773" s="1" t="s">
        <v>790</v>
      </c>
      <c r="M5773" s="1" t="str">
        <f>VLOOKUP(L5773,'Copy of PMD Workday Constants -'!B150:W836,22,false)</f>
        <v>LCP</v>
      </c>
      <c r="N5773" s="1" t="s">
        <v>32</v>
      </c>
      <c r="O5773" s="1" t="s">
        <v>33</v>
      </c>
      <c r="P5773" s="1" t="s">
        <v>64</v>
      </c>
      <c r="Q5773" s="1" t="s">
        <v>64</v>
      </c>
      <c r="R5773" s="1" t="s">
        <v>65</v>
      </c>
      <c r="S5773" s="1" t="s">
        <v>791</v>
      </c>
      <c r="T5773" s="1">
        <v>1.00661738E8</v>
      </c>
      <c r="W5773" s="1" t="s">
        <v>456</v>
      </c>
      <c r="X5773" s="1" t="s">
        <v>15578</v>
      </c>
    </row>
    <row r="5774">
      <c r="A5774" s="1" t="s">
        <v>15943</v>
      </c>
      <c r="B5774" s="1" t="s">
        <v>787</v>
      </c>
      <c r="C5774" s="1" t="s">
        <v>15722</v>
      </c>
      <c r="D5774" s="1" t="s">
        <v>28</v>
      </c>
      <c r="E5774" s="1" t="s">
        <v>29</v>
      </c>
      <c r="F5774" s="1">
        <v>0.0</v>
      </c>
      <c r="G5774" s="1" t="s">
        <v>7016</v>
      </c>
      <c r="H5774" s="4">
        <v>44238.0</v>
      </c>
      <c r="I5774" s="1" t="s">
        <v>80</v>
      </c>
      <c r="K5774" s="1">
        <v>0.0</v>
      </c>
      <c r="L5774" s="1" t="s">
        <v>790</v>
      </c>
      <c r="M5774" s="1" t="str">
        <f>VLOOKUP(L5774,'Copy of PMD Workday Constants -'!B151:W837,22,false)</f>
        <v>LCP</v>
      </c>
      <c r="N5774" s="1" t="s">
        <v>32</v>
      </c>
      <c r="O5774" s="1" t="s">
        <v>33</v>
      </c>
      <c r="P5774" s="1" t="s">
        <v>64</v>
      </c>
      <c r="Q5774" s="1" t="s">
        <v>64</v>
      </c>
      <c r="R5774" s="1" t="s">
        <v>65</v>
      </c>
      <c r="S5774" s="1" t="s">
        <v>791</v>
      </c>
      <c r="T5774" s="1">
        <v>1.00661738E8</v>
      </c>
      <c r="W5774" s="1" t="s">
        <v>456</v>
      </c>
      <c r="X5774" s="1" t="s">
        <v>15578</v>
      </c>
    </row>
    <row r="5775">
      <c r="A5775" s="1" t="s">
        <v>15944</v>
      </c>
      <c r="B5775" s="1" t="s">
        <v>4200</v>
      </c>
      <c r="C5775" s="1" t="s">
        <v>15722</v>
      </c>
      <c r="D5775" s="1" t="s">
        <v>28</v>
      </c>
      <c r="E5775" s="1" t="s">
        <v>29</v>
      </c>
      <c r="F5775" s="1">
        <v>0.0</v>
      </c>
      <c r="G5775" s="1" t="s">
        <v>7016</v>
      </c>
      <c r="H5775" s="4">
        <v>44238.0</v>
      </c>
      <c r="I5775" s="1" t="s">
        <v>80</v>
      </c>
      <c r="K5775" s="1">
        <v>0.0</v>
      </c>
      <c r="L5775" s="1" t="s">
        <v>790</v>
      </c>
      <c r="M5775" s="1" t="str">
        <f>VLOOKUP(L5775,'Copy of PMD Workday Constants -'!B152:W838,22,false)</f>
        <v>LCP</v>
      </c>
      <c r="N5775" s="1" t="s">
        <v>32</v>
      </c>
      <c r="O5775" s="1" t="s">
        <v>33</v>
      </c>
      <c r="P5775" s="1" t="s">
        <v>64</v>
      </c>
      <c r="Q5775" s="1" t="s">
        <v>64</v>
      </c>
      <c r="R5775" s="1" t="s">
        <v>65</v>
      </c>
      <c r="S5775" s="1" t="s">
        <v>791</v>
      </c>
      <c r="T5775" s="1">
        <v>1.00661738E8</v>
      </c>
      <c r="W5775" s="1" t="s">
        <v>456</v>
      </c>
      <c r="X5775" s="1" t="s">
        <v>15578</v>
      </c>
    </row>
    <row r="5776">
      <c r="A5776" s="1" t="s">
        <v>15945</v>
      </c>
      <c r="B5776" s="1" t="s">
        <v>2172</v>
      </c>
      <c r="C5776" s="1" t="s">
        <v>15946</v>
      </c>
      <c r="D5776" s="1" t="s">
        <v>28</v>
      </c>
      <c r="E5776" s="1" t="s">
        <v>29</v>
      </c>
      <c r="F5776" s="1">
        <v>0.0</v>
      </c>
      <c r="G5776" s="1" t="s">
        <v>7016</v>
      </c>
      <c r="H5776" s="4">
        <v>44748.0</v>
      </c>
      <c r="I5776" s="1" t="s">
        <v>132</v>
      </c>
      <c r="K5776" s="1">
        <v>0.0</v>
      </c>
      <c r="L5776" s="1" t="s">
        <v>2174</v>
      </c>
      <c r="M5776" s="1" t="str">
        <f>VLOOKUP(L5776,'Copy of PMD Workday Constants -'!B153:W839,22,false)</f>
        <v>Delivery</v>
      </c>
      <c r="N5776" s="1" t="s">
        <v>32</v>
      </c>
      <c r="O5776" s="1" t="s">
        <v>33</v>
      </c>
      <c r="P5776" s="1" t="s">
        <v>112</v>
      </c>
      <c r="Q5776" s="1" t="s">
        <v>112</v>
      </c>
      <c r="R5776" s="1" t="s">
        <v>113</v>
      </c>
      <c r="S5776" s="1" t="s">
        <v>134</v>
      </c>
      <c r="T5776" s="1">
        <v>1.00631322E8</v>
      </c>
      <c r="W5776" s="1" t="s">
        <v>74</v>
      </c>
      <c r="X5776" s="1" t="s">
        <v>15947</v>
      </c>
    </row>
    <row r="5777">
      <c r="A5777" s="1" t="s">
        <v>15948</v>
      </c>
      <c r="B5777" s="1" t="s">
        <v>15949</v>
      </c>
      <c r="C5777" s="1" t="s">
        <v>15950</v>
      </c>
      <c r="D5777" s="1" t="s">
        <v>51</v>
      </c>
      <c r="E5777" s="1" t="s">
        <v>29</v>
      </c>
      <c r="F5777" s="1">
        <v>0.0</v>
      </c>
      <c r="G5777" s="1" t="s">
        <v>7016</v>
      </c>
      <c r="H5777" s="4">
        <v>44623.0</v>
      </c>
      <c r="I5777" s="1" t="s">
        <v>810</v>
      </c>
      <c r="K5777" s="1">
        <v>0.0</v>
      </c>
      <c r="L5777" s="1" t="s">
        <v>588</v>
      </c>
      <c r="M5777" s="1" t="str">
        <f>VLOOKUP(L5777,'Copy of PMD Workday Constants -'!B154:W840,22,false)</f>
        <v>LCP</v>
      </c>
      <c r="N5777" s="1" t="s">
        <v>32</v>
      </c>
      <c r="O5777" s="1" t="s">
        <v>33</v>
      </c>
      <c r="P5777" s="1" t="s">
        <v>34</v>
      </c>
      <c r="Q5777" s="1" t="s">
        <v>34</v>
      </c>
      <c r="R5777" s="1" t="s">
        <v>35</v>
      </c>
      <c r="T5777" s="1">
        <v>1.00609607E8</v>
      </c>
      <c r="W5777" s="1" t="s">
        <v>436</v>
      </c>
      <c r="X5777" s="1" t="s">
        <v>15951</v>
      </c>
    </row>
    <row r="5778">
      <c r="A5778" s="1" t="s">
        <v>15952</v>
      </c>
      <c r="B5778" s="1" t="s">
        <v>3420</v>
      </c>
      <c r="C5778" s="1" t="s">
        <v>15953</v>
      </c>
      <c r="D5778" s="1" t="s">
        <v>28</v>
      </c>
      <c r="E5778" s="1" t="s">
        <v>29</v>
      </c>
      <c r="F5778" s="1">
        <v>0.0</v>
      </c>
      <c r="G5778" s="1" t="s">
        <v>7016</v>
      </c>
      <c r="H5778" s="4">
        <v>44115.0</v>
      </c>
      <c r="I5778" s="1" t="s">
        <v>661</v>
      </c>
      <c r="K5778" s="1">
        <v>0.0</v>
      </c>
      <c r="L5778" s="1" t="s">
        <v>9146</v>
      </c>
      <c r="M5778" s="1" t="str">
        <f>VLOOKUP(L5778,'Copy of PMD Workday Constants -'!B155:W841,22,false)</f>
        <v>LCP</v>
      </c>
      <c r="N5778" s="1" t="s">
        <v>32</v>
      </c>
      <c r="O5778" s="1" t="s">
        <v>33</v>
      </c>
      <c r="P5778" s="1" t="s">
        <v>173</v>
      </c>
      <c r="Q5778" s="1" t="s">
        <v>173</v>
      </c>
      <c r="R5778" s="1" t="s">
        <v>174</v>
      </c>
      <c r="S5778" s="1" t="s">
        <v>15954</v>
      </c>
      <c r="T5778" s="1">
        <v>1.00653538E8</v>
      </c>
      <c r="W5778" s="1" t="s">
        <v>140</v>
      </c>
      <c r="X5778" s="1" t="s">
        <v>7503</v>
      </c>
    </row>
    <row r="5779">
      <c r="A5779" s="1" t="s">
        <v>15955</v>
      </c>
      <c r="B5779" s="1" t="s">
        <v>70</v>
      </c>
      <c r="C5779" s="1" t="s">
        <v>15956</v>
      </c>
      <c r="D5779" s="1" t="s">
        <v>103</v>
      </c>
      <c r="E5779" s="1" t="s">
        <v>29</v>
      </c>
      <c r="F5779" s="5">
        <v>0.0</v>
      </c>
      <c r="G5779" s="1" t="s">
        <v>7016</v>
      </c>
      <c r="H5779" s="1" t="s">
        <v>4413</v>
      </c>
      <c r="I5779" s="4">
        <v>44626.0</v>
      </c>
      <c r="K5779" s="1">
        <v>0.0</v>
      </c>
      <c r="L5779" s="1" t="s">
        <v>618</v>
      </c>
      <c r="M5779" s="1" t="str">
        <f>VLOOKUP(L5779,'Copy of PMD Workday Constants -'!B156:W842,22,false)</f>
        <v>#N/A</v>
      </c>
      <c r="N5779" s="1" t="s">
        <v>32</v>
      </c>
      <c r="O5779" s="1" t="s">
        <v>33</v>
      </c>
      <c r="P5779" s="1" t="s">
        <v>173</v>
      </c>
      <c r="Q5779" s="1" t="s">
        <v>173</v>
      </c>
      <c r="R5779" s="1" t="s">
        <v>174</v>
      </c>
      <c r="T5779" s="1">
        <v>1.00591141E8</v>
      </c>
      <c r="W5779" s="1" t="s">
        <v>74</v>
      </c>
      <c r="X5779" s="1" t="s">
        <v>5731</v>
      </c>
    </row>
    <row r="5780">
      <c r="A5780" s="1" t="s">
        <v>15957</v>
      </c>
      <c r="B5780" s="1" t="s">
        <v>15958</v>
      </c>
      <c r="C5780" s="1" t="s">
        <v>15959</v>
      </c>
      <c r="D5780" s="1" t="s">
        <v>51</v>
      </c>
      <c r="E5780" s="1" t="s">
        <v>29</v>
      </c>
      <c r="F5780" s="5">
        <v>0.0</v>
      </c>
      <c r="G5780" s="1" t="s">
        <v>7016</v>
      </c>
      <c r="H5780" s="1" t="s">
        <v>2510</v>
      </c>
      <c r="I5780" s="1" t="s">
        <v>1349</v>
      </c>
      <c r="K5780" s="1">
        <v>0.0</v>
      </c>
      <c r="L5780" s="1" t="s">
        <v>184</v>
      </c>
      <c r="M5780" s="1" t="str">
        <f>VLOOKUP(L5780,'Copy of PMD Workday Constants -'!B157:W843,22,false)</f>
        <v>#N/A</v>
      </c>
      <c r="N5780" s="1" t="s">
        <v>32</v>
      </c>
      <c r="O5780" s="1" t="s">
        <v>33</v>
      </c>
      <c r="P5780" s="1" t="s">
        <v>64</v>
      </c>
      <c r="Q5780" s="1" t="s">
        <v>64</v>
      </c>
      <c r="R5780" s="1" t="s">
        <v>65</v>
      </c>
      <c r="T5780" s="1">
        <v>1.00589741E8</v>
      </c>
      <c r="X5780" s="1" t="s">
        <v>4844</v>
      </c>
    </row>
    <row r="5781">
      <c r="A5781" s="1" t="s">
        <v>15960</v>
      </c>
      <c r="B5781" s="1" t="s">
        <v>9127</v>
      </c>
      <c r="C5781" s="1" t="s">
        <v>15961</v>
      </c>
      <c r="D5781" s="1" t="s">
        <v>103</v>
      </c>
      <c r="E5781" s="1" t="s">
        <v>29</v>
      </c>
      <c r="F5781" s="5">
        <v>0.0</v>
      </c>
      <c r="G5781" s="1" t="s">
        <v>7016</v>
      </c>
      <c r="H5781" s="1" t="s">
        <v>816</v>
      </c>
      <c r="I5781" s="1" t="s">
        <v>104</v>
      </c>
      <c r="K5781" s="1">
        <v>0.0</v>
      </c>
      <c r="L5781" s="1" t="s">
        <v>2472</v>
      </c>
      <c r="M5781" s="1" t="str">
        <f>VLOOKUP(L5781,'Copy of PMD Workday Constants -'!B158:W844,22,false)</f>
        <v>#N/A</v>
      </c>
      <c r="N5781" s="1" t="s">
        <v>32</v>
      </c>
      <c r="O5781" s="1" t="s">
        <v>33</v>
      </c>
      <c r="P5781" s="1" t="s">
        <v>222</v>
      </c>
      <c r="Q5781" s="1" t="s">
        <v>222</v>
      </c>
      <c r="R5781" s="1" t="s">
        <v>223</v>
      </c>
      <c r="S5781" s="1" t="s">
        <v>646</v>
      </c>
      <c r="T5781" s="1">
        <v>1.00892076E8</v>
      </c>
      <c r="W5781" s="1" t="s">
        <v>85</v>
      </c>
      <c r="X5781" s="1" t="s">
        <v>2472</v>
      </c>
    </row>
    <row r="5782">
      <c r="A5782" s="1" t="s">
        <v>15962</v>
      </c>
      <c r="B5782" s="1" t="s">
        <v>2976</v>
      </c>
      <c r="C5782" s="1" t="s">
        <v>15963</v>
      </c>
      <c r="D5782" s="1" t="s">
        <v>51</v>
      </c>
      <c r="E5782" s="1" t="s">
        <v>29</v>
      </c>
      <c r="F5782" s="5">
        <v>0.0</v>
      </c>
      <c r="G5782" s="1" t="s">
        <v>7016</v>
      </c>
      <c r="H5782" s="1" t="s">
        <v>3513</v>
      </c>
      <c r="I5782" s="1" t="s">
        <v>104</v>
      </c>
      <c r="K5782" s="1">
        <v>0.0</v>
      </c>
      <c r="L5782" s="1" t="s">
        <v>7559</v>
      </c>
      <c r="M5782" s="1" t="str">
        <f>VLOOKUP(L5782,'Copy of PMD Workday Constants -'!B159:W845,22,false)</f>
        <v>#N/A</v>
      </c>
      <c r="N5782" s="1" t="s">
        <v>32</v>
      </c>
      <c r="O5782" s="1" t="s">
        <v>33</v>
      </c>
      <c r="P5782" s="1" t="s">
        <v>173</v>
      </c>
      <c r="Q5782" s="1" t="s">
        <v>173</v>
      </c>
      <c r="R5782" s="1" t="s">
        <v>174</v>
      </c>
      <c r="T5782" s="1">
        <v>1.00653494E8</v>
      </c>
      <c r="W5782" s="1" t="s">
        <v>250</v>
      </c>
      <c r="X5782" s="1" t="s">
        <v>7559</v>
      </c>
    </row>
    <row r="5783">
      <c r="A5783" s="1" t="s">
        <v>15964</v>
      </c>
      <c r="B5783" s="1" t="s">
        <v>2976</v>
      </c>
      <c r="C5783" s="1" t="s">
        <v>15965</v>
      </c>
      <c r="D5783" s="1" t="s">
        <v>28</v>
      </c>
      <c r="E5783" s="1" t="s">
        <v>29</v>
      </c>
      <c r="F5783" s="5">
        <v>0.0</v>
      </c>
      <c r="G5783" s="1" t="s">
        <v>7016</v>
      </c>
      <c r="H5783" s="1" t="s">
        <v>3513</v>
      </c>
      <c r="I5783" s="1" t="s">
        <v>104</v>
      </c>
      <c r="K5783" s="1">
        <v>0.0</v>
      </c>
      <c r="L5783" s="1" t="s">
        <v>7559</v>
      </c>
      <c r="M5783" s="1" t="str">
        <f>VLOOKUP(L5783,'Copy of PMD Workday Constants -'!B160:W846,22,false)</f>
        <v>#N/A</v>
      </c>
      <c r="N5783" s="1" t="s">
        <v>32</v>
      </c>
      <c r="O5783" s="1" t="s">
        <v>33</v>
      </c>
      <c r="P5783" s="1" t="s">
        <v>173</v>
      </c>
      <c r="Q5783" s="1" t="s">
        <v>173</v>
      </c>
      <c r="R5783" s="1" t="s">
        <v>174</v>
      </c>
      <c r="T5783" s="1">
        <v>1.00653494E8</v>
      </c>
      <c r="W5783" s="1" t="s">
        <v>250</v>
      </c>
      <c r="X5783" s="1" t="s">
        <v>7559</v>
      </c>
    </row>
    <row r="5784">
      <c r="A5784" s="1" t="s">
        <v>15966</v>
      </c>
      <c r="B5784" s="1" t="s">
        <v>2976</v>
      </c>
      <c r="C5784" s="1" t="s">
        <v>15967</v>
      </c>
      <c r="D5784" s="1" t="s">
        <v>51</v>
      </c>
      <c r="E5784" s="1" t="s">
        <v>29</v>
      </c>
      <c r="F5784" s="5">
        <v>0.0</v>
      </c>
      <c r="G5784" s="1" t="s">
        <v>7016</v>
      </c>
      <c r="H5784" s="1" t="s">
        <v>3513</v>
      </c>
      <c r="I5784" s="1" t="s">
        <v>104</v>
      </c>
      <c r="K5784" s="1">
        <v>0.0</v>
      </c>
      <c r="L5784" s="1" t="s">
        <v>7559</v>
      </c>
      <c r="M5784" s="1" t="str">
        <f>VLOOKUP(L5784,'Copy of PMD Workday Constants -'!B161:W847,22,false)</f>
        <v>#N/A</v>
      </c>
      <c r="N5784" s="1" t="s">
        <v>32</v>
      </c>
      <c r="O5784" s="1" t="s">
        <v>33</v>
      </c>
      <c r="P5784" s="1" t="s">
        <v>173</v>
      </c>
      <c r="Q5784" s="1" t="s">
        <v>173</v>
      </c>
      <c r="R5784" s="1" t="s">
        <v>174</v>
      </c>
      <c r="T5784" s="1">
        <v>1.00653494E8</v>
      </c>
      <c r="W5784" s="1" t="s">
        <v>250</v>
      </c>
      <c r="X5784" s="1" t="s">
        <v>7559</v>
      </c>
    </row>
  </sheetData>
  <customSheetViews>
    <customSheetView guid="{F2B42CBC-5E4E-45EC-98AD-774706AF586F}" filter="1" showAutoFilter="1">
      <autoFilter ref="$A$1:$Z$5786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>
      <c r="B12" s="7"/>
    </row>
    <row r="13">
      <c r="B13" s="7"/>
    </row>
  </sheetData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4.75"/>
    <col customWidth="1" min="2" max="2" width="26.38"/>
    <col customWidth="1" min="3" max="3" width="26.0"/>
    <col customWidth="1" min="4" max="4" width="29.63"/>
    <col customWidth="1" min="7" max="7" width="24.75"/>
    <col customWidth="1" min="9" max="9" width="14.13"/>
    <col customWidth="1" min="12" max="12" width="20.63"/>
    <col customWidth="1" min="13" max="26" width="16.63"/>
    <col customWidth="1" min="27" max="27" width="14.75"/>
  </cols>
  <sheetData>
    <row r="1" ht="43.5" customHeight="1">
      <c r="A1" s="8" t="str">
        <f>IFERROR(__xludf.DUMMYFUNCTION("IMPORTRANGE(""1QFsm_Q7maazmDDskTxT3XpIq7aZA9Bd-W2Egz9B4Vgg"",""P/MD Workday 6.07.2022!A2:AA"")"),"Emp ID")</f>
        <v>Emp ID</v>
      </c>
      <c r="B1" s="9" t="str">
        <f>IFERROR(__xludf.DUMMYFUNCTION("""COMPUTED_VALUE"""),"Name from Workday")</f>
        <v>Name from Workday</v>
      </c>
      <c r="C1" s="9" t="str">
        <f>IFERROR(__xludf.DUMMYFUNCTION("""COMPUTED_VALUE"""),"Full Name")</f>
        <v>Full Name</v>
      </c>
      <c r="D1" s="9" t="str">
        <f>IFERROR(__xludf.DUMMYFUNCTION("""COMPUTED_VALUE"""),"Last Name, First Name")</f>
        <v>Last Name, First Name</v>
      </c>
      <c r="E1" s="9" t="str">
        <f>IFERROR(__xludf.DUMMYFUNCTION("""COMPUTED_VALUE"""),"Status")</f>
        <v>Status</v>
      </c>
      <c r="F1" s="9" t="str">
        <f>IFERROR(__xludf.DUMMYFUNCTION("""COMPUTED_VALUE"""),"Email")</f>
        <v>Email</v>
      </c>
      <c r="G1" s="9" t="str">
        <f>IFERROR(__xludf.DUMMYFUNCTION("""COMPUTED_VALUE"""),"Practice")</f>
        <v>Practice</v>
      </c>
      <c r="H1" s="9" t="str">
        <f>IFERROR(__xludf.DUMMYFUNCTION("""COMPUTED_VALUE"""),"Sector")</f>
        <v>Sector</v>
      </c>
      <c r="I1" s="9" t="str">
        <f>IFERROR(__xludf.DUMMYFUNCTION("""COMPUTED_VALUE"""),"Growth Cell")</f>
        <v>Growth Cell</v>
      </c>
      <c r="J1" s="9" t="str">
        <f>IFERROR(__xludf.DUMMYFUNCTION("""COMPUTED_VALUE"""),"Level (P or MD)")</f>
        <v>Level (P or MD)</v>
      </c>
      <c r="K1" s="10" t="str">
        <f>IFERROR(__xludf.DUMMYFUNCTION("""COMPUTED_VALUE"""),"Hire Date")</f>
        <v>Hire Date</v>
      </c>
      <c r="L1" s="9" t="str">
        <f>IFERROR(__xludf.DUMMYFUNCTION("""COMPUTED_VALUE"""),"City")</f>
        <v>City</v>
      </c>
      <c r="M1" s="9" t="str">
        <f>IFERROR(__xludf.DUMMYFUNCTION("""COMPUTED_VALUE"""),"Home Office")</f>
        <v>Home Office</v>
      </c>
      <c r="N1" s="9" t="str">
        <f>IFERROR(__xludf.DUMMYFUNCTION("""COMPUTED_VALUE"""),"Is PRP")</f>
        <v>Is PRP</v>
      </c>
      <c r="O1" s="9" t="str">
        <f>IFERROR(__xludf.DUMMYFUNCTION("""COMPUTED_VALUE"""),"PRP ")</f>
        <v>PRP </v>
      </c>
      <c r="P1" s="9" t="str">
        <f>IFERROR(__xludf.DUMMYFUNCTION("""COMPUTED_VALUE"""),"Catalyst Hire")</f>
        <v>Catalyst Hire</v>
      </c>
      <c r="Q1" s="9" t="str">
        <f>IFERROR(__xludf.DUMMYFUNCTION("""COMPUTED_VALUE"""),"is LCP")</f>
        <v>is LCP</v>
      </c>
      <c r="R1" s="9" t="str">
        <f>IFERROR(__xludf.DUMMYFUNCTION("""COMPUTED_VALUE"""),"LCP")</f>
        <v>LCP</v>
      </c>
      <c r="S1" s="9" t="str">
        <f>IFERROR(__xludf.DUMMYFUNCTION("""COMPUTED_VALUE"""),"Other Roles")</f>
        <v>Other Roles</v>
      </c>
      <c r="T1" s="9" t="str">
        <f>IFERROR(__xludf.DUMMYFUNCTION("""COMPUTED_VALUE"""),"Rainmaker")</f>
        <v>Rainmaker</v>
      </c>
      <c r="U1" s="9" t="str">
        <f>IFERROR(__xludf.DUMMYFUNCTION("""COMPUTED_VALUE"""),"Delivery")</f>
        <v>Delivery</v>
      </c>
      <c r="V1" s="9" t="str">
        <f>IFERROR(__xludf.DUMMYFUNCTION("""COMPUTED_VALUE"""),"Whitespace")</f>
        <v>Whitespace</v>
      </c>
      <c r="W1" s="9" t="str">
        <f>IFERROR(__xludf.DUMMYFUNCTION("""COMPUTED_VALUE"""),"Primary Archetype (catalyst, LCP, exit / transfer)")</f>
        <v>Primary Archetype (catalyst, LCP, exit / transfer)</v>
      </c>
      <c r="X1" s="9" t="str">
        <f>IFERROR(__xludf.DUMMYFUNCTION("""COMPUTED_VALUE"""),"Secondary Archetype (Investment, or 2nd Archetype)")</f>
        <v>Secondary Archetype (Investment, or 2nd Archetype)</v>
      </c>
      <c r="Y1" s="9" t="str">
        <f>IFERROR(__xludf.DUMMYFUNCTION("""COMPUTED_VALUE"""),"Archetype Detail")</f>
        <v>Archetype Detail</v>
      </c>
      <c r="Z1" s="9" t="str">
        <f>IFERROR(__xludf.DUMMYFUNCTION("""COMPUTED_VALUE"""),"xPC")</f>
        <v>xPC</v>
      </c>
      <c r="AA1" s="9" t="str">
        <f>IFERROR(__xludf.DUMMYFUNCTION("""COMPUTED_VALUE"""),"Campaign Owner")</f>
        <v>Campaign Owner</v>
      </c>
    </row>
    <row r="2">
      <c r="A2" s="11">
        <f>IFERROR(__xludf.DUMMYFUNCTION("""COMPUTED_VALUE"""),1.01051394E8)</f>
        <v>101051394</v>
      </c>
      <c r="B2" s="3" t="str">
        <f>IFERROR(__xludf.DUMMYFUNCTION("""COMPUTED_VALUE"""),"Aamena Khan")</f>
        <v>Aamena Khan</v>
      </c>
      <c r="C2" s="3" t="str">
        <f>IFERROR(__xludf.DUMMYFUNCTION("""COMPUTED_VALUE"""),"Aamena  Khan")</f>
        <v>Aamena  Khan</v>
      </c>
      <c r="D2" s="3" t="str">
        <f>IFERROR(__xludf.DUMMYFUNCTION("""COMPUTED_VALUE"""),"Khan, Aamena")</f>
        <v>Khan, Aamena</v>
      </c>
      <c r="E2" s="3" t="str">
        <f>IFERROR(__xludf.DUMMYFUNCTION("""COMPUTED_VALUE"""),"Active")</f>
        <v>Active</v>
      </c>
      <c r="F2" s="3" t="str">
        <f>IFERROR(__xludf.DUMMYFUNCTION("""COMPUTED_VALUE"""),"aamena.x.khan@pwc.com")</f>
        <v>aamena.x.khan@pwc.com</v>
      </c>
      <c r="G2" s="3" t="str">
        <f>IFERROR(__xludf.DUMMYFUNCTION("""COMPUTED_VALUE"""),"Workforce")</f>
        <v>Workforce</v>
      </c>
      <c r="H2" s="3" t="str">
        <f>IFERROR(__xludf.DUMMYFUNCTION("""COMPUTED_VALUE"""),"IMA X-Sector")</f>
        <v>IMA X-Sector</v>
      </c>
      <c r="I2" s="3" t="str">
        <f>IFERROR(__xludf.DUMMYFUNCTION("""COMPUTED_VALUE"""),"Workforce - Talent, Change &amp; Behaviors")</f>
        <v>Workforce - Talent, Change &amp; Behaviors</v>
      </c>
      <c r="J2" s="3" t="str">
        <f>IFERROR(__xludf.DUMMYFUNCTION("""COMPUTED_VALUE"""),"Partner")</f>
        <v>Partner</v>
      </c>
      <c r="K2" s="12">
        <f>IFERROR(__xludf.DUMMYFUNCTION("""COMPUTED_VALUE"""),44221.0)</f>
        <v>44221</v>
      </c>
      <c r="L2" s="3" t="str">
        <f>IFERROR(__xludf.DUMMYFUNCTION("""COMPUTED_VALUE"""),"New York")</f>
        <v>New York</v>
      </c>
      <c r="M2" s="3" t="str">
        <f>IFERROR(__xludf.DUMMYFUNCTION("""COMPUTED_VALUE"""),"New York - 300 Madison Avenue")</f>
        <v>New York - 300 Madison Avenue</v>
      </c>
      <c r="N2" s="3" t="b">
        <f>IFERROR(__xludf.DUMMYFUNCTION("""COMPUTED_VALUE"""),FALSE)</f>
        <v>0</v>
      </c>
      <c r="O2" s="3" t="str">
        <f>IFERROR(__xludf.DUMMYFUNCTION("""COMPUTED_VALUE"""),"craig.odonnell@pwc.com")</f>
        <v>craig.odonnell@pwc.com</v>
      </c>
      <c r="P2" s="3" t="str">
        <f>IFERROR(__xludf.DUMMYFUNCTION("""COMPUTED_VALUE"""),"FY21 2nd Half")</f>
        <v>FY21 2nd Half</v>
      </c>
      <c r="Q2" s="3" t="b">
        <f>IFERROR(__xludf.DUMMYFUNCTION("""COMPUTED_VALUE"""),FALSE)</f>
        <v>0</v>
      </c>
      <c r="R2" s="3"/>
      <c r="S2" s="3"/>
      <c r="T2" s="3" t="b">
        <f>IFERROR(__xludf.DUMMYFUNCTION("""COMPUTED_VALUE"""),FALSE)</f>
        <v>0</v>
      </c>
      <c r="U2" s="3" t="b">
        <f>IFERROR(__xludf.DUMMYFUNCTION("""COMPUTED_VALUE"""),TRUE)</f>
        <v>1</v>
      </c>
      <c r="V2" s="3" t="b">
        <f>IFERROR(__xludf.DUMMYFUNCTION("""COMPUTED_VALUE"""),FALSE)</f>
        <v>0</v>
      </c>
      <c r="W2" s="3" t="str">
        <f>IFERROR(__xludf.DUMMYFUNCTION("""COMPUTED_VALUE"""),"Catalyst")</f>
        <v>Catalyst</v>
      </c>
      <c r="X2" s="3" t="str">
        <f>IFERROR(__xludf.DUMMYFUNCTION("""COMPUTED_VALUE"""),"Investment")</f>
        <v>Investment</v>
      </c>
      <c r="Y2" s="3" t="str">
        <f>IFERROR(__xludf.DUMMYFUNCTION("""COMPUTED_VALUE"""),"FY21 2nd Half")</f>
        <v>FY21 2nd Half</v>
      </c>
      <c r="Z2" s="3" t="str">
        <f>IFERROR(__xludf.DUMMYFUNCTION("""COMPUTED_VALUE"""),"Talent Change &amp; Behaviors")</f>
        <v>Talent Change &amp; Behaviors</v>
      </c>
      <c r="AA2" s="3" t="b">
        <f>IFERROR(__xludf.DUMMYFUNCTION("""COMPUTED_VALUE"""),FALSE)</f>
        <v>0</v>
      </c>
    </row>
    <row r="3">
      <c r="A3" s="11">
        <f>IFERROR(__xludf.DUMMYFUNCTION("""COMPUTED_VALUE"""),1.01146063E8)</f>
        <v>101146063</v>
      </c>
      <c r="B3" s="3" t="str">
        <f>IFERROR(__xludf.DUMMYFUNCTION("""COMPUTED_VALUE"""),"Adam Gerstein")</f>
        <v>Adam Gerstein</v>
      </c>
      <c r="C3" s="3" t="str">
        <f>IFERROR(__xludf.DUMMYFUNCTION("""COMPUTED_VALUE"""),"Adam  Gerstein")</f>
        <v>Adam  Gerstein</v>
      </c>
      <c r="D3" s="3" t="str">
        <f>IFERROR(__xludf.DUMMYFUNCTION("""COMPUTED_VALUE"""),"Gerstein, Adam")</f>
        <v>Gerstein, Adam</v>
      </c>
      <c r="E3" s="3" t="str">
        <f>IFERROR(__xludf.DUMMYFUNCTION("""COMPUTED_VALUE"""),"Active")</f>
        <v>Active</v>
      </c>
      <c r="F3" s="3" t="str">
        <f>IFERROR(__xludf.DUMMYFUNCTION("""COMPUTED_VALUE"""),"adam.gerstein@pwc.com")</f>
        <v>adam.gerstein@pwc.com</v>
      </c>
      <c r="G3" s="3" t="str">
        <f>IFERROR(__xludf.DUMMYFUNCTION("""COMPUTED_VALUE"""),"Workforce")</f>
        <v>Workforce</v>
      </c>
      <c r="H3" s="3" t="str">
        <f>IFERROR(__xludf.DUMMYFUNCTION("""COMPUTED_VALUE"""),"FS X-Sector")</f>
        <v>FS X-Sector</v>
      </c>
      <c r="I3" s="3" t="str">
        <f>IFERROR(__xludf.DUMMYFUNCTION("""COMPUTED_VALUE"""),"Workforce - Talent, Change &amp; Behaviors")</f>
        <v>Workforce - Talent, Change &amp; Behaviors</v>
      </c>
      <c r="J3" s="3" t="str">
        <f>IFERROR(__xludf.DUMMYFUNCTION("""COMPUTED_VALUE"""),"Partner")</f>
        <v>Partner</v>
      </c>
      <c r="K3" s="12">
        <f>IFERROR(__xludf.DUMMYFUNCTION("""COMPUTED_VALUE"""),44487.0)</f>
        <v>44487</v>
      </c>
      <c r="L3" s="3" t="str">
        <f>IFERROR(__xludf.DUMMYFUNCTION("""COMPUTED_VALUE"""),"New York")</f>
        <v>New York</v>
      </c>
      <c r="M3" s="3" t="str">
        <f>IFERROR(__xludf.DUMMYFUNCTION("""COMPUTED_VALUE"""),"New York - 300 Madison Avenue")</f>
        <v>New York - 300 Madison Avenue</v>
      </c>
      <c r="N3" s="3" t="b">
        <f>IFERROR(__xludf.DUMMYFUNCTION("""COMPUTED_VALUE"""),FALSE)</f>
        <v>0</v>
      </c>
      <c r="O3" s="3" t="str">
        <f>IFERROR(__xludf.DUMMYFUNCTION("""COMPUTED_VALUE"""),"craig.odonnell@pwc.com")</f>
        <v>craig.odonnell@pwc.com</v>
      </c>
      <c r="P3" s="3" t="str">
        <f>IFERROR(__xludf.DUMMYFUNCTION("""COMPUTED_VALUE"""),"FY22")</f>
        <v>FY22</v>
      </c>
      <c r="Q3" s="3" t="b">
        <f>IFERROR(__xludf.DUMMYFUNCTION("""COMPUTED_VALUE"""),FALSE)</f>
        <v>0</v>
      </c>
      <c r="R3" s="3"/>
      <c r="S3" s="3"/>
      <c r="T3" s="3" t="b">
        <f>IFERROR(__xludf.DUMMYFUNCTION("""COMPUTED_VALUE"""),FALSE)</f>
        <v>0</v>
      </c>
      <c r="U3" s="3" t="b">
        <f>IFERROR(__xludf.DUMMYFUNCTION("""COMPUTED_VALUE"""),TRUE)</f>
        <v>1</v>
      </c>
      <c r="V3" s="3" t="b">
        <f>IFERROR(__xludf.DUMMYFUNCTION("""COMPUTED_VALUE"""),FALSE)</f>
        <v>0</v>
      </c>
      <c r="W3" s="3" t="str">
        <f>IFERROR(__xludf.DUMMYFUNCTION("""COMPUTED_VALUE"""),"Catalyst")</f>
        <v>Catalyst</v>
      </c>
      <c r="X3" s="3"/>
      <c r="Y3" s="3" t="str">
        <f>IFERROR(__xludf.DUMMYFUNCTION("""COMPUTED_VALUE"""),"FY22")</f>
        <v>FY22</v>
      </c>
      <c r="Z3" s="3" t="str">
        <f>IFERROR(__xludf.DUMMYFUNCTION("""COMPUTED_VALUE"""),"Talent Change &amp; Behaviors")</f>
        <v>Talent Change &amp; Behaviors</v>
      </c>
      <c r="AA3" s="3" t="b">
        <f>IFERROR(__xludf.DUMMYFUNCTION("""COMPUTED_VALUE"""),FALSE)</f>
        <v>0</v>
      </c>
    </row>
    <row r="4">
      <c r="A4" s="11">
        <f>IFERROR(__xludf.DUMMYFUNCTION("""COMPUTED_VALUE"""),1.00658519E8)</f>
        <v>100658519</v>
      </c>
      <c r="B4" s="3" t="str">
        <f>IFERROR(__xludf.DUMMYFUNCTION("""COMPUTED_VALUE"""),"Adam Kennedy")</f>
        <v>Adam Kennedy</v>
      </c>
      <c r="C4" s="3" t="str">
        <f>IFERROR(__xludf.DUMMYFUNCTION("""COMPUTED_VALUE"""),"Adam C Kennedy")</f>
        <v>Adam C Kennedy</v>
      </c>
      <c r="D4" s="3" t="str">
        <f>IFERROR(__xludf.DUMMYFUNCTION("""COMPUTED_VALUE"""),"Kennedy, Adam C")</f>
        <v>Kennedy, Adam C</v>
      </c>
      <c r="E4" s="3" t="str">
        <f>IFERROR(__xludf.DUMMYFUNCTION("""COMPUTED_VALUE"""),"Active")</f>
        <v>Active</v>
      </c>
      <c r="F4" s="3" t="str">
        <f>IFERROR(__xludf.DUMMYFUNCTION("""COMPUTED_VALUE"""),"adam.kennedy@pwc.com")</f>
        <v>adam.kennedy@pwc.com</v>
      </c>
      <c r="G4" s="3" t="str">
        <f>IFERROR(__xludf.DUMMYFUNCTION("""COMPUTED_VALUE"""),"Finance")</f>
        <v>Finance</v>
      </c>
      <c r="H4" s="3" t="str">
        <f>IFERROR(__xludf.DUMMYFUNCTION("""COMPUTED_VALUE"""),"CM X-Sector")</f>
        <v>CM X-Sector</v>
      </c>
      <c r="I4" s="3" t="str">
        <f>IFERROR(__xludf.DUMMYFUNCTION("""COMPUTED_VALUE"""),"Finance - Financial Operations")</f>
        <v>Finance - Financial Operations</v>
      </c>
      <c r="J4" s="3" t="str">
        <f>IFERROR(__xludf.DUMMYFUNCTION("""COMPUTED_VALUE"""),"Partner")</f>
        <v>Partner</v>
      </c>
      <c r="K4" s="12">
        <f>IFERROR(__xludf.DUMMYFUNCTION("""COMPUTED_VALUE"""),35300.0)</f>
        <v>35300</v>
      </c>
      <c r="L4" s="3" t="str">
        <f>IFERROR(__xludf.DUMMYFUNCTION("""COMPUTED_VALUE"""),"Washington")</f>
        <v>Washington</v>
      </c>
      <c r="M4" s="3" t="str">
        <f>IFERROR(__xludf.DUMMYFUNCTION("""COMPUTED_VALUE"""),"Washington DC - 655 New York Avenue")</f>
        <v>Washington DC - 655 New York Avenue</v>
      </c>
      <c r="N4" s="3" t="b">
        <f>IFERROR(__xludf.DUMMYFUNCTION("""COMPUTED_VALUE"""),TRUE)</f>
        <v>1</v>
      </c>
      <c r="O4" s="3" t="str">
        <f>IFERROR(__xludf.DUMMYFUNCTION("""COMPUTED_VALUE"""),"kurtis.babczenko@pwc.com")</f>
        <v>kurtis.babczenko@pwc.com</v>
      </c>
      <c r="P4" s="3" t="str">
        <f>IFERROR(__xludf.DUMMYFUNCTION("""COMPUTED_VALUE"""),"No")</f>
        <v>No</v>
      </c>
      <c r="Q4" s="3" t="b">
        <f>IFERROR(__xludf.DUMMYFUNCTION("""COMPUTED_VALUE"""),FALSE)</f>
        <v>0</v>
      </c>
      <c r="R4" s="3"/>
      <c r="S4" s="3"/>
      <c r="T4" s="3" t="b">
        <f>IFERROR(__xludf.DUMMYFUNCTION("""COMPUTED_VALUE"""),FALSE)</f>
        <v>0</v>
      </c>
      <c r="U4" s="3" t="b">
        <f>IFERROR(__xludf.DUMMYFUNCTION("""COMPUTED_VALUE"""),TRUE)</f>
        <v>1</v>
      </c>
      <c r="V4" s="3" t="b">
        <f>IFERROR(__xludf.DUMMYFUNCTION("""COMPUTED_VALUE"""),FALSE)</f>
        <v>0</v>
      </c>
      <c r="W4" s="3" t="str">
        <f>IFERROR(__xludf.DUMMYFUNCTION("""COMPUTED_VALUE"""),"Delivery")</f>
        <v>Delivery</v>
      </c>
      <c r="X4" s="3"/>
      <c r="Y4" s="3"/>
      <c r="Z4" s="3" t="str">
        <f>IFERROR(__xludf.DUMMYFUNCTION("""COMPUTED_VALUE"""),"Finance Transformation - CM")</f>
        <v>Finance Transformation - CM</v>
      </c>
      <c r="AA4" s="3" t="b">
        <f>IFERROR(__xludf.DUMMYFUNCTION("""COMPUTED_VALUE"""),FALSE)</f>
        <v>0</v>
      </c>
    </row>
    <row r="5">
      <c r="A5" s="11">
        <f>IFERROR(__xludf.DUMMYFUNCTION("""COMPUTED_VALUE"""),1.00646427E8)</f>
        <v>100646427</v>
      </c>
      <c r="B5" s="3" t="str">
        <f>IFERROR(__xludf.DUMMYFUNCTION("""COMPUTED_VALUE"""),"Adam Taplinger")</f>
        <v>Adam Taplinger</v>
      </c>
      <c r="C5" s="3" t="str">
        <f>IFERROR(__xludf.DUMMYFUNCTION("""COMPUTED_VALUE"""),"Adam M Taplinger")</f>
        <v>Adam M Taplinger</v>
      </c>
      <c r="D5" s="3" t="str">
        <f>IFERROR(__xludf.DUMMYFUNCTION("""COMPUTED_VALUE"""),"Taplinger, Adam M")</f>
        <v>Taplinger, Adam M</v>
      </c>
      <c r="E5" s="3" t="str">
        <f>IFERROR(__xludf.DUMMYFUNCTION("""COMPUTED_VALUE"""),"Active")</f>
        <v>Active</v>
      </c>
      <c r="F5" s="3" t="str">
        <f>IFERROR(__xludf.DUMMYFUNCTION("""COMPUTED_VALUE"""),"adam.taplinger@pwc.com")</f>
        <v>adam.taplinger@pwc.com</v>
      </c>
      <c r="G5" s="3" t="str">
        <f>IFERROR(__xludf.DUMMYFUNCTION("""COMPUTED_VALUE"""),"Finance")</f>
        <v>Finance</v>
      </c>
      <c r="H5" s="3" t="str">
        <f>IFERROR(__xludf.DUMMYFUNCTION("""COMPUTED_VALUE"""),"Manufacturing")</f>
        <v>Manufacturing</v>
      </c>
      <c r="I5" s="3" t="str">
        <f>IFERROR(__xludf.DUMMYFUNCTION("""COMPUTED_VALUE"""),"Finance - Treasury / Working Capital / Cash Management")</f>
        <v>Finance - Treasury / Working Capital / Cash Management</v>
      </c>
      <c r="J5" s="3" t="str">
        <f>IFERROR(__xludf.DUMMYFUNCTION("""COMPUTED_VALUE"""),"Partner")</f>
        <v>Partner</v>
      </c>
      <c r="K5" s="12">
        <f>IFERROR(__xludf.DUMMYFUNCTION("""COMPUTED_VALUE"""),40413.0)</f>
        <v>40413</v>
      </c>
      <c r="L5" s="3" t="str">
        <f>IFERROR(__xludf.DUMMYFUNCTION("""COMPUTED_VALUE"""),"New York")</f>
        <v>New York</v>
      </c>
      <c r="M5" s="3" t="str">
        <f>IFERROR(__xludf.DUMMYFUNCTION("""COMPUTED_VALUE"""),"New York - 300 Madison Avenue")</f>
        <v>New York - 300 Madison Avenue</v>
      </c>
      <c r="N5" s="3" t="b">
        <f>IFERROR(__xludf.DUMMYFUNCTION("""COMPUTED_VALUE"""),FALSE)</f>
        <v>0</v>
      </c>
      <c r="O5" s="3" t="str">
        <f>IFERROR(__xludf.DUMMYFUNCTION("""COMPUTED_VALUE"""),"kurtis.babczenko@pwc.com")</f>
        <v>kurtis.babczenko@pwc.com</v>
      </c>
      <c r="P5" s="3" t="str">
        <f>IFERROR(__xludf.DUMMYFUNCTION("""COMPUTED_VALUE"""),"No")</f>
        <v>No</v>
      </c>
      <c r="Q5" s="3" t="b">
        <f>IFERROR(__xludf.DUMMYFUNCTION("""COMPUTED_VALUE"""),FALSE)</f>
        <v>0</v>
      </c>
      <c r="R5" s="3"/>
      <c r="S5" s="3"/>
      <c r="T5" s="3" t="b">
        <f>IFERROR(__xludf.DUMMYFUNCTION("""COMPUTED_VALUE"""),FALSE)</f>
        <v>0</v>
      </c>
      <c r="U5" s="3" t="b">
        <f>IFERROR(__xludf.DUMMYFUNCTION("""COMPUTED_VALUE"""),TRUE)</f>
        <v>1</v>
      </c>
      <c r="V5" s="3" t="b">
        <f>IFERROR(__xludf.DUMMYFUNCTION("""COMPUTED_VALUE"""),FALSE)</f>
        <v>0</v>
      </c>
      <c r="W5" s="3" t="str">
        <f>IFERROR(__xludf.DUMMYFUNCTION("""COMPUTED_VALUE"""),"Delivery")</f>
        <v>Delivery</v>
      </c>
      <c r="X5" s="3"/>
      <c r="Y5" s="3"/>
      <c r="Z5" s="3" t="str">
        <f>IFERROR(__xludf.DUMMYFUNCTION("""COMPUTED_VALUE"""),"Finance Transformation IPS - IP")</f>
        <v>Finance Transformation IPS - IP</v>
      </c>
      <c r="AA5" s="3" t="b">
        <f>IFERROR(__xludf.DUMMYFUNCTION("""COMPUTED_VALUE"""),FALSE)</f>
        <v>0</v>
      </c>
    </row>
    <row r="6">
      <c r="A6" s="11">
        <f>IFERROR(__xludf.DUMMYFUNCTION("""COMPUTED_VALUE"""),1.00637221E8)</f>
        <v>100637221</v>
      </c>
      <c r="B6" s="3" t="str">
        <f>IFERROR(__xludf.DUMMYFUNCTION("""COMPUTED_VALUE"""),"Aditya Shah")</f>
        <v>Aditya Shah</v>
      </c>
      <c r="C6" s="3" t="str">
        <f>IFERROR(__xludf.DUMMYFUNCTION("""COMPUTED_VALUE"""),"Aditya  Shah")</f>
        <v>Aditya  Shah</v>
      </c>
      <c r="D6" s="3" t="str">
        <f>IFERROR(__xludf.DUMMYFUNCTION("""COMPUTED_VALUE"""),"Shah, Aditya")</f>
        <v>Shah, Aditya</v>
      </c>
      <c r="E6" s="3" t="str">
        <f>IFERROR(__xludf.DUMMYFUNCTION("""COMPUTED_VALUE"""),"Active")</f>
        <v>Active</v>
      </c>
      <c r="F6" s="3" t="str">
        <f>IFERROR(__xludf.DUMMYFUNCTION("""COMPUTED_VALUE"""),"aditya.shah@pwc.com")</f>
        <v>aditya.shah@pwc.com</v>
      </c>
      <c r="G6" s="3" t="str">
        <f>IFERROR(__xludf.DUMMYFUNCTION("""COMPUTED_VALUE"""),"Health")</f>
        <v>Health</v>
      </c>
      <c r="H6" s="3" t="str">
        <f>IFERROR(__xludf.DUMMYFUNCTION("""COMPUTED_VALUE"""),"Pharma and Life Sciences")</f>
        <v>Pharma and Life Sciences</v>
      </c>
      <c r="I6" s="3" t="str">
        <f>IFERROR(__xludf.DUMMYFUNCTION("""COMPUTED_VALUE"""),"Health - Clinical R&amp;D - IOBP")</f>
        <v>Health - Clinical R&amp;D - IOBP</v>
      </c>
      <c r="J6" s="3" t="str">
        <f>IFERROR(__xludf.DUMMYFUNCTION("""COMPUTED_VALUE"""),"Partner")</f>
        <v>Partner</v>
      </c>
      <c r="K6" s="12">
        <f>IFERROR(__xludf.DUMMYFUNCTION("""COMPUTED_VALUE"""),39846.0)</f>
        <v>39846</v>
      </c>
      <c r="L6" s="3" t="str">
        <f>IFERROR(__xludf.DUMMYFUNCTION("""COMPUTED_VALUE"""),"Boston")</f>
        <v>Boston</v>
      </c>
      <c r="M6" s="3" t="str">
        <f>IFERROR(__xludf.DUMMYFUNCTION("""COMPUTED_VALUE"""),"Boston - 101 Seaport Boulevard")</f>
        <v>Boston - 101 Seaport Boulevard</v>
      </c>
      <c r="N6" s="3" t="b">
        <f>IFERROR(__xludf.DUMMYFUNCTION("""COMPUTED_VALUE"""),FALSE)</f>
        <v>0</v>
      </c>
      <c r="O6" s="3" t="str">
        <f>IFERROR(__xludf.DUMMYFUNCTION("""COMPUTED_VALUE"""),"craig.e.gooch@pwc.com")</f>
        <v>craig.e.gooch@pwc.com</v>
      </c>
      <c r="P6" s="3" t="str">
        <f>IFERROR(__xludf.DUMMYFUNCTION("""COMPUTED_VALUE"""),"No")</f>
        <v>No</v>
      </c>
      <c r="Q6" s="3" t="b">
        <f>IFERROR(__xludf.DUMMYFUNCTION("""COMPUTED_VALUE"""),FALSE)</f>
        <v>0</v>
      </c>
      <c r="R6" s="3"/>
      <c r="S6" s="3"/>
      <c r="T6" s="3" t="b">
        <f>IFERROR(__xludf.DUMMYFUNCTION("""COMPUTED_VALUE"""),FALSE)</f>
        <v>0</v>
      </c>
      <c r="U6" s="3" t="b">
        <f>IFERROR(__xludf.DUMMYFUNCTION("""COMPUTED_VALUE"""),TRUE)</f>
        <v>1</v>
      </c>
      <c r="V6" s="3" t="b">
        <f>IFERROR(__xludf.DUMMYFUNCTION("""COMPUTED_VALUE"""),FALSE)</f>
        <v>0</v>
      </c>
      <c r="W6" s="3" t="str">
        <f>IFERROR(__xludf.DUMMYFUNCTION("""COMPUTED_VALUE"""),"Delivery")</f>
        <v>Delivery</v>
      </c>
      <c r="X6" s="3"/>
      <c r="Y6" s="3"/>
      <c r="Z6" s="3" t="str">
        <f>IFERROR(__xludf.DUMMYFUNCTION("""COMPUTED_VALUE"""),"Clinical R&amp;D")</f>
        <v>Clinical R&amp;D</v>
      </c>
      <c r="AA6" s="3" t="b">
        <f>IFERROR(__xludf.DUMMYFUNCTION("""COMPUTED_VALUE"""),FALSE)</f>
        <v>0</v>
      </c>
    </row>
    <row r="7">
      <c r="A7" s="11">
        <f>IFERROR(__xludf.DUMMYFUNCTION("""COMPUTED_VALUE"""),1.00650657E8)</f>
        <v>100650657</v>
      </c>
      <c r="B7" s="3" t="str">
        <f>IFERROR(__xludf.DUMMYFUNCTION("""COMPUTED_VALUE"""),"Akshay Singh")</f>
        <v>Akshay Singh</v>
      </c>
      <c r="C7" s="3" t="str">
        <f>IFERROR(__xludf.DUMMYFUNCTION("""COMPUTED_VALUE"""),"Akshay  Singh")</f>
        <v>Akshay  Singh</v>
      </c>
      <c r="D7" s="3" t="str">
        <f>IFERROR(__xludf.DUMMYFUNCTION("""COMPUTED_VALUE"""),"Singh, Akshay")</f>
        <v>Singh, Akshay</v>
      </c>
      <c r="E7" s="3" t="str">
        <f>IFERROR(__xludf.DUMMYFUNCTION("""COMPUTED_VALUE"""),"Active")</f>
        <v>Active</v>
      </c>
      <c r="F7" s="3" t="str">
        <f>IFERROR(__xludf.DUMMYFUNCTION("""COMPUTED_VALUE"""),"akshay.singh@pwc.com")</f>
        <v>akshay.singh@pwc.com</v>
      </c>
      <c r="G7" s="3" t="str">
        <f>IFERROR(__xludf.DUMMYFUNCTION("""COMPUTED_VALUE"""),"ESV")</f>
        <v>ESV</v>
      </c>
      <c r="H7" s="3" t="str">
        <f>IFERROR(__xludf.DUMMYFUNCTION("""COMPUTED_VALUE"""),"Automotive")</f>
        <v>Automotive</v>
      </c>
      <c r="I7" s="3" t="str">
        <f>IFERROR(__xludf.DUMMYFUNCTION("""COMPUTED_VALUE"""),"ESV - IPS")</f>
        <v>ESV - IPS</v>
      </c>
      <c r="J7" s="3" t="str">
        <f>IFERROR(__xludf.DUMMYFUNCTION("""COMPUTED_VALUE"""),"Partner")</f>
        <v>Partner</v>
      </c>
      <c r="K7" s="12">
        <f>IFERROR(__xludf.DUMMYFUNCTION("""COMPUTED_VALUE"""),42186.0)</f>
        <v>42186</v>
      </c>
      <c r="L7" s="3" t="str">
        <f>IFERROR(__xludf.DUMMYFUNCTION("""COMPUTED_VALUE"""),"Cleveland")</f>
        <v>Cleveland</v>
      </c>
      <c r="M7" s="3" t="str">
        <f>IFERROR(__xludf.DUMMYFUNCTION("""COMPUTED_VALUE"""),"Cleveland - 200 Public Square")</f>
        <v>Cleveland - 200 Public Square</v>
      </c>
      <c r="N7" s="3" t="b">
        <f>IFERROR(__xludf.DUMMYFUNCTION("""COMPUTED_VALUE"""),FALSE)</f>
        <v>0</v>
      </c>
      <c r="O7" s="3" t="str">
        <f>IFERROR(__xludf.DUMMYFUNCTION("""COMPUTED_VALUE"""),"sundar.subramanian@pwc.com")</f>
        <v>sundar.subramanian@pwc.com</v>
      </c>
      <c r="P7" s="3" t="str">
        <f>IFERROR(__xludf.DUMMYFUNCTION("""COMPUTED_VALUE"""),"No")</f>
        <v>No</v>
      </c>
      <c r="Q7" s="3" t="b">
        <f>IFERROR(__xludf.DUMMYFUNCTION("""COMPUTED_VALUE"""),FALSE)</f>
        <v>0</v>
      </c>
      <c r="R7" s="3"/>
      <c r="S7" s="3"/>
      <c r="T7" s="3" t="b">
        <f>IFERROR(__xludf.DUMMYFUNCTION("""COMPUTED_VALUE"""),FALSE)</f>
        <v>0</v>
      </c>
      <c r="U7" s="3" t="b">
        <f>IFERROR(__xludf.DUMMYFUNCTION("""COMPUTED_VALUE"""),TRUE)</f>
        <v>1</v>
      </c>
      <c r="V7" s="3" t="b">
        <f>IFERROR(__xludf.DUMMYFUNCTION("""COMPUTED_VALUE"""),FALSE)</f>
        <v>0</v>
      </c>
      <c r="W7" s="3" t="str">
        <f>IFERROR(__xludf.DUMMYFUNCTION("""COMPUTED_VALUE"""),"Delivery")</f>
        <v>Delivery</v>
      </c>
      <c r="X7" s="3"/>
      <c r="Y7" s="3"/>
      <c r="Z7" s="3" t="str">
        <f>IFERROR(__xludf.DUMMYFUNCTION("""COMPUTED_VALUE"""),"Enterprise Digital Transformation - CM &amp; IPS")</f>
        <v>Enterprise Digital Transformation - CM &amp; IPS</v>
      </c>
      <c r="AA7" s="3" t="b">
        <f>IFERROR(__xludf.DUMMYFUNCTION("""COMPUTED_VALUE"""),FALSE)</f>
        <v>0</v>
      </c>
    </row>
    <row r="8">
      <c r="A8" s="11">
        <f>IFERROR(__xludf.DUMMYFUNCTION("""COMPUTED_VALUE"""),1.00621724E8)</f>
        <v>100621724</v>
      </c>
      <c r="B8" s="3" t="str">
        <f>IFERROR(__xludf.DUMMYFUNCTION("""COMPUTED_VALUE"""),"Alan Voels")</f>
        <v>Alan Voels</v>
      </c>
      <c r="C8" s="3" t="str">
        <f>IFERROR(__xludf.DUMMYFUNCTION("""COMPUTED_VALUE"""),"Alan Richard Voels")</f>
        <v>Alan Richard Voels</v>
      </c>
      <c r="D8" s="3" t="str">
        <f>IFERROR(__xludf.DUMMYFUNCTION("""COMPUTED_VALUE"""),"Voels, Alan Richard")</f>
        <v>Voels, Alan Richard</v>
      </c>
      <c r="E8" s="3" t="str">
        <f>IFERROR(__xludf.DUMMYFUNCTION("""COMPUTED_VALUE"""),"Active")</f>
        <v>Active</v>
      </c>
      <c r="F8" s="3" t="str">
        <f>IFERROR(__xludf.DUMMYFUNCTION("""COMPUTED_VALUE"""),"alan.r.voels@pwc.com")</f>
        <v>alan.r.voels@pwc.com</v>
      </c>
      <c r="G8" s="3" t="str">
        <f>IFERROR(__xludf.DUMMYFUNCTION("""COMPUTED_VALUE"""),"Ops")</f>
        <v>Ops</v>
      </c>
      <c r="H8" s="3" t="str">
        <f>IFERROR(__xludf.DUMMYFUNCTION("""COMPUTED_VALUE"""),"CM X-Sector")</f>
        <v>CM X-Sector</v>
      </c>
      <c r="I8" s="3" t="str">
        <f>IFERROR(__xludf.DUMMYFUNCTION("""COMPUTED_VALUE"""),"Ops - Org Strategy Strategy &amp; Solutions (OSS)")</f>
        <v>Ops - Org Strategy Strategy &amp; Solutions (OSS)</v>
      </c>
      <c r="J8" s="3" t="str">
        <f>IFERROR(__xludf.DUMMYFUNCTION("""COMPUTED_VALUE"""),"Managing Director")</f>
        <v>Managing Director</v>
      </c>
      <c r="K8" s="12">
        <f>IFERROR(__xludf.DUMMYFUNCTION("""COMPUTED_VALUE"""),41854.0)</f>
        <v>41854</v>
      </c>
      <c r="L8" s="3" t="str">
        <f>IFERROR(__xludf.DUMMYFUNCTION("""COMPUTED_VALUE"""),"Seattle")</f>
        <v>Seattle</v>
      </c>
      <c r="M8" s="3" t="str">
        <f>IFERROR(__xludf.DUMMYFUNCTION("""COMPUTED_VALUE"""),"Seattle - 1420 Fifth Avenue")</f>
        <v>Seattle - 1420 Fifth Avenue</v>
      </c>
      <c r="N8" s="3" t="b">
        <f>IFERROR(__xludf.DUMMYFUNCTION("""COMPUTED_VALUE"""),FALSE)</f>
        <v>0</v>
      </c>
      <c r="O8" s="3" t="str">
        <f>IFERROR(__xludf.DUMMYFUNCTION("""COMPUTED_VALUE"""),"todd.bargman@pwc.com")</f>
        <v>todd.bargman@pwc.com</v>
      </c>
      <c r="P8" s="3" t="str">
        <f>IFERROR(__xludf.DUMMYFUNCTION("""COMPUTED_VALUE"""),"No")</f>
        <v>No</v>
      </c>
      <c r="Q8" s="3" t="b">
        <f>IFERROR(__xludf.DUMMYFUNCTION("""COMPUTED_VALUE"""),FALSE)</f>
        <v>0</v>
      </c>
      <c r="R8" s="3"/>
      <c r="S8" s="3"/>
      <c r="T8" s="3" t="b">
        <f>IFERROR(__xludf.DUMMYFUNCTION("""COMPUTED_VALUE"""),FALSE)</f>
        <v>0</v>
      </c>
      <c r="U8" s="3" t="b">
        <f>IFERROR(__xludf.DUMMYFUNCTION("""COMPUTED_VALUE"""),FALSE)</f>
        <v>0</v>
      </c>
      <c r="V8" s="3" t="b">
        <f>IFERROR(__xludf.DUMMYFUNCTION("""COMPUTED_VALUE"""),FALSE)</f>
        <v>0</v>
      </c>
      <c r="W8" s="3" t="str">
        <f>IFERROR(__xludf.DUMMYFUNCTION("""COMPUTED_VALUE"""),"Delivery")</f>
        <v>Delivery</v>
      </c>
      <c r="X8" s="3"/>
      <c r="Y8" s="3" t="str">
        <f>IFERROR(__xludf.DUMMYFUNCTION("""COMPUTED_VALUE"""),"Point Partner")</f>
        <v>Point Partner</v>
      </c>
      <c r="Z8" s="3" t="str">
        <f>IFERROR(__xludf.DUMMYFUNCTION("""COMPUTED_VALUE"""),"CM Ops Transformation")</f>
        <v>CM Ops Transformation</v>
      </c>
      <c r="AA8" s="3" t="b">
        <f>IFERROR(__xludf.DUMMYFUNCTION("""COMPUTED_VALUE"""),FALSE)</f>
        <v>0</v>
      </c>
    </row>
    <row r="9">
      <c r="A9" s="11">
        <f>IFERROR(__xludf.DUMMYFUNCTION("""COMPUTED_VALUE"""),1.00651638E8)</f>
        <v>100651638</v>
      </c>
      <c r="B9" s="3" t="str">
        <f>IFERROR(__xludf.DUMMYFUNCTION("""COMPUTED_VALUE"""),"Albert Kent")</f>
        <v>Albert Kent</v>
      </c>
      <c r="C9" s="3" t="str">
        <f>IFERROR(__xludf.DUMMYFUNCTION("""COMPUTED_VALUE"""),"Albert H Kent")</f>
        <v>Albert H Kent</v>
      </c>
      <c r="D9" s="3" t="str">
        <f>IFERROR(__xludf.DUMMYFUNCTION("""COMPUTED_VALUE"""),"Kent, Albert H")</f>
        <v>Kent, Albert H</v>
      </c>
      <c r="E9" s="3" t="str">
        <f>IFERROR(__xludf.DUMMYFUNCTION("""COMPUTED_VALUE"""),"Active")</f>
        <v>Active</v>
      </c>
      <c r="F9" s="3" t="str">
        <f>IFERROR(__xludf.DUMMYFUNCTION("""COMPUTED_VALUE"""),"albert.kent@pwc.com")</f>
        <v>albert.kent@pwc.com</v>
      </c>
      <c r="G9" s="3" t="str">
        <f>IFERROR(__xludf.DUMMYFUNCTION("""COMPUTED_VALUE"""),"ESV")</f>
        <v>ESV</v>
      </c>
      <c r="H9" s="3" t="str">
        <f>IFERROR(__xludf.DUMMYFUNCTION("""COMPUTED_VALUE"""),"Energy")</f>
        <v>Energy</v>
      </c>
      <c r="I9" s="3" t="str">
        <f>IFERROR(__xludf.DUMMYFUNCTION("""COMPUTED_VALUE"""),"ESV - IPS")</f>
        <v>ESV - IPS</v>
      </c>
      <c r="J9" s="3" t="str">
        <f>IFERROR(__xludf.DUMMYFUNCTION("""COMPUTED_VALUE"""),"Partner")</f>
        <v>Partner</v>
      </c>
      <c r="K9" s="12">
        <f>IFERROR(__xludf.DUMMYFUNCTION("""COMPUTED_VALUE"""),42186.0)</f>
        <v>42186</v>
      </c>
      <c r="L9" s="3" t="str">
        <f>IFERROR(__xludf.DUMMYFUNCTION("""COMPUTED_VALUE"""),"Florham Park")</f>
        <v>Florham Park</v>
      </c>
      <c r="M9" s="3" t="str">
        <f>IFERROR(__xludf.DUMMYFUNCTION("""COMPUTED_VALUE"""),"Florham Park - 400 Campus Drive")</f>
        <v>Florham Park - 400 Campus Drive</v>
      </c>
      <c r="N9" s="3" t="b">
        <f>IFERROR(__xludf.DUMMYFUNCTION("""COMPUTED_VALUE"""),FALSE)</f>
        <v>0</v>
      </c>
      <c r="O9" s="3" t="str">
        <f>IFERROR(__xludf.DUMMYFUNCTION("""COMPUTED_VALUE"""),"sundar.subramanian@pwc.com")</f>
        <v>sundar.subramanian@pwc.com</v>
      </c>
      <c r="P9" s="3" t="str">
        <f>IFERROR(__xludf.DUMMYFUNCTION("""COMPUTED_VALUE"""),"No")</f>
        <v>No</v>
      </c>
      <c r="Q9" s="3" t="b">
        <f>IFERROR(__xludf.DUMMYFUNCTION("""COMPUTED_VALUE"""),FALSE)</f>
        <v>0</v>
      </c>
      <c r="R9" s="3"/>
      <c r="S9" s="3"/>
      <c r="T9" s="3" t="b">
        <f>IFERROR(__xludf.DUMMYFUNCTION("""COMPUTED_VALUE"""),FALSE)</f>
        <v>0</v>
      </c>
      <c r="U9" s="3" t="b">
        <f>IFERROR(__xludf.DUMMYFUNCTION("""COMPUTED_VALUE"""),TRUE)</f>
        <v>1</v>
      </c>
      <c r="V9" s="3" t="b">
        <f>IFERROR(__xludf.DUMMYFUNCTION("""COMPUTED_VALUE"""),FALSE)</f>
        <v>0</v>
      </c>
      <c r="W9" s="3" t="str">
        <f>IFERROR(__xludf.DUMMYFUNCTION("""COMPUTED_VALUE"""),"Delivery")</f>
        <v>Delivery</v>
      </c>
      <c r="X9" s="3"/>
      <c r="Y9" s="3"/>
      <c r="Z9" s="3" t="str">
        <f>IFERROR(__xludf.DUMMYFUNCTION("""COMPUTED_VALUE"""),"Enterprise Digital Transformation - CM &amp; IPS")</f>
        <v>Enterprise Digital Transformation - CM &amp; IPS</v>
      </c>
      <c r="AA9" s="3" t="b">
        <f>IFERROR(__xludf.DUMMYFUNCTION("""COMPUTED_VALUE"""),FALSE)</f>
        <v>0</v>
      </c>
    </row>
    <row r="10">
      <c r="A10" s="11">
        <f>IFERROR(__xludf.DUMMYFUNCTION("""COMPUTED_VALUE"""),1.00899005E8)</f>
        <v>100899005</v>
      </c>
      <c r="B10" s="3" t="str">
        <f>IFERROR(__xludf.DUMMYFUNCTION("""COMPUTED_VALUE"""),"Alberto Corvo")</f>
        <v>Alberto Corvo</v>
      </c>
      <c r="C10" s="3" t="str">
        <f>IFERROR(__xludf.DUMMYFUNCTION("""COMPUTED_VALUE"""),"Alberto  Corvo")</f>
        <v>Alberto  Corvo</v>
      </c>
      <c r="D10" s="3" t="str">
        <f>IFERROR(__xludf.DUMMYFUNCTION("""COMPUTED_VALUE"""),"Corvo, Alberto")</f>
        <v>Corvo, Alberto</v>
      </c>
      <c r="E10" s="3" t="str">
        <f>IFERROR(__xludf.DUMMYFUNCTION("""COMPUTED_VALUE"""),"Active")</f>
        <v>Active</v>
      </c>
      <c r="F10" s="3" t="str">
        <f>IFERROR(__xludf.DUMMYFUNCTION("""COMPUTED_VALUE"""),"alberto.corvo@pwc.com")</f>
        <v>alberto.corvo@pwc.com</v>
      </c>
      <c r="G10" s="3" t="str">
        <f>IFERROR(__xludf.DUMMYFUNCTION("""COMPUTED_VALUE"""),"FS")</f>
        <v>FS</v>
      </c>
      <c r="H10" s="3" t="str">
        <f>IFERROR(__xludf.DUMMYFUNCTION("""COMPUTED_VALUE"""),"Banking and Capital Markets")</f>
        <v>Banking and Capital Markets</v>
      </c>
      <c r="I10" s="3" t="str">
        <f>IFERROR(__xludf.DUMMYFUNCTION("""COMPUTED_VALUE"""),"FS - Banking and Capital Markets")</f>
        <v>FS - Banking and Capital Markets</v>
      </c>
      <c r="J10" s="3" t="str">
        <f>IFERROR(__xludf.DUMMYFUNCTION("""COMPUTED_VALUE"""),"Partner")</f>
        <v>Partner</v>
      </c>
      <c r="K10" s="12">
        <f>IFERROR(__xludf.DUMMYFUNCTION("""COMPUTED_VALUE"""),43922.0)</f>
        <v>43922</v>
      </c>
      <c r="L10" s="3" t="str">
        <f>IFERROR(__xludf.DUMMYFUNCTION("""COMPUTED_VALUE"""),"New York")</f>
        <v>New York</v>
      </c>
      <c r="M10" s="3" t="str">
        <f>IFERROR(__xludf.DUMMYFUNCTION("""COMPUTED_VALUE"""),"New York - 300 Madison Avenue")</f>
        <v>New York - 300 Madison Avenue</v>
      </c>
      <c r="N10" s="3" t="b">
        <f>IFERROR(__xludf.DUMMYFUNCTION("""COMPUTED_VALUE"""),FALSE)</f>
        <v>0</v>
      </c>
      <c r="O10" s="3" t="str">
        <f>IFERROR(__xludf.DUMMYFUNCTION("""COMPUTED_VALUE"""),"alison.hoover@pwc.com")</f>
        <v>alison.hoover@pwc.com</v>
      </c>
      <c r="P10" s="3" t="str">
        <f>IFERROR(__xludf.DUMMYFUNCTION("""COMPUTED_VALUE"""),"No")</f>
        <v>No</v>
      </c>
      <c r="Q10" s="3" t="b">
        <f>IFERROR(__xludf.DUMMYFUNCTION("""COMPUTED_VALUE"""),TRUE)</f>
        <v>1</v>
      </c>
      <c r="R10" s="3" t="str">
        <f>IFERROR(__xludf.DUMMYFUNCTION("""COMPUTED_VALUE"""),"LCP Low")</f>
        <v>LCP Low</v>
      </c>
      <c r="S10" s="3"/>
      <c r="T10" s="3" t="b">
        <f>IFERROR(__xludf.DUMMYFUNCTION("""COMPUTED_VALUE"""),FALSE)</f>
        <v>0</v>
      </c>
      <c r="U10" s="3" t="b">
        <f>IFERROR(__xludf.DUMMYFUNCTION("""COMPUTED_VALUE"""),TRUE)</f>
        <v>1</v>
      </c>
      <c r="V10" s="3" t="b">
        <f>IFERROR(__xludf.DUMMYFUNCTION("""COMPUTED_VALUE"""),FALSE)</f>
        <v>0</v>
      </c>
      <c r="W10" s="3" t="str">
        <f>IFERROR(__xludf.DUMMYFUNCTION("""COMPUTED_VALUE"""),"LCP")</f>
        <v>LCP</v>
      </c>
      <c r="X10" s="3"/>
      <c r="Y10" s="3" t="str">
        <f>IFERROR(__xludf.DUMMYFUNCTION("""COMPUTED_VALUE"""),"GEP - Low")</f>
        <v>GEP - Low</v>
      </c>
      <c r="Z10" s="3" t="str">
        <f>IFERROR(__xludf.DUMMYFUNCTION("""COMPUTED_VALUE"""),"Capital Markets Transformation")</f>
        <v>Capital Markets Transformation</v>
      </c>
      <c r="AA10" s="3" t="b">
        <f>IFERROR(__xludf.DUMMYFUNCTION("""COMPUTED_VALUE"""),FALSE)</f>
        <v>0</v>
      </c>
    </row>
    <row r="11">
      <c r="A11" s="11">
        <f>IFERROR(__xludf.DUMMYFUNCTION("""COMPUTED_VALUE"""),1.00636569E8)</f>
        <v>100636569</v>
      </c>
      <c r="B11" s="3" t="str">
        <f>IFERROR(__xludf.DUMMYFUNCTION("""COMPUTED_VALUE"""),"Alena Taylor")</f>
        <v>Alena Taylor</v>
      </c>
      <c r="C11" s="3" t="str">
        <f>IFERROR(__xludf.DUMMYFUNCTION("""COMPUTED_VALUE"""),"Alena  Taylor")</f>
        <v>Alena  Taylor</v>
      </c>
      <c r="D11" s="3" t="str">
        <f>IFERROR(__xludf.DUMMYFUNCTION("""COMPUTED_VALUE"""),"Taylor, Alena")</f>
        <v>Taylor, Alena</v>
      </c>
      <c r="E11" s="3" t="str">
        <f>IFERROR(__xludf.DUMMYFUNCTION("""COMPUTED_VALUE"""),"Active")</f>
        <v>Active</v>
      </c>
      <c r="F11" s="3" t="str">
        <f>IFERROR(__xludf.DUMMYFUNCTION("""COMPUTED_VALUE"""),"alena.taylor@pwc.com")</f>
        <v>alena.taylor@pwc.com</v>
      </c>
      <c r="G11" s="3" t="str">
        <f>IFERROR(__xludf.DUMMYFUNCTION("""COMPUTED_VALUE"""),"ESV")</f>
        <v>ESV</v>
      </c>
      <c r="H11" s="3" t="str">
        <f>IFERROR(__xludf.DUMMYFUNCTION("""COMPUTED_VALUE"""),"Health Services")</f>
        <v>Health Services</v>
      </c>
      <c r="I11" s="3" t="str">
        <f>IFERROR(__xludf.DUMMYFUNCTION("""COMPUTED_VALUE"""),"ESV - Health Services")</f>
        <v>ESV - Health Services</v>
      </c>
      <c r="J11" s="3" t="str">
        <f>IFERROR(__xludf.DUMMYFUNCTION("""COMPUTED_VALUE"""),"Partner")</f>
        <v>Partner</v>
      </c>
      <c r="K11" s="12">
        <f>IFERROR(__xludf.DUMMYFUNCTION("""COMPUTED_VALUE"""),40049.0)</f>
        <v>40049</v>
      </c>
      <c r="L11" s="3" t="str">
        <f>IFERROR(__xludf.DUMMYFUNCTION("""COMPUTED_VALUE"""),"San Francisco")</f>
        <v>San Francisco</v>
      </c>
      <c r="M11" s="3" t="str">
        <f>IFERROR(__xludf.DUMMYFUNCTION("""COMPUTED_VALUE"""),"San Francisco - 405 Howard St")</f>
        <v>San Francisco - 405 Howard St</v>
      </c>
      <c r="N11" s="3" t="b">
        <f>IFERROR(__xludf.DUMMYFUNCTION("""COMPUTED_VALUE"""),FALSE)</f>
        <v>0</v>
      </c>
      <c r="O11" s="3" t="str">
        <f>IFERROR(__xludf.DUMMYFUNCTION("""COMPUTED_VALUE"""),"sundar.subramanian@pwc.com")</f>
        <v>sundar.subramanian@pwc.com</v>
      </c>
      <c r="P11" s="3" t="str">
        <f>IFERROR(__xludf.DUMMYFUNCTION("""COMPUTED_VALUE"""),"No")</f>
        <v>No</v>
      </c>
      <c r="Q11" s="3" t="b">
        <f>IFERROR(__xludf.DUMMYFUNCTION("""COMPUTED_VALUE"""),FALSE)</f>
        <v>0</v>
      </c>
      <c r="R11" s="3"/>
      <c r="S11" s="3"/>
      <c r="T11" s="3" t="b">
        <f>IFERROR(__xludf.DUMMYFUNCTION("""COMPUTED_VALUE"""),FALSE)</f>
        <v>0</v>
      </c>
      <c r="U11" s="3" t="b">
        <f>IFERROR(__xludf.DUMMYFUNCTION("""COMPUTED_VALUE"""),TRUE)</f>
        <v>1</v>
      </c>
      <c r="V11" s="3" t="b">
        <f>IFERROR(__xludf.DUMMYFUNCTION("""COMPUTED_VALUE"""),FALSE)</f>
        <v>0</v>
      </c>
      <c r="W11" s="3" t="str">
        <f>IFERROR(__xludf.DUMMYFUNCTION("""COMPUTED_VALUE"""),"Delivery")</f>
        <v>Delivery</v>
      </c>
      <c r="X11" s="3"/>
      <c r="Y11" s="3"/>
      <c r="Z11" s="3" t="str">
        <f>IFERROR(__xludf.DUMMYFUNCTION("""COMPUTED_VALUE"""),"Provider Transformation")</f>
        <v>Provider Transformation</v>
      </c>
      <c r="AA11" s="3" t="b">
        <f>IFERROR(__xludf.DUMMYFUNCTION("""COMPUTED_VALUE"""),FALSE)</f>
        <v>0</v>
      </c>
    </row>
    <row r="12">
      <c r="A12" s="11">
        <f>IFERROR(__xludf.DUMMYFUNCTION("""COMPUTED_VALUE"""),1.00610367E8)</f>
        <v>100610367</v>
      </c>
      <c r="B12" s="3" t="str">
        <f>IFERROR(__xludf.DUMMYFUNCTION("""COMPUTED_VALUE"""),"Alex Blanter")</f>
        <v>Alex Blanter</v>
      </c>
      <c r="C12" s="3" t="str">
        <f>IFERROR(__xludf.DUMMYFUNCTION("""COMPUTED_VALUE"""),"Alex  Blanter")</f>
        <v>Alex  Blanter</v>
      </c>
      <c r="D12" s="3" t="str">
        <f>IFERROR(__xludf.DUMMYFUNCTION("""COMPUTED_VALUE"""),"Blanter, Alex")</f>
        <v>Blanter, Alex</v>
      </c>
      <c r="E12" s="3" t="str">
        <f>IFERROR(__xludf.DUMMYFUNCTION("""COMPUTED_VALUE"""),"Active")</f>
        <v>Active</v>
      </c>
      <c r="F12" s="3" t="str">
        <f>IFERROR(__xludf.DUMMYFUNCTION("""COMPUTED_VALUE"""),"alex.blanter@pwc.com")</f>
        <v>alex.blanter@pwc.com</v>
      </c>
      <c r="G12" s="3" t="str">
        <f>IFERROR(__xludf.DUMMYFUNCTION("""COMPUTED_VALUE"""),"Ops")</f>
        <v>Ops</v>
      </c>
      <c r="H12" s="3" t="str">
        <f>IFERROR(__xludf.DUMMYFUNCTION("""COMPUTED_VALUE"""),"TMT X-Sector")</f>
        <v>TMT X-Sector</v>
      </c>
      <c r="I12" s="3" t="str">
        <f>IFERROR(__xludf.DUMMYFUNCTION("""COMPUTED_VALUE"""),"Ops - Product Development &amp; Manufacturing (PDM)")</f>
        <v>Ops - Product Development &amp; Manufacturing (PDM)</v>
      </c>
      <c r="J12" s="3" t="str">
        <f>IFERROR(__xludf.DUMMYFUNCTION("""COMPUTED_VALUE"""),"Partner")</f>
        <v>Partner</v>
      </c>
      <c r="K12" s="12">
        <f>IFERROR(__xludf.DUMMYFUNCTION("""COMPUTED_VALUE"""),42653.0)</f>
        <v>42653</v>
      </c>
      <c r="L12" s="3" t="str">
        <f>IFERROR(__xludf.DUMMYFUNCTION("""COMPUTED_VALUE"""),"San Jose")</f>
        <v>San Jose</v>
      </c>
      <c r="M12" s="3" t="str">
        <f>IFERROR(__xludf.DUMMYFUNCTION("""COMPUTED_VALUE"""),"San Jose - 488 Almaden Boulevard")</f>
        <v>San Jose - 488 Almaden Boulevard</v>
      </c>
      <c r="N12" s="3" t="b">
        <f>IFERROR(__xludf.DUMMYFUNCTION("""COMPUTED_VALUE"""),FALSE)</f>
        <v>0</v>
      </c>
      <c r="O12" s="3" t="str">
        <f>IFERROR(__xludf.DUMMYFUNCTION("""COMPUTED_VALUE"""),"matthew.r.comte@pwc.com")</f>
        <v>matthew.r.comte@pwc.com</v>
      </c>
      <c r="P12" s="3" t="str">
        <f>IFERROR(__xludf.DUMMYFUNCTION("""COMPUTED_VALUE"""),"No")</f>
        <v>No</v>
      </c>
      <c r="Q12" s="3" t="b">
        <f>IFERROR(__xludf.DUMMYFUNCTION("""COMPUTED_VALUE"""),FALSE)</f>
        <v>0</v>
      </c>
      <c r="R12" s="3"/>
      <c r="S12" s="3"/>
      <c r="T12" s="3" t="b">
        <f>IFERROR(__xludf.DUMMYFUNCTION("""COMPUTED_VALUE"""),FALSE)</f>
        <v>0</v>
      </c>
      <c r="U12" s="3" t="b">
        <f>IFERROR(__xludf.DUMMYFUNCTION("""COMPUTED_VALUE"""),TRUE)</f>
        <v>1</v>
      </c>
      <c r="V12" s="3" t="b">
        <f>IFERROR(__xludf.DUMMYFUNCTION("""COMPUTED_VALUE"""),FALSE)</f>
        <v>0</v>
      </c>
      <c r="W12" s="3" t="str">
        <f>IFERROR(__xludf.DUMMYFUNCTION("""COMPUTED_VALUE"""),"Delivery")</f>
        <v>Delivery</v>
      </c>
      <c r="X12" s="3"/>
      <c r="Y12" s="3"/>
      <c r="Z12" s="3" t="str">
        <f>IFERROR(__xludf.DUMMYFUNCTION("""COMPUTED_VALUE"""),"IP + Technology Ops Transformation")</f>
        <v>IP + Technology Ops Transformation</v>
      </c>
      <c r="AA12" s="3" t="b">
        <f>IFERROR(__xludf.DUMMYFUNCTION("""COMPUTED_VALUE"""),FALSE)</f>
        <v>0</v>
      </c>
    </row>
    <row r="13">
      <c r="A13" s="11">
        <f>IFERROR(__xludf.DUMMYFUNCTION("""COMPUTED_VALUE"""),1.00606217E8)</f>
        <v>100606217</v>
      </c>
      <c r="B13" s="3" t="str">
        <f>IFERROR(__xludf.DUMMYFUNCTION("""COMPUTED_VALUE"""),"Alex Dimond")</f>
        <v>Alex Dimond</v>
      </c>
      <c r="C13" s="3" t="str">
        <f>IFERROR(__xludf.DUMMYFUNCTION("""COMPUTED_VALUE"""),"Alex M Dimond")</f>
        <v>Alex M Dimond</v>
      </c>
      <c r="D13" s="3" t="str">
        <f>IFERROR(__xludf.DUMMYFUNCTION("""COMPUTED_VALUE"""),"Dimond, Alex M")</f>
        <v>Dimond, Alex M</v>
      </c>
      <c r="E13" s="3" t="str">
        <f>IFERROR(__xludf.DUMMYFUNCTION("""COMPUTED_VALUE"""),"Active")</f>
        <v>Active</v>
      </c>
      <c r="F13" s="3" t="str">
        <f>IFERROR(__xludf.DUMMYFUNCTION("""COMPUTED_VALUE"""),"alex.m.dimond@pwc.com")</f>
        <v>alex.m.dimond@pwc.com</v>
      </c>
      <c r="G13" s="3" t="str">
        <f>IFERROR(__xludf.DUMMYFUNCTION("""COMPUTED_VALUE"""),"Workforce")</f>
        <v>Workforce</v>
      </c>
      <c r="H13" s="3" t="str">
        <f>IFERROR(__xludf.DUMMYFUNCTION("""COMPUTED_VALUE"""),"HI X-Sector")</f>
        <v>HI X-Sector</v>
      </c>
      <c r="I13" s="3" t="str">
        <f>IFERROR(__xludf.DUMMYFUNCTION("""COMPUTED_VALUE"""),"Workforce - Deals")</f>
        <v>Workforce - Deals</v>
      </c>
      <c r="J13" s="3" t="str">
        <f>IFERROR(__xludf.DUMMYFUNCTION("""COMPUTED_VALUE"""),"Partner")</f>
        <v>Partner</v>
      </c>
      <c r="K13" s="12">
        <f>IFERROR(__xludf.DUMMYFUNCTION("""COMPUTED_VALUE"""),41428.0)</f>
        <v>41428</v>
      </c>
      <c r="L13" s="3" t="str">
        <f>IFERROR(__xludf.DUMMYFUNCTION("""COMPUTED_VALUE"""),"Chicago")</f>
        <v>Chicago</v>
      </c>
      <c r="M13" s="3" t="str">
        <f>IFERROR(__xludf.DUMMYFUNCTION("""COMPUTED_VALUE"""),"Chicago - One North Wacker Drive")</f>
        <v>Chicago - One North Wacker Drive</v>
      </c>
      <c r="N13" s="3" t="b">
        <f>IFERROR(__xludf.DUMMYFUNCTION("""COMPUTED_VALUE"""),FALSE)</f>
        <v>0</v>
      </c>
      <c r="O13" s="3" t="str">
        <f>IFERROR(__xludf.DUMMYFUNCTION("""COMPUTED_VALUE"""),"craig.odonnell@pwc.com")</f>
        <v>craig.odonnell@pwc.com</v>
      </c>
      <c r="P13" s="3" t="str">
        <f>IFERROR(__xludf.DUMMYFUNCTION("""COMPUTED_VALUE"""),"No")</f>
        <v>No</v>
      </c>
      <c r="Q13" s="3" t="b">
        <f>IFERROR(__xludf.DUMMYFUNCTION("""COMPUTED_VALUE"""),FALSE)</f>
        <v>0</v>
      </c>
      <c r="R13" s="3"/>
      <c r="S13" s="3"/>
      <c r="T13" s="3" t="b">
        <f>IFERROR(__xludf.DUMMYFUNCTION("""COMPUTED_VALUE"""),FALSE)</f>
        <v>0</v>
      </c>
      <c r="U13" s="3" t="b">
        <f>IFERROR(__xludf.DUMMYFUNCTION("""COMPUTED_VALUE"""),FALSE)</f>
        <v>0</v>
      </c>
      <c r="V13" s="3" t="b">
        <f>IFERROR(__xludf.DUMMYFUNCTION("""COMPUTED_VALUE"""),FALSE)</f>
        <v>0</v>
      </c>
      <c r="W13" s="3" t="str">
        <f>IFERROR(__xludf.DUMMYFUNCTION("""COMPUTED_VALUE"""),"#N/A")</f>
        <v>#N/A</v>
      </c>
      <c r="X13" s="3" t="str">
        <f>IFERROR(__xludf.DUMMYFUNCTION("""COMPUTED_VALUE"""),"#N/A")</f>
        <v>#N/A</v>
      </c>
      <c r="Y13" s="3" t="str">
        <f>IFERROR(__xludf.DUMMYFUNCTION("""COMPUTED_VALUE"""),"#N/A")</f>
        <v>#N/A</v>
      </c>
      <c r="Z13" s="3" t="str">
        <f>IFERROR(__xludf.DUMMYFUNCTION("""COMPUTED_VALUE"""),"Unknown")</f>
        <v>Unknown</v>
      </c>
      <c r="AA13" s="3" t="b">
        <f>IFERROR(__xludf.DUMMYFUNCTION("""COMPUTED_VALUE"""),FALSE)</f>
        <v>0</v>
      </c>
    </row>
    <row r="14">
      <c r="A14" s="3">
        <f>IFERROR(__xludf.DUMMYFUNCTION("""COMPUTED_VALUE"""),1.00700761E8)</f>
        <v>100700761</v>
      </c>
      <c r="B14" s="3" t="str">
        <f>IFERROR(__xludf.DUMMYFUNCTION("""COMPUTED_VALUE"""),"Alex Kushnir")</f>
        <v>Alex Kushnir</v>
      </c>
      <c r="C14" s="3" t="str">
        <f>IFERROR(__xludf.DUMMYFUNCTION("""COMPUTED_VALUE"""),"Alexandr Michael Kushnir")</f>
        <v>Alexandr Michael Kushnir</v>
      </c>
      <c r="D14" s="3" t="str">
        <f>IFERROR(__xludf.DUMMYFUNCTION("""COMPUTED_VALUE"""),"Kushnir, Alexandr Michael")</f>
        <v>Kushnir, Alexandr Michael</v>
      </c>
      <c r="E14" s="3" t="str">
        <f>IFERROR(__xludf.DUMMYFUNCTION("""COMPUTED_VALUE"""),"Active")</f>
        <v>Active</v>
      </c>
      <c r="F14" s="3" t="str">
        <f>IFERROR(__xludf.DUMMYFUNCTION("""COMPUTED_VALUE"""),"alex.kushnir@pwc.com")</f>
        <v>alex.kushnir@pwc.com</v>
      </c>
      <c r="G14" s="3" t="str">
        <f>IFERROR(__xludf.DUMMYFUNCTION("""COMPUTED_VALUE"""),"Customer")</f>
        <v>Customer</v>
      </c>
      <c r="H14" s="3" t="str">
        <f>IFERROR(__xludf.DUMMYFUNCTION("""COMPUTED_VALUE"""),"CM X-Sector")</f>
        <v>CM X-Sector</v>
      </c>
      <c r="I14" s="3" t="str">
        <f>IFERROR(__xludf.DUMMYFUNCTION("""COMPUTED_VALUE"""),"Customer - Pricing &amp; Profitability")</f>
        <v>Customer - Pricing &amp; Profitability</v>
      </c>
      <c r="J14" s="3" t="str">
        <f>IFERROR(__xludf.DUMMYFUNCTION("""COMPUTED_VALUE"""),"Partner")</f>
        <v>Partner</v>
      </c>
      <c r="K14" s="12">
        <f>IFERROR(__xludf.DUMMYFUNCTION("""COMPUTED_VALUE"""),43368.0)</f>
        <v>43368</v>
      </c>
      <c r="L14" s="3" t="str">
        <f>IFERROR(__xludf.DUMMYFUNCTION("""COMPUTED_VALUE"""),"Atlanta")</f>
        <v>Atlanta</v>
      </c>
      <c r="M14" s="3" t="str">
        <f>IFERROR(__xludf.DUMMYFUNCTION("""COMPUTED_VALUE"""),"Atlanta - 1075 Peachtree Street NE")</f>
        <v>Atlanta - 1075 Peachtree Street NE</v>
      </c>
      <c r="N14" s="3" t="b">
        <f>IFERROR(__xludf.DUMMYFUNCTION("""COMPUTED_VALUE"""),FALSE)</f>
        <v>0</v>
      </c>
      <c r="O14" s="3" t="str">
        <f>IFERROR(__xludf.DUMMYFUNCTION("""COMPUTED_VALUE"""),"george.korizis@pwc.com")</f>
        <v>george.korizis@pwc.com</v>
      </c>
      <c r="P14" s="3" t="str">
        <f>IFERROR(__xludf.DUMMYFUNCTION("""COMPUTED_VALUE"""),"No")</f>
        <v>No</v>
      </c>
      <c r="Q14" s="3" t="b">
        <f>IFERROR(__xludf.DUMMYFUNCTION("""COMPUTED_VALUE"""),TRUE)</f>
        <v>1</v>
      </c>
      <c r="R14" s="3" t="str">
        <f>IFERROR(__xludf.DUMMYFUNCTION("""COMPUTED_VALUE"""),"LCP Low")</f>
        <v>LCP Low</v>
      </c>
      <c r="S14" s="3"/>
      <c r="T14" s="3" t="b">
        <f>IFERROR(__xludf.DUMMYFUNCTION("""COMPUTED_VALUE"""),FALSE)</f>
        <v>0</v>
      </c>
      <c r="U14" s="3" t="b">
        <f>IFERROR(__xludf.DUMMYFUNCTION("""COMPUTED_VALUE"""),FALSE)</f>
        <v>0</v>
      </c>
      <c r="V14" s="3" t="b">
        <f>IFERROR(__xludf.DUMMYFUNCTION("""COMPUTED_VALUE"""),FALSE)</f>
        <v>0</v>
      </c>
      <c r="W14" s="3" t="str">
        <f>IFERROR(__xludf.DUMMYFUNCTION("""COMPUTED_VALUE"""),"LCP")</f>
        <v>LCP</v>
      </c>
      <c r="X14" s="3"/>
      <c r="Y14" s="3" t="str">
        <f>IFERROR(__xludf.DUMMYFUNCTION("""COMPUTED_VALUE"""),"GEP - Low")</f>
        <v>GEP - Low</v>
      </c>
      <c r="Z14" s="3" t="str">
        <f>IFERROR(__xludf.DUMMYFUNCTION("""COMPUTED_VALUE"""),"Marketing Transformation")</f>
        <v>Marketing Transformation</v>
      </c>
      <c r="AA14" s="3" t="b">
        <f>IFERROR(__xludf.DUMMYFUNCTION("""COMPUTED_VALUE"""),FALSE)</f>
        <v>0</v>
      </c>
    </row>
    <row r="15">
      <c r="A15" s="11">
        <f>IFERROR(__xludf.DUMMYFUNCTION("""COMPUTED_VALUE"""),1.00943277E8)</f>
        <v>100943277</v>
      </c>
      <c r="B15" s="3" t="str">
        <f>IFERROR(__xludf.DUMMYFUNCTION("""COMPUTED_VALUE"""),"Alex Marsden")</f>
        <v>Alex Marsden</v>
      </c>
      <c r="C15" s="3" t="str">
        <f>IFERROR(__xludf.DUMMYFUNCTION("""COMPUTED_VALUE"""),"Alexander  Marsden")</f>
        <v>Alexander  Marsden</v>
      </c>
      <c r="D15" s="3" t="str">
        <f>IFERROR(__xludf.DUMMYFUNCTION("""COMPUTED_VALUE"""),"Marsden, Alexander")</f>
        <v>Marsden, Alexander</v>
      </c>
      <c r="E15" s="3" t="str">
        <f>IFERROR(__xludf.DUMMYFUNCTION("""COMPUTED_VALUE"""),"Active")</f>
        <v>Active</v>
      </c>
      <c r="F15" s="3" t="str">
        <f>IFERROR(__xludf.DUMMYFUNCTION("""COMPUTED_VALUE"""),"alex.marsden@pwc.com")</f>
        <v>alex.marsden@pwc.com</v>
      </c>
      <c r="G15" s="3" t="str">
        <f>IFERROR(__xludf.DUMMYFUNCTION("""COMPUTED_VALUE"""),"Health")</f>
        <v>Health</v>
      </c>
      <c r="H15" s="3" t="str">
        <f>IFERROR(__xludf.DUMMYFUNCTION("""COMPUTED_VALUE"""),"Health Services")</f>
        <v>Health Services</v>
      </c>
      <c r="I15" s="3" t="str">
        <f>IFERROR(__xludf.DUMMYFUNCTION("""COMPUTED_VALUE"""),"Health - Provider FFG")</f>
        <v>Health - Provider FFG</v>
      </c>
      <c r="J15" s="3" t="str">
        <f>IFERROR(__xludf.DUMMYFUNCTION("""COMPUTED_VALUE"""),"Partner")</f>
        <v>Partner</v>
      </c>
      <c r="K15" s="12">
        <f>IFERROR(__xludf.DUMMYFUNCTION("""COMPUTED_VALUE"""),43739.0)</f>
        <v>43739</v>
      </c>
      <c r="L15" s="3" t="str">
        <f>IFERROR(__xludf.DUMMYFUNCTION("""COMPUTED_VALUE"""),"Atlanta")</f>
        <v>Atlanta</v>
      </c>
      <c r="M15" s="3" t="str">
        <f>IFERROR(__xludf.DUMMYFUNCTION("""COMPUTED_VALUE"""),"Atlanta - 1075 Peachtree Street NE")</f>
        <v>Atlanta - 1075 Peachtree Street NE</v>
      </c>
      <c r="N15" s="3" t="b">
        <f>IFERROR(__xludf.DUMMYFUNCTION("""COMPUTED_VALUE"""),FALSE)</f>
        <v>0</v>
      </c>
      <c r="O15" s="3" t="str">
        <f>IFERROR(__xludf.DUMMYFUNCTION("""COMPUTED_VALUE"""),"craig.e.gooch@pwc.com")</f>
        <v>craig.e.gooch@pwc.com</v>
      </c>
      <c r="P15" s="3" t="str">
        <f>IFERROR(__xludf.DUMMYFUNCTION("""COMPUTED_VALUE"""),"No")</f>
        <v>No</v>
      </c>
      <c r="Q15" s="3" t="b">
        <f>IFERROR(__xludf.DUMMYFUNCTION("""COMPUTED_VALUE"""),FALSE)</f>
        <v>0</v>
      </c>
      <c r="R15" s="3"/>
      <c r="S15" s="3"/>
      <c r="T15" s="3" t="b">
        <f>IFERROR(__xludf.DUMMYFUNCTION("""COMPUTED_VALUE"""),FALSE)</f>
        <v>0</v>
      </c>
      <c r="U15" s="3" t="b">
        <f>IFERROR(__xludf.DUMMYFUNCTION("""COMPUTED_VALUE"""),TRUE)</f>
        <v>1</v>
      </c>
      <c r="V15" s="3" t="b">
        <f>IFERROR(__xludf.DUMMYFUNCTION("""COMPUTED_VALUE"""),FALSE)</f>
        <v>0</v>
      </c>
      <c r="W15" s="3" t="str">
        <f>IFERROR(__xludf.DUMMYFUNCTION("""COMPUTED_VALUE"""),"Delivery")</f>
        <v>Delivery</v>
      </c>
      <c r="X15" s="3"/>
      <c r="Y15" s="3"/>
      <c r="Z15" s="3" t="str">
        <f>IFERROR(__xludf.DUMMYFUNCTION("""COMPUTED_VALUE"""),"Provider Transformation")</f>
        <v>Provider Transformation</v>
      </c>
      <c r="AA15" s="3" t="b">
        <f>IFERROR(__xludf.DUMMYFUNCTION("""COMPUTED_VALUE"""),FALSE)</f>
        <v>0</v>
      </c>
    </row>
    <row r="16">
      <c r="A16" s="11">
        <f>IFERROR(__xludf.DUMMYFUNCTION("""COMPUTED_VALUE"""),1.01064151E8)</f>
        <v>101064151</v>
      </c>
      <c r="B16" s="3" t="str">
        <f>IFERROR(__xludf.DUMMYFUNCTION("""COMPUTED_VALUE"""),"Alexander Jakobson")</f>
        <v>Alexander Jakobson</v>
      </c>
      <c r="C16" s="3" t="str">
        <f>IFERROR(__xludf.DUMMYFUNCTION("""COMPUTED_VALUE"""),"Alexander  Jakobson")</f>
        <v>Alexander  Jakobson</v>
      </c>
      <c r="D16" s="3" t="str">
        <f>IFERROR(__xludf.DUMMYFUNCTION("""COMPUTED_VALUE"""),"Jakobson, Alexander")</f>
        <v>Jakobson, Alexander</v>
      </c>
      <c r="E16" s="3" t="str">
        <f>IFERROR(__xludf.DUMMYFUNCTION("""COMPUTED_VALUE"""),"Active")</f>
        <v>Active</v>
      </c>
      <c r="F16" s="3" t="str">
        <f>IFERROR(__xludf.DUMMYFUNCTION("""COMPUTED_VALUE"""),"alex.jakobson@pwc.com")</f>
        <v>alex.jakobson@pwc.com</v>
      </c>
      <c r="G16" s="3" t="str">
        <f>IFERROR(__xludf.DUMMYFUNCTION("""COMPUTED_VALUE"""),"Workforce")</f>
        <v>Workforce</v>
      </c>
      <c r="H16" s="3" t="str">
        <f>IFERROR(__xludf.DUMMYFUNCTION("""COMPUTED_VALUE"""),"Private Equity")</f>
        <v>Private Equity</v>
      </c>
      <c r="I16" s="3" t="str">
        <f>IFERROR(__xludf.DUMMYFUNCTION("""COMPUTED_VALUE"""),"Workforce - Deals")</f>
        <v>Workforce - Deals</v>
      </c>
      <c r="J16" s="3" t="str">
        <f>IFERROR(__xludf.DUMMYFUNCTION("""COMPUTED_VALUE"""),"Partner")</f>
        <v>Partner</v>
      </c>
      <c r="K16" s="12">
        <f>IFERROR(__xludf.DUMMYFUNCTION("""COMPUTED_VALUE"""),44284.0)</f>
        <v>44284</v>
      </c>
      <c r="L16" s="3" t="str">
        <f>IFERROR(__xludf.DUMMYFUNCTION("""COMPUTED_VALUE"""),"New York")</f>
        <v>New York</v>
      </c>
      <c r="M16" s="3" t="str">
        <f>IFERROR(__xludf.DUMMYFUNCTION("""COMPUTED_VALUE"""),"New York - 300 Madison Avenue")</f>
        <v>New York - 300 Madison Avenue</v>
      </c>
      <c r="N16" s="3" t="b">
        <f>IFERROR(__xludf.DUMMYFUNCTION("""COMPUTED_VALUE"""),TRUE)</f>
        <v>1</v>
      </c>
      <c r="O16" s="3" t="str">
        <f>IFERROR(__xludf.DUMMYFUNCTION("""COMPUTED_VALUE"""),"craig.odonnell@pwc.com")</f>
        <v>craig.odonnell@pwc.com</v>
      </c>
      <c r="P16" s="3" t="str">
        <f>IFERROR(__xludf.DUMMYFUNCTION("""COMPUTED_VALUE"""),"FY21 2nd Half")</f>
        <v>FY21 2nd Half</v>
      </c>
      <c r="Q16" s="3" t="b">
        <f>IFERROR(__xludf.DUMMYFUNCTION("""COMPUTED_VALUE"""),FALSE)</f>
        <v>0</v>
      </c>
      <c r="R16" s="3"/>
      <c r="S16" s="3"/>
      <c r="T16" s="3" t="b">
        <f>IFERROR(__xludf.DUMMYFUNCTION("""COMPUTED_VALUE"""),FALSE)</f>
        <v>0</v>
      </c>
      <c r="U16" s="3" t="b">
        <f>IFERROR(__xludf.DUMMYFUNCTION("""COMPUTED_VALUE"""),TRUE)</f>
        <v>1</v>
      </c>
      <c r="V16" s="3" t="b">
        <f>IFERROR(__xludf.DUMMYFUNCTION("""COMPUTED_VALUE"""),FALSE)</f>
        <v>0</v>
      </c>
      <c r="W16" s="3" t="str">
        <f>IFERROR(__xludf.DUMMYFUNCTION("""COMPUTED_VALUE"""),"Catalyst")</f>
        <v>Catalyst</v>
      </c>
      <c r="X16" s="3"/>
      <c r="Y16" s="3" t="str">
        <f>IFERROR(__xludf.DUMMYFUNCTION("""COMPUTED_VALUE"""),"FY21 2nd Half")</f>
        <v>FY21 2nd Half</v>
      </c>
      <c r="Z16" s="3" t="str">
        <f>IFERROR(__xludf.DUMMYFUNCTION("""COMPUTED_VALUE"""),"Corporate M&amp;A Transformation - FS")</f>
        <v>Corporate M&amp;A Transformation - FS</v>
      </c>
      <c r="AA16" s="3" t="b">
        <f>IFERROR(__xludf.DUMMYFUNCTION("""COMPUTED_VALUE"""),FALSE)</f>
        <v>0</v>
      </c>
    </row>
    <row r="17">
      <c r="A17" s="11">
        <f>IFERROR(__xludf.DUMMYFUNCTION("""COMPUTED_VALUE"""),1.00656722E8)</f>
        <v>100656722</v>
      </c>
      <c r="B17" s="3" t="str">
        <f>IFERROR(__xludf.DUMMYFUNCTION("""COMPUTED_VALUE"""),"Alexandra Hallas Button")</f>
        <v>Alexandra Hallas Button</v>
      </c>
      <c r="C17" s="3" t="str">
        <f>IFERROR(__xludf.DUMMYFUNCTION("""COMPUTED_VALUE"""),"Alexandra Elizabeth Hallas Button")</f>
        <v>Alexandra Elizabeth Hallas Button</v>
      </c>
      <c r="D17" s="3" t="str">
        <f>IFERROR(__xludf.DUMMYFUNCTION("""COMPUTED_VALUE"""),"Hallas Button, Alexandra Elizabeth")</f>
        <v>Hallas Button, Alexandra Elizabeth</v>
      </c>
      <c r="E17" s="3" t="str">
        <f>IFERROR(__xludf.DUMMYFUNCTION("""COMPUTED_VALUE"""),"Active")</f>
        <v>Active</v>
      </c>
      <c r="F17" s="3" t="str">
        <f>IFERROR(__xludf.DUMMYFUNCTION("""COMPUTED_VALUE"""),"alexandra.hallas.button@pwc.com")</f>
        <v>alexandra.hallas.button@pwc.com</v>
      </c>
      <c r="G17" s="3" t="str">
        <f>IFERROR(__xludf.DUMMYFUNCTION("""COMPUTED_VALUE"""),"Customer")</f>
        <v>Customer</v>
      </c>
      <c r="H17" s="3" t="str">
        <f>IFERROR(__xludf.DUMMYFUNCTION("""COMPUTED_VALUE"""),"CM X-Sector")</f>
        <v>CM X-Sector</v>
      </c>
      <c r="I17" s="3" t="str">
        <f>IFERROR(__xludf.DUMMYFUNCTION("""COMPUTED_VALUE"""),"Customer - Marketing")</f>
        <v>Customer - Marketing</v>
      </c>
      <c r="J17" s="3" t="str">
        <f>IFERROR(__xludf.DUMMYFUNCTION("""COMPUTED_VALUE"""),"Partner")</f>
        <v>Partner</v>
      </c>
      <c r="K17" s="12">
        <f>IFERROR(__xludf.DUMMYFUNCTION("""COMPUTED_VALUE"""),42186.0)</f>
        <v>42186</v>
      </c>
      <c r="L17" s="3" t="str">
        <f>IFERROR(__xludf.DUMMYFUNCTION("""COMPUTED_VALUE"""),"Chicago")</f>
        <v>Chicago</v>
      </c>
      <c r="M17" s="3" t="str">
        <f>IFERROR(__xludf.DUMMYFUNCTION("""COMPUTED_VALUE"""),"Chicago - One North Wacker Drive")</f>
        <v>Chicago - One North Wacker Drive</v>
      </c>
      <c r="N17" s="3" t="b">
        <f>IFERROR(__xludf.DUMMYFUNCTION("""COMPUTED_VALUE"""),FALSE)</f>
        <v>0</v>
      </c>
      <c r="O17" s="3" t="str">
        <f>IFERROR(__xludf.DUMMYFUNCTION("""COMPUTED_VALUE"""),"george.korizis@pwc.com")</f>
        <v>george.korizis@pwc.com</v>
      </c>
      <c r="P17" s="3" t="str">
        <f>IFERROR(__xludf.DUMMYFUNCTION("""COMPUTED_VALUE"""),"No")</f>
        <v>No</v>
      </c>
      <c r="Q17" s="3" t="b">
        <f>IFERROR(__xludf.DUMMYFUNCTION("""COMPUTED_VALUE"""),FALSE)</f>
        <v>0</v>
      </c>
      <c r="R17" s="3"/>
      <c r="S17" s="3"/>
      <c r="T17" s="3" t="b">
        <f>IFERROR(__xludf.DUMMYFUNCTION("""COMPUTED_VALUE"""),FALSE)</f>
        <v>0</v>
      </c>
      <c r="U17" s="3" t="b">
        <f>IFERROR(__xludf.DUMMYFUNCTION("""COMPUTED_VALUE"""),FALSE)</f>
        <v>0</v>
      </c>
      <c r="V17" s="3" t="b">
        <f>IFERROR(__xludf.DUMMYFUNCTION("""COMPUTED_VALUE"""),FALSE)</f>
        <v>0</v>
      </c>
      <c r="W17" s="3" t="str">
        <f>IFERROR(__xludf.DUMMYFUNCTION("""COMPUTED_VALUE"""),"Delivery")</f>
        <v>Delivery</v>
      </c>
      <c r="X17" s="3"/>
      <c r="Y17" s="3" t="str">
        <f>IFERROR(__xludf.DUMMYFUNCTION("""COMPUTED_VALUE"""),"TPP")</f>
        <v>TPP</v>
      </c>
      <c r="Z17" s="3" t="str">
        <f>IFERROR(__xludf.DUMMYFUNCTION("""COMPUTED_VALUE"""),"Commercial / CRM Transformation - CM &amp; IPS &amp; HIA")</f>
        <v>Commercial / CRM Transformation - CM &amp; IPS &amp; HIA</v>
      </c>
      <c r="AA17" s="3" t="b">
        <f>IFERROR(__xludf.DUMMYFUNCTION("""COMPUTED_VALUE"""),FALSE)</f>
        <v>0</v>
      </c>
    </row>
    <row r="18">
      <c r="A18" s="11">
        <f>IFERROR(__xludf.DUMMYFUNCTION("""COMPUTED_VALUE"""),1.00634023E8)</f>
        <v>100634023</v>
      </c>
      <c r="B18" s="3" t="str">
        <f>IFERROR(__xludf.DUMMYFUNCTION("""COMPUTED_VALUE"""),"Ali Furman")</f>
        <v>Ali Furman</v>
      </c>
      <c r="C18" s="3" t="str">
        <f>IFERROR(__xludf.DUMMYFUNCTION("""COMPUTED_VALUE"""),"Alison  Furman")</f>
        <v>Alison  Furman</v>
      </c>
      <c r="D18" s="3" t="str">
        <f>IFERROR(__xludf.DUMMYFUNCTION("""COMPUTED_VALUE"""),"Furman, Alison")</f>
        <v>Furman, Alison</v>
      </c>
      <c r="E18" s="3" t="str">
        <f>IFERROR(__xludf.DUMMYFUNCTION("""COMPUTED_VALUE"""),"Active")</f>
        <v>Active</v>
      </c>
      <c r="F18" s="3" t="str">
        <f>IFERROR(__xludf.DUMMYFUNCTION("""COMPUTED_VALUE"""),"alison.furman@pwc.com")</f>
        <v>alison.furman@pwc.com</v>
      </c>
      <c r="G18" s="3" t="str">
        <f>IFERROR(__xludf.DUMMYFUNCTION("""COMPUTED_VALUE"""),"Transformation Natl")</f>
        <v>Transformation Natl</v>
      </c>
      <c r="H18" s="3" t="str">
        <f>IFERROR(__xludf.DUMMYFUNCTION("""COMPUTED_VALUE"""),"CM X-Sector")</f>
        <v>CM X-Sector</v>
      </c>
      <c r="I18" s="3" t="str">
        <f>IFERROR(__xludf.DUMMYFUNCTION("""COMPUTED_VALUE"""),"Unassigned")</f>
        <v>Unassigned</v>
      </c>
      <c r="J18" s="3" t="str">
        <f>IFERROR(__xludf.DUMMYFUNCTION("""COMPUTED_VALUE"""),"Partner")</f>
        <v>Partner</v>
      </c>
      <c r="K18" s="12">
        <f>IFERROR(__xludf.DUMMYFUNCTION("""COMPUTED_VALUE"""),39545.0)</f>
        <v>39545</v>
      </c>
      <c r="L18" s="3" t="str">
        <f>IFERROR(__xludf.DUMMYFUNCTION("""COMPUTED_VALUE"""),"New York")</f>
        <v>New York</v>
      </c>
      <c r="M18" s="3" t="str">
        <f>IFERROR(__xludf.DUMMYFUNCTION("""COMPUTED_VALUE"""),"New York - 300 Madison Avenue")</f>
        <v>New York - 300 Madison Avenue</v>
      </c>
      <c r="N18" s="3" t="b">
        <f>IFERROR(__xludf.DUMMYFUNCTION("""COMPUTED_VALUE"""),FALSE)</f>
        <v>0</v>
      </c>
      <c r="O18" s="3" t="str">
        <f>IFERROR(__xludf.DUMMYFUNCTION("""COMPUTED_VALUE"""),"mike.connolly@pwc.com")</f>
        <v>mike.connolly@pwc.com</v>
      </c>
      <c r="P18" s="3" t="str">
        <f>IFERROR(__xludf.DUMMYFUNCTION("""COMPUTED_VALUE"""),"No")</f>
        <v>No</v>
      </c>
      <c r="Q18" s="3" t="b">
        <f>IFERROR(__xludf.DUMMYFUNCTION("""COMPUTED_VALUE"""),FALSE)</f>
        <v>0</v>
      </c>
      <c r="R18" s="3"/>
      <c r="S18" s="3"/>
      <c r="T18" s="3" t="b">
        <f>IFERROR(__xludf.DUMMYFUNCTION("""COMPUTED_VALUE"""),FALSE)</f>
        <v>0</v>
      </c>
      <c r="U18" s="3" t="b">
        <f>IFERROR(__xludf.DUMMYFUNCTION("""COMPUTED_VALUE"""),FALSE)</f>
        <v>0</v>
      </c>
      <c r="V18" s="3" t="b">
        <f>IFERROR(__xludf.DUMMYFUNCTION("""COMPUTED_VALUE"""),FALSE)</f>
        <v>0</v>
      </c>
      <c r="W18" s="3" t="str">
        <f>IFERROR(__xludf.DUMMYFUNCTION("""COMPUTED_VALUE"""),"#N/A")</f>
        <v>#N/A</v>
      </c>
      <c r="X18" s="3" t="str">
        <f>IFERROR(__xludf.DUMMYFUNCTION("""COMPUTED_VALUE"""),"#N/A")</f>
        <v>#N/A</v>
      </c>
      <c r="Y18" s="3" t="str">
        <f>IFERROR(__xludf.DUMMYFUNCTION("""COMPUTED_VALUE"""),"#N/A")</f>
        <v>#N/A</v>
      </c>
      <c r="Z18" s="3" t="str">
        <f>IFERROR(__xludf.DUMMYFUNCTION("""COMPUTED_VALUE"""),"Unknown")</f>
        <v>Unknown</v>
      </c>
      <c r="AA18" s="3" t="b">
        <f>IFERROR(__xludf.DUMMYFUNCTION("""COMPUTED_VALUE"""),FALSE)</f>
        <v>0</v>
      </c>
    </row>
    <row r="19">
      <c r="A19" s="11">
        <f>IFERROR(__xludf.DUMMYFUNCTION("""COMPUTED_VALUE"""),1.00649215E8)</f>
        <v>100649215</v>
      </c>
      <c r="B19" s="3" t="str">
        <f>IFERROR(__xludf.DUMMYFUNCTION("""COMPUTED_VALUE"""),"Alison Hoover")</f>
        <v>Alison Hoover</v>
      </c>
      <c r="C19" s="3" t="str">
        <f>IFERROR(__xludf.DUMMYFUNCTION("""COMPUTED_VALUE"""),"Alison Van Dyke Hoover")</f>
        <v>Alison Van Dyke Hoover</v>
      </c>
      <c r="D19" s="3" t="str">
        <f>IFERROR(__xludf.DUMMYFUNCTION("""COMPUTED_VALUE"""),"Hoover, Alison Van Dyke")</f>
        <v>Hoover, Alison Van Dyke</v>
      </c>
      <c r="E19" s="3" t="str">
        <f>IFERROR(__xludf.DUMMYFUNCTION("""COMPUTED_VALUE"""),"Active")</f>
        <v>Active</v>
      </c>
      <c r="F19" s="3" t="str">
        <f>IFERROR(__xludf.DUMMYFUNCTION("""COMPUTED_VALUE"""),"alison.hoover@pwc.com")</f>
        <v>alison.hoover@pwc.com</v>
      </c>
      <c r="G19" s="3" t="str">
        <f>IFERROR(__xludf.DUMMYFUNCTION("""COMPUTED_VALUE"""),"FS")</f>
        <v>FS</v>
      </c>
      <c r="H19" s="3" t="str">
        <f>IFERROR(__xludf.DUMMYFUNCTION("""COMPUTED_VALUE"""),"Banking and Capital Markets")</f>
        <v>Banking and Capital Markets</v>
      </c>
      <c r="I19" s="3" t="str">
        <f>IFERROR(__xludf.DUMMYFUNCTION("""COMPUTED_VALUE"""),"FS - Banking and Capital Markets")</f>
        <v>FS - Banking and Capital Markets</v>
      </c>
      <c r="J19" s="3" t="str">
        <f>IFERROR(__xludf.DUMMYFUNCTION("""COMPUTED_VALUE"""),"Partner")</f>
        <v>Partner</v>
      </c>
      <c r="K19" s="12">
        <f>IFERROR(__xludf.DUMMYFUNCTION("""COMPUTED_VALUE"""),40485.0)</f>
        <v>40485</v>
      </c>
      <c r="L19" s="3" t="str">
        <f>IFERROR(__xludf.DUMMYFUNCTION("""COMPUTED_VALUE"""),"Washington")</f>
        <v>Washington</v>
      </c>
      <c r="M19" s="3" t="str">
        <f>IFERROR(__xludf.DUMMYFUNCTION("""COMPUTED_VALUE"""),"Washington DC - 655 New York Avenue")</f>
        <v>Washington DC - 655 New York Avenue</v>
      </c>
      <c r="N19" s="3" t="b">
        <f>IFERROR(__xludf.DUMMYFUNCTION("""COMPUTED_VALUE"""),TRUE)</f>
        <v>1</v>
      </c>
      <c r="O19" s="3" t="str">
        <f>IFERROR(__xludf.DUMMYFUNCTION("""COMPUTED_VALUE"""),"mike.connolly@pwc.com")</f>
        <v>mike.connolly@pwc.com</v>
      </c>
      <c r="P19" s="3" t="str">
        <f>IFERROR(__xludf.DUMMYFUNCTION("""COMPUTED_VALUE"""),"No")</f>
        <v>No</v>
      </c>
      <c r="Q19" s="3" t="b">
        <f>IFERROR(__xludf.DUMMYFUNCTION("""COMPUTED_VALUE"""),FALSE)</f>
        <v>0</v>
      </c>
      <c r="R19" s="3"/>
      <c r="S19" s="3"/>
      <c r="T19" s="3" t="b">
        <f>IFERROR(__xludf.DUMMYFUNCTION("""COMPUTED_VALUE"""),FALSE)</f>
        <v>0</v>
      </c>
      <c r="U19" s="3" t="b">
        <f>IFERROR(__xludf.DUMMYFUNCTION("""COMPUTED_VALUE"""),FALSE)</f>
        <v>0</v>
      </c>
      <c r="V19" s="3" t="b">
        <f>IFERROR(__xludf.DUMMYFUNCTION("""COMPUTED_VALUE"""),FALSE)</f>
        <v>0</v>
      </c>
      <c r="W19" s="3" t="str">
        <f>IFERROR(__xludf.DUMMYFUNCTION("""COMPUTED_VALUE"""),"Delivery")</f>
        <v>Delivery</v>
      </c>
      <c r="X19" s="3"/>
      <c r="Y19" s="3" t="str">
        <f>IFERROR(__xludf.DUMMYFUNCTION("""COMPUTED_VALUE"""),"PTL")</f>
        <v>PTL</v>
      </c>
      <c r="Z19" s="3" t="str">
        <f>IFERROR(__xludf.DUMMYFUNCTION("""COMPUTED_VALUE"""),"Banking Transformation")</f>
        <v>Banking Transformation</v>
      </c>
      <c r="AA19" s="3" t="b">
        <f>IFERROR(__xludf.DUMMYFUNCTION("""COMPUTED_VALUE"""),TRUE)</f>
        <v>1</v>
      </c>
    </row>
    <row r="20">
      <c r="A20" s="11">
        <f>IFERROR(__xludf.DUMMYFUNCTION("""COMPUTED_VALUE"""),1.006299E8)</f>
        <v>100629900</v>
      </c>
      <c r="B20" s="3" t="str">
        <f>IFERROR(__xludf.DUMMYFUNCTION("""COMPUTED_VALUE"""),"Alyson Simonetta-Larkin")</f>
        <v>Alyson Simonetta-Larkin</v>
      </c>
      <c r="C20" s="3" t="str">
        <f>IFERROR(__xludf.DUMMYFUNCTION("""COMPUTED_VALUE"""),"Alyson W Simonetta-Larkin")</f>
        <v>Alyson W Simonetta-Larkin</v>
      </c>
      <c r="D20" s="3" t="str">
        <f>IFERROR(__xludf.DUMMYFUNCTION("""COMPUTED_VALUE"""),"Simonetta-Larkin, Alyson W")</f>
        <v>Simonetta-Larkin, Alyson W</v>
      </c>
      <c r="E20" s="3" t="str">
        <f>IFERROR(__xludf.DUMMYFUNCTION("""COMPUTED_VALUE"""),"Active")</f>
        <v>Active</v>
      </c>
      <c r="F20" s="3" t="str">
        <f>IFERROR(__xludf.DUMMYFUNCTION("""COMPUTED_VALUE"""),"alyson.w.simonetta@pwc.com")</f>
        <v>alyson.w.simonetta@pwc.com</v>
      </c>
      <c r="G20" s="3" t="str">
        <f>IFERROR(__xludf.DUMMYFUNCTION("""COMPUTED_VALUE"""),"Health")</f>
        <v>Health</v>
      </c>
      <c r="H20" s="3" t="str">
        <f>IFERROR(__xludf.DUMMYFUNCTION("""COMPUTED_VALUE"""),"Health Services")</f>
        <v>Health Services</v>
      </c>
      <c r="I20" s="3" t="str">
        <f>IFERROR(__xludf.DUMMYFUNCTION("""COMPUTED_VALUE"""),"Health - Provider FFG")</f>
        <v>Health - Provider FFG</v>
      </c>
      <c r="J20" s="3" t="str">
        <f>IFERROR(__xludf.DUMMYFUNCTION("""COMPUTED_VALUE"""),"Partner")</f>
        <v>Partner</v>
      </c>
      <c r="K20" s="12">
        <f>IFERROR(__xludf.DUMMYFUNCTION("""COMPUTED_VALUE"""),38971.0)</f>
        <v>38971</v>
      </c>
      <c r="L20" s="3" t="str">
        <f>IFERROR(__xludf.DUMMYFUNCTION("""COMPUTED_VALUE"""),"Boston")</f>
        <v>Boston</v>
      </c>
      <c r="M20" s="3" t="str">
        <f>IFERROR(__xludf.DUMMYFUNCTION("""COMPUTED_VALUE"""),"Boston - 101 Seaport Boulevard")</f>
        <v>Boston - 101 Seaport Boulevard</v>
      </c>
      <c r="N20" s="3" t="b">
        <f>IFERROR(__xludf.DUMMYFUNCTION("""COMPUTED_VALUE"""),FALSE)</f>
        <v>0</v>
      </c>
      <c r="O20" s="3" t="str">
        <f>IFERROR(__xludf.DUMMYFUNCTION("""COMPUTED_VALUE"""),"craig.e.gooch@pwc.com")</f>
        <v>craig.e.gooch@pwc.com</v>
      </c>
      <c r="P20" s="3" t="str">
        <f>IFERROR(__xludf.DUMMYFUNCTION("""COMPUTED_VALUE"""),"No")</f>
        <v>No</v>
      </c>
      <c r="Q20" s="3" t="b">
        <f>IFERROR(__xludf.DUMMYFUNCTION("""COMPUTED_VALUE"""),FALSE)</f>
        <v>0</v>
      </c>
      <c r="R20" s="3"/>
      <c r="S20" s="3"/>
      <c r="T20" s="3" t="b">
        <f>IFERROR(__xludf.DUMMYFUNCTION("""COMPUTED_VALUE"""),FALSE)</f>
        <v>0</v>
      </c>
      <c r="U20" s="3" t="b">
        <f>IFERROR(__xludf.DUMMYFUNCTION("""COMPUTED_VALUE"""),TRUE)</f>
        <v>1</v>
      </c>
      <c r="V20" s="3" t="b">
        <f>IFERROR(__xludf.DUMMYFUNCTION("""COMPUTED_VALUE"""),FALSE)</f>
        <v>0</v>
      </c>
      <c r="W20" s="3" t="str">
        <f>IFERROR(__xludf.DUMMYFUNCTION("""COMPUTED_VALUE"""),"Delivery")</f>
        <v>Delivery</v>
      </c>
      <c r="X20" s="3"/>
      <c r="Y20" s="3"/>
      <c r="Z20" s="3" t="str">
        <f>IFERROR(__xludf.DUMMYFUNCTION("""COMPUTED_VALUE"""),"Provider Transformation")</f>
        <v>Provider Transformation</v>
      </c>
      <c r="AA20" s="3" t="b">
        <f>IFERROR(__xludf.DUMMYFUNCTION("""COMPUTED_VALUE"""),FALSE)</f>
        <v>0</v>
      </c>
    </row>
    <row r="21">
      <c r="A21" s="11">
        <f>IFERROR(__xludf.DUMMYFUNCTION("""COMPUTED_VALUE"""),1.00635527E8)</f>
        <v>100635527</v>
      </c>
      <c r="B21" s="3" t="str">
        <f>IFERROR(__xludf.DUMMYFUNCTION("""COMPUTED_VALUE"""),"Amanda Diaz")</f>
        <v>Amanda Diaz</v>
      </c>
      <c r="C21" s="3" t="str">
        <f>IFERROR(__xludf.DUMMYFUNCTION("""COMPUTED_VALUE"""),"Amanda Rose Diaz")</f>
        <v>Amanda Rose Diaz</v>
      </c>
      <c r="D21" s="3" t="str">
        <f>IFERROR(__xludf.DUMMYFUNCTION("""COMPUTED_VALUE"""),"Diaz, Amanda Rose")</f>
        <v>Diaz, Amanda Rose</v>
      </c>
      <c r="E21" s="3" t="str">
        <f>IFERROR(__xludf.DUMMYFUNCTION("""COMPUTED_VALUE"""),"Active")</f>
        <v>Active</v>
      </c>
      <c r="F21" s="3" t="str">
        <f>IFERROR(__xludf.DUMMYFUNCTION("""COMPUTED_VALUE"""),"amanda.r.diaz@pwc.com")</f>
        <v>amanda.r.diaz@pwc.com</v>
      </c>
      <c r="G21" s="3" t="str">
        <f>IFERROR(__xludf.DUMMYFUNCTION("""COMPUTED_VALUE"""),"Health")</f>
        <v>Health</v>
      </c>
      <c r="H21" s="3" t="str">
        <f>IFERROR(__xludf.DUMMYFUNCTION("""COMPUTED_VALUE"""),"Health Services")</f>
        <v>Health Services</v>
      </c>
      <c r="I21" s="3" t="str">
        <f>IFERROR(__xludf.DUMMYFUNCTION("""COMPUTED_VALUE"""),"Health - Payer Government Programs")</f>
        <v>Health - Payer Government Programs</v>
      </c>
      <c r="J21" s="3" t="str">
        <f>IFERROR(__xludf.DUMMYFUNCTION("""COMPUTED_VALUE"""),"Partner")</f>
        <v>Partner</v>
      </c>
      <c r="K21" s="12">
        <f>IFERROR(__xludf.DUMMYFUNCTION("""COMPUTED_VALUE"""),40049.0)</f>
        <v>40049</v>
      </c>
      <c r="L21" s="3" t="str">
        <f>IFERROR(__xludf.DUMMYFUNCTION("""COMPUTED_VALUE"""),"Los Angeles")</f>
        <v>Los Angeles</v>
      </c>
      <c r="M21" s="3" t="str">
        <f>IFERROR(__xludf.DUMMYFUNCTION("""COMPUTED_VALUE"""),"Los Angeles - 601 South Figueroa Street")</f>
        <v>Los Angeles - 601 South Figueroa Street</v>
      </c>
      <c r="N21" s="3" t="b">
        <f>IFERROR(__xludf.DUMMYFUNCTION("""COMPUTED_VALUE"""),FALSE)</f>
        <v>0</v>
      </c>
      <c r="O21" s="3" t="str">
        <f>IFERROR(__xludf.DUMMYFUNCTION("""COMPUTED_VALUE"""),"craig.e.gooch@pwc.com")</f>
        <v>craig.e.gooch@pwc.com</v>
      </c>
      <c r="P21" s="3" t="str">
        <f>IFERROR(__xludf.DUMMYFUNCTION("""COMPUTED_VALUE"""),"No")</f>
        <v>No</v>
      </c>
      <c r="Q21" s="3" t="b">
        <f>IFERROR(__xludf.DUMMYFUNCTION("""COMPUTED_VALUE"""),FALSE)</f>
        <v>0</v>
      </c>
      <c r="R21" s="3"/>
      <c r="S21" s="3"/>
      <c r="T21" s="3" t="b">
        <f>IFERROR(__xludf.DUMMYFUNCTION("""COMPUTED_VALUE"""),FALSE)</f>
        <v>0</v>
      </c>
      <c r="U21" s="3" t="b">
        <f>IFERROR(__xludf.DUMMYFUNCTION("""COMPUTED_VALUE"""),TRUE)</f>
        <v>1</v>
      </c>
      <c r="V21" s="3" t="b">
        <f>IFERROR(__xludf.DUMMYFUNCTION("""COMPUTED_VALUE"""),FALSE)</f>
        <v>0</v>
      </c>
      <c r="W21" s="3" t="str">
        <f>IFERROR(__xludf.DUMMYFUNCTION("""COMPUTED_VALUE"""),"Delivery")</f>
        <v>Delivery</v>
      </c>
      <c r="X21" s="3"/>
      <c r="Y21" s="3"/>
      <c r="Z21" s="3" t="str">
        <f>IFERROR(__xludf.DUMMYFUNCTION("""COMPUTED_VALUE"""),"Payer Transformation")</f>
        <v>Payer Transformation</v>
      </c>
      <c r="AA21" s="3" t="b">
        <f>IFERROR(__xludf.DUMMYFUNCTION("""COMPUTED_VALUE"""),FALSE)</f>
        <v>0</v>
      </c>
    </row>
    <row r="22">
      <c r="A22" s="11">
        <f>IFERROR(__xludf.DUMMYFUNCTION("""COMPUTED_VALUE"""),1.00946929E8)</f>
        <v>100946929</v>
      </c>
      <c r="B22" s="3" t="str">
        <f>IFERROR(__xludf.DUMMYFUNCTION("""COMPUTED_VALUE"""),"Amit Arya")</f>
        <v>Amit Arya</v>
      </c>
      <c r="C22" s="3" t="str">
        <f>IFERROR(__xludf.DUMMYFUNCTION("""COMPUTED_VALUE"""),"Amit  Arya")</f>
        <v>Amit  Arya</v>
      </c>
      <c r="D22" s="3" t="str">
        <f>IFERROR(__xludf.DUMMYFUNCTION("""COMPUTED_VALUE"""),"Arya, Amit")</f>
        <v>Arya, Amit</v>
      </c>
      <c r="E22" s="3" t="str">
        <f>IFERROR(__xludf.DUMMYFUNCTION("""COMPUTED_VALUE"""),"Active")</f>
        <v>Active</v>
      </c>
      <c r="F22" s="3" t="str">
        <f>IFERROR(__xludf.DUMMYFUNCTION("""COMPUTED_VALUE"""),"amit.arya@pwc.com")</f>
        <v>amit.arya@pwc.com</v>
      </c>
      <c r="G22" s="3" t="str">
        <f>IFERROR(__xludf.DUMMYFUNCTION("""COMPUTED_VALUE"""),"Ops")</f>
        <v>Ops</v>
      </c>
      <c r="H22" s="3" t="str">
        <f>IFERROR(__xludf.DUMMYFUNCTION("""COMPUTED_VALUE"""),"Technology")</f>
        <v>Technology</v>
      </c>
      <c r="I22" s="3" t="str">
        <f>IFERROR(__xludf.DUMMYFUNCTION("""COMPUTED_VALUE"""),"Ops - Capital Project Excellence (CPE)")</f>
        <v>Ops - Capital Project Excellence (CPE)</v>
      </c>
      <c r="J22" s="3" t="str">
        <f>IFERROR(__xludf.DUMMYFUNCTION("""COMPUTED_VALUE"""),"Partner")</f>
        <v>Partner</v>
      </c>
      <c r="K22" s="12">
        <f>IFERROR(__xludf.DUMMYFUNCTION("""COMPUTED_VALUE"""),43759.0)</f>
        <v>43759</v>
      </c>
      <c r="L22" s="3" t="str">
        <f>IFERROR(__xludf.DUMMYFUNCTION("""COMPUTED_VALUE"""),"Dallas")</f>
        <v>Dallas</v>
      </c>
      <c r="M22" s="3" t="str">
        <f>IFERROR(__xludf.DUMMYFUNCTION("""COMPUTED_VALUE"""),"Dallas - 2121 North Pearl Street")</f>
        <v>Dallas - 2121 North Pearl Street</v>
      </c>
      <c r="N22" s="3" t="b">
        <f>IFERROR(__xludf.DUMMYFUNCTION("""COMPUTED_VALUE"""),FALSE)</f>
        <v>0</v>
      </c>
      <c r="O22" s="3" t="str">
        <f>IFERROR(__xludf.DUMMYFUNCTION("""COMPUTED_VALUE"""),"matthew.r.comte@pwc.com")</f>
        <v>matthew.r.comte@pwc.com</v>
      </c>
      <c r="P22" s="3" t="str">
        <f>IFERROR(__xludf.DUMMYFUNCTION("""COMPUTED_VALUE"""),"No")</f>
        <v>No</v>
      </c>
      <c r="Q22" s="3" t="b">
        <f>IFERROR(__xludf.DUMMYFUNCTION("""COMPUTED_VALUE"""),FALSE)</f>
        <v>0</v>
      </c>
      <c r="R22" s="3"/>
      <c r="S22" s="3"/>
      <c r="T22" s="3" t="b">
        <f>IFERROR(__xludf.DUMMYFUNCTION("""COMPUTED_VALUE"""),FALSE)</f>
        <v>0</v>
      </c>
      <c r="U22" s="3" t="b">
        <f>IFERROR(__xludf.DUMMYFUNCTION("""COMPUTED_VALUE"""),FALSE)</f>
        <v>0</v>
      </c>
      <c r="V22" s="3" t="b">
        <f>IFERROR(__xludf.DUMMYFUNCTION("""COMPUTED_VALUE"""),FALSE)</f>
        <v>0</v>
      </c>
      <c r="W22" s="3" t="str">
        <f>IFERROR(__xludf.DUMMYFUNCTION("""COMPUTED_VALUE"""),"Delivery")</f>
        <v>Delivery</v>
      </c>
      <c r="X22" s="3"/>
      <c r="Y22" s="3"/>
      <c r="Z22" s="3" t="str">
        <f>IFERROR(__xludf.DUMMYFUNCTION("""COMPUTED_VALUE"""),"EUM + Telecom Ops Transformation")</f>
        <v>EUM + Telecom Ops Transformation</v>
      </c>
      <c r="AA22" s="3" t="b">
        <f>IFERROR(__xludf.DUMMYFUNCTION("""COMPUTED_VALUE"""),FALSE)</f>
        <v>0</v>
      </c>
    </row>
    <row r="23">
      <c r="A23" s="11">
        <f>IFERROR(__xludf.DUMMYFUNCTION("""COMPUTED_VALUE"""),1.00591141E8)</f>
        <v>100591141</v>
      </c>
      <c r="B23" s="3" t="str">
        <f>IFERROR(__xludf.DUMMYFUNCTION("""COMPUTED_VALUE"""),"Amit Dhir")</f>
        <v>Amit Dhir</v>
      </c>
      <c r="C23" s="3" t="str">
        <f>IFERROR(__xludf.DUMMYFUNCTION("""COMPUTED_VALUE"""),"Amit  Dhir")</f>
        <v>Amit  Dhir</v>
      </c>
      <c r="D23" s="3" t="str">
        <f>IFERROR(__xludf.DUMMYFUNCTION("""COMPUTED_VALUE"""),"Dhir, Amit")</f>
        <v>Dhir, Amit</v>
      </c>
      <c r="E23" s="3" t="str">
        <f>IFERROR(__xludf.DUMMYFUNCTION("""COMPUTED_VALUE"""),"Active")</f>
        <v>Active</v>
      </c>
      <c r="F23" s="3" t="str">
        <f>IFERROR(__xludf.DUMMYFUNCTION("""COMPUTED_VALUE"""),"amit.dhir@pwc.com")</f>
        <v>amit.dhir@pwc.com</v>
      </c>
      <c r="G23" s="3" t="str">
        <f>IFERROR(__xludf.DUMMYFUNCTION("""COMPUTED_VALUE"""),"Customer")</f>
        <v>Customer</v>
      </c>
      <c r="H23" s="3" t="str">
        <f>IFERROR(__xludf.DUMMYFUNCTION("""COMPUTED_VALUE"""),"TMT X-Sector")</f>
        <v>TMT X-Sector</v>
      </c>
      <c r="I23" s="3" t="str">
        <f>IFERROR(__xludf.DUMMYFUNCTION("""COMPUTED_VALUE"""),"Customer - Pricing &amp; Profitability")</f>
        <v>Customer - Pricing &amp; Profitability</v>
      </c>
      <c r="J23" s="3" t="str">
        <f>IFERROR(__xludf.DUMMYFUNCTION("""COMPUTED_VALUE"""),"Partner")</f>
        <v>Partner</v>
      </c>
      <c r="K23" s="12">
        <f>IFERROR(__xludf.DUMMYFUNCTION("""COMPUTED_VALUE"""),40966.0)</f>
        <v>40966</v>
      </c>
      <c r="L23" s="3" t="str">
        <f>IFERROR(__xludf.DUMMYFUNCTION("""COMPUTED_VALUE"""),"San Jose")</f>
        <v>San Jose</v>
      </c>
      <c r="M23" s="3" t="str">
        <f>IFERROR(__xludf.DUMMYFUNCTION("""COMPUTED_VALUE"""),"San Jose - 488 Almaden Boulevard")</f>
        <v>San Jose - 488 Almaden Boulevard</v>
      </c>
      <c r="N23" s="3" t="b">
        <f>IFERROR(__xludf.DUMMYFUNCTION("""COMPUTED_VALUE"""),FALSE)</f>
        <v>0</v>
      </c>
      <c r="O23" s="3" t="str">
        <f>IFERROR(__xludf.DUMMYFUNCTION("""COMPUTED_VALUE"""),"george.korizis@pwc.com")</f>
        <v>george.korizis@pwc.com</v>
      </c>
      <c r="P23" s="3" t="str">
        <f>IFERROR(__xludf.DUMMYFUNCTION("""COMPUTED_VALUE"""),"No")</f>
        <v>No</v>
      </c>
      <c r="Q23" s="3" t="b">
        <f>IFERROR(__xludf.DUMMYFUNCTION("""COMPUTED_VALUE"""),FALSE)</f>
        <v>0</v>
      </c>
      <c r="R23" s="3"/>
      <c r="S23" s="3"/>
      <c r="T23" s="3" t="b">
        <f>IFERROR(__xludf.DUMMYFUNCTION("""COMPUTED_VALUE"""),FALSE)</f>
        <v>0</v>
      </c>
      <c r="U23" s="3" t="b">
        <f>IFERROR(__xludf.DUMMYFUNCTION("""COMPUTED_VALUE"""),TRUE)</f>
        <v>1</v>
      </c>
      <c r="V23" s="3" t="b">
        <f>IFERROR(__xludf.DUMMYFUNCTION("""COMPUTED_VALUE"""),FALSE)</f>
        <v>0</v>
      </c>
      <c r="W23" s="3" t="str">
        <f>IFERROR(__xludf.DUMMYFUNCTION("""COMPUTED_VALUE"""),"Delivery")</f>
        <v>Delivery</v>
      </c>
      <c r="X23" s="3" t="str">
        <f>IFERROR(__xludf.DUMMYFUNCTION("""COMPUTED_VALUE"""),"Investment")</f>
        <v>Investment</v>
      </c>
      <c r="Y23" s="3"/>
      <c r="Z23" s="3" t="str">
        <f>IFERROR(__xludf.DUMMYFUNCTION("""COMPUTED_VALUE"""),"Marketing Transformation")</f>
        <v>Marketing Transformation</v>
      </c>
      <c r="AA23" s="3" t="b">
        <f>IFERROR(__xludf.DUMMYFUNCTION("""COMPUTED_VALUE"""),FALSE)</f>
        <v>0</v>
      </c>
    </row>
    <row r="24">
      <c r="A24" s="11">
        <f>IFERROR(__xludf.DUMMYFUNCTION("""COMPUTED_VALUE"""),1.00651554E8)</f>
        <v>100651554</v>
      </c>
      <c r="B24" s="3" t="str">
        <f>IFERROR(__xludf.DUMMYFUNCTION("""COMPUTED_VALUE"""),"Amit Sharma")</f>
        <v>Amit Sharma</v>
      </c>
      <c r="C24" s="3" t="str">
        <f>IFERROR(__xludf.DUMMYFUNCTION("""COMPUTED_VALUE"""),"Amit  Sharma")</f>
        <v>Amit  Sharma</v>
      </c>
      <c r="D24" s="3" t="str">
        <f>IFERROR(__xludf.DUMMYFUNCTION("""COMPUTED_VALUE"""),"Sharma, Amit")</f>
        <v>Sharma, Amit</v>
      </c>
      <c r="E24" s="3" t="str">
        <f>IFERROR(__xludf.DUMMYFUNCTION("""COMPUTED_VALUE"""),"Active")</f>
        <v>Active</v>
      </c>
      <c r="F24" s="3" t="str">
        <f>IFERROR(__xludf.DUMMYFUNCTION("""COMPUTED_VALUE"""),"amit.sharma@pwc.com")</f>
        <v>amit.sharma@pwc.com</v>
      </c>
      <c r="G24" s="3" t="str">
        <f>IFERROR(__xludf.DUMMYFUNCTION("""COMPUTED_VALUE"""),"Finance")</f>
        <v>Finance</v>
      </c>
      <c r="H24" s="3" t="str">
        <f>IFERROR(__xludf.DUMMYFUNCTION("""COMPUTED_VALUE"""),"Pharma and Life Sciences")</f>
        <v>Pharma and Life Sciences</v>
      </c>
      <c r="I24" s="3" t="str">
        <f>IFERROR(__xludf.DUMMYFUNCTION("""COMPUTED_VALUE"""),"Finance - Enterprise Performance Management")</f>
        <v>Finance - Enterprise Performance Management</v>
      </c>
      <c r="J24" s="3" t="str">
        <f>IFERROR(__xludf.DUMMYFUNCTION("""COMPUTED_VALUE"""),"Managing Director")</f>
        <v>Managing Director</v>
      </c>
      <c r="K24" s="12">
        <f>IFERROR(__xludf.DUMMYFUNCTION("""COMPUTED_VALUE"""),33469.0)</f>
        <v>33469</v>
      </c>
      <c r="L24" s="3" t="str">
        <f>IFERROR(__xludf.DUMMYFUNCTION("""COMPUTED_VALUE"""),"Hartford")</f>
        <v>Hartford</v>
      </c>
      <c r="M24" s="3" t="str">
        <f>IFERROR(__xludf.DUMMYFUNCTION("""COMPUTED_VALUE"""),"Hartford - CityPlace1, 185 Asylum Street")</f>
        <v>Hartford - CityPlace1, 185 Asylum Street</v>
      </c>
      <c r="N24" s="3" t="b">
        <f>IFERROR(__xludf.DUMMYFUNCTION("""COMPUTED_VALUE"""),FALSE)</f>
        <v>0</v>
      </c>
      <c r="O24" s="3" t="str">
        <f>IFERROR(__xludf.DUMMYFUNCTION("""COMPUTED_VALUE"""),"mu.hassan@pwc.com")</f>
        <v>mu.hassan@pwc.com</v>
      </c>
      <c r="P24" s="3" t="str">
        <f>IFERROR(__xludf.DUMMYFUNCTION("""COMPUTED_VALUE"""),"No")</f>
        <v>No</v>
      </c>
      <c r="Q24" s="3" t="b">
        <f>IFERROR(__xludf.DUMMYFUNCTION("""COMPUTED_VALUE"""),FALSE)</f>
        <v>0</v>
      </c>
      <c r="R24" s="3"/>
      <c r="S24" s="3"/>
      <c r="T24" s="3" t="b">
        <f>IFERROR(__xludf.DUMMYFUNCTION("""COMPUTED_VALUE"""),FALSE)</f>
        <v>0</v>
      </c>
      <c r="U24" s="3" t="b">
        <f>IFERROR(__xludf.DUMMYFUNCTION("""COMPUTED_VALUE"""),TRUE)</f>
        <v>1</v>
      </c>
      <c r="V24" s="3" t="b">
        <f>IFERROR(__xludf.DUMMYFUNCTION("""COMPUTED_VALUE"""),FALSE)</f>
        <v>0</v>
      </c>
      <c r="W24" s="3" t="str">
        <f>IFERROR(__xludf.DUMMYFUNCTION("""COMPUTED_VALUE"""),"Delivery")</f>
        <v>Delivery</v>
      </c>
      <c r="X24" s="3"/>
      <c r="Y24" s="3"/>
      <c r="Z24" s="3" t="str">
        <f>IFERROR(__xludf.DUMMYFUNCTION("""COMPUTED_VALUE"""),"Finance Transformation - Payer &amp; Pharma")</f>
        <v>Finance Transformation - Payer &amp; Pharma</v>
      </c>
      <c r="AA24" s="3" t="b">
        <f>IFERROR(__xludf.DUMMYFUNCTION("""COMPUTED_VALUE"""),FALSE)</f>
        <v>0</v>
      </c>
    </row>
    <row r="25">
      <c r="A25" s="11">
        <f>IFERROR(__xludf.DUMMYFUNCTION("""COMPUTED_VALUE"""),1.00586521E8)</f>
        <v>100586521</v>
      </c>
      <c r="B25" s="3" t="str">
        <f>IFERROR(__xludf.DUMMYFUNCTION("""COMPUTED_VALUE"""),"Amit Verma")</f>
        <v>Amit Verma</v>
      </c>
      <c r="C25" s="3" t="str">
        <f>IFERROR(__xludf.DUMMYFUNCTION("""COMPUTED_VALUE"""),"Amit  Verma")</f>
        <v>Amit  Verma</v>
      </c>
      <c r="D25" s="3" t="str">
        <f>IFERROR(__xludf.DUMMYFUNCTION("""COMPUTED_VALUE"""),"Verma, Amit")</f>
        <v>Verma, Amit</v>
      </c>
      <c r="E25" s="3" t="str">
        <f>IFERROR(__xludf.DUMMYFUNCTION("""COMPUTED_VALUE"""),"Active")</f>
        <v>Active</v>
      </c>
      <c r="F25" s="3" t="str">
        <f>IFERROR(__xludf.DUMMYFUNCTION("""COMPUTED_VALUE"""),"amit.j.verma@pwc.com")</f>
        <v>amit.j.verma@pwc.com</v>
      </c>
      <c r="G25" s="3" t="str">
        <f>IFERROR(__xludf.DUMMYFUNCTION("""COMPUTED_VALUE"""),"Deals Transformation")</f>
        <v>Deals Transformation</v>
      </c>
      <c r="H25" s="3" t="str">
        <f>IFERROR(__xludf.DUMMYFUNCTION("""COMPUTED_VALUE"""),"TMT X-Sector")</f>
        <v>TMT X-Sector</v>
      </c>
      <c r="I25" s="3" t="str">
        <f>IFERROR(__xludf.DUMMYFUNCTION("""COMPUTED_VALUE"""),"DDV - Operations")</f>
        <v>DDV - Operations</v>
      </c>
      <c r="J25" s="3" t="str">
        <f>IFERROR(__xludf.DUMMYFUNCTION("""COMPUTED_VALUE"""),"Partner")</f>
        <v>Partner</v>
      </c>
      <c r="K25" s="12">
        <f>IFERROR(__xludf.DUMMYFUNCTION("""COMPUTED_VALUE"""),40798.0)</f>
        <v>40798</v>
      </c>
      <c r="L25" s="3" t="str">
        <f>IFERROR(__xludf.DUMMYFUNCTION("""COMPUTED_VALUE"""),"Irvine")</f>
        <v>Irvine</v>
      </c>
      <c r="M25" s="3" t="str">
        <f>IFERROR(__xludf.DUMMYFUNCTION("""COMPUTED_VALUE"""),"Irvine - 2020 Main Street")</f>
        <v>Irvine - 2020 Main Street</v>
      </c>
      <c r="N25" s="3" t="b">
        <f>IFERROR(__xludf.DUMMYFUNCTION("""COMPUTED_VALUE"""),FALSE)</f>
        <v>0</v>
      </c>
      <c r="O25" s="3" t="str">
        <f>IFERROR(__xludf.DUMMYFUNCTION("""COMPUTED_VALUE"""),"derek.b.townsend@pwc.com")</f>
        <v>derek.b.townsend@pwc.com</v>
      </c>
      <c r="P25" s="3" t="str">
        <f>IFERROR(__xludf.DUMMYFUNCTION("""COMPUTED_VALUE"""),"No")</f>
        <v>No</v>
      </c>
      <c r="Q25" s="3" t="b">
        <f>IFERROR(__xludf.DUMMYFUNCTION("""COMPUTED_VALUE"""),FALSE)</f>
        <v>0</v>
      </c>
      <c r="R25" s="3"/>
      <c r="S25" s="3"/>
      <c r="T25" s="3" t="b">
        <f>IFERROR(__xludf.DUMMYFUNCTION("""COMPUTED_VALUE"""),FALSE)</f>
        <v>0</v>
      </c>
      <c r="U25" s="3" t="b">
        <f>IFERROR(__xludf.DUMMYFUNCTION("""COMPUTED_VALUE"""),TRUE)</f>
        <v>1</v>
      </c>
      <c r="V25" s="3" t="b">
        <f>IFERROR(__xludf.DUMMYFUNCTION("""COMPUTED_VALUE"""),FALSE)</f>
        <v>0</v>
      </c>
      <c r="W25" s="3" t="str">
        <f>IFERROR(__xludf.DUMMYFUNCTION("""COMPUTED_VALUE"""),"Delivery")</f>
        <v>Delivery</v>
      </c>
      <c r="X25" s="3"/>
      <c r="Y25" s="3"/>
      <c r="Z25" s="3" t="str">
        <f>IFERROR(__xludf.DUMMYFUNCTION("""COMPUTED_VALUE"""),"Corporate M&amp;A Transformation - TMT")</f>
        <v>Corporate M&amp;A Transformation - TMT</v>
      </c>
      <c r="AA25" s="3" t="b">
        <f>IFERROR(__xludf.DUMMYFUNCTION("""COMPUTED_VALUE"""),FALSE)</f>
        <v>0</v>
      </c>
    </row>
    <row r="26">
      <c r="A26" s="11">
        <f>IFERROR(__xludf.DUMMYFUNCTION("""COMPUTED_VALUE"""),1.01068117E8)</f>
        <v>101068117</v>
      </c>
      <c r="B26" s="3" t="str">
        <f>IFERROR(__xludf.DUMMYFUNCTION("""COMPUTED_VALUE"""),"Amy Cochran")</f>
        <v>Amy Cochran</v>
      </c>
      <c r="C26" s="3" t="str">
        <f>IFERROR(__xludf.DUMMYFUNCTION("""COMPUTED_VALUE"""),"Amy  Cochran")</f>
        <v>Amy  Cochran</v>
      </c>
      <c r="D26" s="3" t="str">
        <f>IFERROR(__xludf.DUMMYFUNCTION("""COMPUTED_VALUE"""),"Cochran, Amy")</f>
        <v>Cochran, Amy</v>
      </c>
      <c r="E26" s="3" t="str">
        <f>IFERROR(__xludf.DUMMYFUNCTION("""COMPUTED_VALUE"""),"Active")</f>
        <v>Active</v>
      </c>
      <c r="F26" s="3" t="str">
        <f>IFERROR(__xludf.DUMMYFUNCTION("""COMPUTED_VALUE"""),"amy.cochran@pwc.com")</f>
        <v>amy.cochran@pwc.com</v>
      </c>
      <c r="G26" s="3" t="str">
        <f>IFERROR(__xludf.DUMMYFUNCTION("""COMPUTED_VALUE"""),"Health")</f>
        <v>Health</v>
      </c>
      <c r="H26" s="3" t="str">
        <f>IFERROR(__xludf.DUMMYFUNCTION("""COMPUTED_VALUE"""),"Health Services")</f>
        <v>Health Services</v>
      </c>
      <c r="I26" s="3" t="str">
        <f>IFERROR(__xludf.DUMMYFUNCTION("""COMPUTED_VALUE"""),"Health - Provider ERP")</f>
        <v>Health - Provider ERP</v>
      </c>
      <c r="J26" s="3" t="str">
        <f>IFERROR(__xludf.DUMMYFUNCTION("""COMPUTED_VALUE"""),"Partner")</f>
        <v>Partner</v>
      </c>
      <c r="K26" s="12">
        <f>IFERROR(__xludf.DUMMYFUNCTION("""COMPUTED_VALUE"""),44298.0)</f>
        <v>44298</v>
      </c>
      <c r="L26" s="3" t="str">
        <f>IFERROR(__xludf.DUMMYFUNCTION("""COMPUTED_VALUE"""),"Chicago")</f>
        <v>Chicago</v>
      </c>
      <c r="M26" s="3" t="str">
        <f>IFERROR(__xludf.DUMMYFUNCTION("""COMPUTED_VALUE"""),"Chicago - One North Wacker Drive")</f>
        <v>Chicago - One North Wacker Drive</v>
      </c>
      <c r="N26" s="3" t="b">
        <f>IFERROR(__xludf.DUMMYFUNCTION("""COMPUTED_VALUE"""),FALSE)</f>
        <v>0</v>
      </c>
      <c r="O26" s="3" t="str">
        <f>IFERROR(__xludf.DUMMYFUNCTION("""COMPUTED_VALUE"""),"craig.e.gooch@pwc.com")</f>
        <v>craig.e.gooch@pwc.com</v>
      </c>
      <c r="P26" s="3" t="str">
        <f>IFERROR(__xludf.DUMMYFUNCTION("""COMPUTED_VALUE"""),"FY21 2nd Half")</f>
        <v>FY21 2nd Half</v>
      </c>
      <c r="Q26" s="3" t="b">
        <f>IFERROR(__xludf.DUMMYFUNCTION("""COMPUTED_VALUE"""),FALSE)</f>
        <v>0</v>
      </c>
      <c r="R26" s="3"/>
      <c r="S26" s="3" t="str">
        <f>IFERROR(__xludf.DUMMYFUNCTION("""COMPUTED_VALUE"""),"Diversity &amp; Inclusion Champions")</f>
        <v>Diversity &amp; Inclusion Champions</v>
      </c>
      <c r="T26" s="3" t="b">
        <f>IFERROR(__xludf.DUMMYFUNCTION("""COMPUTED_VALUE"""),FALSE)</f>
        <v>0</v>
      </c>
      <c r="U26" s="3" t="b">
        <f>IFERROR(__xludf.DUMMYFUNCTION("""COMPUTED_VALUE"""),TRUE)</f>
        <v>1</v>
      </c>
      <c r="V26" s="3" t="b">
        <f>IFERROR(__xludf.DUMMYFUNCTION("""COMPUTED_VALUE"""),FALSE)</f>
        <v>0</v>
      </c>
      <c r="W26" s="3" t="str">
        <f>IFERROR(__xludf.DUMMYFUNCTION("""COMPUTED_VALUE"""),"Catalyst")</f>
        <v>Catalyst</v>
      </c>
      <c r="X26" s="3"/>
      <c r="Y26" s="3" t="str">
        <f>IFERROR(__xludf.DUMMYFUNCTION("""COMPUTED_VALUE"""),"FY21 2nd Half")</f>
        <v>FY21 2nd Half</v>
      </c>
      <c r="Z26" s="3" t="str">
        <f>IFERROR(__xludf.DUMMYFUNCTION("""COMPUTED_VALUE"""),"Provider Transformation")</f>
        <v>Provider Transformation</v>
      </c>
      <c r="AA26" s="3" t="b">
        <f>IFERROR(__xludf.DUMMYFUNCTION("""COMPUTED_VALUE"""),FALSE)</f>
        <v>0</v>
      </c>
    </row>
    <row r="27">
      <c r="A27" s="11">
        <f>IFERROR(__xludf.DUMMYFUNCTION("""COMPUTED_VALUE"""),1.00914325E8)</f>
        <v>100914325</v>
      </c>
      <c r="B27" s="3" t="str">
        <f>IFERROR(__xludf.DUMMYFUNCTION("""COMPUTED_VALUE"""),"Amy Hunckler")</f>
        <v>Amy Hunckler</v>
      </c>
      <c r="C27" s="3" t="str">
        <f>IFERROR(__xludf.DUMMYFUNCTION("""COMPUTED_VALUE"""),"Amy  Hunckler")</f>
        <v>Amy  Hunckler</v>
      </c>
      <c r="D27" s="3" t="str">
        <f>IFERROR(__xludf.DUMMYFUNCTION("""COMPUTED_VALUE"""),"Hunckler, Amy")</f>
        <v>Hunckler, Amy</v>
      </c>
      <c r="E27" s="3" t="str">
        <f>IFERROR(__xludf.DUMMYFUNCTION("""COMPUTED_VALUE"""),"Active")</f>
        <v>Active</v>
      </c>
      <c r="F27" s="3" t="str">
        <f>IFERROR(__xludf.DUMMYFUNCTION("""COMPUTED_VALUE"""),"amy.hunckler@pwc.com")</f>
        <v>amy.hunckler@pwc.com</v>
      </c>
      <c r="G27" s="3" t="str">
        <f>IFERROR(__xludf.DUMMYFUNCTION("""COMPUTED_VALUE"""),"Customer")</f>
        <v>Customer</v>
      </c>
      <c r="H27" s="3" t="str">
        <f>IFERROR(__xludf.DUMMYFUNCTION("""COMPUTED_VALUE"""),"Pharma and Life Sciences")</f>
        <v>Pharma and Life Sciences</v>
      </c>
      <c r="I27" s="3" t="str">
        <f>IFERROR(__xludf.DUMMYFUNCTION("""COMPUTED_VALUE"""),"Customer - Customer Strategy &amp; Experience")</f>
        <v>Customer - Customer Strategy &amp; Experience</v>
      </c>
      <c r="J27" s="3" t="str">
        <f>IFERROR(__xludf.DUMMYFUNCTION("""COMPUTED_VALUE"""),"Managing Director")</f>
        <v>Managing Director</v>
      </c>
      <c r="K27" s="12">
        <f>IFERROR(__xludf.DUMMYFUNCTION("""COMPUTED_VALUE"""),43731.0)</f>
        <v>43731</v>
      </c>
      <c r="L27" s="3" t="str">
        <f>IFERROR(__xludf.DUMMYFUNCTION("""COMPUTED_VALUE"""),"Chicago")</f>
        <v>Chicago</v>
      </c>
      <c r="M27" s="3" t="str">
        <f>IFERROR(__xludf.DUMMYFUNCTION("""COMPUTED_VALUE"""),"Chicago - One North Wacker Drive")</f>
        <v>Chicago - One North Wacker Drive</v>
      </c>
      <c r="N27" s="3" t="b">
        <f>IFERROR(__xludf.DUMMYFUNCTION("""COMPUTED_VALUE"""),FALSE)</f>
        <v>0</v>
      </c>
      <c r="O27" s="3" t="str">
        <f>IFERROR(__xludf.DUMMYFUNCTION("""COMPUTED_VALUE"""),"jennifer.a.colapietro@pwc.com")</f>
        <v>jennifer.a.colapietro@pwc.com</v>
      </c>
      <c r="P27" s="3" t="str">
        <f>IFERROR(__xludf.DUMMYFUNCTION("""COMPUTED_VALUE"""),"No")</f>
        <v>No</v>
      </c>
      <c r="Q27" s="3" t="b">
        <f>IFERROR(__xludf.DUMMYFUNCTION("""COMPUTED_VALUE"""),FALSE)</f>
        <v>0</v>
      </c>
      <c r="R27" s="3"/>
      <c r="S27" s="3"/>
      <c r="T27" s="3" t="b">
        <f>IFERROR(__xludf.DUMMYFUNCTION("""COMPUTED_VALUE"""),FALSE)</f>
        <v>0</v>
      </c>
      <c r="U27" s="3" t="b">
        <f>IFERROR(__xludf.DUMMYFUNCTION("""COMPUTED_VALUE"""),TRUE)</f>
        <v>1</v>
      </c>
      <c r="V27" s="3" t="b">
        <f>IFERROR(__xludf.DUMMYFUNCTION("""COMPUTED_VALUE"""),FALSE)</f>
        <v>0</v>
      </c>
      <c r="W27" s="3" t="str">
        <f>IFERROR(__xludf.DUMMYFUNCTION("""COMPUTED_VALUE"""),"Delivery")</f>
        <v>Delivery</v>
      </c>
      <c r="X27" s="3"/>
      <c r="Y27" s="3"/>
      <c r="Z27" s="3" t="str">
        <f>IFERROR(__xludf.DUMMYFUNCTION("""COMPUTED_VALUE"""),"Commercial / CRM Transformation - CM &amp; IPS &amp; HIA")</f>
        <v>Commercial / CRM Transformation - CM &amp; IPS &amp; HIA</v>
      </c>
      <c r="AA27" s="3" t="b">
        <f>IFERROR(__xludf.DUMMYFUNCTION("""COMPUTED_VALUE"""),FALSE)</f>
        <v>0</v>
      </c>
    </row>
    <row r="28">
      <c r="A28" s="11">
        <f>IFERROR(__xludf.DUMMYFUNCTION("""COMPUTED_VALUE"""),1.00609381E8)</f>
        <v>100609381</v>
      </c>
      <c r="B28" s="3" t="str">
        <f>IFERROR(__xludf.DUMMYFUNCTION("""COMPUTED_VALUE"""),"Andrea Fishman (On Leave)")</f>
        <v>Andrea Fishman (On Leave)</v>
      </c>
      <c r="C28" s="3" t="str">
        <f>IFERROR(__xludf.DUMMYFUNCTION("""COMPUTED_VALUE"""),"Andrea Erin Fishman")</f>
        <v>Andrea Erin Fishman</v>
      </c>
      <c r="D28" s="3" t="str">
        <f>IFERROR(__xludf.DUMMYFUNCTION("""COMPUTED_VALUE"""),"Fishman, Andrea Erin")</f>
        <v>Fishman, Andrea Erin</v>
      </c>
      <c r="E28" s="3" t="str">
        <f>IFERROR(__xludf.DUMMYFUNCTION("""COMPUTED_VALUE"""),"Disability Leave")</f>
        <v>Disability Leave</v>
      </c>
      <c r="F28" s="3" t="str">
        <f>IFERROR(__xludf.DUMMYFUNCTION("""COMPUTED_VALUE"""),"andrea.fishman@pwc.com")</f>
        <v>andrea.fishman@pwc.com</v>
      </c>
      <c r="G28" s="3" t="str">
        <f>IFERROR(__xludf.DUMMYFUNCTION("""COMPUTED_VALUE"""),"Customer")</f>
        <v>Customer</v>
      </c>
      <c r="H28" s="3" t="str">
        <f>IFERROR(__xludf.DUMMYFUNCTION("""COMPUTED_VALUE"""),"CM X-Sector")</f>
        <v>CM X-Sector</v>
      </c>
      <c r="I28" s="3" t="str">
        <f>IFERROR(__xludf.DUMMYFUNCTION("""COMPUTED_VALUE"""),"Customer - Marketing")</f>
        <v>Customer - Marketing</v>
      </c>
      <c r="J28" s="3" t="str">
        <f>IFERROR(__xludf.DUMMYFUNCTION("""COMPUTED_VALUE"""),"Partner (On Leave)")</f>
        <v>Partner (On Leave)</v>
      </c>
      <c r="K28" s="12">
        <f>IFERROR(__xludf.DUMMYFUNCTION("""COMPUTED_VALUE"""),41579.0)</f>
        <v>41579</v>
      </c>
      <c r="L28" s="3" t="str">
        <f>IFERROR(__xludf.DUMMYFUNCTION("""COMPUTED_VALUE"""),"Chicago")</f>
        <v>Chicago</v>
      </c>
      <c r="M28" s="3" t="str">
        <f>IFERROR(__xludf.DUMMYFUNCTION("""COMPUTED_VALUE"""),"Chicago - One North Wacker Drive")</f>
        <v>Chicago - One North Wacker Drive</v>
      </c>
      <c r="N28" s="3" t="b">
        <f>IFERROR(__xludf.DUMMYFUNCTION("""COMPUTED_VALUE"""),FALSE)</f>
        <v>0</v>
      </c>
      <c r="O28" s="3" t="str">
        <f>IFERROR(__xludf.DUMMYFUNCTION("""COMPUTED_VALUE"""),"george.korizis@pwc.com")</f>
        <v>george.korizis@pwc.com</v>
      </c>
      <c r="P28" s="3" t="str">
        <f>IFERROR(__xludf.DUMMYFUNCTION("""COMPUTED_VALUE"""),"No")</f>
        <v>No</v>
      </c>
      <c r="Q28" s="3" t="b">
        <f>IFERROR(__xludf.DUMMYFUNCTION("""COMPUTED_VALUE"""),TRUE)</f>
        <v>1</v>
      </c>
      <c r="R28" s="3" t="str">
        <f>IFERROR(__xludf.DUMMYFUNCTION("""COMPUTED_VALUE"""),"LCP Low")</f>
        <v>LCP Low</v>
      </c>
      <c r="S28" s="3"/>
      <c r="T28" s="3" t="b">
        <f>IFERROR(__xludf.DUMMYFUNCTION("""COMPUTED_VALUE"""),FALSE)</f>
        <v>0</v>
      </c>
      <c r="U28" s="3" t="b">
        <f>IFERROR(__xludf.DUMMYFUNCTION("""COMPUTED_VALUE"""),FALSE)</f>
        <v>0</v>
      </c>
      <c r="V28" s="3" t="b">
        <f>IFERROR(__xludf.DUMMYFUNCTION("""COMPUTED_VALUE"""),FALSE)</f>
        <v>0</v>
      </c>
      <c r="W28" s="3" t="str">
        <f>IFERROR(__xludf.DUMMYFUNCTION("""COMPUTED_VALUE"""),"LCP")</f>
        <v>LCP</v>
      </c>
      <c r="X28" s="3"/>
      <c r="Y28" s="3" t="str">
        <f>IFERROR(__xludf.DUMMYFUNCTION("""COMPUTED_VALUE"""),"GEP - Low")</f>
        <v>GEP - Low</v>
      </c>
      <c r="Z28" s="3" t="str">
        <f>IFERROR(__xludf.DUMMYFUNCTION("""COMPUTED_VALUE"""),"Marketing Transformation")</f>
        <v>Marketing Transformation</v>
      </c>
      <c r="AA28" s="3" t="b">
        <f>IFERROR(__xludf.DUMMYFUNCTION("""COMPUTED_VALUE"""),FALSE)</f>
        <v>0</v>
      </c>
    </row>
    <row r="29">
      <c r="A29" s="11">
        <f>IFERROR(__xludf.DUMMYFUNCTION("""COMPUTED_VALUE"""),1.01204051E8)</f>
        <v>101204051</v>
      </c>
      <c r="B29" s="3" t="str">
        <f>IFERROR(__xludf.DUMMYFUNCTION("""COMPUTED_VALUE"""),"Andrew Benett")</f>
        <v>Andrew Benett</v>
      </c>
      <c r="C29" s="3" t="str">
        <f>IFERROR(__xludf.DUMMYFUNCTION("""COMPUTED_VALUE"""),"Andrew  Benett")</f>
        <v>Andrew  Benett</v>
      </c>
      <c r="D29" s="3" t="str">
        <f>IFERROR(__xludf.DUMMYFUNCTION("""COMPUTED_VALUE"""),"Benett, Andrew")</f>
        <v>Benett, Andrew</v>
      </c>
      <c r="E29" s="3" t="str">
        <f>IFERROR(__xludf.DUMMYFUNCTION("""COMPUTED_VALUE"""),"Active")</f>
        <v>Active</v>
      </c>
      <c r="F29" s="3" t="str">
        <f>IFERROR(__xludf.DUMMYFUNCTION("""COMPUTED_VALUE"""),"andrew.benett@pwc.com")</f>
        <v>andrew.benett@pwc.com</v>
      </c>
      <c r="G29" s="3" t="str">
        <f>IFERROR(__xludf.DUMMYFUNCTION("""COMPUTED_VALUE"""),"ESV")</f>
        <v>ESV</v>
      </c>
      <c r="H29" s="3" t="str">
        <f>IFERROR(__xludf.DUMMYFUNCTION("""COMPUTED_VALUE"""),"CM X-Sector")</f>
        <v>CM X-Sector</v>
      </c>
      <c r="I29" s="3" t="str">
        <f>IFERROR(__xludf.DUMMYFUNCTION("""COMPUTED_VALUE"""),"ESV - ESG")</f>
        <v>ESV - ESG</v>
      </c>
      <c r="J29" s="3" t="str">
        <f>IFERROR(__xludf.DUMMYFUNCTION("""COMPUTED_VALUE"""),"Partner")</f>
        <v>Partner</v>
      </c>
      <c r="K29" s="12">
        <f>IFERROR(__xludf.DUMMYFUNCTION("""COMPUTED_VALUE"""),44608.0)</f>
        <v>44608</v>
      </c>
      <c r="L29" s="3" t="str">
        <f>IFERROR(__xludf.DUMMYFUNCTION("""COMPUTED_VALUE"""),"Stamford")</f>
        <v>Stamford</v>
      </c>
      <c r="M29" s="3" t="str">
        <f>IFERROR(__xludf.DUMMYFUNCTION("""COMPUTED_VALUE"""),"Stamford - 263 Tresser")</f>
        <v>Stamford - 263 Tresser</v>
      </c>
      <c r="N29" s="3" t="b">
        <f>IFERROR(__xludf.DUMMYFUNCTION("""COMPUTED_VALUE"""),FALSE)</f>
        <v>0</v>
      </c>
      <c r="O29" s="3" t="str">
        <f>IFERROR(__xludf.DUMMYFUNCTION("""COMPUTED_VALUE"""),"sundar.subramanian@pwc.com")</f>
        <v>sundar.subramanian@pwc.com</v>
      </c>
      <c r="P29" s="3" t="str">
        <f>IFERROR(__xludf.DUMMYFUNCTION("""COMPUTED_VALUE"""),"FY22")</f>
        <v>FY22</v>
      </c>
      <c r="Q29" s="3" t="b">
        <f>IFERROR(__xludf.DUMMYFUNCTION("""COMPUTED_VALUE"""),FALSE)</f>
        <v>0</v>
      </c>
      <c r="R29" s="3"/>
      <c r="S29" s="3"/>
      <c r="T29" s="3" t="b">
        <f>IFERROR(__xludf.DUMMYFUNCTION("""COMPUTED_VALUE"""),TRUE)</f>
        <v>1</v>
      </c>
      <c r="U29" s="3" t="b">
        <f>IFERROR(__xludf.DUMMYFUNCTION("""COMPUTED_VALUE"""),FALSE)</f>
        <v>0</v>
      </c>
      <c r="V29" s="3" t="b">
        <f>IFERROR(__xludf.DUMMYFUNCTION("""COMPUTED_VALUE"""),TRUE)</f>
        <v>1</v>
      </c>
      <c r="W29" s="3" t="str">
        <f>IFERROR(__xludf.DUMMYFUNCTION("""COMPUTED_VALUE"""),"Catalyst")</f>
        <v>Catalyst</v>
      </c>
      <c r="X29" s="3"/>
      <c r="Y29" s="3" t="str">
        <f>IFERROR(__xludf.DUMMYFUNCTION("""COMPUTED_VALUE"""),"FY22")</f>
        <v>FY22</v>
      </c>
      <c r="Z29" s="3" t="str">
        <f>IFERROR(__xludf.DUMMYFUNCTION("""COMPUTED_VALUE"""),"")</f>
        <v/>
      </c>
      <c r="AA29" s="3" t="b">
        <f>IFERROR(__xludf.DUMMYFUNCTION("""COMPUTED_VALUE"""),FALSE)</f>
        <v>0</v>
      </c>
    </row>
    <row r="30">
      <c r="A30" s="11">
        <f>IFERROR(__xludf.DUMMYFUNCTION("""COMPUTED_VALUE"""),1.00592561E8)</f>
        <v>100592561</v>
      </c>
      <c r="B30" s="3" t="str">
        <f>IFERROR(__xludf.DUMMYFUNCTION("""COMPUTED_VALUE"""),"Andrew Knowlton")</f>
        <v>Andrew Knowlton</v>
      </c>
      <c r="C30" s="3" t="str">
        <f>IFERROR(__xludf.DUMMYFUNCTION("""COMPUTED_VALUE"""),"Andrew James Knowlton")</f>
        <v>Andrew James Knowlton</v>
      </c>
      <c r="D30" s="3" t="str">
        <f>IFERROR(__xludf.DUMMYFUNCTION("""COMPUTED_VALUE"""),"Knowlton, Andrew James")</f>
        <v>Knowlton, Andrew James</v>
      </c>
      <c r="E30" s="3" t="str">
        <f>IFERROR(__xludf.DUMMYFUNCTION("""COMPUTED_VALUE"""),"Active")</f>
        <v>Active</v>
      </c>
      <c r="F30" s="3" t="str">
        <f>IFERROR(__xludf.DUMMYFUNCTION("""COMPUTED_VALUE"""),"andrew.j.knowlton@pwc.com")</f>
        <v>andrew.j.knowlton@pwc.com</v>
      </c>
      <c r="G30" s="3" t="str">
        <f>IFERROR(__xludf.DUMMYFUNCTION("""COMPUTED_VALUE"""),"Deals Transformation")</f>
        <v>Deals Transformation</v>
      </c>
      <c r="H30" s="3" t="str">
        <f>IFERROR(__xludf.DUMMYFUNCTION("""COMPUTED_VALUE"""),"Insurance")</f>
        <v>Insurance</v>
      </c>
      <c r="I30" s="3" t="str">
        <f>IFERROR(__xludf.DUMMYFUNCTION("""COMPUTED_VALUE"""),"DDV - ISD (Integration, Separation, Divestitures)")</f>
        <v>DDV - ISD (Integration, Separation, Divestitures)</v>
      </c>
      <c r="J30" s="3" t="str">
        <f>IFERROR(__xludf.DUMMYFUNCTION("""COMPUTED_VALUE"""),"Partner")</f>
        <v>Partner</v>
      </c>
      <c r="K30" s="12">
        <f>IFERROR(__xludf.DUMMYFUNCTION("""COMPUTED_VALUE"""),40840.0)</f>
        <v>40840</v>
      </c>
      <c r="L30" s="3" t="str">
        <f>IFERROR(__xludf.DUMMYFUNCTION("""COMPUTED_VALUE"""),"Boston")</f>
        <v>Boston</v>
      </c>
      <c r="M30" s="3" t="str">
        <f>IFERROR(__xludf.DUMMYFUNCTION("""COMPUTED_VALUE"""),"Boston - 101 Seaport Boulevard")</f>
        <v>Boston - 101 Seaport Boulevard</v>
      </c>
      <c r="N30" s="3" t="b">
        <f>IFERROR(__xludf.DUMMYFUNCTION("""COMPUTED_VALUE"""),FALSE)</f>
        <v>0</v>
      </c>
      <c r="O30" s="3" t="str">
        <f>IFERROR(__xludf.DUMMYFUNCTION("""COMPUTED_VALUE"""),"derek.b.townsend@pwc.com")</f>
        <v>derek.b.townsend@pwc.com</v>
      </c>
      <c r="P30" s="3" t="str">
        <f>IFERROR(__xludf.DUMMYFUNCTION("""COMPUTED_VALUE"""),"No")</f>
        <v>No</v>
      </c>
      <c r="Q30" s="3" t="b">
        <f>IFERROR(__xludf.DUMMYFUNCTION("""COMPUTED_VALUE"""),FALSE)</f>
        <v>0</v>
      </c>
      <c r="R30" s="3"/>
      <c r="S30" s="3"/>
      <c r="T30" s="3" t="b">
        <f>IFERROR(__xludf.DUMMYFUNCTION("""COMPUTED_VALUE"""),FALSE)</f>
        <v>0</v>
      </c>
      <c r="U30" s="3" t="b">
        <f>IFERROR(__xludf.DUMMYFUNCTION("""COMPUTED_VALUE"""),TRUE)</f>
        <v>1</v>
      </c>
      <c r="V30" s="3" t="b">
        <f>IFERROR(__xludf.DUMMYFUNCTION("""COMPUTED_VALUE"""),FALSE)</f>
        <v>0</v>
      </c>
      <c r="W30" s="3" t="str">
        <f>IFERROR(__xludf.DUMMYFUNCTION("""COMPUTED_VALUE"""),"Delivery")</f>
        <v>Delivery</v>
      </c>
      <c r="X30" s="3"/>
      <c r="Y30" s="3"/>
      <c r="Z30" s="3" t="str">
        <f>IFERROR(__xludf.DUMMYFUNCTION("""COMPUTED_VALUE"""),"Corporate M&amp;A Transformation - FS")</f>
        <v>Corporate M&amp;A Transformation - FS</v>
      </c>
      <c r="AA30" s="3" t="b">
        <f>IFERROR(__xludf.DUMMYFUNCTION("""COMPUTED_VALUE"""),FALSE)</f>
        <v>0</v>
      </c>
    </row>
    <row r="31">
      <c r="A31" s="11">
        <f>IFERROR(__xludf.DUMMYFUNCTION("""COMPUTED_VALUE"""),1.00642273E8)</f>
        <v>100642273</v>
      </c>
      <c r="B31" s="3" t="str">
        <f>IFERROR(__xludf.DUMMYFUNCTION("""COMPUTED_VALUE"""),"Andrew Skor")</f>
        <v>Andrew Skor</v>
      </c>
      <c r="C31" s="3" t="str">
        <f>IFERROR(__xludf.DUMMYFUNCTION("""COMPUTED_VALUE"""),"Andrew  Skor")</f>
        <v>Andrew  Skor</v>
      </c>
      <c r="D31" s="3" t="str">
        <f>IFERROR(__xludf.DUMMYFUNCTION("""COMPUTED_VALUE"""),"Skor, Andrew")</f>
        <v>Skor, Andrew</v>
      </c>
      <c r="E31" s="3" t="str">
        <f>IFERROR(__xludf.DUMMYFUNCTION("""COMPUTED_VALUE"""),"Active")</f>
        <v>Active</v>
      </c>
      <c r="F31" s="3" t="str">
        <f>IFERROR(__xludf.DUMMYFUNCTION("""COMPUTED_VALUE"""),"andrew.skor@pwc.com")</f>
        <v>andrew.skor@pwc.com</v>
      </c>
      <c r="G31" s="3" t="str">
        <f>IFERROR(__xludf.DUMMYFUNCTION("""COMPUTED_VALUE"""),"Workforce")</f>
        <v>Workforce</v>
      </c>
      <c r="H31" s="3" t="str">
        <f>IFERROR(__xludf.DUMMYFUNCTION("""COMPUTED_VALUE"""),"CM X-Sector")</f>
        <v>CM X-Sector</v>
      </c>
      <c r="I31" s="3" t="str">
        <f>IFERROR(__xludf.DUMMYFUNCTION("""COMPUTED_VALUE"""),"Workforce - Deals")</f>
        <v>Workforce - Deals</v>
      </c>
      <c r="J31" s="3" t="str">
        <f>IFERROR(__xludf.DUMMYFUNCTION("""COMPUTED_VALUE"""),"Partner")</f>
        <v>Partner</v>
      </c>
      <c r="K31" s="12">
        <f>IFERROR(__xludf.DUMMYFUNCTION("""COMPUTED_VALUE"""),39832.0)</f>
        <v>39832</v>
      </c>
      <c r="L31" s="3" t="str">
        <f>IFERROR(__xludf.DUMMYFUNCTION("""COMPUTED_VALUE"""),"New York")</f>
        <v>New York</v>
      </c>
      <c r="M31" s="3" t="str">
        <f>IFERROR(__xludf.DUMMYFUNCTION("""COMPUTED_VALUE"""),"New York - 300 Madison Avenue")</f>
        <v>New York - 300 Madison Avenue</v>
      </c>
      <c r="N31" s="3" t="b">
        <f>IFERROR(__xludf.DUMMYFUNCTION("""COMPUTED_VALUE"""),FALSE)</f>
        <v>0</v>
      </c>
      <c r="O31" s="3" t="str">
        <f>IFERROR(__xludf.DUMMYFUNCTION("""COMPUTED_VALUE"""),"craig.odonnell@pwc.com")</f>
        <v>craig.odonnell@pwc.com</v>
      </c>
      <c r="P31" s="3" t="str">
        <f>IFERROR(__xludf.DUMMYFUNCTION("""COMPUTED_VALUE"""),"No")</f>
        <v>No</v>
      </c>
      <c r="Q31" s="3" t="b">
        <f>IFERROR(__xludf.DUMMYFUNCTION("""COMPUTED_VALUE"""),FALSE)</f>
        <v>0</v>
      </c>
      <c r="R31" s="3"/>
      <c r="S31" s="3"/>
      <c r="T31" s="3" t="b">
        <f>IFERROR(__xludf.DUMMYFUNCTION("""COMPUTED_VALUE"""),FALSE)</f>
        <v>0</v>
      </c>
      <c r="U31" s="3" t="b">
        <f>IFERROR(__xludf.DUMMYFUNCTION("""COMPUTED_VALUE"""),FALSE)</f>
        <v>0</v>
      </c>
      <c r="V31" s="3" t="b">
        <f>IFERROR(__xludf.DUMMYFUNCTION("""COMPUTED_VALUE"""),FALSE)</f>
        <v>0</v>
      </c>
      <c r="W31" s="3" t="str">
        <f>IFERROR(__xludf.DUMMYFUNCTION("""COMPUTED_VALUE"""),"#N/A")</f>
        <v>#N/A</v>
      </c>
      <c r="X31" s="3" t="str">
        <f>IFERROR(__xludf.DUMMYFUNCTION("""COMPUTED_VALUE"""),"#N/A")</f>
        <v>#N/A</v>
      </c>
      <c r="Y31" s="3" t="str">
        <f>IFERROR(__xludf.DUMMYFUNCTION("""COMPUTED_VALUE"""),"#N/A")</f>
        <v>#N/A</v>
      </c>
      <c r="Z31" s="3" t="str">
        <f>IFERROR(__xludf.DUMMYFUNCTION("""COMPUTED_VALUE"""),"Unknown")</f>
        <v>Unknown</v>
      </c>
      <c r="AA31" s="3" t="b">
        <f>IFERROR(__xludf.DUMMYFUNCTION("""COMPUTED_VALUE"""),FALSE)</f>
        <v>0</v>
      </c>
    </row>
    <row r="32">
      <c r="A32" s="11">
        <f>IFERROR(__xludf.DUMMYFUNCTION("""COMPUTED_VALUE"""),1.00648324E8)</f>
        <v>100648324</v>
      </c>
      <c r="B32" s="3" t="str">
        <f>IFERROR(__xludf.DUMMYFUNCTION("""COMPUTED_VALUE"""),"Andrew Sofield")</f>
        <v>Andrew Sofield</v>
      </c>
      <c r="C32" s="3" t="str">
        <f>IFERROR(__xludf.DUMMYFUNCTION("""COMPUTED_VALUE"""),"Andrew J Sofield")</f>
        <v>Andrew J Sofield</v>
      </c>
      <c r="D32" s="3" t="str">
        <f>IFERROR(__xludf.DUMMYFUNCTION("""COMPUTED_VALUE"""),"Sofield, Andrew J")</f>
        <v>Sofield, Andrew J</v>
      </c>
      <c r="E32" s="3" t="str">
        <f>IFERROR(__xludf.DUMMYFUNCTION("""COMPUTED_VALUE"""),"Active")</f>
        <v>Active</v>
      </c>
      <c r="F32" s="3" t="str">
        <f>IFERROR(__xludf.DUMMYFUNCTION("""COMPUTED_VALUE"""),"andrew.sofield@pwc.com")</f>
        <v>andrew.sofield@pwc.com</v>
      </c>
      <c r="G32" s="3" t="str">
        <f>IFERROR(__xludf.DUMMYFUNCTION("""COMPUTED_VALUE"""),"Customer")</f>
        <v>Customer</v>
      </c>
      <c r="H32" s="3" t="str">
        <f>IFERROR(__xludf.DUMMYFUNCTION("""COMPUTED_VALUE"""),"HI X-Sector")</f>
        <v>HI X-Sector</v>
      </c>
      <c r="I32" s="3" t="str">
        <f>IFERROR(__xludf.DUMMYFUNCTION("""COMPUTED_VALUE"""),"Customer - Customer Strategy &amp; Experience")</f>
        <v>Customer - Customer Strategy &amp; Experience</v>
      </c>
      <c r="J32" s="3" t="str">
        <f>IFERROR(__xludf.DUMMYFUNCTION("""COMPUTED_VALUE"""),"Partner")</f>
        <v>Partner</v>
      </c>
      <c r="K32" s="12">
        <f>IFERROR(__xludf.DUMMYFUNCTION("""COMPUTED_VALUE"""),40485.0)</f>
        <v>40485</v>
      </c>
      <c r="L32" s="3" t="str">
        <f>IFERROR(__xludf.DUMMYFUNCTION("""COMPUTED_VALUE"""),"Los Angeles")</f>
        <v>Los Angeles</v>
      </c>
      <c r="M32" s="3" t="str">
        <f>IFERROR(__xludf.DUMMYFUNCTION("""COMPUTED_VALUE"""),"Los Angeles - 601 South Figueroa Street")</f>
        <v>Los Angeles - 601 South Figueroa Street</v>
      </c>
      <c r="N32" s="3" t="b">
        <f>IFERROR(__xludf.DUMMYFUNCTION("""COMPUTED_VALUE"""),FALSE)</f>
        <v>0</v>
      </c>
      <c r="O32" s="3" t="str">
        <f>IFERROR(__xludf.DUMMYFUNCTION("""COMPUTED_VALUE"""),"george.korizis@pwc.com")</f>
        <v>george.korizis@pwc.com</v>
      </c>
      <c r="P32" s="3" t="str">
        <f>IFERROR(__xludf.DUMMYFUNCTION("""COMPUTED_VALUE"""),"No")</f>
        <v>No</v>
      </c>
      <c r="Q32" s="3" t="b">
        <f>IFERROR(__xludf.DUMMYFUNCTION("""COMPUTED_VALUE"""),TRUE)</f>
        <v>1</v>
      </c>
      <c r="R32" s="3" t="str">
        <f>IFERROR(__xludf.DUMMYFUNCTION("""COMPUTED_VALUE"""),"LCP Low")</f>
        <v>LCP Low</v>
      </c>
      <c r="S32" s="3" t="str">
        <f>IFERROR(__xludf.DUMMYFUNCTION("""COMPUTED_VALUE"""),"Diversity &amp; Inclusion Champions")</f>
        <v>Diversity &amp; Inclusion Champions</v>
      </c>
      <c r="T32" s="3" t="b">
        <f>IFERROR(__xludf.DUMMYFUNCTION("""COMPUTED_VALUE"""),FALSE)</f>
        <v>0</v>
      </c>
      <c r="U32" s="3" t="b">
        <f>IFERROR(__xludf.DUMMYFUNCTION("""COMPUTED_VALUE"""),FALSE)</f>
        <v>0</v>
      </c>
      <c r="V32" s="3" t="b">
        <f>IFERROR(__xludf.DUMMYFUNCTION("""COMPUTED_VALUE"""),FALSE)</f>
        <v>0</v>
      </c>
      <c r="W32" s="3" t="str">
        <f>IFERROR(__xludf.DUMMYFUNCTION("""COMPUTED_VALUE"""),"LCP")</f>
        <v>LCP</v>
      </c>
      <c r="X32" s="3"/>
      <c r="Y32" s="3" t="str">
        <f>IFERROR(__xludf.DUMMYFUNCTION("""COMPUTED_VALUE"""),"GEP - Low")</f>
        <v>GEP - Low</v>
      </c>
      <c r="Z32" s="3" t="str">
        <f>IFERROR(__xludf.DUMMYFUNCTION("""COMPUTED_VALUE"""),"Commercial / CRM Transformation - CM &amp; IPS &amp; HIA")</f>
        <v>Commercial / CRM Transformation - CM &amp; IPS &amp; HIA</v>
      </c>
      <c r="AA32" s="3" t="b">
        <f>IFERROR(__xludf.DUMMYFUNCTION("""COMPUTED_VALUE"""),FALSE)</f>
        <v>0</v>
      </c>
    </row>
    <row r="33">
      <c r="A33" s="11">
        <f>IFERROR(__xludf.DUMMYFUNCTION("""COMPUTED_VALUE"""),1.00647536E8)</f>
        <v>100647536</v>
      </c>
      <c r="B33" s="3" t="str">
        <f>IFERROR(__xludf.DUMMYFUNCTION("""COMPUTED_VALUE"""),"Andrew Wooten")</f>
        <v>Andrew Wooten</v>
      </c>
      <c r="C33" s="3" t="str">
        <f>IFERROR(__xludf.DUMMYFUNCTION("""COMPUTED_VALUE"""),"Andrew K Wooten")</f>
        <v>Andrew K Wooten</v>
      </c>
      <c r="D33" s="3" t="str">
        <f>IFERROR(__xludf.DUMMYFUNCTION("""COMPUTED_VALUE"""),"Wooten, Andrew K")</f>
        <v>Wooten, Andrew K</v>
      </c>
      <c r="E33" s="3" t="str">
        <f>IFERROR(__xludf.DUMMYFUNCTION("""COMPUTED_VALUE"""),"Active")</f>
        <v>Active</v>
      </c>
      <c r="F33" s="3" t="str">
        <f>IFERROR(__xludf.DUMMYFUNCTION("""COMPUTED_VALUE"""),"andrew.wooten@pwc.com")</f>
        <v>andrew.wooten@pwc.com</v>
      </c>
      <c r="G33" s="3" t="str">
        <f>IFERROR(__xludf.DUMMYFUNCTION("""COMPUTED_VALUE"""),"Deals Transformation")</f>
        <v>Deals Transformation</v>
      </c>
      <c r="H33" s="3" t="str">
        <f>IFERROR(__xludf.DUMMYFUNCTION("""COMPUTED_VALUE"""),"Asset and Wealth Management")</f>
        <v>Asset and Wealth Management</v>
      </c>
      <c r="I33" s="3" t="str">
        <f>IFERROR(__xludf.DUMMYFUNCTION("""COMPUTED_VALUE"""),"DDV - ISD (Integration, Separation, Divestitures)")</f>
        <v>DDV - ISD (Integration, Separation, Divestitures)</v>
      </c>
      <c r="J33" s="3" t="str">
        <f>IFERROR(__xludf.DUMMYFUNCTION("""COMPUTED_VALUE"""),"Partner")</f>
        <v>Partner</v>
      </c>
      <c r="K33" s="12">
        <f>IFERROR(__xludf.DUMMYFUNCTION("""COMPUTED_VALUE"""),40485.0)</f>
        <v>40485</v>
      </c>
      <c r="L33" s="3" t="str">
        <f>IFERROR(__xludf.DUMMYFUNCTION("""COMPUTED_VALUE"""),"New Orleans")</f>
        <v>New Orleans</v>
      </c>
      <c r="M33" s="3" t="str">
        <f>IFERROR(__xludf.DUMMYFUNCTION("""COMPUTED_VALUE"""),"New Orleans - 909 Poydras Street")</f>
        <v>New Orleans - 909 Poydras Street</v>
      </c>
      <c r="N33" s="3" t="b">
        <f>IFERROR(__xludf.DUMMYFUNCTION("""COMPUTED_VALUE"""),FALSE)</f>
        <v>0</v>
      </c>
      <c r="O33" s="3" t="str">
        <f>IFERROR(__xludf.DUMMYFUNCTION("""COMPUTED_VALUE"""),"derek.b.townsend@pwc.com")</f>
        <v>derek.b.townsend@pwc.com</v>
      </c>
      <c r="P33" s="3" t="str">
        <f>IFERROR(__xludf.DUMMYFUNCTION("""COMPUTED_VALUE"""),"No")</f>
        <v>No</v>
      </c>
      <c r="Q33" s="3" t="b">
        <f>IFERROR(__xludf.DUMMYFUNCTION("""COMPUTED_VALUE"""),FALSE)</f>
        <v>0</v>
      </c>
      <c r="R33" s="3"/>
      <c r="S33" s="3"/>
      <c r="T33" s="3" t="b">
        <f>IFERROR(__xludf.DUMMYFUNCTION("""COMPUTED_VALUE"""),FALSE)</f>
        <v>0</v>
      </c>
      <c r="U33" s="3" t="b">
        <f>IFERROR(__xludf.DUMMYFUNCTION("""COMPUTED_VALUE"""),TRUE)</f>
        <v>1</v>
      </c>
      <c r="V33" s="3" t="b">
        <f>IFERROR(__xludf.DUMMYFUNCTION("""COMPUTED_VALUE"""),FALSE)</f>
        <v>0</v>
      </c>
      <c r="W33" s="3" t="str">
        <f>IFERROR(__xludf.DUMMYFUNCTION("""COMPUTED_VALUE"""),"Delivery")</f>
        <v>Delivery</v>
      </c>
      <c r="X33" s="3" t="str">
        <f>IFERROR(__xludf.DUMMYFUNCTION("""COMPUTED_VALUE"""),"Investment")</f>
        <v>Investment</v>
      </c>
      <c r="Y33" s="3"/>
      <c r="Z33" s="3" t="str">
        <f>IFERROR(__xludf.DUMMYFUNCTION("""COMPUTED_VALUE"""),"Corporate M&amp;A Transformation - FS")</f>
        <v>Corporate M&amp;A Transformation - FS</v>
      </c>
      <c r="AA33" s="3" t="b">
        <f>IFERROR(__xludf.DUMMYFUNCTION("""COMPUTED_VALUE"""),FALSE)</f>
        <v>0</v>
      </c>
    </row>
    <row r="34">
      <c r="A34" s="11">
        <f>IFERROR(__xludf.DUMMYFUNCTION("""COMPUTED_VALUE"""),1.01193937E8)</f>
        <v>101193937</v>
      </c>
      <c r="B34" s="3" t="str">
        <f>IFERROR(__xludf.DUMMYFUNCTION("""COMPUTED_VALUE"""),"Andy Greenberg")</f>
        <v>Andy Greenberg</v>
      </c>
      <c r="C34" s="3" t="str">
        <f>IFERROR(__xludf.DUMMYFUNCTION("""COMPUTED_VALUE"""),"Andrew David Greenberg")</f>
        <v>Andrew David Greenberg</v>
      </c>
      <c r="D34" s="3" t="str">
        <f>IFERROR(__xludf.DUMMYFUNCTION("""COMPUTED_VALUE"""),"Greenberg, Andrew David")</f>
        <v>Greenberg, Andrew David</v>
      </c>
      <c r="E34" s="3" t="str">
        <f>IFERROR(__xludf.DUMMYFUNCTION("""COMPUTED_VALUE"""),"Active")</f>
        <v>Active</v>
      </c>
      <c r="F34" s="3" t="str">
        <f>IFERROR(__xludf.DUMMYFUNCTION("""COMPUTED_VALUE"""),"andy.greenberg@pwc.com")</f>
        <v>andy.greenberg@pwc.com</v>
      </c>
      <c r="G34" s="3" t="str">
        <f>IFERROR(__xludf.DUMMYFUNCTION("""COMPUTED_VALUE"""),"Health")</f>
        <v>Health</v>
      </c>
      <c r="H34" s="3" t="str">
        <f>IFERROR(__xludf.DUMMYFUNCTION("""COMPUTED_VALUE"""),"Pharma and Life Sciences")</f>
        <v>Pharma and Life Sciences</v>
      </c>
      <c r="I34" s="3" t="str">
        <f>IFERROR(__xludf.DUMMYFUNCTION("""COMPUTED_VALUE"""),"Health - Clinical R&amp;D - RWE")</f>
        <v>Health - Clinical R&amp;D - RWE</v>
      </c>
      <c r="J34" s="3" t="str">
        <f>IFERROR(__xludf.DUMMYFUNCTION("""COMPUTED_VALUE"""),"Managing Director")</f>
        <v>Managing Director</v>
      </c>
      <c r="K34" s="12">
        <f>IFERROR(__xludf.DUMMYFUNCTION("""COMPUTED_VALUE"""),44620.0)</f>
        <v>44620</v>
      </c>
      <c r="L34" s="3" t="str">
        <f>IFERROR(__xludf.DUMMYFUNCTION("""COMPUTED_VALUE"""),"Philadelphia")</f>
        <v>Philadelphia</v>
      </c>
      <c r="M34" s="3" t="str">
        <f>IFERROR(__xludf.DUMMYFUNCTION("""COMPUTED_VALUE"""),"Philadelphia - Two Commerce Square, Suite 1800")</f>
        <v>Philadelphia - Two Commerce Square, Suite 1800</v>
      </c>
      <c r="N34" s="3" t="b">
        <f>IFERROR(__xludf.DUMMYFUNCTION("""COMPUTED_VALUE"""),FALSE)</f>
        <v>0</v>
      </c>
      <c r="O34" s="3" t="str">
        <f>IFERROR(__xludf.DUMMYFUNCTION("""COMPUTED_VALUE"""),"anthony.l.distefano@pwc.com")</f>
        <v>anthony.l.distefano@pwc.com</v>
      </c>
      <c r="P34" s="3" t="str">
        <f>IFERROR(__xludf.DUMMYFUNCTION("""COMPUTED_VALUE"""),"FY22")</f>
        <v>FY22</v>
      </c>
      <c r="Q34" s="3" t="b">
        <f>IFERROR(__xludf.DUMMYFUNCTION("""COMPUTED_VALUE"""),FALSE)</f>
        <v>0</v>
      </c>
      <c r="R34" s="3"/>
      <c r="S34" s="3"/>
      <c r="T34" s="3" t="b">
        <f>IFERROR(__xludf.DUMMYFUNCTION("""COMPUTED_VALUE"""),FALSE)</f>
        <v>0</v>
      </c>
      <c r="U34" s="3" t="b">
        <f>IFERROR(__xludf.DUMMYFUNCTION("""COMPUTED_VALUE"""),TRUE)</f>
        <v>1</v>
      </c>
      <c r="V34" s="3" t="b">
        <f>IFERROR(__xludf.DUMMYFUNCTION("""COMPUTED_VALUE"""),FALSE)</f>
        <v>0</v>
      </c>
      <c r="W34" s="3" t="str">
        <f>IFERROR(__xludf.DUMMYFUNCTION("""COMPUTED_VALUE"""),"Catalyst")</f>
        <v>Catalyst</v>
      </c>
      <c r="X34" s="3"/>
      <c r="Y34" s="3" t="str">
        <f>IFERROR(__xludf.DUMMYFUNCTION("""COMPUTED_VALUE"""),"FY22")</f>
        <v>FY22</v>
      </c>
      <c r="Z34" s="3" t="str">
        <f>IFERROR(__xludf.DUMMYFUNCTION("""COMPUTED_VALUE"""),"")</f>
        <v/>
      </c>
      <c r="AA34" s="3" t="b">
        <f>IFERROR(__xludf.DUMMYFUNCTION("""COMPUTED_VALUE"""),FALSE)</f>
        <v>0</v>
      </c>
    </row>
    <row r="35">
      <c r="A35" s="11">
        <f>IFERROR(__xludf.DUMMYFUNCTION("""COMPUTED_VALUE"""),1.00594243E8)</f>
        <v>100594243</v>
      </c>
      <c r="B35" s="3" t="str">
        <f>IFERROR(__xludf.DUMMYFUNCTION("""COMPUTED_VALUE"""),"Angie Payne")</f>
        <v>Angie Payne</v>
      </c>
      <c r="C35" s="3" t="str">
        <f>IFERROR(__xludf.DUMMYFUNCTION("""COMPUTED_VALUE"""),"Angelina  Payne")</f>
        <v>Angelina  Payne</v>
      </c>
      <c r="D35" s="3" t="str">
        <f>IFERROR(__xludf.DUMMYFUNCTION("""COMPUTED_VALUE"""),"Payne, Angelina")</f>
        <v>Payne, Angelina</v>
      </c>
      <c r="E35" s="3" t="str">
        <f>IFERROR(__xludf.DUMMYFUNCTION("""COMPUTED_VALUE"""),"Active")</f>
        <v>Active</v>
      </c>
      <c r="F35" s="3" t="str">
        <f>IFERROR(__xludf.DUMMYFUNCTION("""COMPUTED_VALUE"""),"angelina.payne@pwc.com")</f>
        <v>angelina.payne@pwc.com</v>
      </c>
      <c r="G35" s="3" t="str">
        <f>IFERROR(__xludf.DUMMYFUNCTION("""COMPUTED_VALUE"""),"Health")</f>
        <v>Health</v>
      </c>
      <c r="H35" s="3" t="str">
        <f>IFERROR(__xludf.DUMMYFUNCTION("""COMPUTED_VALUE"""),"Health Services")</f>
        <v>Health Services</v>
      </c>
      <c r="I35" s="3" t="str">
        <f>IFERROR(__xludf.DUMMYFUNCTION("""COMPUTED_VALUE"""),"Health - Payer Government Programs")</f>
        <v>Health - Payer Government Programs</v>
      </c>
      <c r="J35" s="3" t="str">
        <f>IFERROR(__xludf.DUMMYFUNCTION("""COMPUTED_VALUE"""),"Managing Director")</f>
        <v>Managing Director</v>
      </c>
      <c r="K35" s="12">
        <f>IFERROR(__xludf.DUMMYFUNCTION("""COMPUTED_VALUE"""),41064.0)</f>
        <v>41064</v>
      </c>
      <c r="L35" s="3" t="str">
        <f>IFERROR(__xludf.DUMMYFUNCTION("""COMPUTED_VALUE"""),"Portland")</f>
        <v>Portland</v>
      </c>
      <c r="M35" s="3" t="str">
        <f>IFERROR(__xludf.DUMMYFUNCTION("""COMPUTED_VALUE"""),"Portland - 805 SW Broadway")</f>
        <v>Portland - 805 SW Broadway</v>
      </c>
      <c r="N35" s="3" t="b">
        <f>IFERROR(__xludf.DUMMYFUNCTION("""COMPUTED_VALUE"""),FALSE)</f>
        <v>0</v>
      </c>
      <c r="O35" s="3" t="str">
        <f>IFERROR(__xludf.DUMMYFUNCTION("""COMPUTED_VALUE"""),"frank.s.lemmon@pwc.com")</f>
        <v>frank.s.lemmon@pwc.com</v>
      </c>
      <c r="P35" s="3" t="str">
        <f>IFERROR(__xludf.DUMMYFUNCTION("""COMPUTED_VALUE"""),"No")</f>
        <v>No</v>
      </c>
      <c r="Q35" s="3" t="b">
        <f>IFERROR(__xludf.DUMMYFUNCTION("""COMPUTED_VALUE"""),FALSE)</f>
        <v>0</v>
      </c>
      <c r="R35" s="3"/>
      <c r="S35" s="3"/>
      <c r="T35" s="3" t="b">
        <f>IFERROR(__xludf.DUMMYFUNCTION("""COMPUTED_VALUE"""),FALSE)</f>
        <v>0</v>
      </c>
      <c r="U35" s="3" t="b">
        <f>IFERROR(__xludf.DUMMYFUNCTION("""COMPUTED_VALUE"""),TRUE)</f>
        <v>1</v>
      </c>
      <c r="V35" s="3" t="b">
        <f>IFERROR(__xludf.DUMMYFUNCTION("""COMPUTED_VALUE"""),FALSE)</f>
        <v>0</v>
      </c>
      <c r="W35" s="3" t="str">
        <f>IFERROR(__xludf.DUMMYFUNCTION("""COMPUTED_VALUE"""),"Delivery")</f>
        <v>Delivery</v>
      </c>
      <c r="X35" s="3"/>
      <c r="Y35" s="3"/>
      <c r="Z35" s="3" t="str">
        <f>IFERROR(__xludf.DUMMYFUNCTION("""COMPUTED_VALUE"""),"Payer Transformation")</f>
        <v>Payer Transformation</v>
      </c>
      <c r="AA35" s="3" t="b">
        <f>IFERROR(__xludf.DUMMYFUNCTION("""COMPUTED_VALUE"""),FALSE)</f>
        <v>0</v>
      </c>
    </row>
    <row r="36">
      <c r="A36" s="11">
        <f>IFERROR(__xludf.DUMMYFUNCTION("""COMPUTED_VALUE"""),1.00611003E8)</f>
        <v>100611003</v>
      </c>
      <c r="B36" s="3" t="str">
        <f>IFERROR(__xludf.DUMMYFUNCTION("""COMPUTED_VALUE"""),"Angus Buchanan")</f>
        <v>Angus Buchanan</v>
      </c>
      <c r="C36" s="3" t="str">
        <f>IFERROR(__xludf.DUMMYFUNCTION("""COMPUTED_VALUE"""),"Angus J Buchanan")</f>
        <v>Angus J Buchanan</v>
      </c>
      <c r="D36" s="3" t="str">
        <f>IFERROR(__xludf.DUMMYFUNCTION("""COMPUTED_VALUE"""),"Buchanan, Angus J")</f>
        <v>Buchanan, Angus J</v>
      </c>
      <c r="E36" s="3" t="str">
        <f>IFERROR(__xludf.DUMMYFUNCTION("""COMPUTED_VALUE"""),"Active")</f>
        <v>Active</v>
      </c>
      <c r="F36" s="3" t="str">
        <f>IFERROR(__xludf.DUMMYFUNCTION("""COMPUTED_VALUE"""),"angus.buchanan@pwc.com")</f>
        <v>angus.buchanan@pwc.com</v>
      </c>
      <c r="G36" s="3" t="str">
        <f>IFERROR(__xludf.DUMMYFUNCTION("""COMPUTED_VALUE"""),"Deals Transformation")</f>
        <v>Deals Transformation</v>
      </c>
      <c r="H36" s="3" t="str">
        <f>IFERROR(__xludf.DUMMYFUNCTION("""COMPUTED_VALUE"""),"Health Services")</f>
        <v>Health Services</v>
      </c>
      <c r="I36" s="3" t="str">
        <f>IFERROR(__xludf.DUMMYFUNCTION("""COMPUTED_VALUE"""),"DDV - ISD (Integration, Separation, Divestitures)")</f>
        <v>DDV - ISD (Integration, Separation, Divestitures)</v>
      </c>
      <c r="J36" s="3" t="str">
        <f>IFERROR(__xludf.DUMMYFUNCTION("""COMPUTED_VALUE"""),"Partner")</f>
        <v>Partner</v>
      </c>
      <c r="K36" s="12">
        <f>IFERROR(__xludf.DUMMYFUNCTION("""COMPUTED_VALUE"""),42156.0)</f>
        <v>42156</v>
      </c>
      <c r="L36" s="3" t="str">
        <f>IFERROR(__xludf.DUMMYFUNCTION("""COMPUTED_VALUE"""),"Chicago")</f>
        <v>Chicago</v>
      </c>
      <c r="M36" s="3" t="str">
        <f>IFERROR(__xludf.DUMMYFUNCTION("""COMPUTED_VALUE"""),"Chicago - One North Wacker Drive")</f>
        <v>Chicago - One North Wacker Drive</v>
      </c>
      <c r="N36" s="3" t="b">
        <f>IFERROR(__xludf.DUMMYFUNCTION("""COMPUTED_VALUE"""),FALSE)</f>
        <v>0</v>
      </c>
      <c r="O36" s="3" t="str">
        <f>IFERROR(__xludf.DUMMYFUNCTION("""COMPUTED_VALUE"""),"derek.b.townsend@pwc.com")</f>
        <v>derek.b.townsend@pwc.com</v>
      </c>
      <c r="P36" s="3" t="str">
        <f>IFERROR(__xludf.DUMMYFUNCTION("""COMPUTED_VALUE"""),"No")</f>
        <v>No</v>
      </c>
      <c r="Q36" s="3" t="b">
        <f>IFERROR(__xludf.DUMMYFUNCTION("""COMPUTED_VALUE"""),FALSE)</f>
        <v>0</v>
      </c>
      <c r="R36" s="3"/>
      <c r="S36" s="3"/>
      <c r="T36" s="3" t="b">
        <f>IFERROR(__xludf.DUMMYFUNCTION("""COMPUTED_VALUE"""),FALSE)</f>
        <v>0</v>
      </c>
      <c r="U36" s="3" t="b">
        <f>IFERROR(__xludf.DUMMYFUNCTION("""COMPUTED_VALUE"""),TRUE)</f>
        <v>1</v>
      </c>
      <c r="V36" s="3" t="b">
        <f>IFERROR(__xludf.DUMMYFUNCTION("""COMPUTED_VALUE"""),FALSE)</f>
        <v>0</v>
      </c>
      <c r="W36" s="3" t="str">
        <f>IFERROR(__xludf.DUMMYFUNCTION("""COMPUTED_VALUE"""),"Delivery")</f>
        <v>Delivery</v>
      </c>
      <c r="X36" s="3"/>
      <c r="Y36" s="3"/>
      <c r="Z36" s="3" t="str">
        <f>IFERROR(__xludf.DUMMYFUNCTION("""COMPUTED_VALUE"""),"Corporate M&amp;A Transformation Payer/Provider/Digital Health")</f>
        <v>Corporate M&amp;A Transformation Payer/Provider/Digital Health</v>
      </c>
      <c r="AA36" s="3" t="b">
        <f>IFERROR(__xludf.DUMMYFUNCTION("""COMPUTED_VALUE"""),FALSE)</f>
        <v>0</v>
      </c>
    </row>
    <row r="37">
      <c r="A37" s="11">
        <f>IFERROR(__xludf.DUMMYFUNCTION("""COMPUTED_VALUE"""),1.00463736E8)</f>
        <v>100463736</v>
      </c>
      <c r="B37" s="3" t="str">
        <f>IFERROR(__xludf.DUMMYFUNCTION("""COMPUTED_VALUE"""),"Anil Khurana")</f>
        <v>Anil Khurana</v>
      </c>
      <c r="C37" s="3" t="str">
        <f>IFERROR(__xludf.DUMMYFUNCTION("""COMPUTED_VALUE"""),"Anil  Khurana")</f>
        <v>Anil  Khurana</v>
      </c>
      <c r="D37" s="3" t="str">
        <f>IFERROR(__xludf.DUMMYFUNCTION("""COMPUTED_VALUE"""),"Khurana, Anil")</f>
        <v>Khurana, Anil</v>
      </c>
      <c r="E37" s="3" t="str">
        <f>IFERROR(__xludf.DUMMYFUNCTION("""COMPUTED_VALUE"""),"Active")</f>
        <v>Active</v>
      </c>
      <c r="F37" s="3" t="str">
        <f>IFERROR(__xludf.DUMMYFUNCTION("""COMPUTED_VALUE"""),"anil.x.khurana@pwc.com")</f>
        <v>anil.x.khurana@pwc.com</v>
      </c>
      <c r="G37" s="3" t="str">
        <f>IFERROR(__xludf.DUMMYFUNCTION("""COMPUTED_VALUE"""),"ESV")</f>
        <v>ESV</v>
      </c>
      <c r="H37" s="3" t="str">
        <f>IFERROR(__xludf.DUMMYFUNCTION("""COMPUTED_VALUE"""),"Manufacturing")</f>
        <v>Manufacturing</v>
      </c>
      <c r="I37" s="3" t="str">
        <f>IFERROR(__xludf.DUMMYFUNCTION("""COMPUTED_VALUE"""),"ESV - IPS")</f>
        <v>ESV - IPS</v>
      </c>
      <c r="J37" s="3" t="str">
        <f>IFERROR(__xludf.DUMMYFUNCTION("""COMPUTED_VALUE"""),"Partner (Position Vacate:06/30/2022)")</f>
        <v>Partner (Position Vacate:06/30/2022)</v>
      </c>
      <c r="K37" s="12">
        <f>IFERROR(__xludf.DUMMYFUNCTION("""COMPUTED_VALUE"""),40777.0)</f>
        <v>40777</v>
      </c>
      <c r="L37" s="3" t="str">
        <f>IFERROR(__xludf.DUMMYFUNCTION("""COMPUTED_VALUE"""),"Boston")</f>
        <v>Boston</v>
      </c>
      <c r="M37" s="3" t="str">
        <f>IFERROR(__xludf.DUMMYFUNCTION("""COMPUTED_VALUE"""),"Boston - 101 Seaport Boulevard")</f>
        <v>Boston - 101 Seaport Boulevard</v>
      </c>
      <c r="N37" s="3" t="b">
        <f>IFERROR(__xludf.DUMMYFUNCTION("""COMPUTED_VALUE"""),FALSE)</f>
        <v>0</v>
      </c>
      <c r="O37" s="3" t="str">
        <f>IFERROR(__xludf.DUMMYFUNCTION("""COMPUTED_VALUE"""),"sundar.subramanian@pwc.com")</f>
        <v>sundar.subramanian@pwc.com</v>
      </c>
      <c r="P37" s="3" t="str">
        <f>IFERROR(__xludf.DUMMYFUNCTION("""COMPUTED_VALUE"""),"No")</f>
        <v>No</v>
      </c>
      <c r="Q37" s="3" t="b">
        <f>IFERROR(__xludf.DUMMYFUNCTION("""COMPUTED_VALUE"""),FALSE)</f>
        <v>0</v>
      </c>
      <c r="R37" s="3"/>
      <c r="S37" s="3"/>
      <c r="T37" s="3" t="b">
        <f>IFERROR(__xludf.DUMMYFUNCTION("""COMPUTED_VALUE"""),FALSE)</f>
        <v>0</v>
      </c>
      <c r="U37" s="3" t="b">
        <f>IFERROR(__xludf.DUMMYFUNCTION("""COMPUTED_VALUE"""),TRUE)</f>
        <v>1</v>
      </c>
      <c r="V37" s="3" t="b">
        <f>IFERROR(__xludf.DUMMYFUNCTION("""COMPUTED_VALUE"""),FALSE)</f>
        <v>0</v>
      </c>
      <c r="W37" s="3" t="str">
        <f>IFERROR(__xludf.DUMMYFUNCTION("""COMPUTED_VALUE"""),"Delivery")</f>
        <v>Delivery</v>
      </c>
      <c r="X37" s="3"/>
      <c r="Y37" s="3"/>
      <c r="Z37" s="3" t="str">
        <f>IFERROR(__xludf.DUMMYFUNCTION("""COMPUTED_VALUE"""),"ESG")</f>
        <v>ESG</v>
      </c>
      <c r="AA37" s="3" t="b">
        <f>IFERROR(__xludf.DUMMYFUNCTION("""COMPUTED_VALUE"""),FALSE)</f>
        <v>0</v>
      </c>
    </row>
    <row r="38">
      <c r="A38" s="11">
        <f>IFERROR(__xludf.DUMMYFUNCTION("""COMPUTED_VALUE"""),1.00711752E8)</f>
        <v>100711752</v>
      </c>
      <c r="B38" s="3" t="str">
        <f>IFERROR(__xludf.DUMMYFUNCTION("""COMPUTED_VALUE"""),"Ann Johnston")</f>
        <v>Ann Johnston</v>
      </c>
      <c r="C38" s="3" t="str">
        <f>IFERROR(__xludf.DUMMYFUNCTION("""COMPUTED_VALUE"""),"Ann Marie Johnston")</f>
        <v>Ann Marie Johnston</v>
      </c>
      <c r="D38" s="3" t="str">
        <f>IFERROR(__xludf.DUMMYFUNCTION("""COMPUTED_VALUE"""),"Johnston, Ann Marie")</f>
        <v>Johnston, Ann Marie</v>
      </c>
      <c r="E38" s="3" t="str">
        <f>IFERROR(__xludf.DUMMYFUNCTION("""COMPUTED_VALUE"""),"Active")</f>
        <v>Active</v>
      </c>
      <c r="F38" s="3" t="str">
        <f>IFERROR(__xludf.DUMMYFUNCTION("""COMPUTED_VALUE"""),"ann.johnston@pwc.com")</f>
        <v>ann.johnston@pwc.com</v>
      </c>
      <c r="G38" s="3" t="str">
        <f>IFERROR(__xludf.DUMMYFUNCTION("""COMPUTED_VALUE"""),"Workforce")</f>
        <v>Workforce</v>
      </c>
      <c r="H38" s="3" t="str">
        <f>IFERROR(__xludf.DUMMYFUNCTION("""COMPUTED_VALUE"""),"IMA X-Sector")</f>
        <v>IMA X-Sector</v>
      </c>
      <c r="I38" s="3" t="str">
        <f>IFERROR(__xludf.DUMMYFUNCTION("""COMPUTED_VALUE"""),"Workforce - Talent, Change &amp; Behaviors")</f>
        <v>Workforce - Talent, Change &amp; Behaviors</v>
      </c>
      <c r="J38" s="3" t="str">
        <f>IFERROR(__xludf.DUMMYFUNCTION("""COMPUTED_VALUE"""),"Partner")</f>
        <v>Partner</v>
      </c>
      <c r="K38" s="12">
        <f>IFERROR(__xludf.DUMMYFUNCTION("""COMPUTED_VALUE"""),43438.0)</f>
        <v>43438</v>
      </c>
      <c r="L38" s="3" t="str">
        <f>IFERROR(__xludf.DUMMYFUNCTION("""COMPUTED_VALUE"""),"Columbus")</f>
        <v>Columbus</v>
      </c>
      <c r="M38" s="3" t="str">
        <f>IFERROR(__xludf.DUMMYFUNCTION("""COMPUTED_VALUE"""),"Columbus - 41 South High Street")</f>
        <v>Columbus - 41 South High Street</v>
      </c>
      <c r="N38" s="3" t="b">
        <f>IFERROR(__xludf.DUMMYFUNCTION("""COMPUTED_VALUE"""),FALSE)</f>
        <v>0</v>
      </c>
      <c r="O38" s="3" t="str">
        <f>IFERROR(__xludf.DUMMYFUNCTION("""COMPUTED_VALUE"""),"craig.odonnell@pwc.com")</f>
        <v>craig.odonnell@pwc.com</v>
      </c>
      <c r="P38" s="3" t="str">
        <f>IFERROR(__xludf.DUMMYFUNCTION("""COMPUTED_VALUE"""),"No")</f>
        <v>No</v>
      </c>
      <c r="Q38" s="3" t="b">
        <f>IFERROR(__xludf.DUMMYFUNCTION("""COMPUTED_VALUE"""),FALSE)</f>
        <v>0</v>
      </c>
      <c r="R38" s="3"/>
      <c r="S38" s="3"/>
      <c r="T38" s="3" t="b">
        <f>IFERROR(__xludf.DUMMYFUNCTION("""COMPUTED_VALUE"""),FALSE)</f>
        <v>0</v>
      </c>
      <c r="U38" s="3" t="b">
        <f>IFERROR(__xludf.DUMMYFUNCTION("""COMPUTED_VALUE"""),FALSE)</f>
        <v>0</v>
      </c>
      <c r="V38" s="3" t="b">
        <f>IFERROR(__xludf.DUMMYFUNCTION("""COMPUTED_VALUE"""),FALSE)</f>
        <v>0</v>
      </c>
      <c r="W38" s="3" t="str">
        <f>IFERROR(__xludf.DUMMYFUNCTION("""COMPUTED_VALUE"""),"#N/A")</f>
        <v>#N/A</v>
      </c>
      <c r="X38" s="3" t="str">
        <f>IFERROR(__xludf.DUMMYFUNCTION("""COMPUTED_VALUE"""),"#N/A")</f>
        <v>#N/A</v>
      </c>
      <c r="Y38" s="3" t="str">
        <f>IFERROR(__xludf.DUMMYFUNCTION("""COMPUTED_VALUE"""),"#N/A")</f>
        <v>#N/A</v>
      </c>
      <c r="Z38" s="3" t="str">
        <f>IFERROR(__xludf.DUMMYFUNCTION("""COMPUTED_VALUE"""),"Unknown")</f>
        <v>Unknown</v>
      </c>
      <c r="AA38" s="3" t="b">
        <f>IFERROR(__xludf.DUMMYFUNCTION("""COMPUTED_VALUE"""),FALSE)</f>
        <v>0</v>
      </c>
    </row>
    <row r="39">
      <c r="A39" s="3">
        <f>IFERROR(__xludf.DUMMYFUNCTION("""COMPUTED_VALUE"""),1.00593122E8)</f>
        <v>100593122</v>
      </c>
      <c r="B39" s="3" t="str">
        <f>IFERROR(__xludf.DUMMYFUNCTION("""COMPUTED_VALUE"""),"Ann Mohamadi")</f>
        <v>Ann Mohamadi</v>
      </c>
      <c r="C39" s="3" t="str">
        <f>IFERROR(__xludf.DUMMYFUNCTION("""COMPUTED_VALUE"""),"Ann D Mohamadi")</f>
        <v>Ann D Mohamadi</v>
      </c>
      <c r="D39" s="3" t="str">
        <f>IFERROR(__xludf.DUMMYFUNCTION("""COMPUTED_VALUE"""),"Mohamadi, Ann D")</f>
        <v>Mohamadi, Ann D</v>
      </c>
      <c r="E39" s="3" t="str">
        <f>IFERROR(__xludf.DUMMYFUNCTION("""COMPUTED_VALUE"""),"Active")</f>
        <v>Active</v>
      </c>
      <c r="F39" s="3" t="str">
        <f>IFERROR(__xludf.DUMMYFUNCTION("""COMPUTED_VALUE"""),"ann.d.mohamadi@pwc.com")</f>
        <v>ann.d.mohamadi@pwc.com</v>
      </c>
      <c r="G39" s="3" t="str">
        <f>IFERROR(__xludf.DUMMYFUNCTION("""COMPUTED_VALUE"""),"Customer")</f>
        <v>Customer</v>
      </c>
      <c r="H39" s="3" t="str">
        <f>IFERROR(__xludf.DUMMYFUNCTION("""COMPUTED_VALUE"""),"Pharma and Life Sciences")</f>
        <v>Pharma and Life Sciences</v>
      </c>
      <c r="I39" s="3" t="str">
        <f>IFERROR(__xludf.DUMMYFUNCTION("""COMPUTED_VALUE"""),"Customer - Customer Strategy &amp; Experience")</f>
        <v>Customer - Customer Strategy &amp; Experience</v>
      </c>
      <c r="J39" s="3" t="str">
        <f>IFERROR(__xludf.DUMMYFUNCTION("""COMPUTED_VALUE"""),"Managing Director")</f>
        <v>Managing Director</v>
      </c>
      <c r="K39" s="12">
        <f>IFERROR(__xludf.DUMMYFUNCTION("""COMPUTED_VALUE"""),40826.0)</f>
        <v>40826</v>
      </c>
      <c r="L39" s="3" t="str">
        <f>IFERROR(__xludf.DUMMYFUNCTION("""COMPUTED_VALUE"""),"Philadelphia")</f>
        <v>Philadelphia</v>
      </c>
      <c r="M39" s="3" t="str">
        <f>IFERROR(__xludf.DUMMYFUNCTION("""COMPUTED_VALUE"""),"Philadelphia - Two Commerce Square, Suite 1800")</f>
        <v>Philadelphia - Two Commerce Square, Suite 1800</v>
      </c>
      <c r="N39" s="3" t="b">
        <f>IFERROR(__xludf.DUMMYFUNCTION("""COMPUTED_VALUE"""),FALSE)</f>
        <v>0</v>
      </c>
      <c r="O39" s="3" t="str">
        <f>IFERROR(__xludf.DUMMYFUNCTION("""COMPUTED_VALUE"""),"jennifer.a.colapietro@pwc.com")</f>
        <v>jennifer.a.colapietro@pwc.com</v>
      </c>
      <c r="P39" s="3" t="str">
        <f>IFERROR(__xludf.DUMMYFUNCTION("""COMPUTED_VALUE"""),"No")</f>
        <v>No</v>
      </c>
      <c r="Q39" s="3" t="b">
        <f>IFERROR(__xludf.DUMMYFUNCTION("""COMPUTED_VALUE"""),FALSE)</f>
        <v>0</v>
      </c>
      <c r="R39" s="3"/>
      <c r="S39" s="3"/>
      <c r="T39" s="3" t="b">
        <f>IFERROR(__xludf.DUMMYFUNCTION("""COMPUTED_VALUE"""),FALSE)</f>
        <v>0</v>
      </c>
      <c r="U39" s="3" t="b">
        <f>IFERROR(__xludf.DUMMYFUNCTION("""COMPUTED_VALUE"""),TRUE)</f>
        <v>1</v>
      </c>
      <c r="V39" s="3" t="b">
        <f>IFERROR(__xludf.DUMMYFUNCTION("""COMPUTED_VALUE"""),FALSE)</f>
        <v>0</v>
      </c>
      <c r="W39" s="3" t="str">
        <f>IFERROR(__xludf.DUMMYFUNCTION("""COMPUTED_VALUE"""),"Delivery")</f>
        <v>Delivery</v>
      </c>
      <c r="X39" s="3"/>
      <c r="Y39" s="3"/>
      <c r="Z39" s="3" t="str">
        <f>IFERROR(__xludf.DUMMYFUNCTION("""COMPUTED_VALUE"""),"Commercial / CRM Transformation - CM &amp; IPS &amp; HIA")</f>
        <v>Commercial / CRM Transformation - CM &amp; IPS &amp; HIA</v>
      </c>
      <c r="AA39" s="3" t="b">
        <f>IFERROR(__xludf.DUMMYFUNCTION("""COMPUTED_VALUE"""),FALSE)</f>
        <v>0</v>
      </c>
    </row>
    <row r="40">
      <c r="A40" s="11">
        <f>IFERROR(__xludf.DUMMYFUNCTION("""COMPUTED_VALUE"""),1.00645852E8)</f>
        <v>100645852</v>
      </c>
      <c r="B40" s="3" t="str">
        <f>IFERROR(__xludf.DUMMYFUNCTION("""COMPUTED_VALUE"""),"Anthony Caletka")</f>
        <v>Anthony Caletka</v>
      </c>
      <c r="C40" s="3" t="str">
        <f>IFERROR(__xludf.DUMMYFUNCTION("""COMPUTED_VALUE"""),"Anthony  Caletka")</f>
        <v>Anthony  Caletka</v>
      </c>
      <c r="D40" s="3" t="str">
        <f>IFERROR(__xludf.DUMMYFUNCTION("""COMPUTED_VALUE"""),"Caletka, Anthony")</f>
        <v>Caletka, Anthony</v>
      </c>
      <c r="E40" s="3" t="str">
        <f>IFERROR(__xludf.DUMMYFUNCTION("""COMPUTED_VALUE"""),"Active")</f>
        <v>Active</v>
      </c>
      <c r="F40" s="3" t="str">
        <f>IFERROR(__xludf.DUMMYFUNCTION("""COMPUTED_VALUE"""),"anthony.caletka@pwc.com")</f>
        <v>anthony.caletka@pwc.com</v>
      </c>
      <c r="G40" s="3" t="str">
        <f>IFERROR(__xludf.DUMMYFUNCTION("""COMPUTED_VALUE"""),"Ops")</f>
        <v>Ops</v>
      </c>
      <c r="H40" s="3" t="str">
        <f>IFERROR(__xludf.DUMMYFUNCTION("""COMPUTED_VALUE"""),"Energy")</f>
        <v>Energy</v>
      </c>
      <c r="I40" s="3" t="str">
        <f>IFERROR(__xludf.DUMMYFUNCTION("""COMPUTED_VALUE"""),"Ops - Capital Project Excellence (CPE)")</f>
        <v>Ops - Capital Project Excellence (CPE)</v>
      </c>
      <c r="J40" s="3" t="str">
        <f>IFERROR(__xludf.DUMMYFUNCTION("""COMPUTED_VALUE"""),"Partner")</f>
        <v>Partner</v>
      </c>
      <c r="K40" s="12">
        <f>IFERROR(__xludf.DUMMYFUNCTION("""COMPUTED_VALUE"""),40238.0)</f>
        <v>40238</v>
      </c>
      <c r="L40" s="3" t="str">
        <f>IFERROR(__xludf.DUMMYFUNCTION("""COMPUTED_VALUE"""),"Houston")</f>
        <v>Houston</v>
      </c>
      <c r="M40" s="3" t="str">
        <f>IFERROR(__xludf.DUMMYFUNCTION("""COMPUTED_VALUE"""),"Houston - 1000 Louisiana Street")</f>
        <v>Houston - 1000 Louisiana Street</v>
      </c>
      <c r="N40" s="3" t="b">
        <f>IFERROR(__xludf.DUMMYFUNCTION("""COMPUTED_VALUE"""),FALSE)</f>
        <v>0</v>
      </c>
      <c r="O40" s="3" t="str">
        <f>IFERROR(__xludf.DUMMYFUNCTION("""COMPUTED_VALUE"""),"matthew.r.comte@pwc.com")</f>
        <v>matthew.r.comte@pwc.com</v>
      </c>
      <c r="P40" s="3" t="str">
        <f>IFERROR(__xludf.DUMMYFUNCTION("""COMPUTED_VALUE"""),"No")</f>
        <v>No</v>
      </c>
      <c r="Q40" s="3" t="b">
        <f>IFERROR(__xludf.DUMMYFUNCTION("""COMPUTED_VALUE"""),TRUE)</f>
        <v>1</v>
      </c>
      <c r="R40" s="3" t="str">
        <f>IFERROR(__xludf.DUMMYFUNCTION("""COMPUTED_VALUE"""),"LCP Low")</f>
        <v>LCP Low</v>
      </c>
      <c r="S40" s="3"/>
      <c r="T40" s="3" t="b">
        <f>IFERROR(__xludf.DUMMYFUNCTION("""COMPUTED_VALUE"""),FALSE)</f>
        <v>0</v>
      </c>
      <c r="U40" s="3" t="b">
        <f>IFERROR(__xludf.DUMMYFUNCTION("""COMPUTED_VALUE"""),FALSE)</f>
        <v>0</v>
      </c>
      <c r="V40" s="3" t="b">
        <f>IFERROR(__xludf.DUMMYFUNCTION("""COMPUTED_VALUE"""),FALSE)</f>
        <v>0</v>
      </c>
      <c r="W40" s="3" t="str">
        <f>IFERROR(__xludf.DUMMYFUNCTION("""COMPUTED_VALUE"""),"LCP")</f>
        <v>LCP</v>
      </c>
      <c r="X40" s="3"/>
      <c r="Y40" s="3" t="str">
        <f>IFERROR(__xludf.DUMMYFUNCTION("""COMPUTED_VALUE"""),"GEP - Low")</f>
        <v>GEP - Low</v>
      </c>
      <c r="Z40" s="3" t="str">
        <f>IFERROR(__xludf.DUMMYFUNCTION("""COMPUTED_VALUE"""),"EUM + Telecom Ops Transformation")</f>
        <v>EUM + Telecom Ops Transformation</v>
      </c>
      <c r="AA40" s="3" t="b">
        <f>IFERROR(__xludf.DUMMYFUNCTION("""COMPUTED_VALUE"""),FALSE)</f>
        <v>0</v>
      </c>
    </row>
    <row r="41">
      <c r="A41" s="11">
        <f>IFERROR(__xludf.DUMMYFUNCTION("""COMPUTED_VALUE"""),1.006324E8)</f>
        <v>100632400</v>
      </c>
      <c r="B41" s="3" t="str">
        <f>IFERROR(__xludf.DUMMYFUNCTION("""COMPUTED_VALUE"""),"Anthony Di Stefano")</f>
        <v>Anthony Di Stefano</v>
      </c>
      <c r="C41" s="3" t="str">
        <f>IFERROR(__xludf.DUMMYFUNCTION("""COMPUTED_VALUE"""),"Antonio L Di Stefano")</f>
        <v>Antonio L Di Stefano</v>
      </c>
      <c r="D41" s="3" t="str">
        <f>IFERROR(__xludf.DUMMYFUNCTION("""COMPUTED_VALUE"""),"Di Stefano, Antonio L")</f>
        <v>Di Stefano, Antonio L</v>
      </c>
      <c r="E41" s="3" t="str">
        <f>IFERROR(__xludf.DUMMYFUNCTION("""COMPUTED_VALUE"""),"Active")</f>
        <v>Active</v>
      </c>
      <c r="F41" s="3" t="str">
        <f>IFERROR(__xludf.DUMMYFUNCTION("""COMPUTED_VALUE"""),"anthony.l.distefano@pwc.com")</f>
        <v>anthony.l.distefano@pwc.com</v>
      </c>
      <c r="G41" s="3" t="str">
        <f>IFERROR(__xludf.DUMMYFUNCTION("""COMPUTED_VALUE"""),"Health")</f>
        <v>Health</v>
      </c>
      <c r="H41" s="3" t="str">
        <f>IFERROR(__xludf.DUMMYFUNCTION("""COMPUTED_VALUE"""),"Pharma and Life Sciences")</f>
        <v>Pharma and Life Sciences</v>
      </c>
      <c r="I41" s="3" t="str">
        <f>IFERROR(__xludf.DUMMYFUNCTION("""COMPUTED_VALUE"""),"Health - Clinical R&amp;D - IOBP")</f>
        <v>Health - Clinical R&amp;D - IOBP</v>
      </c>
      <c r="J41" s="3" t="str">
        <f>IFERROR(__xludf.DUMMYFUNCTION("""COMPUTED_VALUE"""),"Partner")</f>
        <v>Partner</v>
      </c>
      <c r="K41" s="12">
        <f>IFERROR(__xludf.DUMMYFUNCTION("""COMPUTED_VALUE"""),41869.0)</f>
        <v>41869</v>
      </c>
      <c r="L41" s="3" t="str">
        <f>IFERROR(__xludf.DUMMYFUNCTION("""COMPUTED_VALUE"""),"Philadelphia")</f>
        <v>Philadelphia</v>
      </c>
      <c r="M41" s="3" t="str">
        <f>IFERROR(__xludf.DUMMYFUNCTION("""COMPUTED_VALUE"""),"Philadelphia - Two Commerce Square, Suite 1800")</f>
        <v>Philadelphia - Two Commerce Square, Suite 1800</v>
      </c>
      <c r="N41" s="3" t="b">
        <f>IFERROR(__xludf.DUMMYFUNCTION("""COMPUTED_VALUE"""),FALSE)</f>
        <v>0</v>
      </c>
      <c r="O41" s="3" t="str">
        <f>IFERROR(__xludf.DUMMYFUNCTION("""COMPUTED_VALUE"""),"craig.e.gooch@pwc.com")</f>
        <v>craig.e.gooch@pwc.com</v>
      </c>
      <c r="P41" s="3" t="str">
        <f>IFERROR(__xludf.DUMMYFUNCTION("""COMPUTED_VALUE"""),"No")</f>
        <v>No</v>
      </c>
      <c r="Q41" s="3" t="b">
        <f>IFERROR(__xludf.DUMMYFUNCTION("""COMPUTED_VALUE"""),FALSE)</f>
        <v>0</v>
      </c>
      <c r="R41" s="3"/>
      <c r="S41" s="3"/>
      <c r="T41" s="3" t="b">
        <f>IFERROR(__xludf.DUMMYFUNCTION("""COMPUTED_VALUE"""),FALSE)</f>
        <v>0</v>
      </c>
      <c r="U41" s="3" t="b">
        <f>IFERROR(__xludf.DUMMYFUNCTION("""COMPUTED_VALUE"""),TRUE)</f>
        <v>1</v>
      </c>
      <c r="V41" s="3" t="b">
        <f>IFERROR(__xludf.DUMMYFUNCTION("""COMPUTED_VALUE"""),FALSE)</f>
        <v>0</v>
      </c>
      <c r="W41" s="3" t="str">
        <f>IFERROR(__xludf.DUMMYFUNCTION("""COMPUTED_VALUE"""),"Delivery")</f>
        <v>Delivery</v>
      </c>
      <c r="X41" s="3"/>
      <c r="Y41" s="3"/>
      <c r="Z41" s="3" t="str">
        <f>IFERROR(__xludf.DUMMYFUNCTION("""COMPUTED_VALUE"""),"Clinical R&amp;D")</f>
        <v>Clinical R&amp;D</v>
      </c>
      <c r="AA41" s="3" t="b">
        <f>IFERROR(__xludf.DUMMYFUNCTION("""COMPUTED_VALUE"""),FALSE)</f>
        <v>0</v>
      </c>
    </row>
    <row r="42">
      <c r="A42" s="11">
        <f>IFERROR(__xludf.DUMMYFUNCTION("""COMPUTED_VALUE"""),1.0060093E8)</f>
        <v>100600930</v>
      </c>
      <c r="B42" s="3" t="str">
        <f>IFERROR(__xludf.DUMMYFUNCTION("""COMPUTED_VALUE"""),"Anthony Farino")</f>
        <v>Anthony Farino</v>
      </c>
      <c r="C42" s="3" t="str">
        <f>IFERROR(__xludf.DUMMYFUNCTION("""COMPUTED_VALUE"""),"Anthony L Farino")</f>
        <v>Anthony L Farino</v>
      </c>
      <c r="D42" s="3" t="str">
        <f>IFERROR(__xludf.DUMMYFUNCTION("""COMPUTED_VALUE"""),"Farino, Anthony L")</f>
        <v>Farino, Anthony L</v>
      </c>
      <c r="E42" s="3" t="str">
        <f>IFERROR(__xludf.DUMMYFUNCTION("""COMPUTED_VALUE"""),"Active")</f>
        <v>Active</v>
      </c>
      <c r="F42" s="3" t="str">
        <f>IFERROR(__xludf.DUMMYFUNCTION("""COMPUTED_VALUE"""),"anthony.l.farino@pwc.com")</f>
        <v>anthony.l.farino@pwc.com</v>
      </c>
      <c r="G42" s="3" t="str">
        <f>IFERROR(__xludf.DUMMYFUNCTION("""COMPUTED_VALUE"""),"Health")</f>
        <v>Health</v>
      </c>
      <c r="H42" s="3" t="str">
        <f>IFERROR(__xludf.DUMMYFUNCTION("""COMPUTED_VALUE"""),"Pharma and Life Sciences")</f>
        <v>Pharma and Life Sciences</v>
      </c>
      <c r="I42" s="3" t="str">
        <f>IFERROR(__xludf.DUMMYFUNCTION("""COMPUTED_VALUE"""),"Health - R&amp;D Future of Clinical Trials")</f>
        <v>Health - R&amp;D Future of Clinical Trials</v>
      </c>
      <c r="J42" s="3" t="str">
        <f>IFERROR(__xludf.DUMMYFUNCTION("""COMPUTED_VALUE"""),"Partner (Position Vacate:06/30/2022)")</f>
        <v>Partner (Position Vacate:06/30/2022)</v>
      </c>
      <c r="K42" s="12">
        <f>IFERROR(__xludf.DUMMYFUNCTION("""COMPUTED_VALUE"""),31747.0)</f>
        <v>31747</v>
      </c>
      <c r="L42" s="3" t="str">
        <f>IFERROR(__xludf.DUMMYFUNCTION("""COMPUTED_VALUE"""),"Chicago")</f>
        <v>Chicago</v>
      </c>
      <c r="M42" s="3" t="str">
        <f>IFERROR(__xludf.DUMMYFUNCTION("""COMPUTED_VALUE"""),"Chicago - One North Wacker Drive")</f>
        <v>Chicago - One North Wacker Drive</v>
      </c>
      <c r="N42" s="3" t="b">
        <f>IFERROR(__xludf.DUMMYFUNCTION("""COMPUTED_VALUE"""),FALSE)</f>
        <v>0</v>
      </c>
      <c r="O42" s="3" t="str">
        <f>IFERROR(__xludf.DUMMYFUNCTION("""COMPUTED_VALUE"""),"craig.e.gooch@pwc.com")</f>
        <v>craig.e.gooch@pwc.com</v>
      </c>
      <c r="P42" s="3" t="str">
        <f>IFERROR(__xludf.DUMMYFUNCTION("""COMPUTED_VALUE"""),"No")</f>
        <v>No</v>
      </c>
      <c r="Q42" s="3" t="b">
        <f>IFERROR(__xludf.DUMMYFUNCTION("""COMPUTED_VALUE"""),FALSE)</f>
        <v>0</v>
      </c>
      <c r="R42" s="3"/>
      <c r="S42" s="3"/>
      <c r="T42" s="3" t="b">
        <f>IFERROR(__xludf.DUMMYFUNCTION("""COMPUTED_VALUE"""),FALSE)</f>
        <v>0</v>
      </c>
      <c r="U42" s="3" t="b">
        <f>IFERROR(__xludf.DUMMYFUNCTION("""COMPUTED_VALUE"""),TRUE)</f>
        <v>1</v>
      </c>
      <c r="V42" s="3" t="b">
        <f>IFERROR(__xludf.DUMMYFUNCTION("""COMPUTED_VALUE"""),FALSE)</f>
        <v>0</v>
      </c>
      <c r="W42" s="3" t="str">
        <f>IFERROR(__xludf.DUMMYFUNCTION("""COMPUTED_VALUE"""),"Delivery")</f>
        <v>Delivery</v>
      </c>
      <c r="X42" s="3"/>
      <c r="Y42" s="3"/>
      <c r="Z42" s="3" t="str">
        <f>IFERROR(__xludf.DUMMYFUNCTION("""COMPUTED_VALUE"""),"Clinical R&amp;D")</f>
        <v>Clinical R&amp;D</v>
      </c>
      <c r="AA42" s="3" t="b">
        <f>IFERROR(__xludf.DUMMYFUNCTION("""COMPUTED_VALUE"""),FALSE)</f>
        <v>0</v>
      </c>
    </row>
    <row r="43">
      <c r="A43" s="11">
        <f>IFERROR(__xludf.DUMMYFUNCTION("""COMPUTED_VALUE"""),1.0064195E8)</f>
        <v>100641950</v>
      </c>
      <c r="B43" s="3" t="str">
        <f>IFERROR(__xludf.DUMMYFUNCTION("""COMPUTED_VALUE"""),"Antonia Cusumano")</f>
        <v>Antonia Cusumano</v>
      </c>
      <c r="C43" s="3" t="str">
        <f>IFERROR(__xludf.DUMMYFUNCTION("""COMPUTED_VALUE"""),"Antonia Marie Cusumano")</f>
        <v>Antonia Marie Cusumano</v>
      </c>
      <c r="D43" s="3" t="str">
        <f>IFERROR(__xludf.DUMMYFUNCTION("""COMPUTED_VALUE"""),"Cusumano, Antonia Marie")</f>
        <v>Cusumano, Antonia Marie</v>
      </c>
      <c r="E43" s="3" t="str">
        <f>IFERROR(__xludf.DUMMYFUNCTION("""COMPUTED_VALUE"""),"Active")</f>
        <v>Active</v>
      </c>
      <c r="F43" s="3" t="str">
        <f>IFERROR(__xludf.DUMMYFUNCTION("""COMPUTED_VALUE"""),"antonia.m.cusumano@pwc.com")</f>
        <v>antonia.m.cusumano@pwc.com</v>
      </c>
      <c r="G43" s="3" t="str">
        <f>IFERROR(__xludf.DUMMYFUNCTION("""COMPUTED_VALUE"""),"Workforce")</f>
        <v>Workforce</v>
      </c>
      <c r="H43" s="3" t="str">
        <f>IFERROR(__xludf.DUMMYFUNCTION("""COMPUTED_VALUE"""),"TMT X-Sector")</f>
        <v>TMT X-Sector</v>
      </c>
      <c r="I43" s="3" t="str">
        <f>IFERROR(__xludf.DUMMYFUNCTION("""COMPUTED_VALUE"""),"Workforce - Talent, Change &amp; Behaviors")</f>
        <v>Workforce - Talent, Change &amp; Behaviors</v>
      </c>
      <c r="J43" s="3" t="str">
        <f>IFERROR(__xludf.DUMMYFUNCTION("""COMPUTED_VALUE"""),"Partner")</f>
        <v>Partner</v>
      </c>
      <c r="K43" s="12">
        <f>IFERROR(__xludf.DUMMYFUNCTION("""COMPUTED_VALUE"""),39980.0)</f>
        <v>39980</v>
      </c>
      <c r="L43" s="3" t="str">
        <f>IFERROR(__xludf.DUMMYFUNCTION("""COMPUTED_VALUE"""),"San Jose")</f>
        <v>San Jose</v>
      </c>
      <c r="M43" s="3" t="str">
        <f>IFERROR(__xludf.DUMMYFUNCTION("""COMPUTED_VALUE"""),"San Jose - 488 Almaden Boulevard")</f>
        <v>San Jose - 488 Almaden Boulevard</v>
      </c>
      <c r="N43" s="3" t="b">
        <f>IFERROR(__xludf.DUMMYFUNCTION("""COMPUTED_VALUE"""),FALSE)</f>
        <v>0</v>
      </c>
      <c r="O43" s="3" t="str">
        <f>IFERROR(__xludf.DUMMYFUNCTION("""COMPUTED_VALUE"""),"craig.odonnell@pwc.com")</f>
        <v>craig.odonnell@pwc.com</v>
      </c>
      <c r="P43" s="3" t="str">
        <f>IFERROR(__xludf.DUMMYFUNCTION("""COMPUTED_VALUE"""),"No")</f>
        <v>No</v>
      </c>
      <c r="Q43" s="3" t="b">
        <f>IFERROR(__xludf.DUMMYFUNCTION("""COMPUTED_VALUE"""),FALSE)</f>
        <v>0</v>
      </c>
      <c r="R43" s="3"/>
      <c r="S43" s="3"/>
      <c r="T43" s="3" t="b">
        <f>IFERROR(__xludf.DUMMYFUNCTION("""COMPUTED_VALUE"""),FALSE)</f>
        <v>0</v>
      </c>
      <c r="U43" s="3" t="b">
        <f>IFERROR(__xludf.DUMMYFUNCTION("""COMPUTED_VALUE"""),FALSE)</f>
        <v>0</v>
      </c>
      <c r="V43" s="3" t="b">
        <f>IFERROR(__xludf.DUMMYFUNCTION("""COMPUTED_VALUE"""),FALSE)</f>
        <v>0</v>
      </c>
      <c r="W43" s="3" t="str">
        <f>IFERROR(__xludf.DUMMYFUNCTION("""COMPUTED_VALUE"""),"#N/A")</f>
        <v>#N/A</v>
      </c>
      <c r="X43" s="3" t="str">
        <f>IFERROR(__xludf.DUMMYFUNCTION("""COMPUTED_VALUE"""),"#N/A")</f>
        <v>#N/A</v>
      </c>
      <c r="Y43" s="3" t="str">
        <f>IFERROR(__xludf.DUMMYFUNCTION("""COMPUTED_VALUE"""),"#N/A")</f>
        <v>#N/A</v>
      </c>
      <c r="Z43" s="3" t="str">
        <f>IFERROR(__xludf.DUMMYFUNCTION("""COMPUTED_VALUE"""),"Unknown")</f>
        <v>Unknown</v>
      </c>
      <c r="AA43" s="3" t="b">
        <f>IFERROR(__xludf.DUMMYFUNCTION("""COMPUTED_VALUE"""),FALSE)</f>
        <v>0</v>
      </c>
    </row>
    <row r="44">
      <c r="A44" s="11">
        <f>IFERROR(__xludf.DUMMYFUNCTION("""COMPUTED_VALUE"""),1.00617113E8)</f>
        <v>100617113</v>
      </c>
      <c r="B44" s="3" t="str">
        <f>IFERROR(__xludf.DUMMYFUNCTION("""COMPUTED_VALUE"""),"Anup Kharode")</f>
        <v>Anup Kharode</v>
      </c>
      <c r="C44" s="3" t="str">
        <f>IFERROR(__xludf.DUMMYFUNCTION("""COMPUTED_VALUE"""),"Anup  Kharode")</f>
        <v>Anup  Kharode</v>
      </c>
      <c r="D44" s="3" t="str">
        <f>IFERROR(__xludf.DUMMYFUNCTION("""COMPUTED_VALUE"""),"Kharode, Anup")</f>
        <v>Kharode, Anup</v>
      </c>
      <c r="E44" s="3" t="str">
        <f>IFERROR(__xludf.DUMMYFUNCTION("""COMPUTED_VALUE"""),"Active")</f>
        <v>Active</v>
      </c>
      <c r="F44" s="3" t="str">
        <f>IFERROR(__xludf.DUMMYFUNCTION("""COMPUTED_VALUE"""),"anup.kharode@pwc.com")</f>
        <v>anup.kharode@pwc.com</v>
      </c>
      <c r="G44" s="3" t="str">
        <f>IFERROR(__xludf.DUMMYFUNCTION("""COMPUTED_VALUE"""),"Health")</f>
        <v>Health</v>
      </c>
      <c r="H44" s="3" t="str">
        <f>IFERROR(__xludf.DUMMYFUNCTION("""COMPUTED_VALUE"""),"Pharma and Life Sciences")</f>
        <v>Pharma and Life Sciences</v>
      </c>
      <c r="I44" s="3" t="str">
        <f>IFERROR(__xludf.DUMMYFUNCTION("""COMPUTED_VALUE"""),"Health - R&amp;D Future of Clinical Trials")</f>
        <v>Health - R&amp;D Future of Clinical Trials</v>
      </c>
      <c r="J44" s="3" t="str">
        <f>IFERROR(__xludf.DUMMYFUNCTION("""COMPUTED_VALUE"""),"Partner")</f>
        <v>Partner</v>
      </c>
      <c r="K44" s="12">
        <f>IFERROR(__xludf.DUMMYFUNCTION("""COMPUTED_VALUE"""),38005.0)</f>
        <v>38005</v>
      </c>
      <c r="L44" s="3" t="str">
        <f>IFERROR(__xludf.DUMMYFUNCTION("""COMPUTED_VALUE"""),"Philadelphia")</f>
        <v>Philadelphia</v>
      </c>
      <c r="M44" s="3" t="str">
        <f>IFERROR(__xludf.DUMMYFUNCTION("""COMPUTED_VALUE"""),"Philadelphia - Two Commerce Square, Suite 1800")</f>
        <v>Philadelphia - Two Commerce Square, Suite 1800</v>
      </c>
      <c r="N44" s="3" t="b">
        <f>IFERROR(__xludf.DUMMYFUNCTION("""COMPUTED_VALUE"""),TRUE)</f>
        <v>1</v>
      </c>
      <c r="O44" s="3" t="str">
        <f>IFERROR(__xludf.DUMMYFUNCTION("""COMPUTED_VALUE"""),"craig.e.gooch@pwc.com")</f>
        <v>craig.e.gooch@pwc.com</v>
      </c>
      <c r="P44" s="3" t="str">
        <f>IFERROR(__xludf.DUMMYFUNCTION("""COMPUTED_VALUE"""),"No")</f>
        <v>No</v>
      </c>
      <c r="Q44" s="3" t="b">
        <f>IFERROR(__xludf.DUMMYFUNCTION("""COMPUTED_VALUE"""),TRUE)</f>
        <v>1</v>
      </c>
      <c r="R44" s="3" t="str">
        <f>IFERROR(__xludf.DUMMYFUNCTION("""COMPUTED_VALUE"""),"LCP High")</f>
        <v>LCP High</v>
      </c>
      <c r="S44" s="3"/>
      <c r="T44" s="3" t="b">
        <f>IFERROR(__xludf.DUMMYFUNCTION("""COMPUTED_VALUE"""),FALSE)</f>
        <v>0</v>
      </c>
      <c r="U44" s="3" t="b">
        <f>IFERROR(__xludf.DUMMYFUNCTION("""COMPUTED_VALUE"""),TRUE)</f>
        <v>1</v>
      </c>
      <c r="V44" s="3" t="b">
        <f>IFERROR(__xludf.DUMMYFUNCTION("""COMPUTED_VALUE"""),FALSE)</f>
        <v>0</v>
      </c>
      <c r="W44" s="3" t="str">
        <f>IFERROR(__xludf.DUMMYFUNCTION("""COMPUTED_VALUE"""),"LCP")</f>
        <v>LCP</v>
      </c>
      <c r="X44" s="3"/>
      <c r="Y44" s="3" t="str">
        <f>IFERROR(__xludf.DUMMYFUNCTION("""COMPUTED_VALUE"""),"GEP - High")</f>
        <v>GEP - High</v>
      </c>
      <c r="Z44" s="3" t="str">
        <f>IFERROR(__xludf.DUMMYFUNCTION("""COMPUTED_VALUE"""),"Clinical R&amp;D")</f>
        <v>Clinical R&amp;D</v>
      </c>
      <c r="AA44" s="3" t="b">
        <f>IFERROR(__xludf.DUMMYFUNCTION("""COMPUTED_VALUE"""),TRUE)</f>
        <v>1</v>
      </c>
    </row>
    <row r="45">
      <c r="A45" s="11">
        <f>IFERROR(__xludf.DUMMYFUNCTION("""COMPUTED_VALUE"""),1.00647674E8)</f>
        <v>100647674</v>
      </c>
      <c r="B45" s="3" t="str">
        <f>IFERROR(__xludf.DUMMYFUNCTION("""COMPUTED_VALUE"""),"Anup Madampath")</f>
        <v>Anup Madampath</v>
      </c>
      <c r="C45" s="3" t="str">
        <f>IFERROR(__xludf.DUMMYFUNCTION("""COMPUTED_VALUE"""),"Anup  Madampath")</f>
        <v>Anup  Madampath</v>
      </c>
      <c r="D45" s="3" t="str">
        <f>IFERROR(__xludf.DUMMYFUNCTION("""COMPUTED_VALUE"""),"Madampath, Anup")</f>
        <v>Madampath, Anup</v>
      </c>
      <c r="E45" s="3" t="str">
        <f>IFERROR(__xludf.DUMMYFUNCTION("""COMPUTED_VALUE"""),"Active")</f>
        <v>Active</v>
      </c>
      <c r="F45" s="3" t="str">
        <f>IFERROR(__xludf.DUMMYFUNCTION("""COMPUTED_VALUE"""),"anup.madampath@pwc.com")</f>
        <v>anup.madampath@pwc.com</v>
      </c>
      <c r="G45" s="3" t="str">
        <f>IFERROR(__xludf.DUMMYFUNCTION("""COMPUTED_VALUE"""),"FS")</f>
        <v>FS</v>
      </c>
      <c r="H45" s="3" t="str">
        <f>IFERROR(__xludf.DUMMYFUNCTION("""COMPUTED_VALUE"""),"Insurance")</f>
        <v>Insurance</v>
      </c>
      <c r="I45" s="3" t="str">
        <f>IFERROR(__xludf.DUMMYFUNCTION("""COMPUTED_VALUE"""),"FS - Insurance")</f>
        <v>FS - Insurance</v>
      </c>
      <c r="J45" s="3" t="str">
        <f>IFERROR(__xludf.DUMMYFUNCTION("""COMPUTED_VALUE"""),"Partner")</f>
        <v>Partner</v>
      </c>
      <c r="K45" s="12">
        <f>IFERROR(__xludf.DUMMYFUNCTION("""COMPUTED_VALUE"""),40485.0)</f>
        <v>40485</v>
      </c>
      <c r="L45" s="3" t="str">
        <f>IFERROR(__xludf.DUMMYFUNCTION("""COMPUTED_VALUE"""),"Austin")</f>
        <v>Austin</v>
      </c>
      <c r="M45" s="3" t="str">
        <f>IFERROR(__xludf.DUMMYFUNCTION("""COMPUTED_VALUE"""),"Austin - 835 West 6th Street")</f>
        <v>Austin - 835 West 6th Street</v>
      </c>
      <c r="N45" s="3" t="b">
        <f>IFERROR(__xludf.DUMMYFUNCTION("""COMPUTED_VALUE"""),FALSE)</f>
        <v>0</v>
      </c>
      <c r="O45" s="3" t="str">
        <f>IFERROR(__xludf.DUMMYFUNCTION("""COMPUTED_VALUE"""),"alison.hoover@pwc.com")</f>
        <v>alison.hoover@pwc.com</v>
      </c>
      <c r="P45" s="3" t="str">
        <f>IFERROR(__xludf.DUMMYFUNCTION("""COMPUTED_VALUE"""),"No")</f>
        <v>No</v>
      </c>
      <c r="Q45" s="3" t="b">
        <f>IFERROR(__xludf.DUMMYFUNCTION("""COMPUTED_VALUE"""),FALSE)</f>
        <v>0</v>
      </c>
      <c r="R45" s="3"/>
      <c r="S45" s="3"/>
      <c r="T45" s="3" t="b">
        <f>IFERROR(__xludf.DUMMYFUNCTION("""COMPUTED_VALUE"""),FALSE)</f>
        <v>0</v>
      </c>
      <c r="U45" s="3" t="b">
        <f>IFERROR(__xludf.DUMMYFUNCTION("""COMPUTED_VALUE"""),TRUE)</f>
        <v>1</v>
      </c>
      <c r="V45" s="3" t="b">
        <f>IFERROR(__xludf.DUMMYFUNCTION("""COMPUTED_VALUE"""),FALSE)</f>
        <v>0</v>
      </c>
      <c r="W45" s="3" t="str">
        <f>IFERROR(__xludf.DUMMYFUNCTION("""COMPUTED_VALUE"""),"Delivery")</f>
        <v>Delivery</v>
      </c>
      <c r="X45" s="3" t="str">
        <f>IFERROR(__xludf.DUMMYFUNCTION("""COMPUTED_VALUE"""),"Investment")</f>
        <v>Investment</v>
      </c>
      <c r="Y45" s="3"/>
      <c r="Z45" s="3" t="str">
        <f>IFERROR(__xludf.DUMMYFUNCTION("""COMPUTED_VALUE"""),"Insurance Transformation")</f>
        <v>Insurance Transformation</v>
      </c>
      <c r="AA45" s="3" t="b">
        <f>IFERROR(__xludf.DUMMYFUNCTION("""COMPUTED_VALUE"""),FALSE)</f>
        <v>0</v>
      </c>
    </row>
    <row r="46">
      <c r="A46" s="11">
        <f>IFERROR(__xludf.DUMMYFUNCTION("""COMPUTED_VALUE"""),1.0115972E8)</f>
        <v>101159720</v>
      </c>
      <c r="B46" s="3" t="str">
        <f>IFERROR(__xludf.DUMMYFUNCTION("""COMPUTED_VALUE"""),"Ari Kertesz")</f>
        <v>Ari Kertesz</v>
      </c>
      <c r="C46" s="3" t="str">
        <f>IFERROR(__xludf.DUMMYFUNCTION("""COMPUTED_VALUE"""),"Ari  Kertesz")</f>
        <v>Ari  Kertesz</v>
      </c>
      <c r="D46" s="3" t="str">
        <f>IFERROR(__xludf.DUMMYFUNCTION("""COMPUTED_VALUE"""),"Kertesz, Ari")</f>
        <v>Kertesz, Ari</v>
      </c>
      <c r="E46" s="3" t="str">
        <f>IFERROR(__xludf.DUMMYFUNCTION("""COMPUTED_VALUE"""),"Active")</f>
        <v>Active</v>
      </c>
      <c r="F46" s="3" t="str">
        <f>IFERROR(__xludf.DUMMYFUNCTION("""COMPUTED_VALUE"""),"ari.kertesz@pwc.com")</f>
        <v>ari.kertesz@pwc.com</v>
      </c>
      <c r="G46" s="3" t="str">
        <f>IFERROR(__xludf.DUMMYFUNCTION("""COMPUTED_VALUE"""),"Customer")</f>
        <v>Customer</v>
      </c>
      <c r="H46" s="3" t="str">
        <f>IFERROR(__xludf.DUMMYFUNCTION("""COMPUTED_VALUE"""),"CM X-Sector")</f>
        <v>CM X-Sector</v>
      </c>
      <c r="I46" s="3" t="str">
        <f>IFERROR(__xludf.DUMMYFUNCTION("""COMPUTED_VALUE"""),"Customer - Marketing")</f>
        <v>Customer - Marketing</v>
      </c>
      <c r="J46" s="3" t="str">
        <f>IFERROR(__xludf.DUMMYFUNCTION("""COMPUTED_VALUE"""),"Partner")</f>
        <v>Partner</v>
      </c>
      <c r="K46" s="12">
        <f>IFERROR(__xludf.DUMMYFUNCTION("""COMPUTED_VALUE"""),44515.0)</f>
        <v>44515</v>
      </c>
      <c r="L46" s="3" t="str">
        <f>IFERROR(__xludf.DUMMYFUNCTION("""COMPUTED_VALUE"""),"New York")</f>
        <v>New York</v>
      </c>
      <c r="M46" s="3" t="str">
        <f>IFERROR(__xludf.DUMMYFUNCTION("""COMPUTED_VALUE"""),"New York - 300 Madison Avenue")</f>
        <v>New York - 300 Madison Avenue</v>
      </c>
      <c r="N46" s="3" t="b">
        <f>IFERROR(__xludf.DUMMYFUNCTION("""COMPUTED_VALUE"""),FALSE)</f>
        <v>0</v>
      </c>
      <c r="O46" s="3" t="str">
        <f>IFERROR(__xludf.DUMMYFUNCTION("""COMPUTED_VALUE"""),"george.korizis@pwc.com")</f>
        <v>george.korizis@pwc.com</v>
      </c>
      <c r="P46" s="3" t="str">
        <f>IFERROR(__xludf.DUMMYFUNCTION("""COMPUTED_VALUE"""),"FY22")</f>
        <v>FY22</v>
      </c>
      <c r="Q46" s="3" t="b">
        <f>IFERROR(__xludf.DUMMYFUNCTION("""COMPUTED_VALUE"""),FALSE)</f>
        <v>0</v>
      </c>
      <c r="R46" s="3"/>
      <c r="S46" s="3"/>
      <c r="T46" s="3" t="b">
        <f>IFERROR(__xludf.DUMMYFUNCTION("""COMPUTED_VALUE"""),FALSE)</f>
        <v>0</v>
      </c>
      <c r="U46" s="3" t="b">
        <f>IFERROR(__xludf.DUMMYFUNCTION("""COMPUTED_VALUE"""),FALSE)</f>
        <v>0</v>
      </c>
      <c r="V46" s="3" t="b">
        <f>IFERROR(__xludf.DUMMYFUNCTION("""COMPUTED_VALUE"""),TRUE)</f>
        <v>1</v>
      </c>
      <c r="W46" s="3" t="str">
        <f>IFERROR(__xludf.DUMMYFUNCTION("""COMPUTED_VALUE"""),"Catalyst")</f>
        <v>Catalyst</v>
      </c>
      <c r="X46" s="3"/>
      <c r="Y46" s="3" t="str">
        <f>IFERROR(__xludf.DUMMYFUNCTION("""COMPUTED_VALUE"""),"FY22")</f>
        <v>FY22</v>
      </c>
      <c r="Z46" s="3" t="str">
        <f>IFERROR(__xludf.DUMMYFUNCTION("""COMPUTED_VALUE"""),"Marketing Transformation")</f>
        <v>Marketing Transformation</v>
      </c>
      <c r="AA46" s="3" t="b">
        <f>IFERROR(__xludf.DUMMYFUNCTION("""COMPUTED_VALUE"""),FALSE)</f>
        <v>0</v>
      </c>
    </row>
    <row r="47">
      <c r="A47" s="11">
        <f>IFERROR(__xludf.DUMMYFUNCTION("""COMPUTED_VALUE"""),1.01194581E8)</f>
        <v>101194581</v>
      </c>
      <c r="B47" s="3" t="str">
        <f>IFERROR(__xludf.DUMMYFUNCTION("""COMPUTED_VALUE"""),"Ariel Fleichman")</f>
        <v>Ariel Fleichman</v>
      </c>
      <c r="C47" s="3" t="str">
        <f>IFERROR(__xludf.DUMMYFUNCTION("""COMPUTED_VALUE"""),"Ariel Alejandro Fleichman")</f>
        <v>Ariel Alejandro Fleichman</v>
      </c>
      <c r="D47" s="3" t="str">
        <f>IFERROR(__xludf.DUMMYFUNCTION("""COMPUTED_VALUE"""),"Fleichman, Ariel Alejandro")</f>
        <v>Fleichman, Ariel Alejandro</v>
      </c>
      <c r="E47" s="3" t="str">
        <f>IFERROR(__xludf.DUMMYFUNCTION("""COMPUTED_VALUE"""),"Active")</f>
        <v>Active</v>
      </c>
      <c r="F47" s="3" t="str">
        <f>IFERROR(__xludf.DUMMYFUNCTION("""COMPUTED_VALUE"""),"ariel.fleichman@pwc.com")</f>
        <v>ariel.fleichman@pwc.com</v>
      </c>
      <c r="G47" s="3" t="str">
        <f>IFERROR(__xludf.DUMMYFUNCTION("""COMPUTED_VALUE"""),"ESV")</f>
        <v>ESV</v>
      </c>
      <c r="H47" s="3" t="str">
        <f>IFERROR(__xludf.DUMMYFUNCTION("""COMPUTED_VALUE"""),"CM X-Sector")</f>
        <v>CM X-Sector</v>
      </c>
      <c r="I47" s="3" t="str">
        <f>IFERROR(__xludf.DUMMYFUNCTION("""COMPUTED_VALUE"""),"ESV - CM")</f>
        <v>ESV - CM</v>
      </c>
      <c r="J47" s="3" t="str">
        <f>IFERROR(__xludf.DUMMYFUNCTION("""COMPUTED_VALUE"""),"Partner")</f>
        <v>Partner</v>
      </c>
      <c r="K47" s="12">
        <f>IFERROR(__xludf.DUMMYFUNCTION("""COMPUTED_VALUE"""),44582.0)</f>
        <v>44582</v>
      </c>
      <c r="L47" s="3" t="str">
        <f>IFERROR(__xludf.DUMMYFUNCTION("""COMPUTED_VALUE"""),"Hallandale Beach")</f>
        <v>Hallandale Beach</v>
      </c>
      <c r="M47" s="3" t="str">
        <f>IFERROR(__xludf.DUMMYFUNCTION("""COMPUTED_VALUE"""),"Hallandale Beach - 600 Silks Run")</f>
        <v>Hallandale Beach - 600 Silks Run</v>
      </c>
      <c r="N47" s="3" t="b">
        <f>IFERROR(__xludf.DUMMYFUNCTION("""COMPUTED_VALUE"""),FALSE)</f>
        <v>0</v>
      </c>
      <c r="O47" s="3" t="str">
        <f>IFERROR(__xludf.DUMMYFUNCTION("""COMPUTED_VALUE"""),"sundar.subramanian@pwc.com")</f>
        <v>sundar.subramanian@pwc.com</v>
      </c>
      <c r="P47" s="3" t="str">
        <f>IFERROR(__xludf.DUMMYFUNCTION("""COMPUTED_VALUE"""),"FY22")</f>
        <v>FY22</v>
      </c>
      <c r="Q47" s="3" t="b">
        <f>IFERROR(__xludf.DUMMYFUNCTION("""COMPUTED_VALUE"""),FALSE)</f>
        <v>0</v>
      </c>
      <c r="R47" s="3"/>
      <c r="S47" s="3"/>
      <c r="T47" s="3" t="b">
        <f>IFERROR(__xludf.DUMMYFUNCTION("""COMPUTED_VALUE"""),FALSE)</f>
        <v>0</v>
      </c>
      <c r="U47" s="3" t="b">
        <f>IFERROR(__xludf.DUMMYFUNCTION("""COMPUTED_VALUE"""),TRUE)</f>
        <v>1</v>
      </c>
      <c r="V47" s="3" t="b">
        <f>IFERROR(__xludf.DUMMYFUNCTION("""COMPUTED_VALUE"""),FALSE)</f>
        <v>0</v>
      </c>
      <c r="W47" s="3" t="str">
        <f>IFERROR(__xludf.DUMMYFUNCTION("""COMPUTED_VALUE"""),"Catalyst")</f>
        <v>Catalyst</v>
      </c>
      <c r="X47" s="3"/>
      <c r="Y47" s="3" t="str">
        <f>IFERROR(__xludf.DUMMYFUNCTION("""COMPUTED_VALUE"""),"FY22")</f>
        <v>FY22</v>
      </c>
      <c r="Z47" s="3" t="str">
        <f>IFERROR(__xludf.DUMMYFUNCTION("""COMPUTED_VALUE"""),"")</f>
        <v/>
      </c>
      <c r="AA47" s="3" t="b">
        <f>IFERROR(__xludf.DUMMYFUNCTION("""COMPUTED_VALUE"""),FALSE)</f>
        <v>0</v>
      </c>
    </row>
    <row r="48">
      <c r="A48" s="11">
        <f>IFERROR(__xludf.DUMMYFUNCTION("""COMPUTED_VALUE"""),1.00649654E8)</f>
        <v>100649654</v>
      </c>
      <c r="B48" s="3" t="str">
        <f>IFERROR(__xludf.DUMMYFUNCTION("""COMPUTED_VALUE"""),"Arjun Katyal")</f>
        <v>Arjun Katyal</v>
      </c>
      <c r="C48" s="3" t="str">
        <f>IFERROR(__xludf.DUMMYFUNCTION("""COMPUTED_VALUE"""),"Arjun  Katyal")</f>
        <v>Arjun  Katyal</v>
      </c>
      <c r="D48" s="3" t="str">
        <f>IFERROR(__xludf.DUMMYFUNCTION("""COMPUTED_VALUE"""),"Katyal, Arjun")</f>
        <v>Katyal, Arjun</v>
      </c>
      <c r="E48" s="3" t="str">
        <f>IFERROR(__xludf.DUMMYFUNCTION("""COMPUTED_VALUE"""),"Active")</f>
        <v>Active</v>
      </c>
      <c r="F48" s="3" t="str">
        <f>IFERROR(__xludf.DUMMYFUNCTION("""COMPUTED_VALUE"""),"arjun.katyal@pwc.com")</f>
        <v>arjun.katyal@pwc.com</v>
      </c>
      <c r="G48" s="3" t="str">
        <f>IFERROR(__xludf.DUMMYFUNCTION("""COMPUTED_VALUE"""),"Finance")</f>
        <v>Finance</v>
      </c>
      <c r="H48" s="3" t="str">
        <f>IFERROR(__xludf.DUMMYFUNCTION("""COMPUTED_VALUE"""),"Banking and Capital Markets")</f>
        <v>Banking and Capital Markets</v>
      </c>
      <c r="I48" s="3" t="str">
        <f>IFERROR(__xludf.DUMMYFUNCTION("""COMPUTED_VALUE"""),"Finance - Financial Operations")</f>
        <v>Finance - Financial Operations</v>
      </c>
      <c r="J48" s="3" t="str">
        <f>IFERROR(__xludf.DUMMYFUNCTION("""COMPUTED_VALUE"""),"Managing Director")</f>
        <v>Managing Director</v>
      </c>
      <c r="K48" s="12">
        <f>IFERROR(__xludf.DUMMYFUNCTION("""COMPUTED_VALUE"""),40351.0)</f>
        <v>40351</v>
      </c>
      <c r="L48" s="3" t="str">
        <f>IFERROR(__xludf.DUMMYFUNCTION("""COMPUTED_VALUE"""),"Florham Park")</f>
        <v>Florham Park</v>
      </c>
      <c r="M48" s="3" t="str">
        <f>IFERROR(__xludf.DUMMYFUNCTION("""COMPUTED_VALUE"""),"Florham Park - 400 Campus Drive")</f>
        <v>Florham Park - 400 Campus Drive</v>
      </c>
      <c r="N48" s="3" t="b">
        <f>IFERROR(__xludf.DUMMYFUNCTION("""COMPUTED_VALUE"""),FALSE)</f>
        <v>0</v>
      </c>
      <c r="O48" s="3" t="str">
        <f>IFERROR(__xludf.DUMMYFUNCTION("""COMPUTED_VALUE"""),"harold.s.houser@pwc.com")</f>
        <v>harold.s.houser@pwc.com</v>
      </c>
      <c r="P48" s="3" t="str">
        <f>IFERROR(__xludf.DUMMYFUNCTION("""COMPUTED_VALUE"""),"No")</f>
        <v>No</v>
      </c>
      <c r="Q48" s="3" t="b">
        <f>IFERROR(__xludf.DUMMYFUNCTION("""COMPUTED_VALUE"""),FALSE)</f>
        <v>0</v>
      </c>
      <c r="R48" s="3"/>
      <c r="S48" s="3"/>
      <c r="T48" s="3" t="b">
        <f>IFERROR(__xludf.DUMMYFUNCTION("""COMPUTED_VALUE"""),FALSE)</f>
        <v>0</v>
      </c>
      <c r="U48" s="3" t="b">
        <f>IFERROR(__xludf.DUMMYFUNCTION("""COMPUTED_VALUE"""),TRUE)</f>
        <v>1</v>
      </c>
      <c r="V48" s="3" t="b">
        <f>IFERROR(__xludf.DUMMYFUNCTION("""COMPUTED_VALUE"""),FALSE)</f>
        <v>0</v>
      </c>
      <c r="W48" s="3" t="str">
        <f>IFERROR(__xludf.DUMMYFUNCTION("""COMPUTED_VALUE"""),"Delivery")</f>
        <v>Delivery</v>
      </c>
      <c r="X48" s="3"/>
      <c r="Y48" s="3"/>
      <c r="Z48" s="3" t="str">
        <f>IFERROR(__xludf.DUMMYFUNCTION("""COMPUTED_VALUE"""),"Finance Transformation - Banking")</f>
        <v>Finance Transformation - Banking</v>
      </c>
      <c r="AA48" s="3" t="b">
        <f>IFERROR(__xludf.DUMMYFUNCTION("""COMPUTED_VALUE"""),FALSE)</f>
        <v>0</v>
      </c>
    </row>
    <row r="49">
      <c r="A49" s="11">
        <f>IFERROR(__xludf.DUMMYFUNCTION("""COMPUTED_VALUE"""),1.00646809E8)</f>
        <v>100646809</v>
      </c>
      <c r="B49" s="3" t="str">
        <f>IFERROR(__xludf.DUMMYFUNCTION("""COMPUTED_VALUE"""),"Arjun Patel")</f>
        <v>Arjun Patel</v>
      </c>
      <c r="C49" s="3" t="str">
        <f>IFERROR(__xludf.DUMMYFUNCTION("""COMPUTED_VALUE"""),"Arjun Nitin Patel")</f>
        <v>Arjun Nitin Patel</v>
      </c>
      <c r="D49" s="3" t="str">
        <f>IFERROR(__xludf.DUMMYFUNCTION("""COMPUTED_VALUE"""),"Patel, Arjun Nitin")</f>
        <v>Patel, Arjun Nitin</v>
      </c>
      <c r="E49" s="3" t="str">
        <f>IFERROR(__xludf.DUMMYFUNCTION("""COMPUTED_VALUE"""),"Active")</f>
        <v>Active</v>
      </c>
      <c r="F49" s="3" t="str">
        <f>IFERROR(__xludf.DUMMYFUNCTION("""COMPUTED_VALUE"""),"arjun.patel@pwc.com")</f>
        <v>arjun.patel@pwc.com</v>
      </c>
      <c r="G49" s="3" t="str">
        <f>IFERROR(__xludf.DUMMYFUNCTION("""COMPUTED_VALUE"""),"FS")</f>
        <v>FS</v>
      </c>
      <c r="H49" s="3" t="str">
        <f>IFERROR(__xludf.DUMMYFUNCTION("""COMPUTED_VALUE"""),"Asset and Wealth Management")</f>
        <v>Asset and Wealth Management</v>
      </c>
      <c r="I49" s="3" t="str">
        <f>IFERROR(__xludf.DUMMYFUNCTION("""COMPUTED_VALUE"""),"FS - Asset Wealth Management")</f>
        <v>FS - Asset Wealth Management</v>
      </c>
      <c r="J49" s="3" t="str">
        <f>IFERROR(__xludf.DUMMYFUNCTION("""COMPUTED_VALUE"""),"Partner")</f>
        <v>Partner</v>
      </c>
      <c r="K49" s="12">
        <f>IFERROR(__xludf.DUMMYFUNCTION("""COMPUTED_VALUE"""),40485.0)</f>
        <v>40485</v>
      </c>
      <c r="L49" s="3" t="str">
        <f>IFERROR(__xludf.DUMMYFUNCTION("""COMPUTED_VALUE"""),"New York")</f>
        <v>New York</v>
      </c>
      <c r="M49" s="3" t="str">
        <f>IFERROR(__xludf.DUMMYFUNCTION("""COMPUTED_VALUE"""),"New York - 300 Madison Avenue")</f>
        <v>New York - 300 Madison Avenue</v>
      </c>
      <c r="N49" s="3" t="b">
        <f>IFERROR(__xludf.DUMMYFUNCTION("""COMPUTED_VALUE"""),TRUE)</f>
        <v>1</v>
      </c>
      <c r="O49" s="3" t="str">
        <f>IFERROR(__xludf.DUMMYFUNCTION("""COMPUTED_VALUE"""),"alison.hoover@pwc.com")</f>
        <v>alison.hoover@pwc.com</v>
      </c>
      <c r="P49" s="3" t="str">
        <f>IFERROR(__xludf.DUMMYFUNCTION("""COMPUTED_VALUE"""),"No")</f>
        <v>No</v>
      </c>
      <c r="Q49" s="3" t="b">
        <f>IFERROR(__xludf.DUMMYFUNCTION("""COMPUTED_VALUE"""),FALSE)</f>
        <v>0</v>
      </c>
      <c r="R49" s="3"/>
      <c r="S49" s="3" t="str">
        <f>IFERROR(__xludf.DUMMYFUNCTION("""COMPUTED_VALUE"""),"Diversity &amp; Inclusion Champions")</f>
        <v>Diversity &amp; Inclusion Champions</v>
      </c>
      <c r="T49" s="3" t="b">
        <f>IFERROR(__xludf.DUMMYFUNCTION("""COMPUTED_VALUE"""),FALSE)</f>
        <v>0</v>
      </c>
      <c r="U49" s="3" t="b">
        <f>IFERROR(__xludf.DUMMYFUNCTION("""COMPUTED_VALUE"""),TRUE)</f>
        <v>1</v>
      </c>
      <c r="V49" s="3" t="b">
        <f>IFERROR(__xludf.DUMMYFUNCTION("""COMPUTED_VALUE"""),FALSE)</f>
        <v>0</v>
      </c>
      <c r="W49" s="3" t="str">
        <f>IFERROR(__xludf.DUMMYFUNCTION("""COMPUTED_VALUE"""),"Delivery")</f>
        <v>Delivery</v>
      </c>
      <c r="X49" s="3"/>
      <c r="Y49" s="3"/>
      <c r="Z49" s="3" t="str">
        <f>IFERROR(__xludf.DUMMYFUNCTION("""COMPUTED_VALUE"""),"AWM Transformation")</f>
        <v>AWM Transformation</v>
      </c>
      <c r="AA49" s="3" t="b">
        <f>IFERROR(__xludf.DUMMYFUNCTION("""COMPUTED_VALUE"""),FALSE)</f>
        <v>0</v>
      </c>
    </row>
    <row r="50">
      <c r="A50" s="11">
        <f>IFERROR(__xludf.DUMMYFUNCTION("""COMPUTED_VALUE"""),1.00653597E8)</f>
        <v>100653597</v>
      </c>
      <c r="B50" s="3" t="str">
        <f>IFERROR(__xludf.DUMMYFUNCTION("""COMPUTED_VALUE"""),"Arjun Saxena")</f>
        <v>Arjun Saxena</v>
      </c>
      <c r="C50" s="3" t="str">
        <f>IFERROR(__xludf.DUMMYFUNCTION("""COMPUTED_VALUE"""),"Arjun  Saxena")</f>
        <v>Arjun  Saxena</v>
      </c>
      <c r="D50" s="3" t="str">
        <f>IFERROR(__xludf.DUMMYFUNCTION("""COMPUTED_VALUE"""),"Saxena, Arjun")</f>
        <v>Saxena, Arjun</v>
      </c>
      <c r="E50" s="3" t="str">
        <f>IFERROR(__xludf.DUMMYFUNCTION("""COMPUTED_VALUE"""),"Active")</f>
        <v>Active</v>
      </c>
      <c r="F50" s="3" t="str">
        <f>IFERROR(__xludf.DUMMYFUNCTION("""COMPUTED_VALUE"""),"arjun.saxena@pwc.com")</f>
        <v>arjun.saxena@pwc.com</v>
      </c>
      <c r="G50" s="3" t="str">
        <f>IFERROR(__xludf.DUMMYFUNCTION("""COMPUTED_VALUE"""),"ESV")</f>
        <v>ESV</v>
      </c>
      <c r="H50" s="3" t="str">
        <f>IFERROR(__xludf.DUMMYFUNCTION("""COMPUTED_VALUE"""),"Asset and Wealth Management")</f>
        <v>Asset and Wealth Management</v>
      </c>
      <c r="I50" s="3" t="str">
        <f>IFERROR(__xludf.DUMMYFUNCTION("""COMPUTED_VALUE"""),"ESV - AWM")</f>
        <v>ESV - AWM</v>
      </c>
      <c r="J50" s="3" t="str">
        <f>IFERROR(__xludf.DUMMYFUNCTION("""COMPUTED_VALUE"""),"Partner")</f>
        <v>Partner</v>
      </c>
      <c r="K50" s="12">
        <f>IFERROR(__xludf.DUMMYFUNCTION("""COMPUTED_VALUE"""),42186.0)</f>
        <v>42186</v>
      </c>
      <c r="L50" s="3" t="str">
        <f>IFERROR(__xludf.DUMMYFUNCTION("""COMPUTED_VALUE"""),"New York")</f>
        <v>New York</v>
      </c>
      <c r="M50" s="3" t="str">
        <f>IFERROR(__xludf.DUMMYFUNCTION("""COMPUTED_VALUE"""),"New York - 300 Madison Avenue")</f>
        <v>New York - 300 Madison Avenue</v>
      </c>
      <c r="N50" s="3" t="b">
        <f>IFERROR(__xludf.DUMMYFUNCTION("""COMPUTED_VALUE"""),FALSE)</f>
        <v>0</v>
      </c>
      <c r="O50" s="3" t="str">
        <f>IFERROR(__xludf.DUMMYFUNCTION("""COMPUTED_VALUE"""),"sundar.subramanian@pwc.com")</f>
        <v>sundar.subramanian@pwc.com</v>
      </c>
      <c r="P50" s="3" t="str">
        <f>IFERROR(__xludf.DUMMYFUNCTION("""COMPUTED_VALUE"""),"No")</f>
        <v>No</v>
      </c>
      <c r="Q50" s="3" t="b">
        <f>IFERROR(__xludf.DUMMYFUNCTION("""COMPUTED_VALUE"""),TRUE)</f>
        <v>1</v>
      </c>
      <c r="R50" s="3" t="str">
        <f>IFERROR(__xludf.DUMMYFUNCTION("""COMPUTED_VALUE"""),"LCP Low")</f>
        <v>LCP Low</v>
      </c>
      <c r="S50" s="3"/>
      <c r="T50" s="3" t="b">
        <f>IFERROR(__xludf.DUMMYFUNCTION("""COMPUTED_VALUE"""),TRUE)</f>
        <v>1</v>
      </c>
      <c r="U50" s="3" t="b">
        <f>IFERROR(__xludf.DUMMYFUNCTION("""COMPUTED_VALUE"""),FALSE)</f>
        <v>0</v>
      </c>
      <c r="V50" s="3" t="b">
        <f>IFERROR(__xludf.DUMMYFUNCTION("""COMPUTED_VALUE"""),FALSE)</f>
        <v>0</v>
      </c>
      <c r="W50" s="3" t="str">
        <f>IFERROR(__xludf.DUMMYFUNCTION("""COMPUTED_VALUE"""),"LCP")</f>
        <v>LCP</v>
      </c>
      <c r="X50" s="3"/>
      <c r="Y50" s="3" t="str">
        <f>IFERROR(__xludf.DUMMYFUNCTION("""COMPUTED_VALUE"""),"GEP - Low")</f>
        <v>GEP - Low</v>
      </c>
      <c r="Z50" s="3" t="str">
        <f>IFERROR(__xludf.DUMMYFUNCTION("""COMPUTED_VALUE"""),"Corporate M&amp;A Transformation - FS")</f>
        <v>Corporate M&amp;A Transformation - FS</v>
      </c>
      <c r="AA50" s="3" t="b">
        <f>IFERROR(__xludf.DUMMYFUNCTION("""COMPUTED_VALUE"""),FALSE)</f>
        <v>0</v>
      </c>
    </row>
    <row r="51">
      <c r="A51" s="11">
        <f>IFERROR(__xludf.DUMMYFUNCTION("""COMPUTED_VALUE"""),1.00589741E8)</f>
        <v>100589741</v>
      </c>
      <c r="B51" s="3" t="str">
        <f>IFERROR(__xludf.DUMMYFUNCTION("""COMPUTED_VALUE"""),"Arup Chatterji")</f>
        <v>Arup Chatterji</v>
      </c>
      <c r="C51" s="3" t="str">
        <f>IFERROR(__xludf.DUMMYFUNCTION("""COMPUTED_VALUE"""),"Arup  Chatterji")</f>
        <v>Arup  Chatterji</v>
      </c>
      <c r="D51" s="3" t="str">
        <f>IFERROR(__xludf.DUMMYFUNCTION("""COMPUTED_VALUE"""),"Chatterji, Arup")</f>
        <v>Chatterji, Arup</v>
      </c>
      <c r="E51" s="3" t="str">
        <f>IFERROR(__xludf.DUMMYFUNCTION("""COMPUTED_VALUE"""),"Active")</f>
        <v>Active</v>
      </c>
      <c r="F51" s="3" t="str">
        <f>IFERROR(__xludf.DUMMYFUNCTION("""COMPUTED_VALUE"""),"arup.chatterji@pwc.com")</f>
        <v>arup.chatterji@pwc.com</v>
      </c>
      <c r="G51" s="3" t="str">
        <f>IFERROR(__xludf.DUMMYFUNCTION("""COMPUTED_VALUE"""),"ESV")</f>
        <v>ESV</v>
      </c>
      <c r="H51" s="3" t="str">
        <f>IFERROR(__xludf.DUMMYFUNCTION("""COMPUTED_VALUE"""),"TMT X-Sector")</f>
        <v>TMT X-Sector</v>
      </c>
      <c r="I51" s="3" t="str">
        <f>IFERROR(__xludf.DUMMYFUNCTION("""COMPUTED_VALUE"""),"ESV - TMT")</f>
        <v>ESV - TMT</v>
      </c>
      <c r="J51" s="3" t="str">
        <f>IFERROR(__xludf.DUMMYFUNCTION("""COMPUTED_VALUE"""),"Partner")</f>
        <v>Partner</v>
      </c>
      <c r="K51" s="12">
        <f>IFERROR(__xludf.DUMMYFUNCTION("""COMPUTED_VALUE"""),40798.0)</f>
        <v>40798</v>
      </c>
      <c r="L51" s="3" t="str">
        <f>IFERROR(__xludf.DUMMYFUNCTION("""COMPUTED_VALUE"""),"San Jose")</f>
        <v>San Jose</v>
      </c>
      <c r="M51" s="3" t="str">
        <f>IFERROR(__xludf.DUMMYFUNCTION("""COMPUTED_VALUE"""),"San Jose - 488 Almaden Boulevard")</f>
        <v>San Jose - 488 Almaden Boulevard</v>
      </c>
      <c r="N51" s="3" t="b">
        <f>IFERROR(__xludf.DUMMYFUNCTION("""COMPUTED_VALUE"""),FALSE)</f>
        <v>0</v>
      </c>
      <c r="O51" s="3" t="str">
        <f>IFERROR(__xludf.DUMMYFUNCTION("""COMPUTED_VALUE"""),"sundar.subramanian@pwc.com")</f>
        <v>sundar.subramanian@pwc.com</v>
      </c>
      <c r="P51" s="3" t="str">
        <f>IFERROR(__xludf.DUMMYFUNCTION("""COMPUTED_VALUE"""),"No")</f>
        <v>No</v>
      </c>
      <c r="Q51" s="3" t="b">
        <f>IFERROR(__xludf.DUMMYFUNCTION("""COMPUTED_VALUE"""),FALSE)</f>
        <v>0</v>
      </c>
      <c r="R51" s="3"/>
      <c r="S51" s="3"/>
      <c r="T51" s="3" t="b">
        <f>IFERROR(__xludf.DUMMYFUNCTION("""COMPUTED_VALUE"""),FALSE)</f>
        <v>0</v>
      </c>
      <c r="U51" s="3" t="b">
        <f>IFERROR(__xludf.DUMMYFUNCTION("""COMPUTED_VALUE"""),TRUE)</f>
        <v>1</v>
      </c>
      <c r="V51" s="3" t="b">
        <f>IFERROR(__xludf.DUMMYFUNCTION("""COMPUTED_VALUE"""),FALSE)</f>
        <v>0</v>
      </c>
      <c r="W51" s="3" t="str">
        <f>IFERROR(__xludf.DUMMYFUNCTION("""COMPUTED_VALUE"""),"Delivery")</f>
        <v>Delivery</v>
      </c>
      <c r="X51" s="3"/>
      <c r="Y51" s="3"/>
      <c r="Z51" s="3" t="str">
        <f>IFERROR(__xludf.DUMMYFUNCTION("""COMPUTED_VALUE"""),"Enterprise Digital Transformation - TMT")</f>
        <v>Enterprise Digital Transformation - TMT</v>
      </c>
      <c r="AA51" s="3" t="b">
        <f>IFERROR(__xludf.DUMMYFUNCTION("""COMPUTED_VALUE"""),FALSE)</f>
        <v>0</v>
      </c>
    </row>
    <row r="52">
      <c r="A52" s="11">
        <f>IFERROR(__xludf.DUMMYFUNCTION("""COMPUTED_VALUE"""),1.00568413E8)</f>
        <v>100568413</v>
      </c>
      <c r="B52" s="3" t="str">
        <f>IFERROR(__xludf.DUMMYFUNCTION("""COMPUTED_VALUE"""),"Ash Malik")</f>
        <v>Ash Malik</v>
      </c>
      <c r="C52" s="3" t="str">
        <f>IFERROR(__xludf.DUMMYFUNCTION("""COMPUTED_VALUE"""),"Ash  Malik")</f>
        <v>Ash  Malik</v>
      </c>
      <c r="D52" s="3" t="str">
        <f>IFERROR(__xludf.DUMMYFUNCTION("""COMPUTED_VALUE"""),"Malik, Ash")</f>
        <v>Malik, Ash</v>
      </c>
      <c r="E52" s="3" t="str">
        <f>IFERROR(__xludf.DUMMYFUNCTION("""COMPUTED_VALUE"""),"Active")</f>
        <v>Active</v>
      </c>
      <c r="F52" s="3" t="str">
        <f>IFERROR(__xludf.DUMMYFUNCTION("""COMPUTED_VALUE"""),"ash.malik@pwc.com")</f>
        <v>ash.malik@pwc.com</v>
      </c>
      <c r="G52" s="3" t="str">
        <f>IFERROR(__xludf.DUMMYFUNCTION("""COMPUTED_VALUE"""),"ESV")</f>
        <v>ESV</v>
      </c>
      <c r="H52" s="3" t="str">
        <f>IFERROR(__xludf.DUMMYFUNCTION("""COMPUTED_VALUE"""),"Pharma and Life Sciences")</f>
        <v>Pharma and Life Sciences</v>
      </c>
      <c r="I52" s="3" t="str">
        <f>IFERROR(__xludf.DUMMYFUNCTION("""COMPUTED_VALUE"""),"ESV - PLS")</f>
        <v>ESV - PLS</v>
      </c>
      <c r="J52" s="3" t="str">
        <f>IFERROR(__xludf.DUMMYFUNCTION("""COMPUTED_VALUE"""),"Partner")</f>
        <v>Partner</v>
      </c>
      <c r="K52" s="12">
        <f>IFERROR(__xludf.DUMMYFUNCTION("""COMPUTED_VALUE"""),43817.0)</f>
        <v>43817</v>
      </c>
      <c r="L52" s="3" t="str">
        <f>IFERROR(__xludf.DUMMYFUNCTION("""COMPUTED_VALUE"""),"Hallandale Beach")</f>
        <v>Hallandale Beach</v>
      </c>
      <c r="M52" s="3" t="str">
        <f>IFERROR(__xludf.DUMMYFUNCTION("""COMPUTED_VALUE"""),"Hallandale Beach - 600 Silks Run")</f>
        <v>Hallandale Beach - 600 Silks Run</v>
      </c>
      <c r="N52" s="3" t="b">
        <f>IFERROR(__xludf.DUMMYFUNCTION("""COMPUTED_VALUE"""),FALSE)</f>
        <v>0</v>
      </c>
      <c r="O52" s="3" t="str">
        <f>IFERROR(__xludf.DUMMYFUNCTION("""COMPUTED_VALUE"""),"sundar.subramanian@pwc.com")</f>
        <v>sundar.subramanian@pwc.com</v>
      </c>
      <c r="P52" s="3" t="str">
        <f>IFERROR(__xludf.DUMMYFUNCTION("""COMPUTED_VALUE"""),"No")</f>
        <v>No</v>
      </c>
      <c r="Q52" s="3" t="b">
        <f>IFERROR(__xludf.DUMMYFUNCTION("""COMPUTED_VALUE"""),FALSE)</f>
        <v>0</v>
      </c>
      <c r="R52" s="3"/>
      <c r="S52" s="3"/>
      <c r="T52" s="3" t="b">
        <f>IFERROR(__xludf.DUMMYFUNCTION("""COMPUTED_VALUE"""),FALSE)</f>
        <v>0</v>
      </c>
      <c r="U52" s="3" t="b">
        <f>IFERROR(__xludf.DUMMYFUNCTION("""COMPUTED_VALUE"""),FALSE)</f>
        <v>0</v>
      </c>
      <c r="V52" s="3" t="b">
        <f>IFERROR(__xludf.DUMMYFUNCTION("""COMPUTED_VALUE"""),FALSE)</f>
        <v>0</v>
      </c>
      <c r="W52" s="3" t="str">
        <f>IFERROR(__xludf.DUMMYFUNCTION("""COMPUTED_VALUE"""),"Delivery")</f>
        <v>Delivery</v>
      </c>
      <c r="X52" s="3"/>
      <c r="Y52" s="3" t="str">
        <f>IFERROR(__xludf.DUMMYFUNCTION("""COMPUTED_VALUE"""),"GEP - Low")</f>
        <v>GEP - Low</v>
      </c>
      <c r="Z52" s="3" t="str">
        <f>IFERROR(__xludf.DUMMYFUNCTION("""COMPUTED_VALUE"""),"Clinical R&amp;D")</f>
        <v>Clinical R&amp;D</v>
      </c>
      <c r="AA52" s="3" t="b">
        <f>IFERROR(__xludf.DUMMYFUNCTION("""COMPUTED_VALUE"""),FALSE)</f>
        <v>0</v>
      </c>
    </row>
    <row r="53">
      <c r="A53" s="11">
        <f>IFERROR(__xludf.DUMMYFUNCTION("""COMPUTED_VALUE"""),1.01186479E8)</f>
        <v>101186479</v>
      </c>
      <c r="B53" s="3" t="str">
        <f>IFERROR(__xludf.DUMMYFUNCTION("""COMPUTED_VALUE"""),"Ashish Garg")</f>
        <v>Ashish Garg</v>
      </c>
      <c r="C53" s="3" t="str">
        <f>IFERROR(__xludf.DUMMYFUNCTION("""COMPUTED_VALUE"""),"Ashish  Garg")</f>
        <v>Ashish  Garg</v>
      </c>
      <c r="D53" s="3" t="str">
        <f>IFERROR(__xludf.DUMMYFUNCTION("""COMPUTED_VALUE"""),"Garg, Ashish")</f>
        <v>Garg, Ashish</v>
      </c>
      <c r="E53" s="3" t="str">
        <f>IFERROR(__xludf.DUMMYFUNCTION("""COMPUTED_VALUE"""),"Active")</f>
        <v>Active</v>
      </c>
      <c r="F53" s="3" t="str">
        <f>IFERROR(__xludf.DUMMYFUNCTION("""COMPUTED_VALUE"""),"ashish.a.garg@pwc.com")</f>
        <v>ashish.a.garg@pwc.com</v>
      </c>
      <c r="G53" s="3" t="str">
        <f>IFERROR(__xludf.DUMMYFUNCTION("""COMPUTED_VALUE"""),"FS")</f>
        <v>FS</v>
      </c>
      <c r="H53" s="3" t="str">
        <f>IFERROR(__xludf.DUMMYFUNCTION("""COMPUTED_VALUE"""),"Insurance")</f>
        <v>Insurance</v>
      </c>
      <c r="I53" s="3" t="str">
        <f>IFERROR(__xludf.DUMMYFUNCTION("""COMPUTED_VALUE"""),"FS - Insurance")</f>
        <v>FS - Insurance</v>
      </c>
      <c r="J53" s="3" t="str">
        <f>IFERROR(__xludf.DUMMYFUNCTION("""COMPUTED_VALUE"""),"Partner")</f>
        <v>Partner</v>
      </c>
      <c r="K53" s="12">
        <f>IFERROR(__xludf.DUMMYFUNCTION("""COMPUTED_VALUE"""),44627.0)</f>
        <v>44627</v>
      </c>
      <c r="L53" s="3" t="str">
        <f>IFERROR(__xludf.DUMMYFUNCTION("""COMPUTED_VALUE"""),"San Francisco")</f>
        <v>San Francisco</v>
      </c>
      <c r="M53" s="3" t="str">
        <f>IFERROR(__xludf.DUMMYFUNCTION("""COMPUTED_VALUE"""),"San Francisco - 405 Howard St")</f>
        <v>San Francisco - 405 Howard St</v>
      </c>
      <c r="N53" s="3" t="b">
        <f>IFERROR(__xludf.DUMMYFUNCTION("""COMPUTED_VALUE"""),FALSE)</f>
        <v>0</v>
      </c>
      <c r="O53" s="3" t="str">
        <f>IFERROR(__xludf.DUMMYFUNCTION("""COMPUTED_VALUE"""),"alison.hoover@pwc.com")</f>
        <v>alison.hoover@pwc.com</v>
      </c>
      <c r="P53" s="3" t="str">
        <f>IFERROR(__xludf.DUMMYFUNCTION("""COMPUTED_VALUE"""),"FY22")</f>
        <v>FY22</v>
      </c>
      <c r="Q53" s="3" t="b">
        <f>IFERROR(__xludf.DUMMYFUNCTION("""COMPUTED_VALUE"""),FALSE)</f>
        <v>0</v>
      </c>
      <c r="R53" s="3"/>
      <c r="S53" s="3"/>
      <c r="T53" s="3" t="b">
        <f>IFERROR(__xludf.DUMMYFUNCTION("""COMPUTED_VALUE"""),FALSE)</f>
        <v>0</v>
      </c>
      <c r="U53" s="3" t="b">
        <f>IFERROR(__xludf.DUMMYFUNCTION("""COMPUTED_VALUE"""),TRUE)</f>
        <v>1</v>
      </c>
      <c r="V53" s="3" t="b">
        <f>IFERROR(__xludf.DUMMYFUNCTION("""COMPUTED_VALUE"""),FALSE)</f>
        <v>0</v>
      </c>
      <c r="W53" s="3" t="str">
        <f>IFERROR(__xludf.DUMMYFUNCTION("""COMPUTED_VALUE"""),"Catalyst")</f>
        <v>Catalyst</v>
      </c>
      <c r="X53" s="3"/>
      <c r="Y53" s="3"/>
      <c r="Z53" s="3" t="str">
        <f>IFERROR(__xludf.DUMMYFUNCTION("""COMPUTED_VALUE"""),"")</f>
        <v/>
      </c>
      <c r="AA53" s="3" t="b">
        <f>IFERROR(__xludf.DUMMYFUNCTION("""COMPUTED_VALUE"""),FALSE)</f>
        <v>0</v>
      </c>
    </row>
    <row r="54">
      <c r="A54" s="11">
        <f>IFERROR(__xludf.DUMMYFUNCTION("""COMPUTED_VALUE"""),1.00650967E8)</f>
        <v>100650967</v>
      </c>
      <c r="B54" s="3" t="str">
        <f>IFERROR(__xludf.DUMMYFUNCTION("""COMPUTED_VALUE"""),"Ashish Jain")</f>
        <v>Ashish Jain</v>
      </c>
      <c r="C54" s="3" t="str">
        <f>IFERROR(__xludf.DUMMYFUNCTION("""COMPUTED_VALUE"""),"Ashish  Jain")</f>
        <v>Ashish  Jain</v>
      </c>
      <c r="D54" s="3" t="str">
        <f>IFERROR(__xludf.DUMMYFUNCTION("""COMPUTED_VALUE"""),"Jain, Ashish")</f>
        <v>Jain, Ashish</v>
      </c>
      <c r="E54" s="3" t="str">
        <f>IFERROR(__xludf.DUMMYFUNCTION("""COMPUTED_VALUE"""),"Active")</f>
        <v>Active</v>
      </c>
      <c r="F54" s="3" t="str">
        <f>IFERROR(__xludf.DUMMYFUNCTION("""COMPUTED_VALUE"""),"ashish.jain@pwc.com")</f>
        <v>ashish.jain@pwc.com</v>
      </c>
      <c r="G54" s="3" t="str">
        <f>IFERROR(__xludf.DUMMYFUNCTION("""COMPUTED_VALUE"""),"ESV")</f>
        <v>ESV</v>
      </c>
      <c r="H54" s="3" t="str">
        <f>IFERROR(__xludf.DUMMYFUNCTION("""COMPUTED_VALUE"""),"Banking and Capital Markets")</f>
        <v>Banking and Capital Markets</v>
      </c>
      <c r="I54" s="3" t="str">
        <f>IFERROR(__xludf.DUMMYFUNCTION("""COMPUTED_VALUE"""),"ESV - BCM")</f>
        <v>ESV - BCM</v>
      </c>
      <c r="J54" s="3" t="str">
        <f>IFERROR(__xludf.DUMMYFUNCTION("""COMPUTED_VALUE"""),"Partner")</f>
        <v>Partner</v>
      </c>
      <c r="K54" s="12">
        <f>IFERROR(__xludf.DUMMYFUNCTION("""COMPUTED_VALUE"""),42186.0)</f>
        <v>42186</v>
      </c>
      <c r="L54" s="3" t="str">
        <f>IFERROR(__xludf.DUMMYFUNCTION("""COMPUTED_VALUE"""),"Chicago")</f>
        <v>Chicago</v>
      </c>
      <c r="M54" s="3" t="str">
        <f>IFERROR(__xludf.DUMMYFUNCTION("""COMPUTED_VALUE"""),"Chicago - One North Wacker Drive")</f>
        <v>Chicago - One North Wacker Drive</v>
      </c>
      <c r="N54" s="3" t="b">
        <f>IFERROR(__xludf.DUMMYFUNCTION("""COMPUTED_VALUE"""),FALSE)</f>
        <v>0</v>
      </c>
      <c r="O54" s="3" t="str">
        <f>IFERROR(__xludf.DUMMYFUNCTION("""COMPUTED_VALUE"""),"sundar.subramanian@pwc.com")</f>
        <v>sundar.subramanian@pwc.com</v>
      </c>
      <c r="P54" s="3" t="str">
        <f>IFERROR(__xludf.DUMMYFUNCTION("""COMPUTED_VALUE"""),"No")</f>
        <v>No</v>
      </c>
      <c r="Q54" s="3" t="b">
        <f>IFERROR(__xludf.DUMMYFUNCTION("""COMPUTED_VALUE"""),TRUE)</f>
        <v>1</v>
      </c>
      <c r="R54" s="3" t="str">
        <f>IFERROR(__xludf.DUMMYFUNCTION("""COMPUTED_VALUE"""),"LCP High")</f>
        <v>LCP High</v>
      </c>
      <c r="S54" s="3"/>
      <c r="T54" s="3" t="b">
        <f>IFERROR(__xludf.DUMMYFUNCTION("""COMPUTED_VALUE"""),TRUE)</f>
        <v>1</v>
      </c>
      <c r="U54" s="3" t="b">
        <f>IFERROR(__xludf.DUMMYFUNCTION("""COMPUTED_VALUE"""),FALSE)</f>
        <v>0</v>
      </c>
      <c r="V54" s="3" t="b">
        <f>IFERROR(__xludf.DUMMYFUNCTION("""COMPUTED_VALUE"""),FALSE)</f>
        <v>0</v>
      </c>
      <c r="W54" s="3" t="str">
        <f>IFERROR(__xludf.DUMMYFUNCTION("""COMPUTED_VALUE"""),"LCP")</f>
        <v>LCP</v>
      </c>
      <c r="X54" s="3"/>
      <c r="Y54" s="3" t="str">
        <f>IFERROR(__xludf.DUMMYFUNCTION("""COMPUTED_VALUE"""),"GEP - High")</f>
        <v>GEP - High</v>
      </c>
      <c r="Z54" s="3" t="str">
        <f>IFERROR(__xludf.DUMMYFUNCTION("""COMPUTED_VALUE"""),"Enterprise Digital Transformation - BCM &amp; AWM")</f>
        <v>Enterprise Digital Transformation - BCM &amp; AWM</v>
      </c>
      <c r="AA54" s="3" t="b">
        <f>IFERROR(__xludf.DUMMYFUNCTION("""COMPUTED_VALUE"""),FALSE)</f>
        <v>0</v>
      </c>
    </row>
    <row r="55">
      <c r="A55" s="11">
        <f>IFERROR(__xludf.DUMMYFUNCTION("""COMPUTED_VALUE"""),1.00650162E8)</f>
        <v>100650162</v>
      </c>
      <c r="B55" s="3" t="str">
        <f>IFERROR(__xludf.DUMMYFUNCTION("""COMPUTED_VALUE"""),"Ashwin Badrinarayan")</f>
        <v>Ashwin Badrinarayan</v>
      </c>
      <c r="C55" s="3" t="str">
        <f>IFERROR(__xludf.DUMMYFUNCTION("""COMPUTED_VALUE"""),"Ashwin  Badrinarayan")</f>
        <v>Ashwin  Badrinarayan</v>
      </c>
      <c r="D55" s="3" t="str">
        <f>IFERROR(__xludf.DUMMYFUNCTION("""COMPUTED_VALUE"""),"Badrinarayan, Ashwin")</f>
        <v>Badrinarayan, Ashwin</v>
      </c>
      <c r="E55" s="3" t="str">
        <f>IFERROR(__xludf.DUMMYFUNCTION("""COMPUTED_VALUE"""),"Active")</f>
        <v>Active</v>
      </c>
      <c r="F55" s="3" t="str">
        <f>IFERROR(__xludf.DUMMYFUNCTION("""COMPUTED_VALUE"""),"ashwin.badrinarayan@pwc.com")</f>
        <v>ashwin.badrinarayan@pwc.com</v>
      </c>
      <c r="G55" s="3" t="str">
        <f>IFERROR(__xludf.DUMMYFUNCTION("""COMPUTED_VALUE"""),"ESV")</f>
        <v>ESV</v>
      </c>
      <c r="H55" s="3" t="str">
        <f>IFERROR(__xludf.DUMMYFUNCTION("""COMPUTED_VALUE"""),"Health Services")</f>
        <v>Health Services</v>
      </c>
      <c r="I55" s="3" t="str">
        <f>IFERROR(__xludf.DUMMYFUNCTION("""COMPUTED_VALUE"""),"ESV - Health Services")</f>
        <v>ESV - Health Services</v>
      </c>
      <c r="J55" s="3" t="str">
        <f>IFERROR(__xludf.DUMMYFUNCTION("""COMPUTED_VALUE"""),"Partner")</f>
        <v>Partner</v>
      </c>
      <c r="K55" s="12">
        <f>IFERROR(__xludf.DUMMYFUNCTION("""COMPUTED_VALUE"""),42186.0)</f>
        <v>42186</v>
      </c>
      <c r="L55" s="3" t="str">
        <f>IFERROR(__xludf.DUMMYFUNCTION("""COMPUTED_VALUE"""),"Chicago")</f>
        <v>Chicago</v>
      </c>
      <c r="M55" s="3" t="str">
        <f>IFERROR(__xludf.DUMMYFUNCTION("""COMPUTED_VALUE"""),"Chicago - One North Wacker Drive")</f>
        <v>Chicago - One North Wacker Drive</v>
      </c>
      <c r="N55" s="3" t="b">
        <f>IFERROR(__xludf.DUMMYFUNCTION("""COMPUTED_VALUE"""),FALSE)</f>
        <v>0</v>
      </c>
      <c r="O55" s="3" t="str">
        <f>IFERROR(__xludf.DUMMYFUNCTION("""COMPUTED_VALUE"""),"sundar.subramanian@pwc.com")</f>
        <v>sundar.subramanian@pwc.com</v>
      </c>
      <c r="P55" s="3" t="str">
        <f>IFERROR(__xludf.DUMMYFUNCTION("""COMPUTED_VALUE"""),"No")</f>
        <v>No</v>
      </c>
      <c r="Q55" s="3" t="b">
        <f>IFERROR(__xludf.DUMMYFUNCTION("""COMPUTED_VALUE"""),FALSE)</f>
        <v>0</v>
      </c>
      <c r="R55" s="3"/>
      <c r="S55" s="3"/>
      <c r="T55" s="3" t="b">
        <f>IFERROR(__xludf.DUMMYFUNCTION("""COMPUTED_VALUE"""),FALSE)</f>
        <v>0</v>
      </c>
      <c r="U55" s="3" t="b">
        <f>IFERROR(__xludf.DUMMYFUNCTION("""COMPUTED_VALUE"""),TRUE)</f>
        <v>1</v>
      </c>
      <c r="V55" s="3" t="b">
        <f>IFERROR(__xludf.DUMMYFUNCTION("""COMPUTED_VALUE"""),FALSE)</f>
        <v>0</v>
      </c>
      <c r="W55" s="3" t="str">
        <f>IFERROR(__xludf.DUMMYFUNCTION("""COMPUTED_VALUE"""),"Delivery")</f>
        <v>Delivery</v>
      </c>
      <c r="X55" s="3"/>
      <c r="Y55" s="3"/>
      <c r="Z55" s="3" t="str">
        <f>IFERROR(__xludf.DUMMYFUNCTION("""COMPUTED_VALUE"""),"Enterprise Digital Transformation - Health Services")</f>
        <v>Enterprise Digital Transformation - Health Services</v>
      </c>
      <c r="AA55" s="3" t="b">
        <f>IFERROR(__xludf.DUMMYFUNCTION("""COMPUTED_VALUE"""),TRUE)</f>
        <v>1</v>
      </c>
    </row>
    <row r="56">
      <c r="A56" s="11">
        <f>IFERROR(__xludf.DUMMYFUNCTION("""COMPUTED_VALUE"""),1.01211068E8)</f>
        <v>101211068</v>
      </c>
      <c r="B56" s="3" t="str">
        <f>IFERROR(__xludf.DUMMYFUNCTION("""COMPUTED_VALUE"""),"Astik Ranade")</f>
        <v>Astik Ranade</v>
      </c>
      <c r="C56" s="3" t="str">
        <f>IFERROR(__xludf.DUMMYFUNCTION("""COMPUTED_VALUE"""),"Astik Ajit Ranade")</f>
        <v>Astik Ajit Ranade</v>
      </c>
      <c r="D56" s="3" t="str">
        <f>IFERROR(__xludf.DUMMYFUNCTION("""COMPUTED_VALUE"""),"Ranade, Astik Ajit")</f>
        <v>Ranade, Astik Ajit</v>
      </c>
      <c r="E56" s="3" t="str">
        <f>IFERROR(__xludf.DUMMYFUNCTION("""COMPUTED_VALUE"""),"Active")</f>
        <v>Active</v>
      </c>
      <c r="F56" s="3" t="str">
        <f>IFERROR(__xludf.DUMMYFUNCTION("""COMPUTED_VALUE"""),"astik.ranade@pwc.com")</f>
        <v>astik.ranade@pwc.com</v>
      </c>
      <c r="G56" s="3" t="str">
        <f>IFERROR(__xludf.DUMMYFUNCTION("""COMPUTED_VALUE"""),"Workforce")</f>
        <v>Workforce</v>
      </c>
      <c r="H56" s="3" t="str">
        <f>IFERROR(__xludf.DUMMYFUNCTION("""COMPUTED_VALUE"""),"Pharma and Life Sciences")</f>
        <v>Pharma and Life Sciences</v>
      </c>
      <c r="I56" s="3" t="str">
        <f>IFERROR(__xludf.DUMMYFUNCTION("""COMPUTED_VALUE"""),"Workforce - HRT")</f>
        <v>Workforce - HRT</v>
      </c>
      <c r="J56" s="3" t="str">
        <f>IFERROR(__xludf.DUMMYFUNCTION("""COMPUTED_VALUE"""),"Partner")</f>
        <v>Partner</v>
      </c>
      <c r="K56" s="12">
        <f>IFERROR(__xludf.DUMMYFUNCTION("""COMPUTED_VALUE"""),44621.0)</f>
        <v>44621</v>
      </c>
      <c r="L56" s="3" t="str">
        <f>IFERROR(__xludf.DUMMYFUNCTION("""COMPUTED_VALUE"""),"Hallandale Beach")</f>
        <v>Hallandale Beach</v>
      </c>
      <c r="M56" s="3" t="str">
        <f>IFERROR(__xludf.DUMMYFUNCTION("""COMPUTED_VALUE"""),"Hallandale Beach - 600 Silks Run")</f>
        <v>Hallandale Beach - 600 Silks Run</v>
      </c>
      <c r="N56" s="3" t="b">
        <f>IFERROR(__xludf.DUMMYFUNCTION("""COMPUTED_VALUE"""),FALSE)</f>
        <v>0</v>
      </c>
      <c r="O56" s="3" t="str">
        <f>IFERROR(__xludf.DUMMYFUNCTION("""COMPUTED_VALUE"""),"craig.odonnell@pwc.com")</f>
        <v>craig.odonnell@pwc.com</v>
      </c>
      <c r="P56" s="3" t="str">
        <f>IFERROR(__xludf.DUMMYFUNCTION("""COMPUTED_VALUE"""),"FY22")</f>
        <v>FY22</v>
      </c>
      <c r="Q56" s="3" t="b">
        <f>IFERROR(__xludf.DUMMYFUNCTION("""COMPUTED_VALUE"""),FALSE)</f>
        <v>0</v>
      </c>
      <c r="R56" s="3"/>
      <c r="S56" s="3"/>
      <c r="T56" s="3" t="b">
        <f>IFERROR(__xludf.DUMMYFUNCTION("""COMPUTED_VALUE"""),FALSE)</f>
        <v>0</v>
      </c>
      <c r="U56" s="3" t="b">
        <f>IFERROR(__xludf.DUMMYFUNCTION("""COMPUTED_VALUE"""),TRUE)</f>
        <v>1</v>
      </c>
      <c r="V56" s="3" t="b">
        <f>IFERROR(__xludf.DUMMYFUNCTION("""COMPUTED_VALUE"""),FALSE)</f>
        <v>0</v>
      </c>
      <c r="W56" s="3" t="str">
        <f>IFERROR(__xludf.DUMMYFUNCTION("""COMPUTED_VALUE"""),"Catalyst")</f>
        <v>Catalyst</v>
      </c>
      <c r="X56" s="3"/>
      <c r="Y56" s="3" t="str">
        <f>IFERROR(__xludf.DUMMYFUNCTION("""COMPUTED_VALUE"""),"FY22 Hire Group")</f>
        <v>FY22 Hire Group</v>
      </c>
      <c r="Z56" s="3" t="str">
        <f>IFERROR(__xludf.DUMMYFUNCTION("""COMPUTED_VALUE"""),"")</f>
        <v/>
      </c>
      <c r="AA56" s="3" t="b">
        <f>IFERROR(__xludf.DUMMYFUNCTION("""COMPUTED_VALUE"""),FALSE)</f>
        <v>0</v>
      </c>
    </row>
    <row r="57">
      <c r="A57" s="11">
        <f>IFERROR(__xludf.DUMMYFUNCTION("""COMPUTED_VALUE"""),1.00650901E8)</f>
        <v>100650901</v>
      </c>
      <c r="B57" s="3" t="str">
        <f>IFERROR(__xludf.DUMMYFUNCTION("""COMPUTED_VALUE"""),"Augusto Giacoman")</f>
        <v>Augusto Giacoman</v>
      </c>
      <c r="C57" s="3" t="str">
        <f>IFERROR(__xludf.DUMMYFUNCTION("""COMPUTED_VALUE"""),"Augusto Eduardo Giacoman")</f>
        <v>Augusto Eduardo Giacoman</v>
      </c>
      <c r="D57" s="3" t="str">
        <f>IFERROR(__xludf.DUMMYFUNCTION("""COMPUTED_VALUE"""),"Giacoman, Augusto Eduardo")</f>
        <v>Giacoman, Augusto Eduardo</v>
      </c>
      <c r="E57" s="3" t="str">
        <f>IFERROR(__xludf.DUMMYFUNCTION("""COMPUTED_VALUE"""),"Active")</f>
        <v>Active</v>
      </c>
      <c r="F57" s="3" t="str">
        <f>IFERROR(__xludf.DUMMYFUNCTION("""COMPUTED_VALUE"""),"augusto.giacoman@pwc.com")</f>
        <v>augusto.giacoman@pwc.com</v>
      </c>
      <c r="G57" s="3" t="str">
        <f>IFERROR(__xludf.DUMMYFUNCTION("""COMPUTED_VALUE"""),"ESV")</f>
        <v>ESV</v>
      </c>
      <c r="H57" s="3" t="str">
        <f>IFERROR(__xludf.DUMMYFUNCTION("""COMPUTED_VALUE"""),"Banking and Capital Markets")</f>
        <v>Banking and Capital Markets</v>
      </c>
      <c r="I57" s="3" t="str">
        <f>IFERROR(__xludf.DUMMYFUNCTION("""COMPUTED_VALUE"""),"ESV - BCM")</f>
        <v>ESV - BCM</v>
      </c>
      <c r="J57" s="3" t="str">
        <f>IFERROR(__xludf.DUMMYFUNCTION("""COMPUTED_VALUE"""),"Partner")</f>
        <v>Partner</v>
      </c>
      <c r="K57" s="12">
        <f>IFERROR(__xludf.DUMMYFUNCTION("""COMPUTED_VALUE"""),42186.0)</f>
        <v>42186</v>
      </c>
      <c r="L57" s="3" t="str">
        <f>IFERROR(__xludf.DUMMYFUNCTION("""COMPUTED_VALUE"""),"New York")</f>
        <v>New York</v>
      </c>
      <c r="M57" s="3" t="str">
        <f>IFERROR(__xludf.DUMMYFUNCTION("""COMPUTED_VALUE"""),"New York - 300 Madison Avenue")</f>
        <v>New York - 300 Madison Avenue</v>
      </c>
      <c r="N57" s="3" t="b">
        <f>IFERROR(__xludf.DUMMYFUNCTION("""COMPUTED_VALUE"""),FALSE)</f>
        <v>0</v>
      </c>
      <c r="O57" s="3" t="str">
        <f>IFERROR(__xludf.DUMMYFUNCTION("""COMPUTED_VALUE"""),"sundar.subramanian@pwc.com")</f>
        <v>sundar.subramanian@pwc.com</v>
      </c>
      <c r="P57" s="3" t="str">
        <f>IFERROR(__xludf.DUMMYFUNCTION("""COMPUTED_VALUE"""),"No")</f>
        <v>No</v>
      </c>
      <c r="Q57" s="3" t="b">
        <f>IFERROR(__xludf.DUMMYFUNCTION("""COMPUTED_VALUE"""),FALSE)</f>
        <v>0</v>
      </c>
      <c r="R57" s="3"/>
      <c r="S57" s="3"/>
      <c r="T57" s="3" t="b">
        <f>IFERROR(__xludf.DUMMYFUNCTION("""COMPUTED_VALUE"""),FALSE)</f>
        <v>0</v>
      </c>
      <c r="U57" s="3" t="b">
        <f>IFERROR(__xludf.DUMMYFUNCTION("""COMPUTED_VALUE"""),TRUE)</f>
        <v>1</v>
      </c>
      <c r="V57" s="3" t="b">
        <f>IFERROR(__xludf.DUMMYFUNCTION("""COMPUTED_VALUE"""),FALSE)</f>
        <v>0</v>
      </c>
      <c r="W57" s="3" t="str">
        <f>IFERROR(__xludf.DUMMYFUNCTION("""COMPUTED_VALUE"""),"Delivery")</f>
        <v>Delivery</v>
      </c>
      <c r="X57" s="3" t="str">
        <f>IFERROR(__xludf.DUMMYFUNCTION("""COMPUTED_VALUE"""),"Investment")</f>
        <v>Investment</v>
      </c>
      <c r="Y57" s="3"/>
      <c r="Z57" s="3" t="str">
        <f>IFERROR(__xludf.DUMMYFUNCTION("""COMPUTED_VALUE"""),"Enterprise Digital Transformation - BCM &amp; AWM")</f>
        <v>Enterprise Digital Transformation - BCM &amp; AWM</v>
      </c>
      <c r="AA57" s="3" t="b">
        <f>IFERROR(__xludf.DUMMYFUNCTION("""COMPUTED_VALUE"""),FALSE)</f>
        <v>0</v>
      </c>
    </row>
    <row r="58">
      <c r="A58" s="11">
        <f>IFERROR(__xludf.DUMMYFUNCTION("""COMPUTED_VALUE"""),1.00609569E8)</f>
        <v>100609569</v>
      </c>
      <c r="B58" s="3" t="str">
        <f>IFERROR(__xludf.DUMMYFUNCTION("""COMPUTED_VALUE"""),"Austin Morris")</f>
        <v>Austin Morris</v>
      </c>
      <c r="C58" s="3" t="str">
        <f>IFERROR(__xludf.DUMMYFUNCTION("""COMPUTED_VALUE"""),"William A Morris")</f>
        <v>William A Morris</v>
      </c>
      <c r="D58" s="3" t="str">
        <f>IFERROR(__xludf.DUMMYFUNCTION("""COMPUTED_VALUE"""),"Morris, William A")</f>
        <v>Morris, William A</v>
      </c>
      <c r="E58" s="3" t="str">
        <f>IFERROR(__xludf.DUMMYFUNCTION("""COMPUTED_VALUE"""),"Active")</f>
        <v>Active</v>
      </c>
      <c r="F58" s="3" t="str">
        <f>IFERROR(__xludf.DUMMYFUNCTION("""COMPUTED_VALUE"""),"austin.morris@pwc.com")</f>
        <v>austin.morris@pwc.com</v>
      </c>
      <c r="G58" s="3" t="str">
        <f>IFERROR(__xludf.DUMMYFUNCTION("""COMPUTED_VALUE"""),"Ops")</f>
        <v>Ops</v>
      </c>
      <c r="H58" s="3" t="str">
        <f>IFERROR(__xludf.DUMMYFUNCTION("""COMPUTED_VALUE"""),"Power and Utilities")</f>
        <v>Power and Utilities</v>
      </c>
      <c r="I58" s="3" t="str">
        <f>IFERROR(__xludf.DUMMYFUNCTION("""COMPUTED_VALUE"""),"Ops - Org Strategy Strategy &amp; Solutions (OSS)")</f>
        <v>Ops - Org Strategy Strategy &amp; Solutions (OSS)</v>
      </c>
      <c r="J58" s="3" t="str">
        <f>IFERROR(__xludf.DUMMYFUNCTION("""COMPUTED_VALUE"""),"Partner")</f>
        <v>Partner</v>
      </c>
      <c r="K58" s="12">
        <f>IFERROR(__xludf.DUMMYFUNCTION("""COMPUTED_VALUE"""),42086.0)</f>
        <v>42086</v>
      </c>
      <c r="L58" s="3" t="str">
        <f>IFERROR(__xludf.DUMMYFUNCTION("""COMPUTED_VALUE"""),"Houston")</f>
        <v>Houston</v>
      </c>
      <c r="M58" s="3" t="str">
        <f>IFERROR(__xludf.DUMMYFUNCTION("""COMPUTED_VALUE"""),"Houston - 1000 Louisiana Street")</f>
        <v>Houston - 1000 Louisiana Street</v>
      </c>
      <c r="N58" s="3" t="b">
        <f>IFERROR(__xludf.DUMMYFUNCTION("""COMPUTED_VALUE"""),FALSE)</f>
        <v>0</v>
      </c>
      <c r="O58" s="3" t="str">
        <f>IFERROR(__xludf.DUMMYFUNCTION("""COMPUTED_VALUE"""),"matthew.r.comte@pwc.com")</f>
        <v>matthew.r.comte@pwc.com</v>
      </c>
      <c r="P58" s="3" t="str">
        <f>IFERROR(__xludf.DUMMYFUNCTION("""COMPUTED_VALUE"""),"No")</f>
        <v>No</v>
      </c>
      <c r="Q58" s="3" t="b">
        <f>IFERROR(__xludf.DUMMYFUNCTION("""COMPUTED_VALUE"""),FALSE)</f>
        <v>0</v>
      </c>
      <c r="R58" s="3"/>
      <c r="S58" s="3"/>
      <c r="T58" s="3" t="b">
        <f>IFERROR(__xludf.DUMMYFUNCTION("""COMPUTED_VALUE"""),FALSE)</f>
        <v>0</v>
      </c>
      <c r="U58" s="3" t="b">
        <f>IFERROR(__xludf.DUMMYFUNCTION("""COMPUTED_VALUE"""),FALSE)</f>
        <v>0</v>
      </c>
      <c r="V58" s="3" t="b">
        <f>IFERROR(__xludf.DUMMYFUNCTION("""COMPUTED_VALUE"""),FALSE)</f>
        <v>0</v>
      </c>
      <c r="W58" s="3" t="str">
        <f>IFERROR(__xludf.DUMMYFUNCTION("""COMPUTED_VALUE"""),"Delivery")</f>
        <v>Delivery</v>
      </c>
      <c r="X58" s="3" t="str">
        <f>IFERROR(__xludf.DUMMYFUNCTION("""COMPUTED_VALUE"""),"Investment")</f>
        <v>Investment</v>
      </c>
      <c r="Y58" s="3" t="str">
        <f>IFERROR(__xludf.DUMMYFUNCTION("""COMPUTED_VALUE"""),"Investment")</f>
        <v>Investment</v>
      </c>
      <c r="Z58" s="3" t="str">
        <f>IFERROR(__xludf.DUMMYFUNCTION("""COMPUTED_VALUE"""),"Commercial / CRM Transformation - CM &amp; IPS &amp; HIA")</f>
        <v>Commercial / CRM Transformation - CM &amp; IPS &amp; HIA</v>
      </c>
      <c r="AA58" s="3" t="b">
        <f>IFERROR(__xludf.DUMMYFUNCTION("""COMPUTED_VALUE"""),FALSE)</f>
        <v>0</v>
      </c>
    </row>
    <row r="59">
      <c r="A59" s="11">
        <f>IFERROR(__xludf.DUMMYFUNCTION("""COMPUTED_VALUE"""),1.00690767E8)</f>
        <v>100690767</v>
      </c>
      <c r="B59" s="3" t="str">
        <f>IFERROR(__xludf.DUMMYFUNCTION("""COMPUTED_VALUE"""),"Baqar Shah")</f>
        <v>Baqar Shah</v>
      </c>
      <c r="C59" s="3" t="str">
        <f>IFERROR(__xludf.DUMMYFUNCTION("""COMPUTED_VALUE"""),"Baqar  Shah")</f>
        <v>Baqar  Shah</v>
      </c>
      <c r="D59" s="3" t="str">
        <f>IFERROR(__xludf.DUMMYFUNCTION("""COMPUTED_VALUE"""),"Shah, Baqar")</f>
        <v>Shah, Baqar</v>
      </c>
      <c r="E59" s="3" t="str">
        <f>IFERROR(__xludf.DUMMYFUNCTION("""COMPUTED_VALUE"""),"Active")</f>
        <v>Active</v>
      </c>
      <c r="F59" s="3" t="str">
        <f>IFERROR(__xludf.DUMMYFUNCTION("""COMPUTED_VALUE"""),"baq.shah@pwc.com")</f>
        <v>baq.shah@pwc.com</v>
      </c>
      <c r="G59" s="3" t="str">
        <f>IFERROR(__xludf.DUMMYFUNCTION("""COMPUTED_VALUE"""),"Deals Transformation")</f>
        <v>Deals Transformation</v>
      </c>
      <c r="H59" s="3" t="str">
        <f>IFERROR(__xludf.DUMMYFUNCTION("""COMPUTED_VALUE"""),"Banking and Capital Markets")</f>
        <v>Banking and Capital Markets</v>
      </c>
      <c r="I59" s="3" t="str">
        <f>IFERROR(__xludf.DUMMYFUNCTION("""COMPUTED_VALUE"""),"DDV - ISD (Integration, Separation, Divestitures)")</f>
        <v>DDV - ISD (Integration, Separation, Divestitures)</v>
      </c>
      <c r="J59" s="3" t="str">
        <f>IFERROR(__xludf.DUMMYFUNCTION("""COMPUTED_VALUE"""),"Partner")</f>
        <v>Partner</v>
      </c>
      <c r="K59" s="12">
        <f>IFERROR(__xludf.DUMMYFUNCTION("""COMPUTED_VALUE"""),43297.0)</f>
        <v>43297</v>
      </c>
      <c r="L59" s="3" t="str">
        <f>IFERROR(__xludf.DUMMYFUNCTION("""COMPUTED_VALUE"""),"Houston")</f>
        <v>Houston</v>
      </c>
      <c r="M59" s="3" t="str">
        <f>IFERROR(__xludf.DUMMYFUNCTION("""COMPUTED_VALUE"""),"Houston - 1000 Louisiana Street")</f>
        <v>Houston - 1000 Louisiana Street</v>
      </c>
      <c r="N59" s="3" t="b">
        <f>IFERROR(__xludf.DUMMYFUNCTION("""COMPUTED_VALUE"""),FALSE)</f>
        <v>0</v>
      </c>
      <c r="O59" s="3" t="str">
        <f>IFERROR(__xludf.DUMMYFUNCTION("""COMPUTED_VALUE"""),"derek.b.townsend@pwc.com")</f>
        <v>derek.b.townsend@pwc.com</v>
      </c>
      <c r="P59" s="3" t="str">
        <f>IFERROR(__xludf.DUMMYFUNCTION("""COMPUTED_VALUE"""),"No")</f>
        <v>No</v>
      </c>
      <c r="Q59" s="3" t="b">
        <f>IFERROR(__xludf.DUMMYFUNCTION("""COMPUTED_VALUE"""),FALSE)</f>
        <v>0</v>
      </c>
      <c r="R59" s="3"/>
      <c r="S59" s="3"/>
      <c r="T59" s="3" t="b">
        <f>IFERROR(__xludf.DUMMYFUNCTION("""COMPUTED_VALUE"""),FALSE)</f>
        <v>0</v>
      </c>
      <c r="U59" s="3" t="b">
        <f>IFERROR(__xludf.DUMMYFUNCTION("""COMPUTED_VALUE"""),TRUE)</f>
        <v>1</v>
      </c>
      <c r="V59" s="3" t="b">
        <f>IFERROR(__xludf.DUMMYFUNCTION("""COMPUTED_VALUE"""),FALSE)</f>
        <v>0</v>
      </c>
      <c r="W59" s="3" t="str">
        <f>IFERROR(__xludf.DUMMYFUNCTION("""COMPUTED_VALUE"""),"Delivery")</f>
        <v>Delivery</v>
      </c>
      <c r="X59" s="3" t="str">
        <f>IFERROR(__xludf.DUMMYFUNCTION("""COMPUTED_VALUE"""),"Investment")</f>
        <v>Investment</v>
      </c>
      <c r="Y59" s="3"/>
      <c r="Z59" s="3" t="str">
        <f>IFERROR(__xludf.DUMMYFUNCTION("""COMPUTED_VALUE"""),"Corporate M&amp;A Transformation - FS")</f>
        <v>Corporate M&amp;A Transformation - FS</v>
      </c>
      <c r="AA59" s="3" t="b">
        <f>IFERROR(__xludf.DUMMYFUNCTION("""COMPUTED_VALUE"""),FALSE)</f>
        <v>0</v>
      </c>
    </row>
    <row r="60">
      <c r="A60" s="11">
        <f>IFERROR(__xludf.DUMMYFUNCTION("""COMPUTED_VALUE"""),1.00615044E8)</f>
        <v>100615044</v>
      </c>
      <c r="B60" s="3" t="str">
        <f>IFERROR(__xludf.DUMMYFUNCTION("""COMPUTED_VALUE"""),"Barbara Sootkoos")</f>
        <v>Barbara Sootkoos</v>
      </c>
      <c r="C60" s="3" t="str">
        <f>IFERROR(__xludf.DUMMYFUNCTION("""COMPUTED_VALUE"""),"Barbara Miki  Sootkoos")</f>
        <v>Barbara Miki  Sootkoos</v>
      </c>
      <c r="D60" s="3" t="str">
        <f>IFERROR(__xludf.DUMMYFUNCTION("""COMPUTED_VALUE"""),"Sootkoos, Barbara Miki")</f>
        <v>Sootkoos, Barbara Miki</v>
      </c>
      <c r="E60" s="3" t="str">
        <f>IFERROR(__xludf.DUMMYFUNCTION("""COMPUTED_VALUE"""),"Active")</f>
        <v>Active</v>
      </c>
      <c r="F60" s="3" t="str">
        <f>IFERROR(__xludf.DUMMYFUNCTION("""COMPUTED_VALUE"""),"barbara.m.sootkoos@pwc.com")</f>
        <v>barbara.m.sootkoos@pwc.com</v>
      </c>
      <c r="G60" s="3" t="str">
        <f>IFERROR(__xludf.DUMMYFUNCTION("""COMPUTED_VALUE"""),"Ops")</f>
        <v>Ops</v>
      </c>
      <c r="H60" s="3" t="str">
        <f>IFERROR(__xludf.DUMMYFUNCTION("""COMPUTED_VALUE"""),"Power and Utilities")</f>
        <v>Power and Utilities</v>
      </c>
      <c r="I60" s="3" t="str">
        <f>IFERROR(__xludf.DUMMYFUNCTION("""COMPUTED_VALUE"""),"Ops - Capital Project Excellence (CPE)")</f>
        <v>Ops - Capital Project Excellence (CPE)</v>
      </c>
      <c r="J60" s="3" t="str">
        <f>IFERROR(__xludf.DUMMYFUNCTION("""COMPUTED_VALUE"""),"Managing Director")</f>
        <v>Managing Director</v>
      </c>
      <c r="K60" s="12">
        <f>IFERROR(__xludf.DUMMYFUNCTION("""COMPUTED_VALUE"""),37935.0)</f>
        <v>37935</v>
      </c>
      <c r="L60" s="3" t="str">
        <f>IFERROR(__xludf.DUMMYFUNCTION("""COMPUTED_VALUE"""),"San Diego")</f>
        <v>San Diego</v>
      </c>
      <c r="M60" s="3" t="str">
        <f>IFERROR(__xludf.DUMMYFUNCTION("""COMPUTED_VALUE"""),"San Diego - 12860 El Camino")</f>
        <v>San Diego - 12860 El Camino</v>
      </c>
      <c r="N60" s="3" t="b">
        <f>IFERROR(__xludf.DUMMYFUNCTION("""COMPUTED_VALUE"""),FALSE)</f>
        <v>0</v>
      </c>
      <c r="O60" s="3" t="str">
        <f>IFERROR(__xludf.DUMMYFUNCTION("""COMPUTED_VALUE"""),"daryl.walcroft@pwc.com")</f>
        <v>daryl.walcroft@pwc.com</v>
      </c>
      <c r="P60" s="3" t="str">
        <f>IFERROR(__xludf.DUMMYFUNCTION("""COMPUTED_VALUE"""),"No")</f>
        <v>No</v>
      </c>
      <c r="Q60" s="3" t="b">
        <f>IFERROR(__xludf.DUMMYFUNCTION("""COMPUTED_VALUE"""),FALSE)</f>
        <v>0</v>
      </c>
      <c r="R60" s="3"/>
      <c r="S60" s="3" t="str">
        <f>IFERROR(__xludf.DUMMYFUNCTION("""COMPUTED_VALUE"""),"Recruiting + Onboarding Success Champions")</f>
        <v>Recruiting + Onboarding Success Champions</v>
      </c>
      <c r="T60" s="3" t="b">
        <f>IFERROR(__xludf.DUMMYFUNCTION("""COMPUTED_VALUE"""),FALSE)</f>
        <v>0</v>
      </c>
      <c r="U60" s="3" t="b">
        <f>IFERROR(__xludf.DUMMYFUNCTION("""COMPUTED_VALUE"""),TRUE)</f>
        <v>1</v>
      </c>
      <c r="V60" s="3" t="b">
        <f>IFERROR(__xludf.DUMMYFUNCTION("""COMPUTED_VALUE"""),FALSE)</f>
        <v>0</v>
      </c>
      <c r="W60" s="3" t="str">
        <f>IFERROR(__xludf.DUMMYFUNCTION("""COMPUTED_VALUE"""),"Delivery")</f>
        <v>Delivery</v>
      </c>
      <c r="X60" s="3"/>
      <c r="Y60" s="3"/>
      <c r="Z60" s="3" t="str">
        <f>IFERROR(__xludf.DUMMYFUNCTION("""COMPUTED_VALUE"""),"IP + Technology Ops Transformation")</f>
        <v>IP + Technology Ops Transformation</v>
      </c>
      <c r="AA60" s="3" t="b">
        <f>IFERROR(__xludf.DUMMYFUNCTION("""COMPUTED_VALUE"""),FALSE)</f>
        <v>0</v>
      </c>
    </row>
    <row r="61">
      <c r="A61" s="11">
        <f>IFERROR(__xludf.DUMMYFUNCTION("""COMPUTED_VALUE"""),1.00591972E8)</f>
        <v>100591972</v>
      </c>
      <c r="B61" s="3" t="str">
        <f>IFERROR(__xludf.DUMMYFUNCTION("""COMPUTED_VALUE"""),"Barrett Shipman (On Leave)")</f>
        <v>Barrett Shipman (On Leave)</v>
      </c>
      <c r="C61" s="3" t="str">
        <f>IFERROR(__xludf.DUMMYFUNCTION("""COMPUTED_VALUE"""),"Barrett J Shipman")</f>
        <v>Barrett J Shipman</v>
      </c>
      <c r="D61" s="3" t="str">
        <f>IFERROR(__xludf.DUMMYFUNCTION("""COMPUTED_VALUE"""),"Shipman, Barrett J")</f>
        <v>Shipman, Barrett J</v>
      </c>
      <c r="E61" s="3" t="str">
        <f>IFERROR(__xludf.DUMMYFUNCTION("""COMPUTED_VALUE"""),"Disability Leave")</f>
        <v>Disability Leave</v>
      </c>
      <c r="F61" s="3" t="str">
        <f>IFERROR(__xludf.DUMMYFUNCTION("""COMPUTED_VALUE"""),"barrett.j.shipman@pwc.com")</f>
        <v>barrett.j.shipman@pwc.com</v>
      </c>
      <c r="G61" s="3" t="str">
        <f>IFERROR(__xludf.DUMMYFUNCTION("""COMPUTED_VALUE"""),"Deals Transformation")</f>
        <v>Deals Transformation</v>
      </c>
      <c r="H61" s="3" t="str">
        <f>IFERROR(__xludf.DUMMYFUNCTION("""COMPUTED_VALUE"""),"TMT X-Sector")</f>
        <v>TMT X-Sector</v>
      </c>
      <c r="I61" s="3" t="str">
        <f>IFERROR(__xludf.DUMMYFUNCTION("""COMPUTED_VALUE"""),"DDV - ISD (Integration, Separation, Divestitures)")</f>
        <v>DDV - ISD (Integration, Separation, Divestitures)</v>
      </c>
      <c r="J61" s="3" t="str">
        <f>IFERROR(__xludf.DUMMYFUNCTION("""COMPUTED_VALUE"""),"Partner (On Leave)")</f>
        <v>Partner (On Leave)</v>
      </c>
      <c r="K61" s="12">
        <f>IFERROR(__xludf.DUMMYFUNCTION("""COMPUTED_VALUE"""),36192.0)</f>
        <v>36192</v>
      </c>
      <c r="L61" s="3" t="str">
        <f>IFERROR(__xludf.DUMMYFUNCTION("""COMPUTED_VALUE"""),"Austin")</f>
        <v>Austin</v>
      </c>
      <c r="M61" s="3" t="str">
        <f>IFERROR(__xludf.DUMMYFUNCTION("""COMPUTED_VALUE"""),"Austin - 835 West 6th Street")</f>
        <v>Austin - 835 West 6th Street</v>
      </c>
      <c r="N61" s="3" t="b">
        <f>IFERROR(__xludf.DUMMYFUNCTION("""COMPUTED_VALUE"""),TRUE)</f>
        <v>1</v>
      </c>
      <c r="O61" s="3" t="str">
        <f>IFERROR(__xludf.DUMMYFUNCTION("""COMPUTED_VALUE"""),"derek.b.townsend@pwc.com")</f>
        <v>derek.b.townsend@pwc.com</v>
      </c>
      <c r="P61" s="3" t="str">
        <f>IFERROR(__xludf.DUMMYFUNCTION("""COMPUTED_VALUE"""),"No")</f>
        <v>No</v>
      </c>
      <c r="Q61" s="3" t="b">
        <f>IFERROR(__xludf.DUMMYFUNCTION("""COMPUTED_VALUE"""),FALSE)</f>
        <v>0</v>
      </c>
      <c r="R61" s="3"/>
      <c r="S61" s="3" t="str">
        <f>IFERROR(__xludf.DUMMYFUNCTION("""COMPUTED_VALUE"""),"Solution Innovation Champions")</f>
        <v>Solution Innovation Champions</v>
      </c>
      <c r="T61" s="3" t="b">
        <f>IFERROR(__xludf.DUMMYFUNCTION("""COMPUTED_VALUE"""),TRUE)</f>
        <v>1</v>
      </c>
      <c r="U61" s="3" t="b">
        <f>IFERROR(__xludf.DUMMYFUNCTION("""COMPUTED_VALUE"""),FALSE)</f>
        <v>0</v>
      </c>
      <c r="V61" s="3" t="b">
        <f>IFERROR(__xludf.DUMMYFUNCTION("""COMPUTED_VALUE"""),FALSE)</f>
        <v>0</v>
      </c>
      <c r="W61" s="3" t="str">
        <f>IFERROR(__xludf.DUMMYFUNCTION("""COMPUTED_VALUE"""),"Delivery")</f>
        <v>Delivery</v>
      </c>
      <c r="X61" s="3"/>
      <c r="Y61" s="3" t="str">
        <f>IFERROR(__xludf.DUMMYFUNCTION("""COMPUTED_VALUE"""),"Rainmaker")</f>
        <v>Rainmaker</v>
      </c>
      <c r="Z61" s="3" t="str">
        <f>IFERROR(__xludf.DUMMYFUNCTION("""COMPUTED_VALUE"""),"Corporate M&amp;A Transformation - TMT")</f>
        <v>Corporate M&amp;A Transformation - TMT</v>
      </c>
      <c r="AA61" s="3" t="b">
        <f>IFERROR(__xludf.DUMMYFUNCTION("""COMPUTED_VALUE"""),FALSE)</f>
        <v>0</v>
      </c>
    </row>
    <row r="62">
      <c r="A62" s="11">
        <f>IFERROR(__xludf.DUMMYFUNCTION("""COMPUTED_VALUE"""),1.00632764E8)</f>
        <v>100632764</v>
      </c>
      <c r="B62" s="3" t="str">
        <f>IFERROR(__xludf.DUMMYFUNCTION("""COMPUTED_VALUE"""),"Barry Dadkhah")</f>
        <v>Barry Dadkhah</v>
      </c>
      <c r="C62" s="3" t="str">
        <f>IFERROR(__xludf.DUMMYFUNCTION("""COMPUTED_VALUE"""),"Barry  Dadkhah")</f>
        <v>Barry  Dadkhah</v>
      </c>
      <c r="D62" s="3" t="str">
        <f>IFERROR(__xludf.DUMMYFUNCTION("""COMPUTED_VALUE"""),"Dadkhah, Barry")</f>
        <v>Dadkhah, Barry</v>
      </c>
      <c r="E62" s="3" t="str">
        <f>IFERROR(__xludf.DUMMYFUNCTION("""COMPUTED_VALUE"""),"Active")</f>
        <v>Active</v>
      </c>
      <c r="F62" s="3" t="str">
        <f>IFERROR(__xludf.DUMMYFUNCTION("""COMPUTED_VALUE"""),"barry.dadkhah@pwc.com")</f>
        <v>barry.dadkhah@pwc.com</v>
      </c>
      <c r="G62" s="3" t="str">
        <f>IFERROR(__xludf.DUMMYFUNCTION("""COMPUTED_VALUE"""),"Deals Transformation")</f>
        <v>Deals Transformation</v>
      </c>
      <c r="H62" s="3" t="str">
        <f>IFERROR(__xludf.DUMMYFUNCTION("""COMPUTED_VALUE"""),"TMT X-Sector")</f>
        <v>TMT X-Sector</v>
      </c>
      <c r="I62" s="3" t="str">
        <f>IFERROR(__xludf.DUMMYFUNCTION("""COMPUTED_VALUE"""),"DDV - IT")</f>
        <v>DDV - IT</v>
      </c>
      <c r="J62" s="3" t="str">
        <f>IFERROR(__xludf.DUMMYFUNCTION("""COMPUTED_VALUE"""),"Partner")</f>
        <v>Partner</v>
      </c>
      <c r="K62" s="12">
        <f>IFERROR(__xludf.DUMMYFUNCTION("""COMPUTED_VALUE"""),39285.0)</f>
        <v>39285</v>
      </c>
      <c r="L62" s="3" t="str">
        <f>IFERROR(__xludf.DUMMYFUNCTION("""COMPUTED_VALUE"""),"Los Angeles")</f>
        <v>Los Angeles</v>
      </c>
      <c r="M62" s="3" t="str">
        <f>IFERROR(__xludf.DUMMYFUNCTION("""COMPUTED_VALUE"""),"Los Angeles - 601 South Figueroa Street")</f>
        <v>Los Angeles - 601 South Figueroa Street</v>
      </c>
      <c r="N62" s="3" t="b">
        <f>IFERROR(__xludf.DUMMYFUNCTION("""COMPUTED_VALUE"""),FALSE)</f>
        <v>0</v>
      </c>
      <c r="O62" s="3" t="str">
        <f>IFERROR(__xludf.DUMMYFUNCTION("""COMPUTED_VALUE"""),"derek.b.townsend@pwc.com")</f>
        <v>derek.b.townsend@pwc.com</v>
      </c>
      <c r="P62" s="3" t="str">
        <f>IFERROR(__xludf.DUMMYFUNCTION("""COMPUTED_VALUE"""),"No")</f>
        <v>No</v>
      </c>
      <c r="Q62" s="3" t="b">
        <f>IFERROR(__xludf.DUMMYFUNCTION("""COMPUTED_VALUE"""),FALSE)</f>
        <v>0</v>
      </c>
      <c r="R62" s="3"/>
      <c r="S62" s="3"/>
      <c r="T62" s="3" t="b">
        <f>IFERROR(__xludf.DUMMYFUNCTION("""COMPUTED_VALUE"""),FALSE)</f>
        <v>0</v>
      </c>
      <c r="U62" s="3" t="b">
        <f>IFERROR(__xludf.DUMMYFUNCTION("""COMPUTED_VALUE"""),TRUE)</f>
        <v>1</v>
      </c>
      <c r="V62" s="3" t="b">
        <f>IFERROR(__xludf.DUMMYFUNCTION("""COMPUTED_VALUE"""),FALSE)</f>
        <v>0</v>
      </c>
      <c r="W62" s="3" t="str">
        <f>IFERROR(__xludf.DUMMYFUNCTION("""COMPUTED_VALUE"""),"Delivery")</f>
        <v>Delivery</v>
      </c>
      <c r="X62" s="3"/>
      <c r="Y62" s="3"/>
      <c r="Z62" s="3" t="str">
        <f>IFERROR(__xludf.DUMMYFUNCTION("""COMPUTED_VALUE"""),"Corporate M&amp;A Transformation - TMT")</f>
        <v>Corporate M&amp;A Transformation - TMT</v>
      </c>
      <c r="AA62" s="3" t="b">
        <f>IFERROR(__xludf.DUMMYFUNCTION("""COMPUTED_VALUE"""),FALSE)</f>
        <v>0</v>
      </c>
    </row>
    <row r="63">
      <c r="A63" s="11">
        <f>IFERROR(__xludf.DUMMYFUNCTION("""COMPUTED_VALUE"""),1.00620162E8)</f>
        <v>100620162</v>
      </c>
      <c r="B63" s="3" t="str">
        <f>IFERROR(__xludf.DUMMYFUNCTION("""COMPUTED_VALUE"""),"Ben Eisenberg")</f>
        <v>Ben Eisenberg</v>
      </c>
      <c r="C63" s="3" t="str">
        <f>IFERROR(__xludf.DUMMYFUNCTION("""COMPUTED_VALUE"""),"Benjamin S Eisenberg")</f>
        <v>Benjamin S Eisenberg</v>
      </c>
      <c r="D63" s="3" t="str">
        <f>IFERROR(__xludf.DUMMYFUNCTION("""COMPUTED_VALUE"""),"Eisenberg, Benjamin S")</f>
        <v>Eisenberg, Benjamin S</v>
      </c>
      <c r="E63" s="3" t="str">
        <f>IFERROR(__xludf.DUMMYFUNCTION("""COMPUTED_VALUE"""),"Active")</f>
        <v>Active</v>
      </c>
      <c r="F63" s="3" t="str">
        <f>IFERROR(__xludf.DUMMYFUNCTION("""COMPUTED_VALUE"""),"ben.eisenberg@pwc.com")</f>
        <v>ben.eisenberg@pwc.com</v>
      </c>
      <c r="G63" s="3" t="str">
        <f>IFERROR(__xludf.DUMMYFUNCTION("""COMPUTED_VALUE"""),"Customer")</f>
        <v>Customer</v>
      </c>
      <c r="H63" s="3" t="str">
        <f>IFERROR(__xludf.DUMMYFUNCTION("""COMPUTED_VALUE"""),"TMT X-Sector")</f>
        <v>TMT X-Sector</v>
      </c>
      <c r="I63" s="3" t="str">
        <f>IFERROR(__xludf.DUMMYFUNCTION("""COMPUTED_VALUE"""),"Customer - Customer Strategy &amp; Experience")</f>
        <v>Customer - Customer Strategy &amp; Experience</v>
      </c>
      <c r="J63" s="3" t="str">
        <f>IFERROR(__xludf.DUMMYFUNCTION("""COMPUTED_VALUE"""),"Partner")</f>
        <v>Partner</v>
      </c>
      <c r="K63" s="12">
        <f>IFERROR(__xludf.DUMMYFUNCTION("""COMPUTED_VALUE"""),38207.0)</f>
        <v>38207</v>
      </c>
      <c r="L63" s="3" t="str">
        <f>IFERROR(__xludf.DUMMYFUNCTION("""COMPUTED_VALUE"""),"New York")</f>
        <v>New York</v>
      </c>
      <c r="M63" s="3" t="str">
        <f>IFERROR(__xludf.DUMMYFUNCTION("""COMPUTED_VALUE"""),"New York - 300 Madison Avenue")</f>
        <v>New York - 300 Madison Avenue</v>
      </c>
      <c r="N63" s="3" t="b">
        <f>IFERROR(__xludf.DUMMYFUNCTION("""COMPUTED_VALUE"""),FALSE)</f>
        <v>0</v>
      </c>
      <c r="O63" s="3" t="str">
        <f>IFERROR(__xludf.DUMMYFUNCTION("""COMPUTED_VALUE"""),"george.korizis@pwc.com")</f>
        <v>george.korizis@pwc.com</v>
      </c>
      <c r="P63" s="3" t="str">
        <f>IFERROR(__xludf.DUMMYFUNCTION("""COMPUTED_VALUE"""),"No")</f>
        <v>No</v>
      </c>
      <c r="Q63" s="3" t="b">
        <f>IFERROR(__xludf.DUMMYFUNCTION("""COMPUTED_VALUE"""),FALSE)</f>
        <v>0</v>
      </c>
      <c r="R63" s="3"/>
      <c r="S63" s="3"/>
      <c r="T63" s="3" t="b">
        <f>IFERROR(__xludf.DUMMYFUNCTION("""COMPUTED_VALUE"""),FALSE)</f>
        <v>0</v>
      </c>
      <c r="U63" s="3" t="b">
        <f>IFERROR(__xludf.DUMMYFUNCTION("""COMPUTED_VALUE"""),TRUE)</f>
        <v>1</v>
      </c>
      <c r="V63" s="3" t="b">
        <f>IFERROR(__xludf.DUMMYFUNCTION("""COMPUTED_VALUE"""),FALSE)</f>
        <v>0</v>
      </c>
      <c r="W63" s="3" t="str">
        <f>IFERROR(__xludf.DUMMYFUNCTION("""COMPUTED_VALUE"""),"Delivery")</f>
        <v>Delivery</v>
      </c>
      <c r="X63" s="3"/>
      <c r="Y63" s="3"/>
      <c r="Z63" s="3" t="str">
        <f>IFERROR(__xludf.DUMMYFUNCTION("""COMPUTED_VALUE"""),"Commercial / CRM Transformation - FS &amp; TMT")</f>
        <v>Commercial / CRM Transformation - FS &amp; TMT</v>
      </c>
      <c r="AA63" s="3" t="b">
        <f>IFERROR(__xludf.DUMMYFUNCTION("""COMPUTED_VALUE"""),FALSE)</f>
        <v>0</v>
      </c>
    </row>
    <row r="64">
      <c r="A64" s="11">
        <f>IFERROR(__xludf.DUMMYFUNCTION("""COMPUTED_VALUE"""),1.01230885E8)</f>
        <v>101230885</v>
      </c>
      <c r="B64" s="3" t="str">
        <f>IFERROR(__xludf.DUMMYFUNCTION("""COMPUTED_VALUE"""),"Ben Rhee")</f>
        <v>Ben Rhee</v>
      </c>
      <c r="C64" s="3" t="str">
        <f>IFERROR(__xludf.DUMMYFUNCTION("""COMPUTED_VALUE"""),"Wonjae Benjamin Rhee")</f>
        <v>Wonjae Benjamin Rhee</v>
      </c>
      <c r="D64" s="3" t="str">
        <f>IFERROR(__xludf.DUMMYFUNCTION("""COMPUTED_VALUE"""),"Rhee, Wonjae Benjamin")</f>
        <v>Rhee, Wonjae Benjamin</v>
      </c>
      <c r="E64" s="3" t="str">
        <f>IFERROR(__xludf.DUMMYFUNCTION("""COMPUTED_VALUE"""),"Active")</f>
        <v>Active</v>
      </c>
      <c r="F64" s="3" t="str">
        <f>IFERROR(__xludf.DUMMYFUNCTION("""COMPUTED_VALUE"""),"ben.rhee@pwc.com")</f>
        <v>ben.rhee@pwc.com</v>
      </c>
      <c r="G64" s="3" t="str">
        <f>IFERROR(__xludf.DUMMYFUNCTION("""COMPUTED_VALUE"""),"ESV")</f>
        <v>ESV</v>
      </c>
      <c r="H64" s="3" t="str">
        <f>IFERROR(__xludf.DUMMYFUNCTION("""COMPUTED_VALUE"""),"Pharma and Life Sciences")</f>
        <v>Pharma and Life Sciences</v>
      </c>
      <c r="I64" s="3" t="str">
        <f>IFERROR(__xludf.DUMMYFUNCTION("""COMPUTED_VALUE"""),"ESV - PLS")</f>
        <v>ESV - PLS</v>
      </c>
      <c r="J64" s="3" t="str">
        <f>IFERROR(__xludf.DUMMYFUNCTION("""COMPUTED_VALUE"""),"Partner")</f>
        <v>Partner</v>
      </c>
      <c r="K64" s="12">
        <f>IFERROR(__xludf.DUMMYFUNCTION("""COMPUTED_VALUE"""),44669.0)</f>
        <v>44669</v>
      </c>
      <c r="L64" s="3" t="str">
        <f>IFERROR(__xludf.DUMMYFUNCTION("""COMPUTED_VALUE"""),"Washington")</f>
        <v>Washington</v>
      </c>
      <c r="M64" s="3" t="str">
        <f>IFERROR(__xludf.DUMMYFUNCTION("""COMPUTED_VALUE"""),"#N/A")</f>
        <v>#N/A</v>
      </c>
      <c r="N64" s="3" t="b">
        <f>IFERROR(__xludf.DUMMYFUNCTION("""COMPUTED_VALUE"""),FALSE)</f>
        <v>0</v>
      </c>
      <c r="O64" s="3" t="str">
        <f>IFERROR(__xludf.DUMMYFUNCTION("""COMPUTED_VALUE"""),"")</f>
        <v/>
      </c>
      <c r="P64" s="3" t="str">
        <f>IFERROR(__xludf.DUMMYFUNCTION("""COMPUTED_VALUE"""),"FY22")</f>
        <v>FY22</v>
      </c>
      <c r="Q64" s="3" t="b">
        <f>IFERROR(__xludf.DUMMYFUNCTION("""COMPUTED_VALUE"""),FALSE)</f>
        <v>0</v>
      </c>
      <c r="R64" s="3" t="str">
        <f>IFERROR(__xludf.DUMMYFUNCTION("""COMPUTED_VALUE"""),"Unknown")</f>
        <v>Unknown</v>
      </c>
      <c r="S64" s="3" t="str">
        <f>IFERROR(__xludf.DUMMYFUNCTION("""COMPUTED_VALUE"""),"Unknown")</f>
        <v>Unknown</v>
      </c>
      <c r="T64" s="3" t="b">
        <f>IFERROR(__xludf.DUMMYFUNCTION("""COMPUTED_VALUE"""),FALSE)</f>
        <v>0</v>
      </c>
      <c r="U64" s="3" t="b">
        <f>IFERROR(__xludf.DUMMYFUNCTION("""COMPUTED_VALUE"""),TRUE)</f>
        <v>1</v>
      </c>
      <c r="V64" s="3" t="b">
        <f>IFERROR(__xludf.DUMMYFUNCTION("""COMPUTED_VALUE"""),FALSE)</f>
        <v>0</v>
      </c>
      <c r="W64" s="3" t="str">
        <f>IFERROR(__xludf.DUMMYFUNCTION("""COMPUTED_VALUE"""),"Catalyst")</f>
        <v>Catalyst</v>
      </c>
      <c r="X64" s="3" t="str">
        <f>IFERROR(__xludf.DUMMYFUNCTION("""COMPUTED_VALUE"""),"Unknown")</f>
        <v>Unknown</v>
      </c>
      <c r="Y64" s="3" t="str">
        <f>IFERROR(__xludf.DUMMYFUNCTION("""COMPUTED_VALUE"""),"FY22")</f>
        <v>FY22</v>
      </c>
      <c r="Z64" s="3" t="str">
        <f>IFERROR(__xludf.DUMMYFUNCTION("""COMPUTED_VALUE"""),"Unknown")</f>
        <v>Unknown</v>
      </c>
      <c r="AA64" s="3" t="b">
        <f>IFERROR(__xludf.DUMMYFUNCTION("""COMPUTED_VALUE"""),FALSE)</f>
        <v>0</v>
      </c>
    </row>
    <row r="65">
      <c r="A65" s="11">
        <f>IFERROR(__xludf.DUMMYFUNCTION("""COMPUTED_VALUE"""),1.00610875E8)</f>
        <v>100610875</v>
      </c>
      <c r="B65" s="3" t="str">
        <f>IFERROR(__xludf.DUMMYFUNCTION("""COMPUTED_VALUE"""),"Bernard Student")</f>
        <v>Bernard Student</v>
      </c>
      <c r="C65" s="3" t="str">
        <f>IFERROR(__xludf.DUMMYFUNCTION("""COMPUTED_VALUE"""),"Bernard  Student")</f>
        <v>Bernard  Student</v>
      </c>
      <c r="D65" s="3" t="str">
        <f>IFERROR(__xludf.DUMMYFUNCTION("""COMPUTED_VALUE"""),"Student, Bernard")</f>
        <v>Student, Bernard</v>
      </c>
      <c r="E65" s="3" t="str">
        <f>IFERROR(__xludf.DUMMYFUNCTION("""COMPUTED_VALUE"""),"Active")</f>
        <v>Active</v>
      </c>
      <c r="F65" s="3" t="str">
        <f>IFERROR(__xludf.DUMMYFUNCTION("""COMPUTED_VALUE"""),"bernie.student@pwc.com")</f>
        <v>bernie.student@pwc.com</v>
      </c>
      <c r="G65" s="3" t="str">
        <f>IFERROR(__xludf.DUMMYFUNCTION("""COMPUTED_VALUE"""),"Ops")</f>
        <v>Ops</v>
      </c>
      <c r="H65" s="3" t="str">
        <f>IFERROR(__xludf.DUMMYFUNCTION("""COMPUTED_VALUE"""),"Pharma and Life Sciences")</f>
        <v>Pharma and Life Sciences</v>
      </c>
      <c r="I65" s="3" t="str">
        <f>IFERROR(__xludf.DUMMYFUNCTION("""COMPUTED_VALUE"""),"Ops - Connected Supply Chain (CSC)")</f>
        <v>Ops - Connected Supply Chain (CSC)</v>
      </c>
      <c r="J65" s="3" t="str">
        <f>IFERROR(__xludf.DUMMYFUNCTION("""COMPUTED_VALUE"""),"Partner")</f>
        <v>Partner</v>
      </c>
      <c r="K65" s="12">
        <f>IFERROR(__xludf.DUMMYFUNCTION("""COMPUTED_VALUE"""),40777.0)</f>
        <v>40777</v>
      </c>
      <c r="L65" s="3" t="str">
        <f>IFERROR(__xludf.DUMMYFUNCTION("""COMPUTED_VALUE"""),"Tampa")</f>
        <v>Tampa</v>
      </c>
      <c r="M65" s="3" t="str">
        <f>IFERROR(__xludf.DUMMYFUNCTION("""COMPUTED_VALUE"""),"TPA Practice-4040 W Boy Scout")</f>
        <v>TPA Practice-4040 W Boy Scout</v>
      </c>
      <c r="N65" s="3" t="b">
        <f>IFERROR(__xludf.DUMMYFUNCTION("""COMPUTED_VALUE"""),TRUE)</f>
        <v>1</v>
      </c>
      <c r="O65" s="3" t="str">
        <f>IFERROR(__xludf.DUMMYFUNCTION("""COMPUTED_VALUE"""),"matthew.r.comte@pwc.com")</f>
        <v>matthew.r.comte@pwc.com</v>
      </c>
      <c r="P65" s="3" t="str">
        <f>IFERROR(__xludf.DUMMYFUNCTION("""COMPUTED_VALUE"""),"No")</f>
        <v>No</v>
      </c>
      <c r="Q65" s="3" t="b">
        <f>IFERROR(__xludf.DUMMYFUNCTION("""COMPUTED_VALUE"""),FALSE)</f>
        <v>0</v>
      </c>
      <c r="R65" s="3"/>
      <c r="S65" s="3"/>
      <c r="T65" s="3" t="b">
        <f>IFERROR(__xludf.DUMMYFUNCTION("""COMPUTED_VALUE"""),FALSE)</f>
        <v>0</v>
      </c>
      <c r="U65" s="3" t="b">
        <f>IFERROR(__xludf.DUMMYFUNCTION("""COMPUTED_VALUE"""),TRUE)</f>
        <v>1</v>
      </c>
      <c r="V65" s="3" t="b">
        <f>IFERROR(__xludf.DUMMYFUNCTION("""COMPUTED_VALUE"""),FALSE)</f>
        <v>0</v>
      </c>
      <c r="W65" s="3" t="str">
        <f>IFERROR(__xludf.DUMMYFUNCTION("""COMPUTED_VALUE"""),"Delivery")</f>
        <v>Delivery</v>
      </c>
      <c r="X65" s="3"/>
      <c r="Y65" s="3"/>
      <c r="Z65" s="3" t="str">
        <f>IFERROR(__xludf.DUMMYFUNCTION("""COMPUTED_VALUE"""),"PLS Ops Transformation")</f>
        <v>PLS Ops Transformation</v>
      </c>
      <c r="AA65" s="3" t="b">
        <f>IFERROR(__xludf.DUMMYFUNCTION("""COMPUTED_VALUE"""),FALSE)</f>
        <v>0</v>
      </c>
    </row>
    <row r="66">
      <c r="A66" s="11">
        <f>IFERROR(__xludf.DUMMYFUNCTION("""COMPUTED_VALUE"""),1.00605616E8)</f>
        <v>100605616</v>
      </c>
      <c r="B66" s="3" t="str">
        <f>IFERROR(__xludf.DUMMYFUNCTION("""COMPUTED_VALUE"""),"Bhushan Sethi")</f>
        <v>Bhushan Sethi</v>
      </c>
      <c r="C66" s="3" t="str">
        <f>IFERROR(__xludf.DUMMYFUNCTION("""COMPUTED_VALUE"""),"Bhushan  Sethi")</f>
        <v>Bhushan  Sethi</v>
      </c>
      <c r="D66" s="3" t="str">
        <f>IFERROR(__xludf.DUMMYFUNCTION("""COMPUTED_VALUE"""),"Sethi, Bhushan")</f>
        <v>Sethi, Bhushan</v>
      </c>
      <c r="E66" s="3" t="str">
        <f>IFERROR(__xludf.DUMMYFUNCTION("""COMPUTED_VALUE"""),"Active")</f>
        <v>Active</v>
      </c>
      <c r="F66" s="3" t="str">
        <f>IFERROR(__xludf.DUMMYFUNCTION("""COMPUTED_VALUE"""),"bhushan.sethi@pwc.com")</f>
        <v>bhushan.sethi@pwc.com</v>
      </c>
      <c r="G66" s="3" t="str">
        <f>IFERROR(__xludf.DUMMYFUNCTION("""COMPUTED_VALUE"""),"Workforce")</f>
        <v>Workforce</v>
      </c>
      <c r="H66" s="3" t="str">
        <f>IFERROR(__xludf.DUMMYFUNCTION("""COMPUTED_VALUE"""),"Banking and Capital Markets")</f>
        <v>Banking and Capital Markets</v>
      </c>
      <c r="I66" s="3" t="str">
        <f>IFERROR(__xludf.DUMMYFUNCTION("""COMPUTED_VALUE"""),"Workforce - Talent, Change &amp; Behaviors")</f>
        <v>Workforce - Talent, Change &amp; Behaviors</v>
      </c>
      <c r="J66" s="3" t="str">
        <f>IFERROR(__xludf.DUMMYFUNCTION("""COMPUTED_VALUE"""),"Partner")</f>
        <v>Partner</v>
      </c>
      <c r="K66" s="12">
        <f>IFERROR(__xludf.DUMMYFUNCTION("""COMPUTED_VALUE"""),40462.0)</f>
        <v>40462</v>
      </c>
      <c r="L66" s="3" t="str">
        <f>IFERROR(__xludf.DUMMYFUNCTION("""COMPUTED_VALUE"""),"New York")</f>
        <v>New York</v>
      </c>
      <c r="M66" s="3" t="str">
        <f>IFERROR(__xludf.DUMMYFUNCTION("""COMPUTED_VALUE"""),"New York - 300 Madison Avenue")</f>
        <v>New York - 300 Madison Avenue</v>
      </c>
      <c r="N66" s="3" t="b">
        <f>IFERROR(__xludf.DUMMYFUNCTION("""COMPUTED_VALUE"""),FALSE)</f>
        <v>0</v>
      </c>
      <c r="O66" s="3" t="str">
        <f>IFERROR(__xludf.DUMMYFUNCTION("""COMPUTED_VALUE"""),"craig.odonnell@pwc.com")</f>
        <v>craig.odonnell@pwc.com</v>
      </c>
      <c r="P66" s="3" t="str">
        <f>IFERROR(__xludf.DUMMYFUNCTION("""COMPUTED_VALUE"""),"No")</f>
        <v>No</v>
      </c>
      <c r="Q66" s="3" t="b">
        <f>IFERROR(__xludf.DUMMYFUNCTION("""COMPUTED_VALUE"""),FALSE)</f>
        <v>0</v>
      </c>
      <c r="R66" s="3"/>
      <c r="S66" s="3"/>
      <c r="T66" s="3" t="b">
        <f>IFERROR(__xludf.DUMMYFUNCTION("""COMPUTED_VALUE"""),FALSE)</f>
        <v>0</v>
      </c>
      <c r="U66" s="3" t="b">
        <f>IFERROR(__xludf.DUMMYFUNCTION("""COMPUTED_VALUE"""),FALSE)</f>
        <v>0</v>
      </c>
      <c r="V66" s="3" t="b">
        <f>IFERROR(__xludf.DUMMYFUNCTION("""COMPUTED_VALUE"""),FALSE)</f>
        <v>0</v>
      </c>
      <c r="W66" s="3" t="str">
        <f>IFERROR(__xludf.DUMMYFUNCTION("""COMPUTED_VALUE"""),"#N/A")</f>
        <v>#N/A</v>
      </c>
      <c r="X66" s="3" t="str">
        <f>IFERROR(__xludf.DUMMYFUNCTION("""COMPUTED_VALUE"""),"#N/A")</f>
        <v>#N/A</v>
      </c>
      <c r="Y66" s="3" t="str">
        <f>IFERROR(__xludf.DUMMYFUNCTION("""COMPUTED_VALUE"""),"#N/A")</f>
        <v>#N/A</v>
      </c>
      <c r="Z66" s="3" t="str">
        <f>IFERROR(__xludf.DUMMYFUNCTION("""COMPUTED_VALUE"""),"Unknown")</f>
        <v>Unknown</v>
      </c>
      <c r="AA66" s="3" t="b">
        <f>IFERROR(__xludf.DUMMYFUNCTION("""COMPUTED_VALUE"""),FALSE)</f>
        <v>0</v>
      </c>
    </row>
    <row r="67">
      <c r="A67" s="3">
        <f>IFERROR(__xludf.DUMMYFUNCTION("""COMPUTED_VALUE"""),1.0062009E8)</f>
        <v>100620090</v>
      </c>
      <c r="B67" s="3" t="str">
        <f>IFERROR(__xludf.DUMMYFUNCTION("""COMPUTED_VALUE"""),"Bill Schmitt")</f>
        <v>Bill Schmitt</v>
      </c>
      <c r="C67" s="3" t="str">
        <f>IFERROR(__xludf.DUMMYFUNCTION("""COMPUTED_VALUE"""),"William K Schmitt")</f>
        <v>William K Schmitt</v>
      </c>
      <c r="D67" s="3" t="str">
        <f>IFERROR(__xludf.DUMMYFUNCTION("""COMPUTED_VALUE"""),"Schmitt, William K")</f>
        <v>Schmitt, William K</v>
      </c>
      <c r="E67" s="3" t="str">
        <f>IFERROR(__xludf.DUMMYFUNCTION("""COMPUTED_VALUE"""),"Active")</f>
        <v>Active</v>
      </c>
      <c r="F67" s="3" t="str">
        <f>IFERROR(__xludf.DUMMYFUNCTION("""COMPUTED_VALUE"""),"william.k.schmitt@pwc.com")</f>
        <v>william.k.schmitt@pwc.com</v>
      </c>
      <c r="G67" s="3" t="str">
        <f>IFERROR(__xludf.DUMMYFUNCTION("""COMPUTED_VALUE"""),"Deals Transformation")</f>
        <v>Deals Transformation</v>
      </c>
      <c r="H67" s="3" t="str">
        <f>IFERROR(__xludf.DUMMYFUNCTION("""COMPUTED_VALUE"""),"Pharma and Life Sciences")</f>
        <v>Pharma and Life Sciences</v>
      </c>
      <c r="I67" s="3" t="str">
        <f>IFERROR(__xludf.DUMMYFUNCTION("""COMPUTED_VALUE"""),"DDV - Finance")</f>
        <v>DDV - Finance</v>
      </c>
      <c r="J67" s="3" t="str">
        <f>IFERROR(__xludf.DUMMYFUNCTION("""COMPUTED_VALUE"""),"Partner")</f>
        <v>Partner</v>
      </c>
      <c r="K67" s="12">
        <f>IFERROR(__xludf.DUMMYFUNCTION("""COMPUTED_VALUE"""),38201.0)</f>
        <v>38201</v>
      </c>
      <c r="L67" s="3" t="str">
        <f>IFERROR(__xludf.DUMMYFUNCTION("""COMPUTED_VALUE"""),"Charlotte")</f>
        <v>Charlotte</v>
      </c>
      <c r="M67" s="3" t="str">
        <f>IFERROR(__xludf.DUMMYFUNCTION("""COMPUTED_VALUE"""),"Charlotte - 214 North Tryon Street")</f>
        <v>Charlotte - 214 North Tryon Street</v>
      </c>
      <c r="N67" s="3" t="b">
        <f>IFERROR(__xludf.DUMMYFUNCTION("""COMPUTED_VALUE"""),FALSE)</f>
        <v>0</v>
      </c>
      <c r="O67" s="3" t="str">
        <f>IFERROR(__xludf.DUMMYFUNCTION("""COMPUTED_VALUE"""),"derek.b.townsend@pwc.com")</f>
        <v>derek.b.townsend@pwc.com</v>
      </c>
      <c r="P67" s="3" t="str">
        <f>IFERROR(__xludf.DUMMYFUNCTION("""COMPUTED_VALUE"""),"No")</f>
        <v>No</v>
      </c>
      <c r="Q67" s="3" t="b">
        <f>IFERROR(__xludf.DUMMYFUNCTION("""COMPUTED_VALUE"""),FALSE)</f>
        <v>0</v>
      </c>
      <c r="R67" s="3"/>
      <c r="S67" s="3"/>
      <c r="T67" s="3" t="b">
        <f>IFERROR(__xludf.DUMMYFUNCTION("""COMPUTED_VALUE"""),FALSE)</f>
        <v>0</v>
      </c>
      <c r="U67" s="3" t="b">
        <f>IFERROR(__xludf.DUMMYFUNCTION("""COMPUTED_VALUE"""),TRUE)</f>
        <v>1</v>
      </c>
      <c r="V67" s="3" t="b">
        <f>IFERROR(__xludf.DUMMYFUNCTION("""COMPUTED_VALUE"""),FALSE)</f>
        <v>0</v>
      </c>
      <c r="W67" s="3" t="str">
        <f>IFERROR(__xludf.DUMMYFUNCTION("""COMPUTED_VALUE"""),"Delivery")</f>
        <v>Delivery</v>
      </c>
      <c r="X67" s="3"/>
      <c r="Y67" s="3"/>
      <c r="Z67" s="3" t="str">
        <f>IFERROR(__xludf.DUMMYFUNCTION("""COMPUTED_VALUE"""),"Corporate M&amp;A Transformation - PLS/Med Device")</f>
        <v>Corporate M&amp;A Transformation - PLS/Med Device</v>
      </c>
      <c r="AA67" s="3" t="b">
        <f>IFERROR(__xludf.DUMMYFUNCTION("""COMPUTED_VALUE"""),FALSE)</f>
        <v>0</v>
      </c>
    </row>
    <row r="68">
      <c r="A68" s="11">
        <f>IFERROR(__xludf.DUMMYFUNCTION("""COMPUTED_VALUE"""),1.00628891E8)</f>
        <v>100628891</v>
      </c>
      <c r="B68" s="3" t="str">
        <f>IFERROR(__xludf.DUMMYFUNCTION("""COMPUTED_VALUE"""),"Blair Troiano")</f>
        <v>Blair Troiano</v>
      </c>
      <c r="C68" s="3" t="str">
        <f>IFERROR(__xludf.DUMMYFUNCTION("""COMPUTED_VALUE"""),"Blair  Troiano")</f>
        <v>Blair  Troiano</v>
      </c>
      <c r="D68" s="3" t="str">
        <f>IFERROR(__xludf.DUMMYFUNCTION("""COMPUTED_VALUE"""),"Troiano, Blair")</f>
        <v>Troiano, Blair</v>
      </c>
      <c r="E68" s="3" t="str">
        <f>IFERROR(__xludf.DUMMYFUNCTION("""COMPUTED_VALUE"""),"Active")</f>
        <v>Active</v>
      </c>
      <c r="F68" s="3" t="str">
        <f>IFERROR(__xludf.DUMMYFUNCTION("""COMPUTED_VALUE"""),"blair.troiano@pwc.com")</f>
        <v>blair.troiano@pwc.com</v>
      </c>
      <c r="G68" s="3" t="str">
        <f>IFERROR(__xludf.DUMMYFUNCTION("""COMPUTED_VALUE"""),"FS")</f>
        <v>FS</v>
      </c>
      <c r="H68" s="3" t="str">
        <f>IFERROR(__xludf.DUMMYFUNCTION("""COMPUTED_VALUE"""),"Asset and Wealth Management")</f>
        <v>Asset and Wealth Management</v>
      </c>
      <c r="I68" s="3" t="str">
        <f>IFERROR(__xludf.DUMMYFUNCTION("""COMPUTED_VALUE"""),"FS - Asset Wealth Management")</f>
        <v>FS - Asset Wealth Management</v>
      </c>
      <c r="J68" s="3" t="str">
        <f>IFERROR(__xludf.DUMMYFUNCTION("""COMPUTED_VALUE"""),"Partner")</f>
        <v>Partner</v>
      </c>
      <c r="K68" s="12">
        <f>IFERROR(__xludf.DUMMYFUNCTION("""COMPUTED_VALUE"""),38938.0)</f>
        <v>38938</v>
      </c>
      <c r="L68" s="3" t="str">
        <f>IFERROR(__xludf.DUMMYFUNCTION("""COMPUTED_VALUE"""),"New York")</f>
        <v>New York</v>
      </c>
      <c r="M68" s="3" t="str">
        <f>IFERROR(__xludf.DUMMYFUNCTION("""COMPUTED_VALUE"""),"New York - 300 Madison Avenue")</f>
        <v>New York - 300 Madison Avenue</v>
      </c>
      <c r="N68" s="3" t="b">
        <f>IFERROR(__xludf.DUMMYFUNCTION("""COMPUTED_VALUE"""),FALSE)</f>
        <v>0</v>
      </c>
      <c r="O68" s="3" t="str">
        <f>IFERROR(__xludf.DUMMYFUNCTION("""COMPUTED_VALUE"""),"alison.hoover@pwc.com")</f>
        <v>alison.hoover@pwc.com</v>
      </c>
      <c r="P68" s="3" t="str">
        <f>IFERROR(__xludf.DUMMYFUNCTION("""COMPUTED_VALUE"""),"No")</f>
        <v>No</v>
      </c>
      <c r="Q68" s="3" t="b">
        <f>IFERROR(__xludf.DUMMYFUNCTION("""COMPUTED_VALUE"""),FALSE)</f>
        <v>0</v>
      </c>
      <c r="R68" s="3"/>
      <c r="S68" s="3"/>
      <c r="T68" s="3" t="b">
        <f>IFERROR(__xludf.DUMMYFUNCTION("""COMPUTED_VALUE"""),FALSE)</f>
        <v>0</v>
      </c>
      <c r="U68" s="3" t="b">
        <f>IFERROR(__xludf.DUMMYFUNCTION("""COMPUTED_VALUE"""),TRUE)</f>
        <v>1</v>
      </c>
      <c r="V68" s="3" t="b">
        <f>IFERROR(__xludf.DUMMYFUNCTION("""COMPUTED_VALUE"""),FALSE)</f>
        <v>0</v>
      </c>
      <c r="W68" s="3" t="str">
        <f>IFERROR(__xludf.DUMMYFUNCTION("""COMPUTED_VALUE"""),"Delivery")</f>
        <v>Delivery</v>
      </c>
      <c r="X68" s="3"/>
      <c r="Y68" s="3"/>
      <c r="Z68" s="3" t="str">
        <f>IFERROR(__xludf.DUMMYFUNCTION("""COMPUTED_VALUE"""),"AWM Transformation")</f>
        <v>AWM Transformation</v>
      </c>
      <c r="AA68" s="3" t="b">
        <f>IFERROR(__xludf.DUMMYFUNCTION("""COMPUTED_VALUE"""),FALSE)</f>
        <v>0</v>
      </c>
    </row>
    <row r="69">
      <c r="A69" s="11">
        <f>IFERROR(__xludf.DUMMYFUNCTION("""COMPUTED_VALUE"""),1.005886E8)</f>
        <v>100588600</v>
      </c>
      <c r="B69" s="3" t="str">
        <f>IFERROR(__xludf.DUMMYFUNCTION("""COMPUTED_VALUE"""),"Blake Cooper")</f>
        <v>Blake Cooper</v>
      </c>
      <c r="C69" s="3" t="str">
        <f>IFERROR(__xludf.DUMMYFUNCTION("""COMPUTED_VALUE"""),"Blake  Cooper")</f>
        <v>Blake  Cooper</v>
      </c>
      <c r="D69" s="3" t="str">
        <f>IFERROR(__xludf.DUMMYFUNCTION("""COMPUTED_VALUE"""),"Cooper, Blake")</f>
        <v>Cooper, Blake</v>
      </c>
      <c r="E69" s="3" t="str">
        <f>IFERROR(__xludf.DUMMYFUNCTION("""COMPUTED_VALUE"""),"Active")</f>
        <v>Active</v>
      </c>
      <c r="F69" s="3" t="str">
        <f>IFERROR(__xludf.DUMMYFUNCTION("""COMPUTED_VALUE"""),"blake.r.cooper@pwc.com")</f>
        <v>blake.r.cooper@pwc.com</v>
      </c>
      <c r="G69" s="3" t="str">
        <f>IFERROR(__xludf.DUMMYFUNCTION("""COMPUTED_VALUE"""),"Finance")</f>
        <v>Finance</v>
      </c>
      <c r="H69" s="3" t="str">
        <f>IFERROR(__xludf.DUMMYFUNCTION("""COMPUTED_VALUE"""),"Power and Utilities")</f>
        <v>Power and Utilities</v>
      </c>
      <c r="I69" s="3" t="str">
        <f>IFERROR(__xludf.DUMMYFUNCTION("""COMPUTED_VALUE"""),"Finance - Enterprise Performance Management")</f>
        <v>Finance - Enterprise Performance Management</v>
      </c>
      <c r="J69" s="3" t="str">
        <f>IFERROR(__xludf.DUMMYFUNCTION("""COMPUTED_VALUE"""),"Partner")</f>
        <v>Partner</v>
      </c>
      <c r="K69" s="12">
        <f>IFERROR(__xludf.DUMMYFUNCTION("""COMPUTED_VALUE"""),36774.0)</f>
        <v>36774</v>
      </c>
      <c r="L69" s="3" t="str">
        <f>IFERROR(__xludf.DUMMYFUNCTION("""COMPUTED_VALUE"""),"Philadelphia")</f>
        <v>Philadelphia</v>
      </c>
      <c r="M69" s="3" t="str">
        <f>IFERROR(__xludf.DUMMYFUNCTION("""COMPUTED_VALUE"""),"Philadelphia - Two Commerce Square, Suite 1800")</f>
        <v>Philadelphia - Two Commerce Square, Suite 1800</v>
      </c>
      <c r="N69" s="3" t="b">
        <f>IFERROR(__xludf.DUMMYFUNCTION("""COMPUTED_VALUE"""),FALSE)</f>
        <v>0</v>
      </c>
      <c r="O69" s="3" t="str">
        <f>IFERROR(__xludf.DUMMYFUNCTION("""COMPUTED_VALUE"""),"kurtis.babczenko@pwc.com")</f>
        <v>kurtis.babczenko@pwc.com</v>
      </c>
      <c r="P69" s="3" t="str">
        <f>IFERROR(__xludf.DUMMYFUNCTION("""COMPUTED_VALUE"""),"No")</f>
        <v>No</v>
      </c>
      <c r="Q69" s="3" t="b">
        <f>IFERROR(__xludf.DUMMYFUNCTION("""COMPUTED_VALUE"""),TRUE)</f>
        <v>1</v>
      </c>
      <c r="R69" s="3" t="str">
        <f>IFERROR(__xludf.DUMMYFUNCTION("""COMPUTED_VALUE"""),"LCP High")</f>
        <v>LCP High</v>
      </c>
      <c r="S69" s="3"/>
      <c r="T69" s="3" t="b">
        <f>IFERROR(__xludf.DUMMYFUNCTION("""COMPUTED_VALUE"""),FALSE)</f>
        <v>0</v>
      </c>
      <c r="U69" s="3" t="b">
        <f>IFERROR(__xludf.DUMMYFUNCTION("""COMPUTED_VALUE"""),FALSE)</f>
        <v>0</v>
      </c>
      <c r="V69" s="3" t="b">
        <f>IFERROR(__xludf.DUMMYFUNCTION("""COMPUTED_VALUE"""),FALSE)</f>
        <v>0</v>
      </c>
      <c r="W69" s="3" t="str">
        <f>IFERROR(__xludf.DUMMYFUNCTION("""COMPUTED_VALUE"""),"LCP")</f>
        <v>LCP</v>
      </c>
      <c r="X69" s="3" t="str">
        <f>IFERROR(__xludf.DUMMYFUNCTION("""COMPUTED_VALUE"""),"Investment")</f>
        <v>Investment</v>
      </c>
      <c r="Y69" s="3" t="str">
        <f>IFERROR(__xludf.DUMMYFUNCTION("""COMPUTED_VALUE"""),"GEP - High")</f>
        <v>GEP - High</v>
      </c>
      <c r="Z69" s="3" t="str">
        <f>IFERROR(__xludf.DUMMYFUNCTION("""COMPUTED_VALUE"""),"Finance Transformation IPS - EUM / PU")</f>
        <v>Finance Transformation IPS - EUM / PU</v>
      </c>
      <c r="AA69" s="3" t="b">
        <f>IFERROR(__xludf.DUMMYFUNCTION("""COMPUTED_VALUE"""),TRUE)</f>
        <v>1</v>
      </c>
    </row>
    <row r="70">
      <c r="A70" s="11">
        <f>IFERROR(__xludf.DUMMYFUNCTION("""COMPUTED_VALUE"""),1.00620711E8)</f>
        <v>100620711</v>
      </c>
      <c r="B70" s="3" t="str">
        <f>IFERROR(__xludf.DUMMYFUNCTION("""COMPUTED_VALUE"""),"Bobby Shuman")</f>
        <v>Bobby Shuman</v>
      </c>
      <c r="C70" s="3" t="str">
        <f>IFERROR(__xludf.DUMMYFUNCTION("""COMPUTED_VALUE"""),"Robert Gregory Shuman")</f>
        <v>Robert Gregory Shuman</v>
      </c>
      <c r="D70" s="3" t="str">
        <f>IFERROR(__xludf.DUMMYFUNCTION("""COMPUTED_VALUE"""),"Shuman, Robert Gregory")</f>
        <v>Shuman, Robert Gregory</v>
      </c>
      <c r="E70" s="3" t="str">
        <f>IFERROR(__xludf.DUMMYFUNCTION("""COMPUTED_VALUE"""),"Active")</f>
        <v>Active</v>
      </c>
      <c r="F70" s="3" t="str">
        <f>IFERROR(__xludf.DUMMYFUNCTION("""COMPUTED_VALUE"""),"robert.g.shuman@pwc.com")</f>
        <v>robert.g.shuman@pwc.com</v>
      </c>
      <c r="G70" s="3" t="str">
        <f>IFERROR(__xludf.DUMMYFUNCTION("""COMPUTED_VALUE"""),"Deals Transformation")</f>
        <v>Deals Transformation</v>
      </c>
      <c r="H70" s="3" t="str">
        <f>IFERROR(__xludf.DUMMYFUNCTION("""COMPUTED_VALUE"""),"Pharma and Life Sciences")</f>
        <v>Pharma and Life Sciences</v>
      </c>
      <c r="I70" s="3" t="str">
        <f>IFERROR(__xludf.DUMMYFUNCTION("""COMPUTED_VALUE"""),"DDV - Finance")</f>
        <v>DDV - Finance</v>
      </c>
      <c r="J70" s="3" t="str">
        <f>IFERROR(__xludf.DUMMYFUNCTION("""COMPUTED_VALUE"""),"Partner")</f>
        <v>Partner</v>
      </c>
      <c r="K70" s="12">
        <f>IFERROR(__xludf.DUMMYFUNCTION("""COMPUTED_VALUE"""),38495.0)</f>
        <v>38495</v>
      </c>
      <c r="L70" s="3" t="str">
        <f>IFERROR(__xludf.DUMMYFUNCTION("""COMPUTED_VALUE"""),"Atlanta")</f>
        <v>Atlanta</v>
      </c>
      <c r="M70" s="3" t="str">
        <f>IFERROR(__xludf.DUMMYFUNCTION("""COMPUTED_VALUE"""),"Atlanta - 1075 Peachtree Street NE")</f>
        <v>Atlanta - 1075 Peachtree Street NE</v>
      </c>
      <c r="N70" s="3" t="b">
        <f>IFERROR(__xludf.DUMMYFUNCTION("""COMPUTED_VALUE"""),FALSE)</f>
        <v>0</v>
      </c>
      <c r="O70" s="3" t="str">
        <f>IFERROR(__xludf.DUMMYFUNCTION("""COMPUTED_VALUE"""),"derek.b.townsend@pwc.com")</f>
        <v>derek.b.townsend@pwc.com</v>
      </c>
      <c r="P70" s="3" t="str">
        <f>IFERROR(__xludf.DUMMYFUNCTION("""COMPUTED_VALUE"""),"No")</f>
        <v>No</v>
      </c>
      <c r="Q70" s="3" t="b">
        <f>IFERROR(__xludf.DUMMYFUNCTION("""COMPUTED_VALUE"""),FALSE)</f>
        <v>0</v>
      </c>
      <c r="R70" s="3"/>
      <c r="S70" s="3"/>
      <c r="T70" s="3" t="b">
        <f>IFERROR(__xludf.DUMMYFUNCTION("""COMPUTED_VALUE"""),FALSE)</f>
        <v>0</v>
      </c>
      <c r="U70" s="3" t="b">
        <f>IFERROR(__xludf.DUMMYFUNCTION("""COMPUTED_VALUE"""),TRUE)</f>
        <v>1</v>
      </c>
      <c r="V70" s="3" t="b">
        <f>IFERROR(__xludf.DUMMYFUNCTION("""COMPUTED_VALUE"""),FALSE)</f>
        <v>0</v>
      </c>
      <c r="W70" s="3" t="str">
        <f>IFERROR(__xludf.DUMMYFUNCTION("""COMPUTED_VALUE"""),"Delivery")</f>
        <v>Delivery</v>
      </c>
      <c r="X70" s="3"/>
      <c r="Y70" s="3"/>
      <c r="Z70" s="3" t="str">
        <f>IFERROR(__xludf.DUMMYFUNCTION("""COMPUTED_VALUE"""),"Corporate M&amp;A Transformation - PLS/Med Device")</f>
        <v>Corporate M&amp;A Transformation - PLS/Med Device</v>
      </c>
      <c r="AA70" s="3" t="b">
        <f>IFERROR(__xludf.DUMMYFUNCTION("""COMPUTED_VALUE"""),FALSE)</f>
        <v>0</v>
      </c>
    </row>
    <row r="71">
      <c r="A71" s="11">
        <f>IFERROR(__xludf.DUMMYFUNCTION("""COMPUTED_VALUE"""),1.00608366E8)</f>
        <v>100608366</v>
      </c>
      <c r="B71" s="3" t="str">
        <f>IFERROR(__xludf.DUMMYFUNCTION("""COMPUTED_VALUE"""),"Brad Denning")</f>
        <v>Brad Denning</v>
      </c>
      <c r="C71" s="3" t="str">
        <f>IFERROR(__xludf.DUMMYFUNCTION("""COMPUTED_VALUE"""),"Henry Brad Denning")</f>
        <v>Henry Brad Denning</v>
      </c>
      <c r="D71" s="3" t="str">
        <f>IFERROR(__xludf.DUMMYFUNCTION("""COMPUTED_VALUE"""),"Denning, Henry Brad")</f>
        <v>Denning, Henry Brad</v>
      </c>
      <c r="E71" s="3" t="str">
        <f>IFERROR(__xludf.DUMMYFUNCTION("""COMPUTED_VALUE"""),"Active")</f>
        <v>Active</v>
      </c>
      <c r="F71" s="3" t="str">
        <f>IFERROR(__xludf.DUMMYFUNCTION("""COMPUTED_VALUE"""),"brad.denning@pwc.com")</f>
        <v>brad.denning@pwc.com</v>
      </c>
      <c r="G71" s="3" t="str">
        <f>IFERROR(__xludf.DUMMYFUNCTION("""COMPUTED_VALUE"""),"FS")</f>
        <v>FS</v>
      </c>
      <c r="H71" s="3" t="str">
        <f>IFERROR(__xludf.DUMMYFUNCTION("""COMPUTED_VALUE"""),"Insurance")</f>
        <v>Insurance</v>
      </c>
      <c r="I71" s="3" t="str">
        <f>IFERROR(__xludf.DUMMYFUNCTION("""COMPUTED_VALUE"""),"FS - Insurance")</f>
        <v>FS - Insurance</v>
      </c>
      <c r="J71" s="3" t="str">
        <f>IFERROR(__xludf.DUMMYFUNCTION("""COMPUTED_VALUE"""),"Partner")</f>
        <v>Partner</v>
      </c>
      <c r="K71" s="12">
        <f>IFERROR(__xludf.DUMMYFUNCTION("""COMPUTED_VALUE"""),40485.0)</f>
        <v>40485</v>
      </c>
      <c r="L71" s="3" t="str">
        <f>IFERROR(__xludf.DUMMYFUNCTION("""COMPUTED_VALUE"""),"Philadelphia")</f>
        <v>Philadelphia</v>
      </c>
      <c r="M71" s="3" t="str">
        <f>IFERROR(__xludf.DUMMYFUNCTION("""COMPUTED_VALUE"""),"Philadelphia - Two Commerce Square, Suite 1800")</f>
        <v>Philadelphia - Two Commerce Square, Suite 1800</v>
      </c>
      <c r="N71" s="3" t="b">
        <f>IFERROR(__xludf.DUMMYFUNCTION("""COMPUTED_VALUE"""),FALSE)</f>
        <v>0</v>
      </c>
      <c r="O71" s="3" t="str">
        <f>IFERROR(__xludf.DUMMYFUNCTION("""COMPUTED_VALUE"""),"alison.hoover@pwc.com")</f>
        <v>alison.hoover@pwc.com</v>
      </c>
      <c r="P71" s="3" t="str">
        <f>IFERROR(__xludf.DUMMYFUNCTION("""COMPUTED_VALUE"""),"No")</f>
        <v>No</v>
      </c>
      <c r="Q71" s="3" t="b">
        <f>IFERROR(__xludf.DUMMYFUNCTION("""COMPUTED_VALUE"""),TRUE)</f>
        <v>1</v>
      </c>
      <c r="R71" s="3" t="str">
        <f>IFERROR(__xludf.DUMMYFUNCTION("""COMPUTED_VALUE"""),"LCP Low")</f>
        <v>LCP Low</v>
      </c>
      <c r="S71" s="3"/>
      <c r="T71" s="3" t="b">
        <f>IFERROR(__xludf.DUMMYFUNCTION("""COMPUTED_VALUE"""),FALSE)</f>
        <v>0</v>
      </c>
      <c r="U71" s="3" t="b">
        <f>IFERROR(__xludf.DUMMYFUNCTION("""COMPUTED_VALUE"""),FALSE)</f>
        <v>0</v>
      </c>
      <c r="V71" s="3" t="b">
        <f>IFERROR(__xludf.DUMMYFUNCTION("""COMPUTED_VALUE"""),FALSE)</f>
        <v>0</v>
      </c>
      <c r="W71" s="3" t="str">
        <f>IFERROR(__xludf.DUMMYFUNCTION("""COMPUTED_VALUE"""),"LCP")</f>
        <v>LCP</v>
      </c>
      <c r="X71" s="3"/>
      <c r="Y71" s="3" t="str">
        <f>IFERROR(__xludf.DUMMYFUNCTION("""COMPUTED_VALUE"""),"GEP - Low")</f>
        <v>GEP - Low</v>
      </c>
      <c r="Z71" s="3" t="str">
        <f>IFERROR(__xludf.DUMMYFUNCTION("""COMPUTED_VALUE"""),"Insurance Transformation")</f>
        <v>Insurance Transformation</v>
      </c>
      <c r="AA71" s="3" t="b">
        <f>IFERROR(__xludf.DUMMYFUNCTION("""COMPUTED_VALUE"""),FALSE)</f>
        <v>0</v>
      </c>
    </row>
    <row r="72">
      <c r="A72" s="11">
        <f>IFERROR(__xludf.DUMMYFUNCTION("""COMPUTED_VALUE"""),1.00651946E8)</f>
        <v>100651946</v>
      </c>
      <c r="B72" s="3" t="str">
        <f>IFERROR(__xludf.DUMMYFUNCTION("""COMPUTED_VALUE"""),"Brad Goehle")</f>
        <v>Brad Goehle</v>
      </c>
      <c r="C72" s="3" t="str">
        <f>IFERROR(__xludf.DUMMYFUNCTION("""COMPUTED_VALUE"""),"Brad William Goehle")</f>
        <v>Brad William Goehle</v>
      </c>
      <c r="D72" s="3" t="str">
        <f>IFERROR(__xludf.DUMMYFUNCTION("""COMPUTED_VALUE"""),"Goehle, Brad William")</f>
        <v>Goehle, Brad William</v>
      </c>
      <c r="E72" s="3" t="str">
        <f>IFERROR(__xludf.DUMMYFUNCTION("""COMPUTED_VALUE"""),"Active")</f>
        <v>Active</v>
      </c>
      <c r="F72" s="3" t="str">
        <f>IFERROR(__xludf.DUMMYFUNCTION("""COMPUTED_VALUE"""),"brad.goehle@pwc.com")</f>
        <v>brad.goehle@pwc.com</v>
      </c>
      <c r="G72" s="3" t="str">
        <f>IFERROR(__xludf.DUMMYFUNCTION("""COMPUTED_VALUE"""),"Ops")</f>
        <v>Ops</v>
      </c>
      <c r="H72" s="3" t="str">
        <f>IFERROR(__xludf.DUMMYFUNCTION("""COMPUTED_VALUE"""),"Aerospace and Defence")</f>
        <v>Aerospace and Defence</v>
      </c>
      <c r="I72" s="3" t="str">
        <f>IFERROR(__xludf.DUMMYFUNCTION("""COMPUTED_VALUE"""),"Ops - Product Development &amp; Manufacturing (PDM)")</f>
        <v>Ops - Product Development &amp; Manufacturing (PDM)</v>
      </c>
      <c r="J72" s="3" t="str">
        <f>IFERROR(__xludf.DUMMYFUNCTION("""COMPUTED_VALUE"""),"Partner")</f>
        <v>Partner</v>
      </c>
      <c r="K72" s="12">
        <f>IFERROR(__xludf.DUMMYFUNCTION("""COMPUTED_VALUE"""),42186.0)</f>
        <v>42186</v>
      </c>
      <c r="L72" s="3" t="str">
        <f>IFERROR(__xludf.DUMMYFUNCTION("""COMPUTED_VALUE"""),"Washington")</f>
        <v>Washington</v>
      </c>
      <c r="M72" s="3" t="str">
        <f>IFERROR(__xludf.DUMMYFUNCTION("""COMPUTED_VALUE"""),"Washington DC - 655 New York Avenue")</f>
        <v>Washington DC - 655 New York Avenue</v>
      </c>
      <c r="N72" s="3" t="b">
        <f>IFERROR(__xludf.DUMMYFUNCTION("""COMPUTED_VALUE"""),FALSE)</f>
        <v>0</v>
      </c>
      <c r="O72" s="3" t="str">
        <f>IFERROR(__xludf.DUMMYFUNCTION("""COMPUTED_VALUE"""),"matthew.r.comte@pwc.com")</f>
        <v>matthew.r.comte@pwc.com</v>
      </c>
      <c r="P72" s="3" t="str">
        <f>IFERROR(__xludf.DUMMYFUNCTION("""COMPUTED_VALUE"""),"No")</f>
        <v>No</v>
      </c>
      <c r="Q72" s="3" t="b">
        <f>IFERROR(__xludf.DUMMYFUNCTION("""COMPUTED_VALUE"""),FALSE)</f>
        <v>0</v>
      </c>
      <c r="R72" s="3"/>
      <c r="S72" s="3"/>
      <c r="T72" s="3" t="b">
        <f>IFERROR(__xludf.DUMMYFUNCTION("""COMPUTED_VALUE"""),FALSE)</f>
        <v>0</v>
      </c>
      <c r="U72" s="3" t="b">
        <f>IFERROR(__xludf.DUMMYFUNCTION("""COMPUTED_VALUE"""),TRUE)</f>
        <v>1</v>
      </c>
      <c r="V72" s="3" t="b">
        <f>IFERROR(__xludf.DUMMYFUNCTION("""COMPUTED_VALUE"""),FALSE)</f>
        <v>0</v>
      </c>
      <c r="W72" s="3" t="str">
        <f>IFERROR(__xludf.DUMMYFUNCTION("""COMPUTED_VALUE"""),"Delivery")</f>
        <v>Delivery</v>
      </c>
      <c r="X72" s="3"/>
      <c r="Y72" s="3"/>
      <c r="Z72" s="3" t="str">
        <f>IFERROR(__xludf.DUMMYFUNCTION("""COMPUTED_VALUE"""),"IP + Technology Ops Transformation")</f>
        <v>IP + Technology Ops Transformation</v>
      </c>
      <c r="AA72" s="3" t="b">
        <f>IFERROR(__xludf.DUMMYFUNCTION("""COMPUTED_VALUE"""),FALSE)</f>
        <v>0</v>
      </c>
    </row>
    <row r="73">
      <c r="A73" s="11">
        <f>IFERROR(__xludf.DUMMYFUNCTION("""COMPUTED_VALUE"""),1.01141463E8)</f>
        <v>101141463</v>
      </c>
      <c r="B73" s="3" t="str">
        <f>IFERROR(__xludf.DUMMYFUNCTION("""COMPUTED_VALUE"""),"Brad Herndon")</f>
        <v>Brad Herndon</v>
      </c>
      <c r="C73" s="3" t="str">
        <f>IFERROR(__xludf.DUMMYFUNCTION("""COMPUTED_VALUE"""),"Bradley  Herndon")</f>
        <v>Bradley  Herndon</v>
      </c>
      <c r="D73" s="3" t="str">
        <f>IFERROR(__xludf.DUMMYFUNCTION("""COMPUTED_VALUE"""),"Herndon, Bradley")</f>
        <v>Herndon, Bradley</v>
      </c>
      <c r="E73" s="3" t="str">
        <f>IFERROR(__xludf.DUMMYFUNCTION("""COMPUTED_VALUE"""),"Active")</f>
        <v>Active</v>
      </c>
      <c r="F73" s="3" t="str">
        <f>IFERROR(__xludf.DUMMYFUNCTION("""COMPUTED_VALUE"""),"brad.herndon@pwc.com")</f>
        <v>brad.herndon@pwc.com</v>
      </c>
      <c r="G73" s="3" t="str">
        <f>IFERROR(__xludf.DUMMYFUNCTION("""COMPUTED_VALUE"""),"Customer")</f>
        <v>Customer</v>
      </c>
      <c r="H73" s="3" t="str">
        <f>IFERROR(__xludf.DUMMYFUNCTION("""COMPUTED_VALUE"""),"CM X-Sector")</f>
        <v>CM X-Sector</v>
      </c>
      <c r="I73" s="3" t="str">
        <f>IFERROR(__xludf.DUMMYFUNCTION("""COMPUTED_VALUE"""),"Customer - Marketing")</f>
        <v>Customer - Marketing</v>
      </c>
      <c r="J73" s="3" t="str">
        <f>IFERROR(__xludf.DUMMYFUNCTION("""COMPUTED_VALUE"""),"Partner")</f>
        <v>Partner</v>
      </c>
      <c r="K73" s="12">
        <f>IFERROR(__xludf.DUMMYFUNCTION("""COMPUTED_VALUE"""),44473.0)</f>
        <v>44473</v>
      </c>
      <c r="L73" s="3" t="str">
        <f>IFERROR(__xludf.DUMMYFUNCTION("""COMPUTED_VALUE"""),"Chicago")</f>
        <v>Chicago</v>
      </c>
      <c r="M73" s="3" t="str">
        <f>IFERROR(__xludf.DUMMYFUNCTION("""COMPUTED_VALUE"""),"Chicago - One North Wacker Drive")</f>
        <v>Chicago - One North Wacker Drive</v>
      </c>
      <c r="N73" s="3" t="b">
        <f>IFERROR(__xludf.DUMMYFUNCTION("""COMPUTED_VALUE"""),FALSE)</f>
        <v>0</v>
      </c>
      <c r="O73" s="3" t="str">
        <f>IFERROR(__xludf.DUMMYFUNCTION("""COMPUTED_VALUE"""),"george.korizis@pwc.com")</f>
        <v>george.korizis@pwc.com</v>
      </c>
      <c r="P73" s="3" t="str">
        <f>IFERROR(__xludf.DUMMYFUNCTION("""COMPUTED_VALUE"""),"FY22")</f>
        <v>FY22</v>
      </c>
      <c r="Q73" s="3" t="b">
        <f>IFERROR(__xludf.DUMMYFUNCTION("""COMPUTED_VALUE"""),FALSE)</f>
        <v>0</v>
      </c>
      <c r="R73" s="3"/>
      <c r="S73" s="3"/>
      <c r="T73" s="3" t="b">
        <f>IFERROR(__xludf.DUMMYFUNCTION("""COMPUTED_VALUE"""),FALSE)</f>
        <v>0</v>
      </c>
      <c r="U73" s="3" t="b">
        <f>IFERROR(__xludf.DUMMYFUNCTION("""COMPUTED_VALUE"""),FALSE)</f>
        <v>0</v>
      </c>
      <c r="V73" s="3" t="b">
        <f>IFERROR(__xludf.DUMMYFUNCTION("""COMPUTED_VALUE"""),TRUE)</f>
        <v>1</v>
      </c>
      <c r="W73" s="3" t="str">
        <f>IFERROR(__xludf.DUMMYFUNCTION("""COMPUTED_VALUE"""),"Catalyst")</f>
        <v>Catalyst</v>
      </c>
      <c r="X73" s="3"/>
      <c r="Y73" s="3" t="str">
        <f>IFERROR(__xludf.DUMMYFUNCTION("""COMPUTED_VALUE"""),"FY22")</f>
        <v>FY22</v>
      </c>
      <c r="Z73" s="3" t="str">
        <f>IFERROR(__xludf.DUMMYFUNCTION("""COMPUTED_VALUE"""),"Marketing Transformation")</f>
        <v>Marketing Transformation</v>
      </c>
      <c r="AA73" s="3" t="b">
        <f>IFERROR(__xludf.DUMMYFUNCTION("""COMPUTED_VALUE"""),FALSE)</f>
        <v>0</v>
      </c>
    </row>
    <row r="74">
      <c r="A74" s="11">
        <f>IFERROR(__xludf.DUMMYFUNCTION("""COMPUTED_VALUE"""),1.00694651E8)</f>
        <v>100694651</v>
      </c>
      <c r="B74" s="3" t="str">
        <f>IFERROR(__xludf.DUMMYFUNCTION("""COMPUTED_VALUE"""),"Bradford Donaldson")</f>
        <v>Bradford Donaldson</v>
      </c>
      <c r="C74" s="3" t="str">
        <f>IFERROR(__xludf.DUMMYFUNCTION("""COMPUTED_VALUE"""),"Bradford B Donaldson")</f>
        <v>Bradford B Donaldson</v>
      </c>
      <c r="D74" s="3" t="str">
        <f>IFERROR(__xludf.DUMMYFUNCTION("""COMPUTED_VALUE"""),"Donaldson, Bradford B")</f>
        <v>Donaldson, Bradford B</v>
      </c>
      <c r="E74" s="3" t="str">
        <f>IFERROR(__xludf.DUMMYFUNCTION("""COMPUTED_VALUE"""),"Active")</f>
        <v>Active</v>
      </c>
      <c r="F74" s="3" t="str">
        <f>IFERROR(__xludf.DUMMYFUNCTION("""COMPUTED_VALUE"""),"brad.donaldson@pwc.com")</f>
        <v>brad.donaldson@pwc.com</v>
      </c>
      <c r="G74" s="3" t="str">
        <f>IFERROR(__xludf.DUMMYFUNCTION("""COMPUTED_VALUE"""),"Finance")</f>
        <v>Finance</v>
      </c>
      <c r="H74" s="3" t="str">
        <f>IFERROR(__xludf.DUMMYFUNCTION("""COMPUTED_VALUE"""),"Manufacturing")</f>
        <v>Manufacturing</v>
      </c>
      <c r="I74" s="3" t="str">
        <f>IFERROR(__xludf.DUMMYFUNCTION("""COMPUTED_VALUE"""),"Finance - Finance Strategy / Op Model / Global Business Services / Talent")</f>
        <v>Finance - Finance Strategy / Op Model / Global Business Services / Talent</v>
      </c>
      <c r="J74" s="3" t="str">
        <f>IFERROR(__xludf.DUMMYFUNCTION("""COMPUTED_VALUE"""),"Partner")</f>
        <v>Partner</v>
      </c>
      <c r="K74" s="12">
        <f>IFERROR(__xludf.DUMMYFUNCTION("""COMPUTED_VALUE"""),43325.0)</f>
        <v>43325</v>
      </c>
      <c r="L74" s="3" t="str">
        <f>IFERROR(__xludf.DUMMYFUNCTION("""COMPUTED_VALUE"""),"Atlanta")</f>
        <v>Atlanta</v>
      </c>
      <c r="M74" s="3" t="str">
        <f>IFERROR(__xludf.DUMMYFUNCTION("""COMPUTED_VALUE"""),"Atlanta - 1075 Peachtree Street NE")</f>
        <v>Atlanta - 1075 Peachtree Street NE</v>
      </c>
      <c r="N74" s="3" t="b">
        <f>IFERROR(__xludf.DUMMYFUNCTION("""COMPUTED_VALUE"""),FALSE)</f>
        <v>0</v>
      </c>
      <c r="O74" s="3" t="str">
        <f>IFERROR(__xludf.DUMMYFUNCTION("""COMPUTED_VALUE"""),"kurtis.babczenko@pwc.com")</f>
        <v>kurtis.babczenko@pwc.com</v>
      </c>
      <c r="P74" s="3" t="str">
        <f>IFERROR(__xludf.DUMMYFUNCTION("""COMPUTED_VALUE"""),"No")</f>
        <v>No</v>
      </c>
      <c r="Q74" s="3" t="b">
        <f>IFERROR(__xludf.DUMMYFUNCTION("""COMPUTED_VALUE"""),TRUE)</f>
        <v>1</v>
      </c>
      <c r="R74" s="3" t="str">
        <f>IFERROR(__xludf.DUMMYFUNCTION("""COMPUTED_VALUE"""),"LCP High")</f>
        <v>LCP High</v>
      </c>
      <c r="S74" s="3"/>
      <c r="T74" s="3" t="b">
        <f>IFERROR(__xludf.DUMMYFUNCTION("""COMPUTED_VALUE"""),FALSE)</f>
        <v>0</v>
      </c>
      <c r="U74" s="3" t="b">
        <f>IFERROR(__xludf.DUMMYFUNCTION("""COMPUTED_VALUE"""),FALSE)</f>
        <v>0</v>
      </c>
      <c r="V74" s="3" t="b">
        <f>IFERROR(__xludf.DUMMYFUNCTION("""COMPUTED_VALUE"""),FALSE)</f>
        <v>0</v>
      </c>
      <c r="W74" s="3" t="str">
        <f>IFERROR(__xludf.DUMMYFUNCTION("""COMPUTED_VALUE"""),"LCP")</f>
        <v>LCP</v>
      </c>
      <c r="X74" s="3"/>
      <c r="Y74" s="3" t="str">
        <f>IFERROR(__xludf.DUMMYFUNCTION("""COMPUTED_VALUE"""),"GEP - High")</f>
        <v>GEP - High</v>
      </c>
      <c r="Z74" s="3" t="str">
        <f>IFERROR(__xludf.DUMMYFUNCTION("""COMPUTED_VALUE"""),"Finance Transformation IPS - IP")</f>
        <v>Finance Transformation IPS - IP</v>
      </c>
      <c r="AA74" s="3" t="b">
        <f>IFERROR(__xludf.DUMMYFUNCTION("""COMPUTED_VALUE"""),FALSE)</f>
        <v>0</v>
      </c>
    </row>
    <row r="75">
      <c r="A75" s="11">
        <f>IFERROR(__xludf.DUMMYFUNCTION("""COMPUTED_VALUE"""),1.00649726E8)</f>
        <v>100649726</v>
      </c>
      <c r="B75" s="3" t="str">
        <f>IFERROR(__xludf.DUMMYFUNCTION("""COMPUTED_VALUE"""),"Brandon Gabel")</f>
        <v>Brandon Gabel</v>
      </c>
      <c r="C75" s="3" t="str">
        <f>IFERROR(__xludf.DUMMYFUNCTION("""COMPUTED_VALUE"""),"Brandon James Gabel")</f>
        <v>Brandon James Gabel</v>
      </c>
      <c r="D75" s="3" t="str">
        <f>IFERROR(__xludf.DUMMYFUNCTION("""COMPUTED_VALUE"""),"Gabel, Brandon James")</f>
        <v>Gabel, Brandon James</v>
      </c>
      <c r="E75" s="3" t="str">
        <f>IFERROR(__xludf.DUMMYFUNCTION("""COMPUTED_VALUE"""),"Active")</f>
        <v>Active</v>
      </c>
      <c r="F75" s="3" t="str">
        <f>IFERROR(__xludf.DUMMYFUNCTION("""COMPUTED_VALUE"""),"brandon.gabel@pwc.com")</f>
        <v>brandon.gabel@pwc.com</v>
      </c>
      <c r="G75" s="3" t="str">
        <f>IFERROR(__xludf.DUMMYFUNCTION("""COMPUTED_VALUE"""),"FS")</f>
        <v>FS</v>
      </c>
      <c r="H75" s="3" t="str">
        <f>IFERROR(__xludf.DUMMYFUNCTION("""COMPUTED_VALUE"""),"Insurance")</f>
        <v>Insurance</v>
      </c>
      <c r="I75" s="3" t="str">
        <f>IFERROR(__xludf.DUMMYFUNCTION("""COMPUTED_VALUE"""),"FS - Insurance")</f>
        <v>FS - Insurance</v>
      </c>
      <c r="J75" s="3" t="str">
        <f>IFERROR(__xludf.DUMMYFUNCTION("""COMPUTED_VALUE"""),"Partner")</f>
        <v>Partner</v>
      </c>
      <c r="K75" s="12">
        <f>IFERROR(__xludf.DUMMYFUNCTION("""COMPUTED_VALUE"""),40485.0)</f>
        <v>40485</v>
      </c>
      <c r="L75" s="3" t="str">
        <f>IFERROR(__xludf.DUMMYFUNCTION("""COMPUTED_VALUE"""),"Toledo")</f>
        <v>Toledo</v>
      </c>
      <c r="M75" s="3" t="str">
        <f>IFERROR(__xludf.DUMMYFUNCTION("""COMPUTED_VALUE"""),"Toledo - 406 Washington Street")</f>
        <v>Toledo - 406 Washington Street</v>
      </c>
      <c r="N75" s="3" t="b">
        <f>IFERROR(__xludf.DUMMYFUNCTION("""COMPUTED_VALUE"""),FALSE)</f>
        <v>0</v>
      </c>
      <c r="O75" s="3" t="str">
        <f>IFERROR(__xludf.DUMMYFUNCTION("""COMPUTED_VALUE"""),"alison.hoover@pwc.com")</f>
        <v>alison.hoover@pwc.com</v>
      </c>
      <c r="P75" s="3" t="str">
        <f>IFERROR(__xludf.DUMMYFUNCTION("""COMPUTED_VALUE"""),"No")</f>
        <v>No</v>
      </c>
      <c r="Q75" s="3" t="b">
        <f>IFERROR(__xludf.DUMMYFUNCTION("""COMPUTED_VALUE"""),FALSE)</f>
        <v>0</v>
      </c>
      <c r="R75" s="3"/>
      <c r="S75" s="3"/>
      <c r="T75" s="3" t="b">
        <f>IFERROR(__xludf.DUMMYFUNCTION("""COMPUTED_VALUE"""),FALSE)</f>
        <v>0</v>
      </c>
      <c r="U75" s="3" t="b">
        <f>IFERROR(__xludf.DUMMYFUNCTION("""COMPUTED_VALUE"""),TRUE)</f>
        <v>1</v>
      </c>
      <c r="V75" s="3" t="b">
        <f>IFERROR(__xludf.DUMMYFUNCTION("""COMPUTED_VALUE"""),FALSE)</f>
        <v>0</v>
      </c>
      <c r="W75" s="3" t="str">
        <f>IFERROR(__xludf.DUMMYFUNCTION("""COMPUTED_VALUE"""),"Delivery")</f>
        <v>Delivery</v>
      </c>
      <c r="X75" s="3"/>
      <c r="Y75" s="3"/>
      <c r="Z75" s="3" t="str">
        <f>IFERROR(__xludf.DUMMYFUNCTION("""COMPUTED_VALUE"""),"Insurance Transformation")</f>
        <v>Insurance Transformation</v>
      </c>
      <c r="AA75" s="3" t="b">
        <f>IFERROR(__xludf.DUMMYFUNCTION("""COMPUTED_VALUE"""),FALSE)</f>
        <v>0</v>
      </c>
    </row>
    <row r="76">
      <c r="A76" s="11">
        <f>IFERROR(__xludf.DUMMYFUNCTION("""COMPUTED_VALUE"""),1.00612201E8)</f>
        <v>100612201</v>
      </c>
      <c r="B76" s="3" t="str">
        <f>IFERROR(__xludf.DUMMYFUNCTION("""COMPUTED_VALUE"""),"Brandon Yerre")</f>
        <v>Brandon Yerre</v>
      </c>
      <c r="C76" s="3" t="str">
        <f>IFERROR(__xludf.DUMMYFUNCTION("""COMPUTED_VALUE"""),"Brandon William  Yerre")</f>
        <v>Brandon William  Yerre</v>
      </c>
      <c r="D76" s="3" t="str">
        <f>IFERROR(__xludf.DUMMYFUNCTION("""COMPUTED_VALUE"""),"Yerre, Brandon William")</f>
        <v>Yerre, Brandon William</v>
      </c>
      <c r="E76" s="3" t="str">
        <f>IFERROR(__xludf.DUMMYFUNCTION("""COMPUTED_VALUE"""),"Active")</f>
        <v>Active</v>
      </c>
      <c r="F76" s="3" t="str">
        <f>IFERROR(__xludf.DUMMYFUNCTION("""COMPUTED_VALUE"""),"brandon.w.yerre@pwc.com")</f>
        <v>brandon.w.yerre@pwc.com</v>
      </c>
      <c r="G76" s="3" t="str">
        <f>IFERROR(__xludf.DUMMYFUNCTION("""COMPUTED_VALUE"""),"Workforce")</f>
        <v>Workforce</v>
      </c>
      <c r="H76" s="3" t="str">
        <f>IFERROR(__xludf.DUMMYFUNCTION("""COMPUTED_VALUE"""),"TMT X-Sector")</f>
        <v>TMT X-Sector</v>
      </c>
      <c r="I76" s="3" t="str">
        <f>IFERROR(__xludf.DUMMYFUNCTION("""COMPUTED_VALUE"""),"Workforce - Rewards &amp; Well Being")</f>
        <v>Workforce - Rewards &amp; Well Being</v>
      </c>
      <c r="J76" s="3" t="str">
        <f>IFERROR(__xludf.DUMMYFUNCTION("""COMPUTED_VALUE"""),"Partner")</f>
        <v>Partner</v>
      </c>
      <c r="K76" s="12">
        <f>IFERROR(__xludf.DUMMYFUNCTION("""COMPUTED_VALUE"""),36836.0)</f>
        <v>36836</v>
      </c>
      <c r="L76" s="3" t="str">
        <f>IFERROR(__xludf.DUMMYFUNCTION("""COMPUTED_VALUE"""),"Dallas")</f>
        <v>Dallas</v>
      </c>
      <c r="M76" s="3" t="str">
        <f>IFERROR(__xludf.DUMMYFUNCTION("""COMPUTED_VALUE"""),"Dallas - 2121 North Pearl Street")</f>
        <v>Dallas - 2121 North Pearl Street</v>
      </c>
      <c r="N76" s="3" t="b">
        <f>IFERROR(__xludf.DUMMYFUNCTION("""COMPUTED_VALUE"""),FALSE)</f>
        <v>0</v>
      </c>
      <c r="O76" s="3" t="str">
        <f>IFERROR(__xludf.DUMMYFUNCTION("""COMPUTED_VALUE"""),"craig.odonnell@pwc.com")</f>
        <v>craig.odonnell@pwc.com</v>
      </c>
      <c r="P76" s="3" t="str">
        <f>IFERROR(__xludf.DUMMYFUNCTION("""COMPUTED_VALUE"""),"No")</f>
        <v>No</v>
      </c>
      <c r="Q76" s="3" t="b">
        <f>IFERROR(__xludf.DUMMYFUNCTION("""COMPUTED_VALUE"""),FALSE)</f>
        <v>0</v>
      </c>
      <c r="R76" s="3"/>
      <c r="S76" s="3"/>
      <c r="T76" s="3" t="b">
        <f>IFERROR(__xludf.DUMMYFUNCTION("""COMPUTED_VALUE"""),FALSE)</f>
        <v>0</v>
      </c>
      <c r="U76" s="3" t="b">
        <f>IFERROR(__xludf.DUMMYFUNCTION("""COMPUTED_VALUE"""),FALSE)</f>
        <v>0</v>
      </c>
      <c r="V76" s="3" t="b">
        <f>IFERROR(__xludf.DUMMYFUNCTION("""COMPUTED_VALUE"""),FALSE)</f>
        <v>0</v>
      </c>
      <c r="W76" s="3" t="str">
        <f>IFERROR(__xludf.DUMMYFUNCTION("""COMPUTED_VALUE"""),"#N/A")</f>
        <v>#N/A</v>
      </c>
      <c r="X76" s="3" t="str">
        <f>IFERROR(__xludf.DUMMYFUNCTION("""COMPUTED_VALUE"""),"#N/A")</f>
        <v>#N/A</v>
      </c>
      <c r="Y76" s="3" t="str">
        <f>IFERROR(__xludf.DUMMYFUNCTION("""COMPUTED_VALUE"""),"#N/A")</f>
        <v>#N/A</v>
      </c>
      <c r="Z76" s="3" t="str">
        <f>IFERROR(__xludf.DUMMYFUNCTION("""COMPUTED_VALUE"""),"Unknown")</f>
        <v>Unknown</v>
      </c>
      <c r="AA76" s="3" t="b">
        <f>IFERROR(__xludf.DUMMYFUNCTION("""COMPUTED_VALUE"""),FALSE)</f>
        <v>0</v>
      </c>
    </row>
    <row r="77">
      <c r="A77" s="11">
        <f>IFERROR(__xludf.DUMMYFUNCTION("""COMPUTED_VALUE"""),1.00892374E8)</f>
        <v>100892374</v>
      </c>
      <c r="B77" s="3" t="str">
        <f>IFERROR(__xludf.DUMMYFUNCTION("""COMPUTED_VALUE"""),"Brandy Smith")</f>
        <v>Brandy Smith</v>
      </c>
      <c r="C77" s="3" t="str">
        <f>IFERROR(__xludf.DUMMYFUNCTION("""COMPUTED_VALUE"""),"Brandle  Smith")</f>
        <v>Brandle  Smith</v>
      </c>
      <c r="D77" s="3" t="str">
        <f>IFERROR(__xludf.DUMMYFUNCTION("""COMPUTED_VALUE"""),"Smith, Brandle")</f>
        <v>Smith, Brandle</v>
      </c>
      <c r="E77" s="3" t="str">
        <f>IFERROR(__xludf.DUMMYFUNCTION("""COMPUTED_VALUE"""),"Active")</f>
        <v>Active</v>
      </c>
      <c r="F77" s="3" t="str">
        <f>IFERROR(__xludf.DUMMYFUNCTION("""COMPUTED_VALUE"""),"brandy.smith@pwc.com")</f>
        <v>brandy.smith@pwc.com</v>
      </c>
      <c r="G77" s="3" t="str">
        <f>IFERROR(__xludf.DUMMYFUNCTION("""COMPUTED_VALUE"""),"ESV")</f>
        <v>ESV</v>
      </c>
      <c r="H77" s="3" t="str">
        <f>IFERROR(__xludf.DUMMYFUNCTION("""COMPUTED_VALUE"""),"CM X-Sector")</f>
        <v>CM X-Sector</v>
      </c>
      <c r="I77" s="3" t="str">
        <f>IFERROR(__xludf.DUMMYFUNCTION("""COMPUTED_VALUE"""),"ESV - CM")</f>
        <v>ESV - CM</v>
      </c>
      <c r="J77" s="3" t="str">
        <f>IFERROR(__xludf.DUMMYFUNCTION("""COMPUTED_VALUE"""),"Partner")</f>
        <v>Partner</v>
      </c>
      <c r="K77" s="12">
        <f>IFERROR(__xludf.DUMMYFUNCTION("""COMPUTED_VALUE"""),43570.0)</f>
        <v>43570</v>
      </c>
      <c r="L77" s="3" t="str">
        <f>IFERROR(__xludf.DUMMYFUNCTION("""COMPUTED_VALUE"""),"Dallas")</f>
        <v>Dallas</v>
      </c>
      <c r="M77" s="3" t="str">
        <f>IFERROR(__xludf.DUMMYFUNCTION("""COMPUTED_VALUE"""),"Dallas - 2121 North Pearl Street")</f>
        <v>Dallas - 2121 North Pearl Street</v>
      </c>
      <c r="N77" s="3" t="b">
        <f>IFERROR(__xludf.DUMMYFUNCTION("""COMPUTED_VALUE"""),FALSE)</f>
        <v>0</v>
      </c>
      <c r="O77" s="3" t="str">
        <f>IFERROR(__xludf.DUMMYFUNCTION("""COMPUTED_VALUE"""),"sundar.subramanian@pwc.com")</f>
        <v>sundar.subramanian@pwc.com</v>
      </c>
      <c r="P77" s="3" t="str">
        <f>IFERROR(__xludf.DUMMYFUNCTION("""COMPUTED_VALUE"""),"No")</f>
        <v>No</v>
      </c>
      <c r="Q77" s="3" t="b">
        <f>IFERROR(__xludf.DUMMYFUNCTION("""COMPUTED_VALUE"""),FALSE)</f>
        <v>0</v>
      </c>
      <c r="R77" s="3"/>
      <c r="S77" s="3"/>
      <c r="T77" s="3" t="b">
        <f>IFERROR(__xludf.DUMMYFUNCTION("""COMPUTED_VALUE"""),FALSE)</f>
        <v>0</v>
      </c>
      <c r="U77" s="3" t="b">
        <f>IFERROR(__xludf.DUMMYFUNCTION("""COMPUTED_VALUE"""),TRUE)</f>
        <v>1</v>
      </c>
      <c r="V77" s="3" t="b">
        <f>IFERROR(__xludf.DUMMYFUNCTION("""COMPUTED_VALUE"""),FALSE)</f>
        <v>0</v>
      </c>
      <c r="W77" s="3" t="str">
        <f>IFERROR(__xludf.DUMMYFUNCTION("""COMPUTED_VALUE"""),"Delivery")</f>
        <v>Delivery</v>
      </c>
      <c r="X77" s="3"/>
      <c r="Y77" s="3"/>
      <c r="Z77" s="3" t="str">
        <f>IFERROR(__xludf.DUMMYFUNCTION("""COMPUTED_VALUE"""),"Enterprise Digital Transformation - CM &amp; IPS")</f>
        <v>Enterprise Digital Transformation - CM &amp; IPS</v>
      </c>
      <c r="AA77" s="3" t="b">
        <f>IFERROR(__xludf.DUMMYFUNCTION("""COMPUTED_VALUE"""),FALSE)</f>
        <v>0</v>
      </c>
    </row>
    <row r="78">
      <c r="A78" s="11">
        <f>IFERROR(__xludf.DUMMYFUNCTION("""COMPUTED_VALUE"""),1.00662113E8)</f>
        <v>100662113</v>
      </c>
      <c r="B78" s="3" t="str">
        <f>IFERROR(__xludf.DUMMYFUNCTION("""COMPUTED_VALUE"""),"Breck Marshall")</f>
        <v>Breck Marshall</v>
      </c>
      <c r="C78" s="3" t="str">
        <f>IFERROR(__xludf.DUMMYFUNCTION("""COMPUTED_VALUE"""),"Breck T Marshall")</f>
        <v>Breck T Marshall</v>
      </c>
      <c r="D78" s="3" t="str">
        <f>IFERROR(__xludf.DUMMYFUNCTION("""COMPUTED_VALUE"""),"Marshall, Breck T")</f>
        <v>Marshall, Breck T</v>
      </c>
      <c r="E78" s="3" t="str">
        <f>IFERROR(__xludf.DUMMYFUNCTION("""COMPUTED_VALUE"""),"Active")</f>
        <v>Active</v>
      </c>
      <c r="F78" s="3" t="str">
        <f>IFERROR(__xludf.DUMMYFUNCTION("""COMPUTED_VALUE"""),"breck.t.marshall@pwc.com")</f>
        <v>breck.t.marshall@pwc.com</v>
      </c>
      <c r="G78" s="3" t="str">
        <f>IFERROR(__xludf.DUMMYFUNCTION("""COMPUTED_VALUE"""),"Workforce")</f>
        <v>Workforce</v>
      </c>
      <c r="H78" s="3" t="str">
        <f>IFERROR(__xludf.DUMMYFUNCTION("""COMPUTED_VALUE"""),"Health Services")</f>
        <v>Health Services</v>
      </c>
      <c r="I78" s="3" t="str">
        <f>IFERROR(__xludf.DUMMYFUNCTION("""COMPUTED_VALUE"""),"Workforce - Talent, Change &amp; Behaviors")</f>
        <v>Workforce - Talent, Change &amp; Behaviors</v>
      </c>
      <c r="J78" s="3" t="str">
        <f>IFERROR(__xludf.DUMMYFUNCTION("""COMPUTED_VALUE"""),"Partner")</f>
        <v>Partner</v>
      </c>
      <c r="K78" s="12">
        <f>IFERROR(__xludf.DUMMYFUNCTION("""COMPUTED_VALUE"""),42625.0)</f>
        <v>42625</v>
      </c>
      <c r="L78" s="3" t="str">
        <f>IFERROR(__xludf.DUMMYFUNCTION("""COMPUTED_VALUE"""),"Chicago")</f>
        <v>Chicago</v>
      </c>
      <c r="M78" s="3" t="str">
        <f>IFERROR(__xludf.DUMMYFUNCTION("""COMPUTED_VALUE"""),"Chicago - One North Wacker Drive")</f>
        <v>Chicago - One North Wacker Drive</v>
      </c>
      <c r="N78" s="3" t="b">
        <f>IFERROR(__xludf.DUMMYFUNCTION("""COMPUTED_VALUE"""),FALSE)</f>
        <v>0</v>
      </c>
      <c r="O78" s="3" t="str">
        <f>IFERROR(__xludf.DUMMYFUNCTION("""COMPUTED_VALUE"""),"craig.odonnell@pwc.com")</f>
        <v>craig.odonnell@pwc.com</v>
      </c>
      <c r="P78" s="3" t="str">
        <f>IFERROR(__xludf.DUMMYFUNCTION("""COMPUTED_VALUE"""),"No")</f>
        <v>No</v>
      </c>
      <c r="Q78" s="3" t="b">
        <f>IFERROR(__xludf.DUMMYFUNCTION("""COMPUTED_VALUE"""),FALSE)</f>
        <v>0</v>
      </c>
      <c r="R78" s="3"/>
      <c r="S78" s="3"/>
      <c r="T78" s="3" t="b">
        <f>IFERROR(__xludf.DUMMYFUNCTION("""COMPUTED_VALUE"""),FALSE)</f>
        <v>0</v>
      </c>
      <c r="U78" s="3" t="b">
        <f>IFERROR(__xludf.DUMMYFUNCTION("""COMPUTED_VALUE"""),FALSE)</f>
        <v>0</v>
      </c>
      <c r="V78" s="3" t="b">
        <f>IFERROR(__xludf.DUMMYFUNCTION("""COMPUTED_VALUE"""),FALSE)</f>
        <v>0</v>
      </c>
      <c r="W78" s="3" t="str">
        <f>IFERROR(__xludf.DUMMYFUNCTION("""COMPUTED_VALUE"""),"#N/A")</f>
        <v>#N/A</v>
      </c>
      <c r="X78" s="3" t="str">
        <f>IFERROR(__xludf.DUMMYFUNCTION("""COMPUTED_VALUE"""),"#N/A")</f>
        <v>#N/A</v>
      </c>
      <c r="Y78" s="3" t="str">
        <f>IFERROR(__xludf.DUMMYFUNCTION("""COMPUTED_VALUE"""),"#N/A")</f>
        <v>#N/A</v>
      </c>
      <c r="Z78" s="3" t="str">
        <f>IFERROR(__xludf.DUMMYFUNCTION("""COMPUTED_VALUE"""),"Unknown")</f>
        <v>Unknown</v>
      </c>
      <c r="AA78" s="3" t="b">
        <f>IFERROR(__xludf.DUMMYFUNCTION("""COMPUTED_VALUE"""),FALSE)</f>
        <v>0</v>
      </c>
    </row>
    <row r="79">
      <c r="A79" s="11">
        <f>IFERROR(__xludf.DUMMYFUNCTION("""COMPUTED_VALUE"""),1.01237665E8)</f>
        <v>101237665</v>
      </c>
      <c r="B79" s="3" t="str">
        <f>IFERROR(__xludf.DUMMYFUNCTION("""COMPUTED_VALUE"""),"Brendan Klein")</f>
        <v>Brendan Klein</v>
      </c>
      <c r="C79" s="3" t="str">
        <f>IFERROR(__xludf.DUMMYFUNCTION("""COMPUTED_VALUE"""),"Brendan Klein")</f>
        <v>Brendan Klein</v>
      </c>
      <c r="D79" s="3" t="str">
        <f>IFERROR(__xludf.DUMMYFUNCTION("""COMPUTED_VALUE"""),"Klein, Brendan")</f>
        <v>Klein, Brendan</v>
      </c>
      <c r="E79" s="3" t="str">
        <f>IFERROR(__xludf.DUMMYFUNCTION("""COMPUTED_VALUE"""),"Active")</f>
        <v>Active</v>
      </c>
      <c r="F79" s="3" t="str">
        <f>IFERROR(__xludf.DUMMYFUNCTION("""COMPUTED_VALUE"""),"brendan.klein@pwc.com")</f>
        <v>brendan.klein@pwc.com</v>
      </c>
      <c r="G79" s="3" t="str">
        <f>IFERROR(__xludf.DUMMYFUNCTION("""COMPUTED_VALUE"""),"Customer")</f>
        <v>Customer</v>
      </c>
      <c r="H79" s="3" t="str">
        <f>IFERROR(__xludf.DUMMYFUNCTION("""COMPUTED_VALUE"""),"TMT X-Sector")</f>
        <v>TMT X-Sector</v>
      </c>
      <c r="I79" s="3" t="str">
        <f>IFERROR(__xludf.DUMMYFUNCTION("""COMPUTED_VALUE"""),"Unknown")</f>
        <v>Unknown</v>
      </c>
      <c r="J79" s="3" t="str">
        <f>IFERROR(__xludf.DUMMYFUNCTION("""COMPUTED_VALUE"""),"Partner")</f>
        <v>Partner</v>
      </c>
      <c r="K79" s="12">
        <f>IFERROR(__xludf.DUMMYFUNCTION("""COMPUTED_VALUE"""),44699.0)</f>
        <v>44699</v>
      </c>
      <c r="L79" s="3" t="str">
        <f>IFERROR(__xludf.DUMMYFUNCTION("""COMPUTED_VALUE"""),"Denver")</f>
        <v>Denver</v>
      </c>
      <c r="M79" s="3" t="str">
        <f>IFERROR(__xludf.DUMMYFUNCTION("""COMPUTED_VALUE"""),"Unknown")</f>
        <v>Unknown</v>
      </c>
      <c r="N79" s="3" t="str">
        <f>IFERROR(__xludf.DUMMYFUNCTION("""COMPUTED_VALUE"""),"Unknown")</f>
        <v>Unknown</v>
      </c>
      <c r="O79" s="3" t="str">
        <f>IFERROR(__xludf.DUMMYFUNCTION("""COMPUTED_VALUE"""),"Unknown")</f>
        <v>Unknown</v>
      </c>
      <c r="P79" s="3" t="str">
        <f>IFERROR(__xludf.DUMMYFUNCTION("""COMPUTED_VALUE"""),"FY22")</f>
        <v>FY22</v>
      </c>
      <c r="Q79" s="3" t="str">
        <f>IFERROR(__xludf.DUMMYFUNCTION("""COMPUTED_VALUE"""),"Unknown")</f>
        <v>Unknown</v>
      </c>
      <c r="R79" s="3" t="str">
        <f>IFERROR(__xludf.DUMMYFUNCTION("""COMPUTED_VALUE"""),"Unknown")</f>
        <v>Unknown</v>
      </c>
      <c r="S79" s="3"/>
      <c r="T79" s="3" t="str">
        <f>IFERROR(__xludf.DUMMYFUNCTION("""COMPUTED_VALUE"""),"Unknown")</f>
        <v>Unknown</v>
      </c>
      <c r="U79" s="3" t="str">
        <f>IFERROR(__xludf.DUMMYFUNCTION("""COMPUTED_VALUE"""),"Unknown")</f>
        <v>Unknown</v>
      </c>
      <c r="V79" s="3" t="str">
        <f>IFERROR(__xludf.DUMMYFUNCTION("""COMPUTED_VALUE"""),"Unknown")</f>
        <v>Unknown</v>
      </c>
      <c r="W79" s="3" t="str">
        <f>IFERROR(__xludf.DUMMYFUNCTION("""COMPUTED_VALUE"""),"Catalyst")</f>
        <v>Catalyst</v>
      </c>
      <c r="X79" s="3" t="str">
        <f>IFERROR(__xludf.DUMMYFUNCTION("""COMPUTED_VALUE"""),"Unknown")</f>
        <v>Unknown</v>
      </c>
      <c r="Y79" s="3" t="str">
        <f>IFERROR(__xludf.DUMMYFUNCTION("""COMPUTED_VALUE"""),"Unknown")</f>
        <v>Unknown</v>
      </c>
      <c r="Z79" s="3" t="str">
        <f>IFERROR(__xludf.DUMMYFUNCTION("""COMPUTED_VALUE"""),"Unknown")</f>
        <v>Unknown</v>
      </c>
      <c r="AA79" s="3" t="str">
        <f>IFERROR(__xludf.DUMMYFUNCTION("""COMPUTED_VALUE"""),"Unknown")</f>
        <v>Unknown</v>
      </c>
    </row>
    <row r="80">
      <c r="A80" s="11">
        <f>IFERROR(__xludf.DUMMYFUNCTION("""COMPUTED_VALUE"""),1.00584558E8)</f>
        <v>100584558</v>
      </c>
      <c r="B80" s="3" t="str">
        <f>IFERROR(__xludf.DUMMYFUNCTION("""COMPUTED_VALUE"""),"Brett Cayot")</f>
        <v>Brett Cayot</v>
      </c>
      <c r="C80" s="3" t="str">
        <f>IFERROR(__xludf.DUMMYFUNCTION("""COMPUTED_VALUE"""),"Brett E Cayot")</f>
        <v>Brett E Cayot</v>
      </c>
      <c r="D80" s="3" t="str">
        <f>IFERROR(__xludf.DUMMYFUNCTION("""COMPUTED_VALUE"""),"Cayot, Brett E")</f>
        <v>Cayot, Brett E</v>
      </c>
      <c r="E80" s="3" t="str">
        <f>IFERROR(__xludf.DUMMYFUNCTION("""COMPUTED_VALUE"""),"Active")</f>
        <v>Active</v>
      </c>
      <c r="F80" s="3" t="str">
        <f>IFERROR(__xludf.DUMMYFUNCTION("""COMPUTED_VALUE"""),"brett.e.cayot@pwc.com")</f>
        <v>brett.e.cayot@pwc.com</v>
      </c>
      <c r="G80" s="3" t="str">
        <f>IFERROR(__xludf.DUMMYFUNCTION("""COMPUTED_VALUE"""),"Ops")</f>
        <v>Ops</v>
      </c>
      <c r="H80" s="3" t="str">
        <f>IFERROR(__xludf.DUMMYFUNCTION("""COMPUTED_VALUE"""),"Manufacturing")</f>
        <v>Manufacturing</v>
      </c>
      <c r="I80" s="3" t="str">
        <f>IFERROR(__xludf.DUMMYFUNCTION("""COMPUTED_VALUE"""),"Ops - Connected Supply Chain (CSC)")</f>
        <v>Ops - Connected Supply Chain (CSC)</v>
      </c>
      <c r="J80" s="3" t="str">
        <f>IFERROR(__xludf.DUMMYFUNCTION("""COMPUTED_VALUE"""),"Partner")</f>
        <v>Partner</v>
      </c>
      <c r="K80" s="12">
        <f>IFERROR(__xludf.DUMMYFUNCTION("""COMPUTED_VALUE"""),40777.0)</f>
        <v>40777</v>
      </c>
      <c r="L80" s="3" t="str">
        <f>IFERROR(__xludf.DUMMYFUNCTION("""COMPUTED_VALUE"""),"Denver")</f>
        <v>Denver</v>
      </c>
      <c r="M80" s="3" t="str">
        <f>IFERROR(__xludf.DUMMYFUNCTION("""COMPUTED_VALUE"""),"Denver - 1900 Sixteenth Street")</f>
        <v>Denver - 1900 Sixteenth Street</v>
      </c>
      <c r="N80" s="3" t="b">
        <f>IFERROR(__xludf.DUMMYFUNCTION("""COMPUTED_VALUE"""),FALSE)</f>
        <v>0</v>
      </c>
      <c r="O80" s="3" t="str">
        <f>IFERROR(__xludf.DUMMYFUNCTION("""COMPUTED_VALUE"""),"matthew.r.comte@pwc.com")</f>
        <v>matthew.r.comte@pwc.com</v>
      </c>
      <c r="P80" s="3" t="str">
        <f>IFERROR(__xludf.DUMMYFUNCTION("""COMPUTED_VALUE"""),"No")</f>
        <v>No</v>
      </c>
      <c r="Q80" s="3" t="b">
        <f>IFERROR(__xludf.DUMMYFUNCTION("""COMPUTED_VALUE"""),FALSE)</f>
        <v>0</v>
      </c>
      <c r="R80" s="3"/>
      <c r="S80" s="3"/>
      <c r="T80" s="3" t="b">
        <f>IFERROR(__xludf.DUMMYFUNCTION("""COMPUTED_VALUE"""),FALSE)</f>
        <v>0</v>
      </c>
      <c r="U80" s="3" t="b">
        <f>IFERROR(__xludf.DUMMYFUNCTION("""COMPUTED_VALUE"""),TRUE)</f>
        <v>1</v>
      </c>
      <c r="V80" s="3" t="b">
        <f>IFERROR(__xludf.DUMMYFUNCTION("""COMPUTED_VALUE"""),FALSE)</f>
        <v>0</v>
      </c>
      <c r="W80" s="3" t="str">
        <f>IFERROR(__xludf.DUMMYFUNCTION("""COMPUTED_VALUE"""),"Delivery")</f>
        <v>Delivery</v>
      </c>
      <c r="X80" s="3"/>
      <c r="Y80" s="3"/>
      <c r="Z80" s="3" t="str">
        <f>IFERROR(__xludf.DUMMYFUNCTION("""COMPUTED_VALUE"""),"IP + Technology Ops Transformation")</f>
        <v>IP + Technology Ops Transformation</v>
      </c>
      <c r="AA80" s="3" t="b">
        <f>IFERROR(__xludf.DUMMYFUNCTION("""COMPUTED_VALUE"""),FALSE)</f>
        <v>0</v>
      </c>
    </row>
    <row r="81">
      <c r="A81" s="11">
        <f>IFERROR(__xludf.DUMMYFUNCTION("""COMPUTED_VALUE"""),1.00659114E8)</f>
        <v>100659114</v>
      </c>
      <c r="B81" s="3" t="str">
        <f>IFERROR(__xludf.DUMMYFUNCTION("""COMPUTED_VALUE"""),"Brett Maher")</f>
        <v>Brett Maher</v>
      </c>
      <c r="C81" s="3" t="str">
        <f>IFERROR(__xludf.DUMMYFUNCTION("""COMPUTED_VALUE"""),"Brett R Maher")</f>
        <v>Brett R Maher</v>
      </c>
      <c r="D81" s="3" t="str">
        <f>IFERROR(__xludf.DUMMYFUNCTION("""COMPUTED_VALUE"""),"Maher, Brett R")</f>
        <v>Maher, Brett R</v>
      </c>
      <c r="E81" s="3" t="str">
        <f>IFERROR(__xludf.DUMMYFUNCTION("""COMPUTED_VALUE"""),"Active")</f>
        <v>Active</v>
      </c>
      <c r="F81" s="3" t="str">
        <f>IFERROR(__xludf.DUMMYFUNCTION("""COMPUTED_VALUE"""),"brett.r.maher@pwc.com")</f>
        <v>brett.r.maher@pwc.com</v>
      </c>
      <c r="G81" s="3" t="str">
        <f>IFERROR(__xludf.DUMMYFUNCTION("""COMPUTED_VALUE"""),"Finance")</f>
        <v>Finance</v>
      </c>
      <c r="H81" s="3" t="str">
        <f>IFERROR(__xludf.DUMMYFUNCTION("""COMPUTED_VALUE"""),"Insurance")</f>
        <v>Insurance</v>
      </c>
      <c r="I81" s="3" t="str">
        <f>IFERROR(__xludf.DUMMYFUNCTION("""COMPUTED_VALUE"""),"Finance - Finance Strategy / Op Model / Global Business Services / Talent")</f>
        <v>Finance - Finance Strategy / Op Model / Global Business Services / Talent</v>
      </c>
      <c r="J81" s="3" t="str">
        <f>IFERROR(__xludf.DUMMYFUNCTION("""COMPUTED_VALUE"""),"Partner")</f>
        <v>Partner</v>
      </c>
      <c r="K81" s="12">
        <f>IFERROR(__xludf.DUMMYFUNCTION("""COMPUTED_VALUE"""),38566.0)</f>
        <v>38566</v>
      </c>
      <c r="L81" s="3" t="str">
        <f>IFERROR(__xludf.DUMMYFUNCTION("""COMPUTED_VALUE"""),"Chicago")</f>
        <v>Chicago</v>
      </c>
      <c r="M81" s="3" t="str">
        <f>IFERROR(__xludf.DUMMYFUNCTION("""COMPUTED_VALUE"""),"Chicago - One North Wacker Drive")</f>
        <v>Chicago - One North Wacker Drive</v>
      </c>
      <c r="N81" s="3" t="b">
        <f>IFERROR(__xludf.DUMMYFUNCTION("""COMPUTED_VALUE"""),TRUE)</f>
        <v>1</v>
      </c>
      <c r="O81" s="3" t="str">
        <f>IFERROR(__xludf.DUMMYFUNCTION("""COMPUTED_VALUE"""),"kurtis.babczenko@pwc.com")</f>
        <v>kurtis.babczenko@pwc.com</v>
      </c>
      <c r="P81" s="3" t="str">
        <f>IFERROR(__xludf.DUMMYFUNCTION("""COMPUTED_VALUE"""),"No")</f>
        <v>No</v>
      </c>
      <c r="Q81" s="3" t="b">
        <f>IFERROR(__xludf.DUMMYFUNCTION("""COMPUTED_VALUE"""),FALSE)</f>
        <v>0</v>
      </c>
      <c r="R81" s="3"/>
      <c r="S81" s="3"/>
      <c r="T81" s="3" t="b">
        <f>IFERROR(__xludf.DUMMYFUNCTION("""COMPUTED_VALUE"""),FALSE)</f>
        <v>0</v>
      </c>
      <c r="U81" s="3" t="b">
        <f>IFERROR(__xludf.DUMMYFUNCTION("""COMPUTED_VALUE"""),TRUE)</f>
        <v>1</v>
      </c>
      <c r="V81" s="3" t="b">
        <f>IFERROR(__xludf.DUMMYFUNCTION("""COMPUTED_VALUE"""),FALSE)</f>
        <v>0</v>
      </c>
      <c r="W81" s="3" t="str">
        <f>IFERROR(__xludf.DUMMYFUNCTION("""COMPUTED_VALUE"""),"Delivery")</f>
        <v>Delivery</v>
      </c>
      <c r="X81" s="3"/>
      <c r="Y81" s="3"/>
      <c r="Z81" s="3" t="str">
        <f>IFERROR(__xludf.DUMMYFUNCTION("""COMPUTED_VALUE"""),"Finance Transformation - Insurance")</f>
        <v>Finance Transformation - Insurance</v>
      </c>
      <c r="AA81" s="3" t="b">
        <f>IFERROR(__xludf.DUMMYFUNCTION("""COMPUTED_VALUE"""),TRUE)</f>
        <v>1</v>
      </c>
    </row>
    <row r="82">
      <c r="A82" s="11">
        <f>IFERROR(__xludf.DUMMYFUNCTION("""COMPUTED_VALUE"""),1.00657929E8)</f>
        <v>100657929</v>
      </c>
      <c r="B82" s="3" t="str">
        <f>IFERROR(__xludf.DUMMYFUNCTION("""COMPUTED_VALUE"""),"Brian Decker")</f>
        <v>Brian Decker</v>
      </c>
      <c r="C82" s="3" t="str">
        <f>IFERROR(__xludf.DUMMYFUNCTION("""COMPUTED_VALUE"""),"Brian D Decker")</f>
        <v>Brian D Decker</v>
      </c>
      <c r="D82" s="3" t="str">
        <f>IFERROR(__xludf.DUMMYFUNCTION("""COMPUTED_VALUE"""),"Decker, Brian D")</f>
        <v>Decker, Brian D</v>
      </c>
      <c r="E82" s="3" t="str">
        <f>IFERROR(__xludf.DUMMYFUNCTION("""COMPUTED_VALUE"""),"Active")</f>
        <v>Active</v>
      </c>
      <c r="F82" s="3" t="str">
        <f>IFERROR(__xludf.DUMMYFUNCTION("""COMPUTED_VALUE"""),"brian.d.decker@pwc.com")</f>
        <v>brian.d.decker@pwc.com</v>
      </c>
      <c r="G82" s="3" t="str">
        <f>IFERROR(__xludf.DUMMYFUNCTION("""COMPUTED_VALUE"""),"Finance")</f>
        <v>Finance</v>
      </c>
      <c r="H82" s="3" t="str">
        <f>IFERROR(__xludf.DUMMYFUNCTION("""COMPUTED_VALUE"""),"Automotive")</f>
        <v>Automotive</v>
      </c>
      <c r="I82" s="3" t="str">
        <f>IFERROR(__xludf.DUMMYFUNCTION("""COMPUTED_VALUE"""),"Finance - Financial Operations")</f>
        <v>Finance - Financial Operations</v>
      </c>
      <c r="J82" s="3" t="str">
        <f>IFERROR(__xludf.DUMMYFUNCTION("""COMPUTED_VALUE"""),"Partner")</f>
        <v>Partner</v>
      </c>
      <c r="K82" s="12">
        <f>IFERROR(__xludf.DUMMYFUNCTION("""COMPUTED_VALUE"""),31964.0)</f>
        <v>31964</v>
      </c>
      <c r="L82" s="3" t="str">
        <f>IFERROR(__xludf.DUMMYFUNCTION("""COMPUTED_VALUE"""),"Detroit")</f>
        <v>Detroit</v>
      </c>
      <c r="M82" s="3" t="str">
        <f>IFERROR(__xludf.DUMMYFUNCTION("""COMPUTED_VALUE"""),"Detroit - 500 Woodward Avenue")</f>
        <v>Detroit - 500 Woodward Avenue</v>
      </c>
      <c r="N82" s="3" t="b">
        <f>IFERROR(__xludf.DUMMYFUNCTION("""COMPUTED_VALUE"""),FALSE)</f>
        <v>0</v>
      </c>
      <c r="O82" s="3" t="str">
        <f>IFERROR(__xludf.DUMMYFUNCTION("""COMPUTED_VALUE"""),"kurtis.babczenko@pwc.com")</f>
        <v>kurtis.babczenko@pwc.com</v>
      </c>
      <c r="P82" s="3" t="str">
        <f>IFERROR(__xludf.DUMMYFUNCTION("""COMPUTED_VALUE"""),"No")</f>
        <v>No</v>
      </c>
      <c r="Q82" s="3" t="b">
        <f>IFERROR(__xludf.DUMMYFUNCTION("""COMPUTED_VALUE"""),TRUE)</f>
        <v>1</v>
      </c>
      <c r="R82" s="3" t="str">
        <f>IFERROR(__xludf.DUMMYFUNCTION("""COMPUTED_VALUE"""),"LCP Low")</f>
        <v>LCP Low</v>
      </c>
      <c r="S82" s="3"/>
      <c r="T82" s="3" t="b">
        <f>IFERROR(__xludf.DUMMYFUNCTION("""COMPUTED_VALUE"""),FALSE)</f>
        <v>0</v>
      </c>
      <c r="U82" s="3" t="b">
        <f>IFERROR(__xludf.DUMMYFUNCTION("""COMPUTED_VALUE"""),FALSE)</f>
        <v>0</v>
      </c>
      <c r="V82" s="3" t="b">
        <f>IFERROR(__xludf.DUMMYFUNCTION("""COMPUTED_VALUE"""),FALSE)</f>
        <v>0</v>
      </c>
      <c r="W82" s="3" t="str">
        <f>IFERROR(__xludf.DUMMYFUNCTION("""COMPUTED_VALUE"""),"LCP")</f>
        <v>LCP</v>
      </c>
      <c r="X82" s="3"/>
      <c r="Y82" s="3" t="str">
        <f>IFERROR(__xludf.DUMMYFUNCTION("""COMPUTED_VALUE"""),"GEP - Low")</f>
        <v>GEP - Low</v>
      </c>
      <c r="Z82" s="3" t="str">
        <f>IFERROR(__xludf.DUMMYFUNCTION("""COMPUTED_VALUE"""),"Finance Transformation IPS - IP")</f>
        <v>Finance Transformation IPS - IP</v>
      </c>
      <c r="AA82" s="3" t="b">
        <f>IFERROR(__xludf.DUMMYFUNCTION("""COMPUTED_VALUE"""),FALSE)</f>
        <v>0</v>
      </c>
    </row>
    <row r="83">
      <c r="A83" s="11">
        <f>IFERROR(__xludf.DUMMYFUNCTION("""COMPUTED_VALUE"""),1.00628223E8)</f>
        <v>100628223</v>
      </c>
      <c r="B83" s="3" t="str">
        <f>IFERROR(__xludf.DUMMYFUNCTION("""COMPUTED_VALUE"""),"Brian Gibson")</f>
        <v>Brian Gibson</v>
      </c>
      <c r="C83" s="3" t="str">
        <f>IFERROR(__xludf.DUMMYFUNCTION("""COMPUTED_VALUE"""),"Brian J Gibson")</f>
        <v>Brian J Gibson</v>
      </c>
      <c r="D83" s="3" t="str">
        <f>IFERROR(__xludf.DUMMYFUNCTION("""COMPUTED_VALUE"""),"Gibson, Brian J")</f>
        <v>Gibson, Brian J</v>
      </c>
      <c r="E83" s="3" t="str">
        <f>IFERROR(__xludf.DUMMYFUNCTION("""COMPUTED_VALUE"""),"Active")</f>
        <v>Active</v>
      </c>
      <c r="F83" s="3" t="str">
        <f>IFERROR(__xludf.DUMMYFUNCTION("""COMPUTED_VALUE"""),"brian.j.gibson@pwc.com")</f>
        <v>brian.j.gibson@pwc.com</v>
      </c>
      <c r="G83" s="3" t="str">
        <f>IFERROR(__xludf.DUMMYFUNCTION("""COMPUTED_VALUE"""),"Finance")</f>
        <v>Finance</v>
      </c>
      <c r="H83" s="3" t="str">
        <f>IFERROR(__xludf.DUMMYFUNCTION("""COMPUTED_VALUE"""),"IMA X-Sector")</f>
        <v>IMA X-Sector</v>
      </c>
      <c r="I83" s="3" t="str">
        <f>IFERROR(__xludf.DUMMYFUNCTION("""COMPUTED_VALUE"""),"Finance - Enterprise Performance Management")</f>
        <v>Finance - Enterprise Performance Management</v>
      </c>
      <c r="J83" s="3" t="str">
        <f>IFERROR(__xludf.DUMMYFUNCTION("""COMPUTED_VALUE"""),"Managing Director")</f>
        <v>Managing Director</v>
      </c>
      <c r="K83" s="12">
        <f>IFERROR(__xludf.DUMMYFUNCTION("""COMPUTED_VALUE"""),41932.0)</f>
        <v>41932</v>
      </c>
      <c r="L83" s="3" t="str">
        <f>IFERROR(__xludf.DUMMYFUNCTION("""COMPUTED_VALUE"""),"Dallas")</f>
        <v>Dallas</v>
      </c>
      <c r="M83" s="3" t="str">
        <f>IFERROR(__xludf.DUMMYFUNCTION("""COMPUTED_VALUE"""),"Dallas - 2121 North Pearl Street")</f>
        <v>Dallas - 2121 North Pearl Street</v>
      </c>
      <c r="N83" s="3" t="b">
        <f>IFERROR(__xludf.DUMMYFUNCTION("""COMPUTED_VALUE"""),FALSE)</f>
        <v>0</v>
      </c>
      <c r="O83" s="3" t="str">
        <f>IFERROR(__xludf.DUMMYFUNCTION("""COMPUTED_VALUE"""),"reagan.b.strey@pwc.com")</f>
        <v>reagan.b.strey@pwc.com</v>
      </c>
      <c r="P83" s="3" t="str">
        <f>IFERROR(__xludf.DUMMYFUNCTION("""COMPUTED_VALUE"""),"No")</f>
        <v>No</v>
      </c>
      <c r="Q83" s="3" t="b">
        <f>IFERROR(__xludf.DUMMYFUNCTION("""COMPUTED_VALUE"""),FALSE)</f>
        <v>0</v>
      </c>
      <c r="R83" s="3"/>
      <c r="S83" s="3"/>
      <c r="T83" s="3" t="b">
        <f>IFERROR(__xludf.DUMMYFUNCTION("""COMPUTED_VALUE"""),FALSE)</f>
        <v>0</v>
      </c>
      <c r="U83" s="3" t="b">
        <f>IFERROR(__xludf.DUMMYFUNCTION("""COMPUTED_VALUE"""),TRUE)</f>
        <v>1</v>
      </c>
      <c r="V83" s="3" t="b">
        <f>IFERROR(__xludf.DUMMYFUNCTION("""COMPUTED_VALUE"""),FALSE)</f>
        <v>0</v>
      </c>
      <c r="W83" s="3" t="str">
        <f>IFERROR(__xludf.DUMMYFUNCTION("""COMPUTED_VALUE"""),"Delivery")</f>
        <v>Delivery</v>
      </c>
      <c r="X83" s="3"/>
      <c r="Y83" s="3"/>
      <c r="Z83" s="3" t="str">
        <f>IFERROR(__xludf.DUMMYFUNCTION("""COMPUTED_VALUE"""),"Finance Transformation IPS - IP")</f>
        <v>Finance Transformation IPS - IP</v>
      </c>
      <c r="AA83" s="3" t="b">
        <f>IFERROR(__xludf.DUMMYFUNCTION("""COMPUTED_VALUE"""),FALSE)</f>
        <v>0</v>
      </c>
    </row>
    <row r="84">
      <c r="A84" s="11">
        <f>IFERROR(__xludf.DUMMYFUNCTION("""COMPUTED_VALUE"""),1.01213659E8)</f>
        <v>101213659</v>
      </c>
      <c r="B84" s="3" t="str">
        <f>IFERROR(__xludf.DUMMYFUNCTION("""COMPUTED_VALUE"""),"Brian Henry")</f>
        <v>Brian Henry</v>
      </c>
      <c r="C84" s="3" t="str">
        <f>IFERROR(__xludf.DUMMYFUNCTION("""COMPUTED_VALUE"""),"Brian John Henry")</f>
        <v>Brian John Henry</v>
      </c>
      <c r="D84" s="3" t="str">
        <f>IFERROR(__xludf.DUMMYFUNCTION("""COMPUTED_VALUE"""),"Henry, Brian John")</f>
        <v>Henry, Brian John</v>
      </c>
      <c r="E84" s="3" t="str">
        <f>IFERROR(__xludf.DUMMYFUNCTION("""COMPUTED_VALUE"""),"Active")</f>
        <v>Active</v>
      </c>
      <c r="F84" s="3" t="str">
        <f>IFERROR(__xludf.DUMMYFUNCTION("""COMPUTED_VALUE"""),"brian.j.henry@pwc.com")</f>
        <v>brian.j.henry@pwc.com</v>
      </c>
      <c r="G84" s="3" t="str">
        <f>IFERROR(__xludf.DUMMYFUNCTION("""COMPUTED_VALUE"""),"ESV")</f>
        <v>ESV</v>
      </c>
      <c r="H84" s="3" t="str">
        <f>IFERROR(__xludf.DUMMYFUNCTION("""COMPUTED_VALUE"""),"Not Applicable")</f>
        <v>Not Applicable</v>
      </c>
      <c r="I84" s="3" t="str">
        <f>IFERROR(__xludf.DUMMYFUNCTION("""COMPUTED_VALUE"""),"ESV - ESG")</f>
        <v>ESV - ESG</v>
      </c>
      <c r="J84" s="3" t="str">
        <f>IFERROR(__xludf.DUMMYFUNCTION("""COMPUTED_VALUE"""),"Managing Director")</f>
        <v>Managing Director</v>
      </c>
      <c r="K84" s="12">
        <f>IFERROR(__xludf.DUMMYFUNCTION("""COMPUTED_VALUE"""),44641.0)</f>
        <v>44641</v>
      </c>
      <c r="L84" s="3" t="str">
        <f>IFERROR(__xludf.DUMMYFUNCTION("""COMPUTED_VALUE"""),"Houston")</f>
        <v>Houston</v>
      </c>
      <c r="M84" s="3" t="str">
        <f>IFERROR(__xludf.DUMMYFUNCTION("""COMPUTED_VALUE"""),"Houston - 1000 Louisiana Street")</f>
        <v>Houston - 1000 Louisiana Street</v>
      </c>
      <c r="N84" s="3" t="b">
        <f>IFERROR(__xludf.DUMMYFUNCTION("""COMPUTED_VALUE"""),FALSE)</f>
        <v>0</v>
      </c>
      <c r="O84" s="3" t="str">
        <f>IFERROR(__xludf.DUMMYFUNCTION("""COMPUTED_VALUE"""),"sammy.lakshmanan@pwc.com")</f>
        <v>sammy.lakshmanan@pwc.com</v>
      </c>
      <c r="P84" s="3" t="str">
        <f>IFERROR(__xludf.DUMMYFUNCTION("""COMPUTED_VALUE"""),"FY22")</f>
        <v>FY22</v>
      </c>
      <c r="Q84" s="3" t="b">
        <f>IFERROR(__xludf.DUMMYFUNCTION("""COMPUTED_VALUE"""),FALSE)</f>
        <v>0</v>
      </c>
      <c r="R84" s="3"/>
      <c r="S84" s="3"/>
      <c r="T84" s="3" t="b">
        <f>IFERROR(__xludf.DUMMYFUNCTION("""COMPUTED_VALUE"""),FALSE)</f>
        <v>0</v>
      </c>
      <c r="U84" s="3" t="b">
        <f>IFERROR(__xludf.DUMMYFUNCTION("""COMPUTED_VALUE"""),TRUE)</f>
        <v>1</v>
      </c>
      <c r="V84" s="3" t="b">
        <f>IFERROR(__xludf.DUMMYFUNCTION("""COMPUTED_VALUE"""),FALSE)</f>
        <v>0</v>
      </c>
      <c r="W84" s="3" t="str">
        <f>IFERROR(__xludf.DUMMYFUNCTION("""COMPUTED_VALUE"""),"Catalyst")</f>
        <v>Catalyst</v>
      </c>
      <c r="X84" s="3"/>
      <c r="Y84" s="3" t="str">
        <f>IFERROR(__xludf.DUMMYFUNCTION("""COMPUTED_VALUE"""),"FY22")</f>
        <v>FY22</v>
      </c>
      <c r="Z84" s="3" t="str">
        <f>IFERROR(__xludf.DUMMYFUNCTION("""COMPUTED_VALUE"""),"")</f>
        <v/>
      </c>
      <c r="AA84" s="3" t="b">
        <f>IFERROR(__xludf.DUMMYFUNCTION("""COMPUTED_VALUE"""),FALSE)</f>
        <v>0</v>
      </c>
    </row>
    <row r="85">
      <c r="A85" s="11">
        <f>IFERROR(__xludf.DUMMYFUNCTION("""COMPUTED_VALUE"""),1.00642129E8)</f>
        <v>100642129</v>
      </c>
      <c r="B85" s="3" t="str">
        <f>IFERROR(__xludf.DUMMYFUNCTION("""COMPUTED_VALUE"""),"Brian Houck")</f>
        <v>Brian Houck</v>
      </c>
      <c r="C85" s="3" t="str">
        <f>IFERROR(__xludf.DUMMYFUNCTION("""COMPUTED_VALUE"""),"Brian Matthew Houck")</f>
        <v>Brian Matthew Houck</v>
      </c>
      <c r="D85" s="3" t="str">
        <f>IFERROR(__xludf.DUMMYFUNCTION("""COMPUTED_VALUE"""),"Houck, Brian Matthew")</f>
        <v>Houck, Brian Matthew</v>
      </c>
      <c r="E85" s="3" t="str">
        <f>IFERROR(__xludf.DUMMYFUNCTION("""COMPUTED_VALUE"""),"Active")</f>
        <v>Active</v>
      </c>
      <c r="F85" s="3" t="str">
        <f>IFERROR(__xludf.DUMMYFUNCTION("""COMPUTED_VALUE"""),"brian.m.houck@pwc.com")</f>
        <v>brian.m.houck@pwc.com</v>
      </c>
      <c r="G85" s="3" t="str">
        <f>IFERROR(__xludf.DUMMYFUNCTION("""COMPUTED_VALUE"""),"Ops")</f>
        <v>Ops</v>
      </c>
      <c r="H85" s="3" t="str">
        <f>IFERROR(__xludf.DUMMYFUNCTION("""COMPUTED_VALUE"""),"CM X-Sector")</f>
        <v>CM X-Sector</v>
      </c>
      <c r="I85" s="3" t="str">
        <f>IFERROR(__xludf.DUMMYFUNCTION("""COMPUTED_VALUE"""),"Ops - Connected Supply Chain (CSC)")</f>
        <v>Ops - Connected Supply Chain (CSC)</v>
      </c>
      <c r="J85" s="3" t="str">
        <f>IFERROR(__xludf.DUMMYFUNCTION("""COMPUTED_VALUE"""),"Partner")</f>
        <v>Partner</v>
      </c>
      <c r="K85" s="12">
        <f>IFERROR(__xludf.DUMMYFUNCTION("""COMPUTED_VALUE"""),40162.0)</f>
        <v>40162</v>
      </c>
      <c r="L85" s="3" t="str">
        <f>IFERROR(__xludf.DUMMYFUNCTION("""COMPUTED_VALUE"""),"Chicago")</f>
        <v>Chicago</v>
      </c>
      <c r="M85" s="3" t="str">
        <f>IFERROR(__xludf.DUMMYFUNCTION("""COMPUTED_VALUE"""),"Chicago - One North Wacker Drive")</f>
        <v>Chicago - One North Wacker Drive</v>
      </c>
      <c r="N85" s="3" t="b">
        <f>IFERROR(__xludf.DUMMYFUNCTION("""COMPUTED_VALUE"""),TRUE)</f>
        <v>1</v>
      </c>
      <c r="O85" s="3" t="str">
        <f>IFERROR(__xludf.DUMMYFUNCTION("""COMPUTED_VALUE"""),"matthew.r.comte@pwc.com")</f>
        <v>matthew.r.comte@pwc.com</v>
      </c>
      <c r="P85" s="3" t="str">
        <f>IFERROR(__xludf.DUMMYFUNCTION("""COMPUTED_VALUE"""),"No")</f>
        <v>No</v>
      </c>
      <c r="Q85" s="3" t="b">
        <f>IFERROR(__xludf.DUMMYFUNCTION("""COMPUTED_VALUE"""),FALSE)</f>
        <v>0</v>
      </c>
      <c r="R85" s="3"/>
      <c r="S85" s="3"/>
      <c r="T85" s="3" t="b">
        <f>IFERROR(__xludf.DUMMYFUNCTION("""COMPUTED_VALUE"""),FALSE)</f>
        <v>0</v>
      </c>
      <c r="U85" s="3" t="b">
        <f>IFERROR(__xludf.DUMMYFUNCTION("""COMPUTED_VALUE"""),TRUE)</f>
        <v>1</v>
      </c>
      <c r="V85" s="3" t="b">
        <f>IFERROR(__xludf.DUMMYFUNCTION("""COMPUTED_VALUE"""),FALSE)</f>
        <v>0</v>
      </c>
      <c r="W85" s="3" t="str">
        <f>IFERROR(__xludf.DUMMYFUNCTION("""COMPUTED_VALUE"""),"Delivery")</f>
        <v>Delivery</v>
      </c>
      <c r="X85" s="3"/>
      <c r="Y85" s="3"/>
      <c r="Z85" s="3" t="str">
        <f>IFERROR(__xludf.DUMMYFUNCTION("""COMPUTED_VALUE"""),"CM Ops Transformation")</f>
        <v>CM Ops Transformation</v>
      </c>
      <c r="AA85" s="3" t="b">
        <f>IFERROR(__xludf.DUMMYFUNCTION("""COMPUTED_VALUE"""),FALSE)</f>
        <v>0</v>
      </c>
    </row>
    <row r="86">
      <c r="A86" s="3">
        <f>IFERROR(__xludf.DUMMYFUNCTION("""COMPUTED_VALUE"""),1.0058798E8)</f>
        <v>100587980</v>
      </c>
      <c r="B86" s="3" t="str">
        <f>IFERROR(__xludf.DUMMYFUNCTION("""COMPUTED_VALUE"""),"Brian Hurleigh")</f>
        <v>Brian Hurleigh</v>
      </c>
      <c r="C86" s="3" t="str">
        <f>IFERROR(__xludf.DUMMYFUNCTION("""COMPUTED_VALUE"""),"Brian  Hurleigh")</f>
        <v>Brian  Hurleigh</v>
      </c>
      <c r="D86" s="3" t="str">
        <f>IFERROR(__xludf.DUMMYFUNCTION("""COMPUTED_VALUE"""),"Hurleigh, Brian")</f>
        <v>Hurleigh, Brian</v>
      </c>
      <c r="E86" s="3" t="str">
        <f>IFERROR(__xludf.DUMMYFUNCTION("""COMPUTED_VALUE"""),"Active")</f>
        <v>Active</v>
      </c>
      <c r="F86" s="3" t="str">
        <f>IFERROR(__xludf.DUMMYFUNCTION("""COMPUTED_VALUE"""),"brian.hurleigh@pwc.com")</f>
        <v>brian.hurleigh@pwc.com</v>
      </c>
      <c r="G86" s="3" t="str">
        <f>IFERROR(__xludf.DUMMYFUNCTION("""COMPUTED_VALUE"""),"Workforce")</f>
        <v>Workforce</v>
      </c>
      <c r="H86" s="3" t="str">
        <f>IFERROR(__xludf.DUMMYFUNCTION("""COMPUTED_VALUE"""),"Health Services")</f>
        <v>Health Services</v>
      </c>
      <c r="I86" s="3" t="str">
        <f>IFERROR(__xludf.DUMMYFUNCTION("""COMPUTED_VALUE"""),"Workforce - Rewards &amp; Well Being")</f>
        <v>Workforce - Rewards &amp; Well Being</v>
      </c>
      <c r="J86" s="3" t="str">
        <f>IFERROR(__xludf.DUMMYFUNCTION("""COMPUTED_VALUE"""),"Partner")</f>
        <v>Partner</v>
      </c>
      <c r="K86" s="12">
        <f>IFERROR(__xludf.DUMMYFUNCTION("""COMPUTED_VALUE"""),42184.0)</f>
        <v>42184</v>
      </c>
      <c r="L86" s="3" t="str">
        <f>IFERROR(__xludf.DUMMYFUNCTION("""COMPUTED_VALUE"""),"New York")</f>
        <v>New York</v>
      </c>
      <c r="M86" s="3" t="str">
        <f>IFERROR(__xludf.DUMMYFUNCTION("""COMPUTED_VALUE"""),"New York - 300 Madison Avenue")</f>
        <v>New York - 300 Madison Avenue</v>
      </c>
      <c r="N86" s="3" t="b">
        <f>IFERROR(__xludf.DUMMYFUNCTION("""COMPUTED_VALUE"""),FALSE)</f>
        <v>0</v>
      </c>
      <c r="O86" s="3" t="str">
        <f>IFERROR(__xludf.DUMMYFUNCTION("""COMPUTED_VALUE"""),"craig.odonnell@pwc.com")</f>
        <v>craig.odonnell@pwc.com</v>
      </c>
      <c r="P86" s="3" t="str">
        <f>IFERROR(__xludf.DUMMYFUNCTION("""COMPUTED_VALUE"""),"No")</f>
        <v>No</v>
      </c>
      <c r="Q86" s="3" t="b">
        <f>IFERROR(__xludf.DUMMYFUNCTION("""COMPUTED_VALUE"""),FALSE)</f>
        <v>0</v>
      </c>
      <c r="R86" s="3"/>
      <c r="S86" s="3"/>
      <c r="T86" s="3" t="b">
        <f>IFERROR(__xludf.DUMMYFUNCTION("""COMPUTED_VALUE"""),FALSE)</f>
        <v>0</v>
      </c>
      <c r="U86" s="3" t="b">
        <f>IFERROR(__xludf.DUMMYFUNCTION("""COMPUTED_VALUE"""),FALSE)</f>
        <v>0</v>
      </c>
      <c r="V86" s="3" t="b">
        <f>IFERROR(__xludf.DUMMYFUNCTION("""COMPUTED_VALUE"""),FALSE)</f>
        <v>0</v>
      </c>
      <c r="W86" s="3" t="str">
        <f>IFERROR(__xludf.DUMMYFUNCTION("""COMPUTED_VALUE"""),"#N/A")</f>
        <v>#N/A</v>
      </c>
      <c r="X86" s="3" t="str">
        <f>IFERROR(__xludf.DUMMYFUNCTION("""COMPUTED_VALUE"""),"#N/A")</f>
        <v>#N/A</v>
      </c>
      <c r="Y86" s="3" t="str">
        <f>IFERROR(__xludf.DUMMYFUNCTION("""COMPUTED_VALUE"""),"#N/A")</f>
        <v>#N/A</v>
      </c>
      <c r="Z86" s="3" t="str">
        <f>IFERROR(__xludf.DUMMYFUNCTION("""COMPUTED_VALUE"""),"Unknown")</f>
        <v>Unknown</v>
      </c>
      <c r="AA86" s="3" t="b">
        <f>IFERROR(__xludf.DUMMYFUNCTION("""COMPUTED_VALUE"""),FALSE)</f>
        <v>0</v>
      </c>
    </row>
    <row r="87">
      <c r="A87" s="11">
        <f>IFERROR(__xludf.DUMMYFUNCTION("""COMPUTED_VALUE"""),1.00607244E8)</f>
        <v>100607244</v>
      </c>
      <c r="B87" s="3" t="str">
        <f>IFERROR(__xludf.DUMMYFUNCTION("""COMPUTED_VALUE"""),"Brian Kaplan")</f>
        <v>Brian Kaplan</v>
      </c>
      <c r="C87" s="3" t="str">
        <f>IFERROR(__xludf.DUMMYFUNCTION("""COMPUTED_VALUE"""),"Brian  Kaplan")</f>
        <v>Brian  Kaplan</v>
      </c>
      <c r="D87" s="3" t="str">
        <f>IFERROR(__xludf.DUMMYFUNCTION("""COMPUTED_VALUE"""),"Kaplan, Brian")</f>
        <v>Kaplan, Brian</v>
      </c>
      <c r="E87" s="3" t="str">
        <f>IFERROR(__xludf.DUMMYFUNCTION("""COMPUTED_VALUE"""),"Active")</f>
        <v>Active</v>
      </c>
      <c r="F87" s="3" t="str">
        <f>IFERROR(__xludf.DUMMYFUNCTION("""COMPUTED_VALUE"""),"brian.b.kaplan@pwc.com")</f>
        <v>brian.b.kaplan@pwc.com</v>
      </c>
      <c r="G87" s="3" t="str">
        <f>IFERROR(__xludf.DUMMYFUNCTION("""COMPUTED_VALUE"""),"Customer")</f>
        <v>Customer</v>
      </c>
      <c r="H87" s="3" t="str">
        <f>IFERROR(__xludf.DUMMYFUNCTION("""COMPUTED_VALUE"""),"TMT X-Sector")</f>
        <v>TMT X-Sector</v>
      </c>
      <c r="I87" s="3" t="str">
        <f>IFERROR(__xludf.DUMMYFUNCTION("""COMPUTED_VALUE"""),"Customer - Service")</f>
        <v>Customer - Service</v>
      </c>
      <c r="J87" s="3" t="str">
        <f>IFERROR(__xludf.DUMMYFUNCTION("""COMPUTED_VALUE"""),"Partner")</f>
        <v>Partner</v>
      </c>
      <c r="K87" s="12">
        <f>IFERROR(__xludf.DUMMYFUNCTION("""COMPUTED_VALUE"""),37046.0)</f>
        <v>37046</v>
      </c>
      <c r="L87" s="3" t="str">
        <f>IFERROR(__xludf.DUMMYFUNCTION("""COMPUTED_VALUE"""),"Atlanta")</f>
        <v>Atlanta</v>
      </c>
      <c r="M87" s="3" t="str">
        <f>IFERROR(__xludf.DUMMYFUNCTION("""COMPUTED_VALUE"""),"Atlanta - 1075 Peachtree Street NE")</f>
        <v>Atlanta - 1075 Peachtree Street NE</v>
      </c>
      <c r="N87" s="3" t="b">
        <f>IFERROR(__xludf.DUMMYFUNCTION("""COMPUTED_VALUE"""),FALSE)</f>
        <v>0</v>
      </c>
      <c r="O87" s="3" t="str">
        <f>IFERROR(__xludf.DUMMYFUNCTION("""COMPUTED_VALUE"""),"george.korizis@pwc.com")</f>
        <v>george.korizis@pwc.com</v>
      </c>
      <c r="P87" s="3" t="str">
        <f>IFERROR(__xludf.DUMMYFUNCTION("""COMPUTED_VALUE"""),"No")</f>
        <v>No</v>
      </c>
      <c r="Q87" s="3" t="b">
        <f>IFERROR(__xludf.DUMMYFUNCTION("""COMPUTED_VALUE"""),TRUE)</f>
        <v>1</v>
      </c>
      <c r="R87" s="3" t="str">
        <f>IFERROR(__xludf.DUMMYFUNCTION("""COMPUTED_VALUE"""),"LCP Low")</f>
        <v>LCP Low</v>
      </c>
      <c r="S87" s="3"/>
      <c r="T87" s="3" t="b">
        <f>IFERROR(__xludf.DUMMYFUNCTION("""COMPUTED_VALUE"""),FALSE)</f>
        <v>0</v>
      </c>
      <c r="U87" s="3" t="b">
        <f>IFERROR(__xludf.DUMMYFUNCTION("""COMPUTED_VALUE"""),FALSE)</f>
        <v>0</v>
      </c>
      <c r="V87" s="3" t="b">
        <f>IFERROR(__xludf.DUMMYFUNCTION("""COMPUTED_VALUE"""),FALSE)</f>
        <v>0</v>
      </c>
      <c r="W87" s="3" t="str">
        <f>IFERROR(__xludf.DUMMYFUNCTION("""COMPUTED_VALUE"""),"LCP")</f>
        <v>LCP</v>
      </c>
      <c r="X87" s="3"/>
      <c r="Y87" s="3" t="str">
        <f>IFERROR(__xludf.DUMMYFUNCTION("""COMPUTED_VALUE"""),"GEP - Low")</f>
        <v>GEP - Low</v>
      </c>
      <c r="Z87" s="3" t="str">
        <f>IFERROR(__xludf.DUMMYFUNCTION("""COMPUTED_VALUE"""),"Commercial / CRM Transformation - FS &amp; TMT")</f>
        <v>Commercial / CRM Transformation - FS &amp; TMT</v>
      </c>
      <c r="AA87" s="3" t="b">
        <f>IFERROR(__xludf.DUMMYFUNCTION("""COMPUTED_VALUE"""),FALSE)</f>
        <v>0</v>
      </c>
    </row>
    <row r="88">
      <c r="A88" s="11">
        <f>IFERROR(__xludf.DUMMYFUNCTION("""COMPUTED_VALUE"""),1.00637664E8)</f>
        <v>100637664</v>
      </c>
      <c r="B88" s="3" t="str">
        <f>IFERROR(__xludf.DUMMYFUNCTION("""COMPUTED_VALUE"""),"Brian Krall")</f>
        <v>Brian Krall</v>
      </c>
      <c r="C88" s="3" t="str">
        <f>IFERROR(__xludf.DUMMYFUNCTION("""COMPUTED_VALUE"""),"Brian P Krall")</f>
        <v>Brian P Krall</v>
      </c>
      <c r="D88" s="3" t="str">
        <f>IFERROR(__xludf.DUMMYFUNCTION("""COMPUTED_VALUE"""),"Krall, Brian P")</f>
        <v>Krall, Brian P</v>
      </c>
      <c r="E88" s="3" t="str">
        <f>IFERROR(__xludf.DUMMYFUNCTION("""COMPUTED_VALUE"""),"Active")</f>
        <v>Active</v>
      </c>
      <c r="F88" s="3" t="str">
        <f>IFERROR(__xludf.DUMMYFUNCTION("""COMPUTED_VALUE"""),"brian.p.krall@pwc.com")</f>
        <v>brian.p.krall@pwc.com</v>
      </c>
      <c r="G88" s="3" t="str">
        <f>IFERROR(__xludf.DUMMYFUNCTION("""COMPUTED_VALUE"""),"Deals Transformation")</f>
        <v>Deals Transformation</v>
      </c>
      <c r="H88" s="3" t="str">
        <f>IFERROR(__xludf.DUMMYFUNCTION("""COMPUTED_VALUE"""),"Automotive")</f>
        <v>Automotive</v>
      </c>
      <c r="I88" s="3" t="str">
        <f>IFERROR(__xludf.DUMMYFUNCTION("""COMPUTED_VALUE"""),"DDV - GTM")</f>
        <v>DDV - GTM</v>
      </c>
      <c r="J88" s="3" t="str">
        <f>IFERROR(__xludf.DUMMYFUNCTION("""COMPUTED_VALUE"""),"Partner")</f>
        <v>Partner</v>
      </c>
      <c r="K88" s="12">
        <f>IFERROR(__xludf.DUMMYFUNCTION("""COMPUTED_VALUE"""),39916.0)</f>
        <v>39916</v>
      </c>
      <c r="L88" s="3" t="str">
        <f>IFERROR(__xludf.DUMMYFUNCTION("""COMPUTED_VALUE"""),"Detroit")</f>
        <v>Detroit</v>
      </c>
      <c r="M88" s="3" t="str">
        <f>IFERROR(__xludf.DUMMYFUNCTION("""COMPUTED_VALUE"""),"Detroit - 500 Woodward Avenue")</f>
        <v>Detroit - 500 Woodward Avenue</v>
      </c>
      <c r="N88" s="3" t="b">
        <f>IFERROR(__xludf.DUMMYFUNCTION("""COMPUTED_VALUE"""),FALSE)</f>
        <v>0</v>
      </c>
      <c r="O88" s="3" t="str">
        <f>IFERROR(__xludf.DUMMYFUNCTION("""COMPUTED_VALUE"""),"derek.b.townsend@pwc.com")</f>
        <v>derek.b.townsend@pwc.com</v>
      </c>
      <c r="P88" s="3" t="str">
        <f>IFERROR(__xludf.DUMMYFUNCTION("""COMPUTED_VALUE"""),"No")</f>
        <v>No</v>
      </c>
      <c r="Q88" s="3" t="b">
        <f>IFERROR(__xludf.DUMMYFUNCTION("""COMPUTED_VALUE"""),FALSE)</f>
        <v>0</v>
      </c>
      <c r="R88" s="3"/>
      <c r="S88" s="3"/>
      <c r="T88" s="3" t="b">
        <f>IFERROR(__xludf.DUMMYFUNCTION("""COMPUTED_VALUE"""),FALSE)</f>
        <v>0</v>
      </c>
      <c r="U88" s="3" t="b">
        <f>IFERROR(__xludf.DUMMYFUNCTION("""COMPUTED_VALUE"""),TRUE)</f>
        <v>1</v>
      </c>
      <c r="V88" s="3" t="b">
        <f>IFERROR(__xludf.DUMMYFUNCTION("""COMPUTED_VALUE"""),FALSE)</f>
        <v>0</v>
      </c>
      <c r="W88" s="3" t="str">
        <f>IFERROR(__xludf.DUMMYFUNCTION("""COMPUTED_VALUE"""),"Delivery")</f>
        <v>Delivery</v>
      </c>
      <c r="X88" s="3"/>
      <c r="Y88" s="3"/>
      <c r="Z88" s="3" t="str">
        <f>IFERROR(__xludf.DUMMYFUNCTION("""COMPUTED_VALUE"""),"Corporate M&amp;A Transformation - IPS")</f>
        <v>Corporate M&amp;A Transformation - IPS</v>
      </c>
      <c r="AA88" s="3" t="b">
        <f>IFERROR(__xludf.DUMMYFUNCTION("""COMPUTED_VALUE"""),FALSE)</f>
        <v>0</v>
      </c>
    </row>
    <row r="89">
      <c r="A89" s="11">
        <f>IFERROR(__xludf.DUMMYFUNCTION("""COMPUTED_VALUE"""),1.00875111E8)</f>
        <v>100875111</v>
      </c>
      <c r="B89" s="3" t="str">
        <f>IFERROR(__xludf.DUMMYFUNCTION("""COMPUTED_VALUE"""),"Brian Morris")</f>
        <v>Brian Morris</v>
      </c>
      <c r="C89" s="3" t="str">
        <f>IFERROR(__xludf.DUMMYFUNCTION("""COMPUTED_VALUE"""),"Brian  Morris")</f>
        <v>Brian  Morris</v>
      </c>
      <c r="D89" s="3" t="str">
        <f>IFERROR(__xludf.DUMMYFUNCTION("""COMPUTED_VALUE"""),"Morris, Brian")</f>
        <v>Morris, Brian</v>
      </c>
      <c r="E89" s="3" t="str">
        <f>IFERROR(__xludf.DUMMYFUNCTION("""COMPUTED_VALUE"""),"Active")</f>
        <v>Active</v>
      </c>
      <c r="F89" s="3" t="str">
        <f>IFERROR(__xludf.DUMMYFUNCTION("""COMPUTED_VALUE"""),"brian.morris@pwc.com")</f>
        <v>brian.morris@pwc.com</v>
      </c>
      <c r="G89" s="3" t="str">
        <f>IFERROR(__xludf.DUMMYFUNCTION("""COMPUTED_VALUE"""),"Customer")</f>
        <v>Customer</v>
      </c>
      <c r="H89" s="3" t="str">
        <f>IFERROR(__xludf.DUMMYFUNCTION("""COMPUTED_VALUE"""),"Banking and Capital Markets")</f>
        <v>Banking and Capital Markets</v>
      </c>
      <c r="I89" s="3" t="str">
        <f>IFERROR(__xludf.DUMMYFUNCTION("""COMPUTED_VALUE"""),"Customer - Analytics")</f>
        <v>Customer - Analytics</v>
      </c>
      <c r="J89" s="3" t="str">
        <f>IFERROR(__xludf.DUMMYFUNCTION("""COMPUTED_VALUE"""),"Partner")</f>
        <v>Partner</v>
      </c>
      <c r="K89" s="12">
        <f>IFERROR(__xludf.DUMMYFUNCTION("""COMPUTED_VALUE"""),43494.0)</f>
        <v>43494</v>
      </c>
      <c r="L89" s="3" t="str">
        <f>IFERROR(__xludf.DUMMYFUNCTION("""COMPUTED_VALUE"""),"Stamford")</f>
        <v>Stamford</v>
      </c>
      <c r="M89" s="3" t="str">
        <f>IFERROR(__xludf.DUMMYFUNCTION("""COMPUTED_VALUE"""),"Stamford - 263 Tresser")</f>
        <v>Stamford - 263 Tresser</v>
      </c>
      <c r="N89" s="3" t="b">
        <f>IFERROR(__xludf.DUMMYFUNCTION("""COMPUTED_VALUE"""),FALSE)</f>
        <v>0</v>
      </c>
      <c r="O89" s="3" t="str">
        <f>IFERROR(__xludf.DUMMYFUNCTION("""COMPUTED_VALUE"""),"george.korizis@pwc.com")</f>
        <v>george.korizis@pwc.com</v>
      </c>
      <c r="P89" s="3" t="str">
        <f>IFERROR(__xludf.DUMMYFUNCTION("""COMPUTED_VALUE"""),"No")</f>
        <v>No</v>
      </c>
      <c r="Q89" s="3" t="b">
        <f>IFERROR(__xludf.DUMMYFUNCTION("""COMPUTED_VALUE"""),FALSE)</f>
        <v>0</v>
      </c>
      <c r="R89" s="3"/>
      <c r="S89" s="3"/>
      <c r="T89" s="3" t="b">
        <f>IFERROR(__xludf.DUMMYFUNCTION("""COMPUTED_VALUE"""),FALSE)</f>
        <v>0</v>
      </c>
      <c r="U89" s="3" t="b">
        <f>IFERROR(__xludf.DUMMYFUNCTION("""COMPUTED_VALUE"""),TRUE)</f>
        <v>1</v>
      </c>
      <c r="V89" s="3" t="b">
        <f>IFERROR(__xludf.DUMMYFUNCTION("""COMPUTED_VALUE"""),FALSE)</f>
        <v>0</v>
      </c>
      <c r="W89" s="3" t="str">
        <f>IFERROR(__xludf.DUMMYFUNCTION("""COMPUTED_VALUE"""),"Delivery")</f>
        <v>Delivery</v>
      </c>
      <c r="X89" s="3"/>
      <c r="Y89" s="3"/>
      <c r="Z89" s="3" t="str">
        <f>IFERROR(__xludf.DUMMYFUNCTION("""COMPUTED_VALUE"""),"Marketing Transformation")</f>
        <v>Marketing Transformation</v>
      </c>
      <c r="AA89" s="3" t="b">
        <f>IFERROR(__xludf.DUMMYFUNCTION("""COMPUTED_VALUE"""),FALSE)</f>
        <v>0</v>
      </c>
    </row>
    <row r="90">
      <c r="A90" s="11">
        <f>IFERROR(__xludf.DUMMYFUNCTION("""COMPUTED_VALUE"""),1.00589481E8)</f>
        <v>100589481</v>
      </c>
      <c r="B90" s="3" t="str">
        <f>IFERROR(__xludf.DUMMYFUNCTION("""COMPUTED_VALUE"""),"Brian Slizgi")</f>
        <v>Brian Slizgi</v>
      </c>
      <c r="C90" s="3" t="str">
        <f>IFERROR(__xludf.DUMMYFUNCTION("""COMPUTED_VALUE"""),"Brian J Slizgi")</f>
        <v>Brian J Slizgi</v>
      </c>
      <c r="D90" s="3" t="str">
        <f>IFERROR(__xludf.DUMMYFUNCTION("""COMPUTED_VALUE"""),"Slizgi, Brian J")</f>
        <v>Slizgi, Brian J</v>
      </c>
      <c r="E90" s="3" t="str">
        <f>IFERROR(__xludf.DUMMYFUNCTION("""COMPUTED_VALUE"""),"Active")</f>
        <v>Active</v>
      </c>
      <c r="F90" s="3" t="str">
        <f>IFERROR(__xludf.DUMMYFUNCTION("""COMPUTED_VALUE"""),"brian.j.slizgi@pwc.com")</f>
        <v>brian.j.slizgi@pwc.com</v>
      </c>
      <c r="G90" s="3" t="str">
        <f>IFERROR(__xludf.DUMMYFUNCTION("""COMPUTED_VALUE"""),"Health")</f>
        <v>Health</v>
      </c>
      <c r="H90" s="3" t="str">
        <f>IFERROR(__xludf.DUMMYFUNCTION("""COMPUTED_VALUE"""),"Pharma and Life Sciences")</f>
        <v>Pharma and Life Sciences</v>
      </c>
      <c r="I90" s="3" t="str">
        <f>IFERROR(__xludf.DUMMYFUNCTION("""COMPUTED_VALUE"""),"Health - R&amp;D Future of Clinical Trials")</f>
        <v>Health - R&amp;D Future of Clinical Trials</v>
      </c>
      <c r="J90" s="3" t="str">
        <f>IFERROR(__xludf.DUMMYFUNCTION("""COMPUTED_VALUE"""),"Partner")</f>
        <v>Partner</v>
      </c>
      <c r="K90" s="12">
        <f>IFERROR(__xludf.DUMMYFUNCTION("""COMPUTED_VALUE"""),40912.0)</f>
        <v>40912</v>
      </c>
      <c r="L90" s="3" t="str">
        <f>IFERROR(__xludf.DUMMYFUNCTION("""COMPUTED_VALUE"""),"Los Angeles")</f>
        <v>Los Angeles</v>
      </c>
      <c r="M90" s="3" t="str">
        <f>IFERROR(__xludf.DUMMYFUNCTION("""COMPUTED_VALUE"""),"Los Angeles - 601 South Figueroa Street")</f>
        <v>Los Angeles - 601 South Figueroa Street</v>
      </c>
      <c r="N90" s="3" t="b">
        <f>IFERROR(__xludf.DUMMYFUNCTION("""COMPUTED_VALUE"""),FALSE)</f>
        <v>0</v>
      </c>
      <c r="O90" s="3" t="str">
        <f>IFERROR(__xludf.DUMMYFUNCTION("""COMPUTED_VALUE"""),"craig.e.gooch@pwc.com")</f>
        <v>craig.e.gooch@pwc.com</v>
      </c>
      <c r="P90" s="3" t="str">
        <f>IFERROR(__xludf.DUMMYFUNCTION("""COMPUTED_VALUE"""),"No")</f>
        <v>No</v>
      </c>
      <c r="Q90" s="3" t="b">
        <f>IFERROR(__xludf.DUMMYFUNCTION("""COMPUTED_VALUE"""),FALSE)</f>
        <v>0</v>
      </c>
      <c r="R90" s="3"/>
      <c r="S90" s="3"/>
      <c r="T90" s="3" t="b">
        <f>IFERROR(__xludf.DUMMYFUNCTION("""COMPUTED_VALUE"""),FALSE)</f>
        <v>0</v>
      </c>
      <c r="U90" s="3" t="b">
        <f>IFERROR(__xludf.DUMMYFUNCTION("""COMPUTED_VALUE"""),TRUE)</f>
        <v>1</v>
      </c>
      <c r="V90" s="3" t="b">
        <f>IFERROR(__xludf.DUMMYFUNCTION("""COMPUTED_VALUE"""),FALSE)</f>
        <v>0</v>
      </c>
      <c r="W90" s="3" t="str">
        <f>IFERROR(__xludf.DUMMYFUNCTION("""COMPUTED_VALUE"""),"Delivery")</f>
        <v>Delivery</v>
      </c>
      <c r="X90" s="3"/>
      <c r="Y90" s="3"/>
      <c r="Z90" s="3" t="str">
        <f>IFERROR(__xludf.DUMMYFUNCTION("""COMPUTED_VALUE"""),"Clinical R&amp;D")</f>
        <v>Clinical R&amp;D</v>
      </c>
      <c r="AA90" s="3" t="b">
        <f>IFERROR(__xludf.DUMMYFUNCTION("""COMPUTED_VALUE"""),FALSE)</f>
        <v>0</v>
      </c>
    </row>
    <row r="91">
      <c r="A91" s="11">
        <f>IFERROR(__xludf.DUMMYFUNCTION("""COMPUTED_VALUE"""),1.00633489E8)</f>
        <v>100633489</v>
      </c>
      <c r="B91" s="3" t="str">
        <f>IFERROR(__xludf.DUMMYFUNCTION("""COMPUTED_VALUE"""),"Brian Updike")</f>
        <v>Brian Updike</v>
      </c>
      <c r="C91" s="3" t="str">
        <f>IFERROR(__xludf.DUMMYFUNCTION("""COMPUTED_VALUE"""),"Brian  Updike")</f>
        <v>Brian  Updike</v>
      </c>
      <c r="D91" s="3" t="str">
        <f>IFERROR(__xludf.DUMMYFUNCTION("""COMPUTED_VALUE"""),"Updike, Brian")</f>
        <v>Updike, Brian</v>
      </c>
      <c r="E91" s="3" t="str">
        <f>IFERROR(__xludf.DUMMYFUNCTION("""COMPUTED_VALUE"""),"Active")</f>
        <v>Active</v>
      </c>
      <c r="F91" s="3" t="str">
        <f>IFERROR(__xludf.DUMMYFUNCTION("""COMPUTED_VALUE"""),"brian.updike@pwc.com")</f>
        <v>brian.updike@pwc.com</v>
      </c>
      <c r="G91" s="3" t="str">
        <f>IFERROR(__xludf.DUMMYFUNCTION("""COMPUTED_VALUE"""),"Finance")</f>
        <v>Finance</v>
      </c>
      <c r="H91" s="3" t="str">
        <f>IFERROR(__xludf.DUMMYFUNCTION("""COMPUTED_VALUE"""),"TMT X-Sector")</f>
        <v>TMT X-Sector</v>
      </c>
      <c r="I91" s="3" t="str">
        <f>IFERROR(__xludf.DUMMYFUNCTION("""COMPUTED_VALUE"""),"Finance - Finance Strategy / Op Model / Global Business Services / Talent")</f>
        <v>Finance - Finance Strategy / Op Model / Global Business Services / Talent</v>
      </c>
      <c r="J91" s="3" t="str">
        <f>IFERROR(__xludf.DUMMYFUNCTION("""COMPUTED_VALUE"""),"Partner")</f>
        <v>Partner</v>
      </c>
      <c r="K91" s="12">
        <f>IFERROR(__xludf.DUMMYFUNCTION("""COMPUTED_VALUE"""),39286.0)</f>
        <v>39286</v>
      </c>
      <c r="L91" s="3" t="str">
        <f>IFERROR(__xludf.DUMMYFUNCTION("""COMPUTED_VALUE"""),"Dallas")</f>
        <v>Dallas</v>
      </c>
      <c r="M91" s="3" t="str">
        <f>IFERROR(__xludf.DUMMYFUNCTION("""COMPUTED_VALUE"""),"Dallas - 2121 North Pearl Street")</f>
        <v>Dallas - 2121 North Pearl Street</v>
      </c>
      <c r="N91" s="3" t="b">
        <f>IFERROR(__xludf.DUMMYFUNCTION("""COMPUTED_VALUE"""),FALSE)</f>
        <v>0</v>
      </c>
      <c r="O91" s="3" t="str">
        <f>IFERROR(__xludf.DUMMYFUNCTION("""COMPUTED_VALUE"""),"kurtis.babczenko@pwc.com")</f>
        <v>kurtis.babczenko@pwc.com</v>
      </c>
      <c r="P91" s="3" t="str">
        <f>IFERROR(__xludf.DUMMYFUNCTION("""COMPUTED_VALUE"""),"No")</f>
        <v>No</v>
      </c>
      <c r="Q91" s="3" t="b">
        <f>IFERROR(__xludf.DUMMYFUNCTION("""COMPUTED_VALUE"""),FALSE)</f>
        <v>0</v>
      </c>
      <c r="R91" s="3"/>
      <c r="S91" s="3"/>
      <c r="T91" s="3" t="b">
        <f>IFERROR(__xludf.DUMMYFUNCTION("""COMPUTED_VALUE"""),FALSE)</f>
        <v>0</v>
      </c>
      <c r="U91" s="3" t="b">
        <f>IFERROR(__xludf.DUMMYFUNCTION("""COMPUTED_VALUE"""),TRUE)</f>
        <v>1</v>
      </c>
      <c r="V91" s="3" t="b">
        <f>IFERROR(__xludf.DUMMYFUNCTION("""COMPUTED_VALUE"""),FALSE)</f>
        <v>0</v>
      </c>
      <c r="W91" s="3" t="str">
        <f>IFERROR(__xludf.DUMMYFUNCTION("""COMPUTED_VALUE"""),"Delivery")</f>
        <v>Delivery</v>
      </c>
      <c r="X91" s="3"/>
      <c r="Y91" s="3"/>
      <c r="Z91" s="3" t="str">
        <f>IFERROR(__xludf.DUMMYFUNCTION("""COMPUTED_VALUE"""),"Finance Transformation - TMT")</f>
        <v>Finance Transformation - TMT</v>
      </c>
      <c r="AA91" s="3" t="b">
        <f>IFERROR(__xludf.DUMMYFUNCTION("""COMPUTED_VALUE"""),FALSE)</f>
        <v>0</v>
      </c>
    </row>
    <row r="92">
      <c r="A92" s="11">
        <f>IFERROR(__xludf.DUMMYFUNCTION("""COMPUTED_VALUE"""),1.00586786E8)</f>
        <v>100586786</v>
      </c>
      <c r="B92" s="3" t="str">
        <f>IFERROR(__xludf.DUMMYFUNCTION("""COMPUTED_VALUE"""),"Briggs Briner")</f>
        <v>Briggs Briner</v>
      </c>
      <c r="C92" s="3" t="str">
        <f>IFERROR(__xludf.DUMMYFUNCTION("""COMPUTED_VALUE"""),"Briggs  Briner")</f>
        <v>Briggs  Briner</v>
      </c>
      <c r="D92" s="3" t="str">
        <f>IFERROR(__xludf.DUMMYFUNCTION("""COMPUTED_VALUE"""),"Briner, Briggs")</f>
        <v>Briner, Briggs</v>
      </c>
      <c r="E92" s="3" t="str">
        <f>IFERROR(__xludf.DUMMYFUNCTION("""COMPUTED_VALUE"""),"Active")</f>
        <v>Active</v>
      </c>
      <c r="F92" s="3" t="str">
        <f>IFERROR(__xludf.DUMMYFUNCTION("""COMPUTED_VALUE"""),"briggs.briner@pwc.com")</f>
        <v>briggs.briner@pwc.com</v>
      </c>
      <c r="G92" s="3" t="str">
        <f>IFERROR(__xludf.DUMMYFUNCTION("""COMPUTED_VALUE"""),"Ops")</f>
        <v>Ops</v>
      </c>
      <c r="H92" s="3" t="str">
        <f>IFERROR(__xludf.DUMMYFUNCTION("""COMPUTED_VALUE"""),"CM X-Sector")</f>
        <v>CM X-Sector</v>
      </c>
      <c r="I92" s="3" t="str">
        <f>IFERROR(__xludf.DUMMYFUNCTION("""COMPUTED_VALUE"""),"Ops - Org Strategy Strategy &amp; Solutions (OSS)")</f>
        <v>Ops - Org Strategy Strategy &amp; Solutions (OSS)</v>
      </c>
      <c r="J92" s="3" t="str">
        <f>IFERROR(__xludf.DUMMYFUNCTION("""COMPUTED_VALUE"""),"Partner")</f>
        <v>Partner</v>
      </c>
      <c r="K92" s="12">
        <f>IFERROR(__xludf.DUMMYFUNCTION("""COMPUTED_VALUE"""),40798.0)</f>
        <v>40798</v>
      </c>
      <c r="L92" s="3" t="str">
        <f>IFERROR(__xludf.DUMMYFUNCTION("""COMPUTED_VALUE"""),"Dallas")</f>
        <v>Dallas</v>
      </c>
      <c r="M92" s="3" t="str">
        <f>IFERROR(__xludf.DUMMYFUNCTION("""COMPUTED_VALUE"""),"Dallas - 2121 North Pearl Street")</f>
        <v>Dallas - 2121 North Pearl Street</v>
      </c>
      <c r="N92" s="3" t="b">
        <f>IFERROR(__xludf.DUMMYFUNCTION("""COMPUTED_VALUE"""),FALSE)</f>
        <v>0</v>
      </c>
      <c r="O92" s="3" t="str">
        <f>IFERROR(__xludf.DUMMYFUNCTION("""COMPUTED_VALUE"""),"matthew.r.comte@pwc.com")</f>
        <v>matthew.r.comte@pwc.com</v>
      </c>
      <c r="P92" s="3" t="str">
        <f>IFERROR(__xludf.DUMMYFUNCTION("""COMPUTED_VALUE"""),"No")</f>
        <v>No</v>
      </c>
      <c r="Q92" s="3" t="b">
        <f>IFERROR(__xludf.DUMMYFUNCTION("""COMPUTED_VALUE"""),FALSE)</f>
        <v>0</v>
      </c>
      <c r="R92" s="3"/>
      <c r="S92" s="3"/>
      <c r="T92" s="3" t="b">
        <f>IFERROR(__xludf.DUMMYFUNCTION("""COMPUTED_VALUE"""),FALSE)</f>
        <v>0</v>
      </c>
      <c r="U92" s="3" t="b">
        <f>IFERROR(__xludf.DUMMYFUNCTION("""COMPUTED_VALUE"""),TRUE)</f>
        <v>1</v>
      </c>
      <c r="V92" s="3" t="b">
        <f>IFERROR(__xludf.DUMMYFUNCTION("""COMPUTED_VALUE"""),FALSE)</f>
        <v>0</v>
      </c>
      <c r="W92" s="3" t="str">
        <f>IFERROR(__xludf.DUMMYFUNCTION("""COMPUTED_VALUE"""),"Delivery")</f>
        <v>Delivery</v>
      </c>
      <c r="X92" s="3"/>
      <c r="Y92" s="3"/>
      <c r="Z92" s="3" t="str">
        <f>IFERROR(__xludf.DUMMYFUNCTION("""COMPUTED_VALUE"""),"CM Ops Transformation")</f>
        <v>CM Ops Transformation</v>
      </c>
      <c r="AA92" s="3" t="b">
        <f>IFERROR(__xludf.DUMMYFUNCTION("""COMPUTED_VALUE"""),FALSE)</f>
        <v>0</v>
      </c>
    </row>
    <row r="93">
      <c r="A93" s="11">
        <f>IFERROR(__xludf.DUMMYFUNCTION("""COMPUTED_VALUE"""),1.0058653E8)</f>
        <v>100586530</v>
      </c>
      <c r="B93" s="3" t="str">
        <f>IFERROR(__xludf.DUMMYFUNCTION("""COMPUTED_VALUE"""),"Bruce Brodie")</f>
        <v>Bruce Brodie</v>
      </c>
      <c r="C93" s="3" t="str">
        <f>IFERROR(__xludf.DUMMYFUNCTION("""COMPUTED_VALUE"""),"Bruce  Brodie")</f>
        <v>Bruce  Brodie</v>
      </c>
      <c r="D93" s="3" t="str">
        <f>IFERROR(__xludf.DUMMYFUNCTION("""COMPUTED_VALUE"""),"Brodie, Bruce")</f>
        <v>Brodie, Bruce</v>
      </c>
      <c r="E93" s="3" t="str">
        <f>IFERROR(__xludf.DUMMYFUNCTION("""COMPUTED_VALUE"""),"Active")</f>
        <v>Active</v>
      </c>
      <c r="F93" s="3" t="str">
        <f>IFERROR(__xludf.DUMMYFUNCTION("""COMPUTED_VALUE"""),"bruce.brodie@pwc.com")</f>
        <v>bruce.brodie@pwc.com</v>
      </c>
      <c r="G93" s="3" t="str">
        <f>IFERROR(__xludf.DUMMYFUNCTION("""COMPUTED_VALUE"""),"ESV")</f>
        <v>ESV</v>
      </c>
      <c r="H93" s="3" t="str">
        <f>IFERROR(__xludf.DUMMYFUNCTION("""COMPUTED_VALUE"""),"Insurance")</f>
        <v>Insurance</v>
      </c>
      <c r="I93" s="3" t="str">
        <f>IFERROR(__xludf.DUMMYFUNCTION("""COMPUTED_VALUE"""),"ESV - Insurance")</f>
        <v>ESV - Insurance</v>
      </c>
      <c r="J93" s="3" t="str">
        <f>IFERROR(__xludf.DUMMYFUNCTION("""COMPUTED_VALUE"""),"Managing Director")</f>
        <v>Managing Director</v>
      </c>
      <c r="K93" s="12">
        <f>IFERROR(__xludf.DUMMYFUNCTION("""COMPUTED_VALUE"""),40798.0)</f>
        <v>40798</v>
      </c>
      <c r="L93" s="3" t="str">
        <f>IFERROR(__xludf.DUMMYFUNCTION("""COMPUTED_VALUE"""),"New York")</f>
        <v>New York</v>
      </c>
      <c r="M93" s="3" t="str">
        <f>IFERROR(__xludf.DUMMYFUNCTION("""COMPUTED_VALUE"""),"New York - 300 Madison Avenue")</f>
        <v>New York - 300 Madison Avenue</v>
      </c>
      <c r="N93" s="3" t="b">
        <f>IFERROR(__xludf.DUMMYFUNCTION("""COMPUTED_VALUE"""),FALSE)</f>
        <v>0</v>
      </c>
      <c r="O93" s="3" t="str">
        <f>IFERROR(__xludf.DUMMYFUNCTION("""COMPUTED_VALUE"""),"francois.ramette@pwc.com")</f>
        <v>francois.ramette@pwc.com</v>
      </c>
      <c r="P93" s="3" t="str">
        <f>IFERROR(__xludf.DUMMYFUNCTION("""COMPUTED_VALUE"""),"No")</f>
        <v>No</v>
      </c>
      <c r="Q93" s="3" t="b">
        <f>IFERROR(__xludf.DUMMYFUNCTION("""COMPUTED_VALUE"""),FALSE)</f>
        <v>0</v>
      </c>
      <c r="R93" s="3"/>
      <c r="S93" s="3"/>
      <c r="T93" s="3" t="b">
        <f>IFERROR(__xludf.DUMMYFUNCTION("""COMPUTED_VALUE"""),FALSE)</f>
        <v>0</v>
      </c>
      <c r="U93" s="3" t="b">
        <f>IFERROR(__xludf.DUMMYFUNCTION("""COMPUTED_VALUE"""),TRUE)</f>
        <v>1</v>
      </c>
      <c r="V93" s="3" t="b">
        <f>IFERROR(__xludf.DUMMYFUNCTION("""COMPUTED_VALUE"""),FALSE)</f>
        <v>0</v>
      </c>
      <c r="W93" s="3" t="str">
        <f>IFERROR(__xludf.DUMMYFUNCTION("""COMPUTED_VALUE"""),"Delivery")</f>
        <v>Delivery</v>
      </c>
      <c r="X93" s="3"/>
      <c r="Y93" s="3"/>
      <c r="Z93" s="3" t="str">
        <f>IFERROR(__xludf.DUMMYFUNCTION("""COMPUTED_VALUE"""),"Enterprise Digital Transformation - Insurance")</f>
        <v>Enterprise Digital Transformation - Insurance</v>
      </c>
      <c r="AA93" s="3" t="b">
        <f>IFERROR(__xludf.DUMMYFUNCTION("""COMPUTED_VALUE"""),FALSE)</f>
        <v>0</v>
      </c>
    </row>
    <row r="94">
      <c r="A94" s="11">
        <f>IFERROR(__xludf.DUMMYFUNCTION("""COMPUTED_VALUE"""),1.00593918E8)</f>
        <v>100593918</v>
      </c>
      <c r="B94" s="3" t="str">
        <f>IFERROR(__xludf.DUMMYFUNCTION("""COMPUTED_VALUE"""),"Bruce Hutchison")</f>
        <v>Bruce Hutchison</v>
      </c>
      <c r="C94" s="3" t="str">
        <f>IFERROR(__xludf.DUMMYFUNCTION("""COMPUTED_VALUE"""),"Bruce John Hutchison")</f>
        <v>Bruce John Hutchison</v>
      </c>
      <c r="D94" s="3" t="str">
        <f>IFERROR(__xludf.DUMMYFUNCTION("""COMPUTED_VALUE"""),"Hutchison, Bruce John")</f>
        <v>Hutchison, Bruce John</v>
      </c>
      <c r="E94" s="3" t="str">
        <f>IFERROR(__xludf.DUMMYFUNCTION("""COMPUTED_VALUE"""),"Active")</f>
        <v>Active</v>
      </c>
      <c r="F94" s="3" t="str">
        <f>IFERROR(__xludf.DUMMYFUNCTION("""COMPUTED_VALUE"""),"bruce.j.hutchison@pwc.com")</f>
        <v>bruce.j.hutchison@pwc.com</v>
      </c>
      <c r="G94" s="3" t="str">
        <f>IFERROR(__xludf.DUMMYFUNCTION("""COMPUTED_VALUE"""),"FS")</f>
        <v>FS</v>
      </c>
      <c r="H94" s="3" t="str">
        <f>IFERROR(__xludf.DUMMYFUNCTION("""COMPUTED_VALUE"""),"Asset and Wealth Management")</f>
        <v>Asset and Wealth Management</v>
      </c>
      <c r="I94" s="3" t="str">
        <f>IFERROR(__xludf.DUMMYFUNCTION("""COMPUTED_VALUE"""),"FS - Asset Wealth Management")</f>
        <v>FS - Asset Wealth Management</v>
      </c>
      <c r="J94" s="3" t="str">
        <f>IFERROR(__xludf.DUMMYFUNCTION("""COMPUTED_VALUE"""),"Partner")</f>
        <v>Partner</v>
      </c>
      <c r="K94" s="12">
        <f>IFERROR(__xludf.DUMMYFUNCTION("""COMPUTED_VALUE"""),41078.0)</f>
        <v>41078</v>
      </c>
      <c r="L94" s="3" t="str">
        <f>IFERROR(__xludf.DUMMYFUNCTION("""COMPUTED_VALUE"""),"New York")</f>
        <v>New York</v>
      </c>
      <c r="M94" s="3" t="str">
        <f>IFERROR(__xludf.DUMMYFUNCTION("""COMPUTED_VALUE"""),"New York - 300 Madison Avenue")</f>
        <v>New York - 300 Madison Avenue</v>
      </c>
      <c r="N94" s="3" t="b">
        <f>IFERROR(__xludf.DUMMYFUNCTION("""COMPUTED_VALUE"""),FALSE)</f>
        <v>0</v>
      </c>
      <c r="O94" s="3" t="str">
        <f>IFERROR(__xludf.DUMMYFUNCTION("""COMPUTED_VALUE"""),"alison.hoover@pwc.com")</f>
        <v>alison.hoover@pwc.com</v>
      </c>
      <c r="P94" s="3" t="str">
        <f>IFERROR(__xludf.DUMMYFUNCTION("""COMPUTED_VALUE"""),"No")</f>
        <v>No</v>
      </c>
      <c r="Q94" s="3" t="b">
        <f>IFERROR(__xludf.DUMMYFUNCTION("""COMPUTED_VALUE"""),FALSE)</f>
        <v>0</v>
      </c>
      <c r="R94" s="3"/>
      <c r="S94" s="3"/>
      <c r="T94" s="3" t="b">
        <f>IFERROR(__xludf.DUMMYFUNCTION("""COMPUTED_VALUE"""),FALSE)</f>
        <v>0</v>
      </c>
      <c r="U94" s="3" t="b">
        <f>IFERROR(__xludf.DUMMYFUNCTION("""COMPUTED_VALUE"""),FALSE)</f>
        <v>0</v>
      </c>
      <c r="V94" s="3" t="b">
        <f>IFERROR(__xludf.DUMMYFUNCTION("""COMPUTED_VALUE"""),FALSE)</f>
        <v>0</v>
      </c>
      <c r="W94" s="3" t="str">
        <f>IFERROR(__xludf.DUMMYFUNCTION("""COMPUTED_VALUE"""),"Delivery")</f>
        <v>Delivery</v>
      </c>
      <c r="X94" s="3"/>
      <c r="Y94" s="3" t="str">
        <f>IFERROR(__xludf.DUMMYFUNCTION("""COMPUTED_VALUE"""),"Point Partner")</f>
        <v>Point Partner</v>
      </c>
      <c r="Z94" s="3" t="str">
        <f>IFERROR(__xludf.DUMMYFUNCTION("""COMPUTED_VALUE"""),"AWM Transformation")</f>
        <v>AWM Transformation</v>
      </c>
      <c r="AA94" s="3" t="b">
        <f>IFERROR(__xludf.DUMMYFUNCTION("""COMPUTED_VALUE"""),FALSE)</f>
        <v>0</v>
      </c>
    </row>
    <row r="95">
      <c r="A95" s="11">
        <f>IFERROR(__xludf.DUMMYFUNCTION("""COMPUTED_VALUE"""),1.00591654E8)</f>
        <v>100591654</v>
      </c>
      <c r="B95" s="3" t="str">
        <f>IFERROR(__xludf.DUMMYFUNCTION("""COMPUTED_VALUE"""),"Bruno Lopes")</f>
        <v>Bruno Lopes</v>
      </c>
      <c r="C95" s="3" t="str">
        <f>IFERROR(__xludf.DUMMYFUNCTION("""COMPUTED_VALUE"""),"Bruno Francisco Ramos David Lopes")</f>
        <v>Bruno Francisco Ramos David Lopes</v>
      </c>
      <c r="D95" s="3" t="str">
        <f>IFERROR(__xludf.DUMMYFUNCTION("""COMPUTED_VALUE"""),"Lopes, Bruno Francisco Ramos David")</f>
        <v>Lopes, Bruno Francisco Ramos David</v>
      </c>
      <c r="E95" s="3" t="str">
        <f>IFERROR(__xludf.DUMMYFUNCTION("""COMPUTED_VALUE"""),"Active")</f>
        <v>Active</v>
      </c>
      <c r="F95" s="3" t="str">
        <f>IFERROR(__xludf.DUMMYFUNCTION("""COMPUTED_VALUE"""),"bruno.lopes@pwc.com")</f>
        <v>bruno.lopes@pwc.com</v>
      </c>
      <c r="G95" s="3" t="str">
        <f>IFERROR(__xludf.DUMMYFUNCTION("""COMPUTED_VALUE"""),"Finance")</f>
        <v>Finance</v>
      </c>
      <c r="H95" s="3" t="str">
        <f>IFERROR(__xludf.DUMMYFUNCTION("""COMPUTED_VALUE"""),"CM X-Sector")</f>
        <v>CM X-Sector</v>
      </c>
      <c r="I95" s="3" t="str">
        <f>IFERROR(__xludf.DUMMYFUNCTION("""COMPUTED_VALUE"""),"Finance - Treasury / Working Capital / Cash Management")</f>
        <v>Finance - Treasury / Working Capital / Cash Management</v>
      </c>
      <c r="J95" s="3" t="str">
        <f>IFERROR(__xludf.DUMMYFUNCTION("""COMPUTED_VALUE"""),"Partner")</f>
        <v>Partner</v>
      </c>
      <c r="K95" s="12">
        <f>IFERROR(__xludf.DUMMYFUNCTION("""COMPUTED_VALUE"""),40912.0)</f>
        <v>40912</v>
      </c>
      <c r="L95" s="3" t="str">
        <f>IFERROR(__xludf.DUMMYFUNCTION("""COMPUTED_VALUE"""),"New York")</f>
        <v>New York</v>
      </c>
      <c r="M95" s="3" t="str">
        <f>IFERROR(__xludf.DUMMYFUNCTION("""COMPUTED_VALUE"""),"New York - 300 Madison Avenue")</f>
        <v>New York - 300 Madison Avenue</v>
      </c>
      <c r="N95" s="3" t="b">
        <f>IFERROR(__xludf.DUMMYFUNCTION("""COMPUTED_VALUE"""),FALSE)</f>
        <v>0</v>
      </c>
      <c r="O95" s="3" t="str">
        <f>IFERROR(__xludf.DUMMYFUNCTION("""COMPUTED_VALUE"""),"kurtis.babczenko@pwc.com")</f>
        <v>kurtis.babczenko@pwc.com</v>
      </c>
      <c r="P95" s="3" t="str">
        <f>IFERROR(__xludf.DUMMYFUNCTION("""COMPUTED_VALUE"""),"No")</f>
        <v>No</v>
      </c>
      <c r="Q95" s="3" t="b">
        <f>IFERROR(__xludf.DUMMYFUNCTION("""COMPUTED_VALUE"""),FALSE)</f>
        <v>0</v>
      </c>
      <c r="R95" s="3"/>
      <c r="S95" s="3"/>
      <c r="T95" s="3" t="b">
        <f>IFERROR(__xludf.DUMMYFUNCTION("""COMPUTED_VALUE"""),FALSE)</f>
        <v>0</v>
      </c>
      <c r="U95" s="3" t="b">
        <f>IFERROR(__xludf.DUMMYFUNCTION("""COMPUTED_VALUE"""),TRUE)</f>
        <v>1</v>
      </c>
      <c r="V95" s="3" t="b">
        <f>IFERROR(__xludf.DUMMYFUNCTION("""COMPUTED_VALUE"""),FALSE)</f>
        <v>0</v>
      </c>
      <c r="W95" s="3" t="str">
        <f>IFERROR(__xludf.DUMMYFUNCTION("""COMPUTED_VALUE"""),"Delivery")</f>
        <v>Delivery</v>
      </c>
      <c r="X95" s="3"/>
      <c r="Y95" s="3"/>
      <c r="Z95" s="3" t="str">
        <f>IFERROR(__xludf.DUMMYFUNCTION("""COMPUTED_VALUE"""),"Finance Transformation - CM")</f>
        <v>Finance Transformation - CM</v>
      </c>
      <c r="AA95" s="3" t="b">
        <f>IFERROR(__xludf.DUMMYFUNCTION("""COMPUTED_VALUE"""),FALSE)</f>
        <v>0</v>
      </c>
    </row>
    <row r="96">
      <c r="A96" s="11">
        <f>IFERROR(__xludf.DUMMYFUNCTION("""COMPUTED_VALUE"""),1.00658994E8)</f>
        <v>100658994</v>
      </c>
      <c r="B96" s="3" t="str">
        <f>IFERROR(__xludf.DUMMYFUNCTION("""COMPUTED_VALUE"""),"Bryan Gross")</f>
        <v>Bryan Gross</v>
      </c>
      <c r="C96" s="3" t="str">
        <f>IFERROR(__xludf.DUMMYFUNCTION("""COMPUTED_VALUE"""),"Bryan  Gross")</f>
        <v>Bryan  Gross</v>
      </c>
      <c r="D96" s="3" t="str">
        <f>IFERROR(__xludf.DUMMYFUNCTION("""COMPUTED_VALUE"""),"Gross, Bryan")</f>
        <v>Gross, Bryan</v>
      </c>
      <c r="E96" s="3" t="str">
        <f>IFERROR(__xludf.DUMMYFUNCTION("""COMPUTED_VALUE"""),"Active")</f>
        <v>Active</v>
      </c>
      <c r="F96" s="3" t="str">
        <f>IFERROR(__xludf.DUMMYFUNCTION("""COMPUTED_VALUE"""),"bryan.gross@pwc.com")</f>
        <v>bryan.gross@pwc.com</v>
      </c>
      <c r="G96" s="3" t="str">
        <f>IFERROR(__xludf.DUMMYFUNCTION("""COMPUTED_VALUE"""),"Ops")</f>
        <v>Ops</v>
      </c>
      <c r="H96" s="3" t="str">
        <f>IFERROR(__xludf.DUMMYFUNCTION("""COMPUTED_VALUE"""),"CM X-Sector")</f>
        <v>CM X-Sector</v>
      </c>
      <c r="I96" s="3" t="str">
        <f>IFERROR(__xludf.DUMMYFUNCTION("""COMPUTED_VALUE"""),"Ops - Connected Supply Chain (CSC)")</f>
        <v>Ops - Connected Supply Chain (CSC)</v>
      </c>
      <c r="J96" s="3" t="str">
        <f>IFERROR(__xludf.DUMMYFUNCTION("""COMPUTED_VALUE"""),"Managing Director")</f>
        <v>Managing Director</v>
      </c>
      <c r="K96" s="12">
        <f>IFERROR(__xludf.DUMMYFUNCTION("""COMPUTED_VALUE"""),42226.0)</f>
        <v>42226</v>
      </c>
      <c r="L96" s="3" t="str">
        <f>IFERROR(__xludf.DUMMYFUNCTION("""COMPUTED_VALUE"""),"Minneapolis")</f>
        <v>Minneapolis</v>
      </c>
      <c r="M96" s="3" t="str">
        <f>IFERROR(__xludf.DUMMYFUNCTION("""COMPUTED_VALUE"""),"Minneapolis - 45 South 7th Street")</f>
        <v>Minneapolis - 45 South 7th Street</v>
      </c>
      <c r="N96" s="3" t="b">
        <f>IFERROR(__xludf.DUMMYFUNCTION("""COMPUTED_VALUE"""),FALSE)</f>
        <v>0</v>
      </c>
      <c r="O96" s="3" t="str">
        <f>IFERROR(__xludf.DUMMYFUNCTION("""COMPUTED_VALUE"""),"brian.m.houck@pwc.com")</f>
        <v>brian.m.houck@pwc.com</v>
      </c>
      <c r="P96" s="3" t="str">
        <f>IFERROR(__xludf.DUMMYFUNCTION("""COMPUTED_VALUE"""),"No")</f>
        <v>No</v>
      </c>
      <c r="Q96" s="3" t="b">
        <f>IFERROR(__xludf.DUMMYFUNCTION("""COMPUTED_VALUE"""),FALSE)</f>
        <v>0</v>
      </c>
      <c r="R96" s="3"/>
      <c r="S96" s="3"/>
      <c r="T96" s="3" t="b">
        <f>IFERROR(__xludf.DUMMYFUNCTION("""COMPUTED_VALUE"""),FALSE)</f>
        <v>0</v>
      </c>
      <c r="U96" s="3" t="b">
        <f>IFERROR(__xludf.DUMMYFUNCTION("""COMPUTED_VALUE"""),FALSE)</f>
        <v>0</v>
      </c>
      <c r="V96" s="3" t="b">
        <f>IFERROR(__xludf.DUMMYFUNCTION("""COMPUTED_VALUE"""),FALSE)</f>
        <v>0</v>
      </c>
      <c r="W96" s="3" t="str">
        <f>IFERROR(__xludf.DUMMYFUNCTION("""COMPUTED_VALUE"""),"Delivery")</f>
        <v>Delivery</v>
      </c>
      <c r="X96" s="3"/>
      <c r="Y96" s="3"/>
      <c r="Z96" s="3" t="str">
        <f>IFERROR(__xludf.DUMMYFUNCTION("""COMPUTED_VALUE"""),"")</f>
        <v/>
      </c>
      <c r="AA96" s="3" t="b">
        <f>IFERROR(__xludf.DUMMYFUNCTION("""COMPUTED_VALUE"""),FALSE)</f>
        <v>0</v>
      </c>
    </row>
    <row r="97">
      <c r="A97" s="11">
        <f>IFERROR(__xludf.DUMMYFUNCTION("""COMPUTED_VALUE"""),1.01131115E8)</f>
        <v>101131115</v>
      </c>
      <c r="B97" s="3" t="str">
        <f>IFERROR(__xludf.DUMMYFUNCTION("""COMPUTED_VALUE"""),"Bryan Sung")</f>
        <v>Bryan Sung</v>
      </c>
      <c r="C97" s="3" t="str">
        <f>IFERROR(__xludf.DUMMYFUNCTION("""COMPUTED_VALUE"""),"Bryan Michael Sung")</f>
        <v>Bryan Michael Sung</v>
      </c>
      <c r="D97" s="3" t="str">
        <f>IFERROR(__xludf.DUMMYFUNCTION("""COMPUTED_VALUE"""),"Sung, Bryan Michael")</f>
        <v>Sung, Bryan Michael</v>
      </c>
      <c r="E97" s="3" t="str">
        <f>IFERROR(__xludf.DUMMYFUNCTION("""COMPUTED_VALUE"""),"Active")</f>
        <v>Active</v>
      </c>
      <c r="F97" s="3" t="str">
        <f>IFERROR(__xludf.DUMMYFUNCTION("""COMPUTED_VALUE"""),"bryan.sung@pwc.com")</f>
        <v>bryan.sung@pwc.com</v>
      </c>
      <c r="G97" s="3" t="str">
        <f>IFERROR(__xludf.DUMMYFUNCTION("""COMPUTED_VALUE"""),"Health")</f>
        <v>Health</v>
      </c>
      <c r="H97" s="3" t="str">
        <f>IFERROR(__xludf.DUMMYFUNCTION("""COMPUTED_VALUE"""),"HI X-Sector")</f>
        <v>HI X-Sector</v>
      </c>
      <c r="I97" s="3" t="str">
        <f>IFERROR(__xludf.DUMMYFUNCTION("""COMPUTED_VALUE"""),"Health - Provider FFG")</f>
        <v>Health - Provider FFG</v>
      </c>
      <c r="J97" s="3" t="str">
        <f>IFERROR(__xludf.DUMMYFUNCTION("""COMPUTED_VALUE"""),"Partner")</f>
        <v>Partner</v>
      </c>
      <c r="K97" s="12">
        <f>IFERROR(__xludf.DUMMYFUNCTION("""COMPUTED_VALUE"""),44452.0)</f>
        <v>44452</v>
      </c>
      <c r="L97" s="3" t="str">
        <f>IFERROR(__xludf.DUMMYFUNCTION("""COMPUTED_VALUE"""),"Charlotte")</f>
        <v>Charlotte</v>
      </c>
      <c r="M97" s="3" t="str">
        <f>IFERROR(__xludf.DUMMYFUNCTION("""COMPUTED_VALUE"""),"Charlotte - 214 North Tryon Street")</f>
        <v>Charlotte - 214 North Tryon Street</v>
      </c>
      <c r="N97" s="3" t="b">
        <f>IFERROR(__xludf.DUMMYFUNCTION("""COMPUTED_VALUE"""),FALSE)</f>
        <v>0</v>
      </c>
      <c r="O97" s="3" t="str">
        <f>IFERROR(__xludf.DUMMYFUNCTION("""COMPUTED_VALUE"""),"craig.e.gooch@pwc.com")</f>
        <v>craig.e.gooch@pwc.com</v>
      </c>
      <c r="P97" s="3" t="str">
        <f>IFERROR(__xludf.DUMMYFUNCTION("""COMPUTED_VALUE"""),"FY22")</f>
        <v>FY22</v>
      </c>
      <c r="Q97" s="3" t="b">
        <f>IFERROR(__xludf.DUMMYFUNCTION("""COMPUTED_VALUE"""),FALSE)</f>
        <v>0</v>
      </c>
      <c r="R97" s="3"/>
      <c r="S97" s="3"/>
      <c r="T97" s="3" t="b">
        <f>IFERROR(__xludf.DUMMYFUNCTION("""COMPUTED_VALUE"""),FALSE)</f>
        <v>0</v>
      </c>
      <c r="U97" s="3" t="b">
        <f>IFERROR(__xludf.DUMMYFUNCTION("""COMPUTED_VALUE"""),TRUE)</f>
        <v>1</v>
      </c>
      <c r="V97" s="3" t="b">
        <f>IFERROR(__xludf.DUMMYFUNCTION("""COMPUTED_VALUE"""),FALSE)</f>
        <v>0</v>
      </c>
      <c r="W97" s="3" t="str">
        <f>IFERROR(__xludf.DUMMYFUNCTION("""COMPUTED_VALUE"""),"Catalyst")</f>
        <v>Catalyst</v>
      </c>
      <c r="X97" s="3"/>
      <c r="Y97" s="3" t="str">
        <f>IFERROR(__xludf.DUMMYFUNCTION("""COMPUTED_VALUE"""),"FY22")</f>
        <v>FY22</v>
      </c>
      <c r="Z97" s="3" t="str">
        <f>IFERROR(__xludf.DUMMYFUNCTION("""COMPUTED_VALUE"""),"Provider Transformation")</f>
        <v>Provider Transformation</v>
      </c>
      <c r="AA97" s="3" t="b">
        <f>IFERROR(__xludf.DUMMYFUNCTION("""COMPUTED_VALUE"""),FALSE)</f>
        <v>0</v>
      </c>
    </row>
    <row r="98">
      <c r="A98" s="11">
        <f>IFERROR(__xludf.DUMMYFUNCTION("""COMPUTED_VALUE"""),1.00600925E8)</f>
        <v>100600925</v>
      </c>
      <c r="B98" s="3" t="str">
        <f>IFERROR(__xludf.DUMMYFUNCTION("""COMPUTED_VALUE"""),"Carl Dumont (On Leave)")</f>
        <v>Carl Dumont (On Leave)</v>
      </c>
      <c r="C98" s="3" t="str">
        <f>IFERROR(__xludf.DUMMYFUNCTION("""COMPUTED_VALUE"""),"Carl  Dumont")</f>
        <v>Carl  Dumont</v>
      </c>
      <c r="D98" s="3" t="str">
        <f>IFERROR(__xludf.DUMMYFUNCTION("""COMPUTED_VALUE"""),"Dumont, Carl")</f>
        <v>Dumont, Carl</v>
      </c>
      <c r="E98" s="3" t="str">
        <f>IFERROR(__xludf.DUMMYFUNCTION("""COMPUTED_VALUE"""),"Disability Leave")</f>
        <v>Disability Leave</v>
      </c>
      <c r="F98" s="3" t="str">
        <f>IFERROR(__xludf.DUMMYFUNCTION("""COMPUTED_VALUE"""),"carl.dumont@strategyand.us.pwc.com")</f>
        <v>carl.dumont@strategyand.us.pwc.com</v>
      </c>
      <c r="G98" s="3" t="str">
        <f>IFERROR(__xludf.DUMMYFUNCTION("""COMPUTED_VALUE"""),"Health")</f>
        <v>Health</v>
      </c>
      <c r="H98" s="3" t="str">
        <f>IFERROR(__xludf.DUMMYFUNCTION("""COMPUTED_VALUE"""),"HI X-Sector")</f>
        <v>HI X-Sector</v>
      </c>
      <c r="I98" s="3" t="str">
        <f>IFERROR(__xludf.DUMMYFUNCTION("""COMPUTED_VALUE"""),"Unassigned")</f>
        <v>Unassigned</v>
      </c>
      <c r="J98" s="3" t="str">
        <f>IFERROR(__xludf.DUMMYFUNCTION("""COMPUTED_VALUE"""),"Managing Director (On Leave)")</f>
        <v>Managing Director (On Leave)</v>
      </c>
      <c r="K98" s="12">
        <f>IFERROR(__xludf.DUMMYFUNCTION("""COMPUTED_VALUE"""),42186.0)</f>
        <v>42186</v>
      </c>
      <c r="L98" s="3" t="str">
        <f>IFERROR(__xludf.DUMMYFUNCTION("""COMPUTED_VALUE"""),"New York")</f>
        <v>New York</v>
      </c>
      <c r="M98" s="3" t="str">
        <f>IFERROR(__xludf.DUMMYFUNCTION("""COMPUTED_VALUE"""),"#N/A")</f>
        <v>#N/A</v>
      </c>
      <c r="N98" s="3" t="b">
        <f>IFERROR(__xludf.DUMMYFUNCTION("""COMPUTED_VALUE"""),FALSE)</f>
        <v>0</v>
      </c>
      <c r="O98" s="3" t="str">
        <f>IFERROR(__xludf.DUMMYFUNCTION("""COMPUTED_VALUE"""),"")</f>
        <v/>
      </c>
      <c r="P98" s="3" t="str">
        <f>IFERROR(__xludf.DUMMYFUNCTION("""COMPUTED_VALUE"""),"No")</f>
        <v>No</v>
      </c>
      <c r="Q98" s="3" t="b">
        <f>IFERROR(__xludf.DUMMYFUNCTION("""COMPUTED_VALUE"""),FALSE)</f>
        <v>0</v>
      </c>
      <c r="R98" s="3"/>
      <c r="S98" s="3"/>
      <c r="T98" s="3" t="b">
        <f>IFERROR(__xludf.DUMMYFUNCTION("""COMPUTED_VALUE"""),FALSE)</f>
        <v>0</v>
      </c>
      <c r="U98" s="3" t="b">
        <f>IFERROR(__xludf.DUMMYFUNCTION("""COMPUTED_VALUE"""),TRUE)</f>
        <v>1</v>
      </c>
      <c r="V98" s="3" t="b">
        <f>IFERROR(__xludf.DUMMYFUNCTION("""COMPUTED_VALUE"""),FALSE)</f>
        <v>0</v>
      </c>
      <c r="W98" s="3" t="str">
        <f>IFERROR(__xludf.DUMMYFUNCTION("""COMPUTED_VALUE"""),"On Leave")</f>
        <v>On Leave</v>
      </c>
      <c r="X98" s="3"/>
      <c r="Y98" s="3"/>
      <c r="Z98" s="3" t="str">
        <f>IFERROR(__xludf.DUMMYFUNCTION("""COMPUTED_VALUE"""),"Not Assigned")</f>
        <v>Not Assigned</v>
      </c>
      <c r="AA98" s="3" t="b">
        <f>IFERROR(__xludf.DUMMYFUNCTION("""COMPUTED_VALUE"""),FALSE)</f>
        <v>0</v>
      </c>
    </row>
    <row r="99">
      <c r="A99" s="11">
        <f>IFERROR(__xludf.DUMMYFUNCTION("""COMPUTED_VALUE"""),1.00588959E8)</f>
        <v>100588959</v>
      </c>
      <c r="B99" s="3" t="str">
        <f>IFERROR(__xludf.DUMMYFUNCTION("""COMPUTED_VALUE"""),"Carla DeSantis")</f>
        <v>Carla DeSantis</v>
      </c>
      <c r="C99" s="3" t="str">
        <f>IFERROR(__xludf.DUMMYFUNCTION("""COMPUTED_VALUE"""),"Carla  DeSantis")</f>
        <v>Carla  DeSantis</v>
      </c>
      <c r="D99" s="3" t="str">
        <f>IFERROR(__xludf.DUMMYFUNCTION("""COMPUTED_VALUE"""),"DeSantis, Carla")</f>
        <v>DeSantis, Carla</v>
      </c>
      <c r="E99" s="3" t="str">
        <f>IFERROR(__xludf.DUMMYFUNCTION("""COMPUTED_VALUE"""),"Active")</f>
        <v>Active</v>
      </c>
      <c r="F99" s="3" t="str">
        <f>IFERROR(__xludf.DUMMYFUNCTION("""COMPUTED_VALUE"""),"carla.desantis@pwc.com")</f>
        <v>carla.desantis@pwc.com</v>
      </c>
      <c r="G99" s="3" t="str">
        <f>IFERROR(__xludf.DUMMYFUNCTION("""COMPUTED_VALUE"""),"Ops")</f>
        <v>Ops</v>
      </c>
      <c r="H99" s="3" t="str">
        <f>IFERROR(__xludf.DUMMYFUNCTION("""COMPUTED_VALUE"""),"CM X-Sector")</f>
        <v>CM X-Sector</v>
      </c>
      <c r="I99" s="3" t="str">
        <f>IFERROR(__xludf.DUMMYFUNCTION("""COMPUTED_VALUE"""),"Ops - Org Strategy Strategy &amp; Solutions (OSS)")</f>
        <v>Ops - Org Strategy Strategy &amp; Solutions (OSS)</v>
      </c>
      <c r="J99" s="3" t="str">
        <f>IFERROR(__xludf.DUMMYFUNCTION("""COMPUTED_VALUE"""),"Partner")</f>
        <v>Partner</v>
      </c>
      <c r="K99" s="12">
        <f>IFERROR(__xludf.DUMMYFUNCTION("""COMPUTED_VALUE"""),40798.0)</f>
        <v>40798</v>
      </c>
      <c r="L99" s="3" t="str">
        <f>IFERROR(__xludf.DUMMYFUNCTION("""COMPUTED_VALUE"""),"Boston")</f>
        <v>Boston</v>
      </c>
      <c r="M99" s="3" t="str">
        <f>IFERROR(__xludf.DUMMYFUNCTION("""COMPUTED_VALUE"""),"Boston - 101 Seaport Boulevard")</f>
        <v>Boston - 101 Seaport Boulevard</v>
      </c>
      <c r="N99" s="3" t="b">
        <f>IFERROR(__xludf.DUMMYFUNCTION("""COMPUTED_VALUE"""),FALSE)</f>
        <v>0</v>
      </c>
      <c r="O99" s="3" t="str">
        <f>IFERROR(__xludf.DUMMYFUNCTION("""COMPUTED_VALUE"""),"matthew.r.comte@pwc.com")</f>
        <v>matthew.r.comte@pwc.com</v>
      </c>
      <c r="P99" s="3" t="str">
        <f>IFERROR(__xludf.DUMMYFUNCTION("""COMPUTED_VALUE"""),"No")</f>
        <v>No</v>
      </c>
      <c r="Q99" s="3" t="b">
        <f>IFERROR(__xludf.DUMMYFUNCTION("""COMPUTED_VALUE"""),TRUE)</f>
        <v>1</v>
      </c>
      <c r="R99" s="3" t="str">
        <f>IFERROR(__xludf.DUMMYFUNCTION("""COMPUTED_VALUE"""),"LCP High")</f>
        <v>LCP High</v>
      </c>
      <c r="S99" s="3"/>
      <c r="T99" s="3" t="b">
        <f>IFERROR(__xludf.DUMMYFUNCTION("""COMPUTED_VALUE"""),FALSE)</f>
        <v>0</v>
      </c>
      <c r="U99" s="3" t="b">
        <f>IFERROR(__xludf.DUMMYFUNCTION("""COMPUTED_VALUE"""),FALSE)</f>
        <v>0</v>
      </c>
      <c r="V99" s="3" t="b">
        <f>IFERROR(__xludf.DUMMYFUNCTION("""COMPUTED_VALUE"""),FALSE)</f>
        <v>0</v>
      </c>
      <c r="W99" s="3" t="str">
        <f>IFERROR(__xludf.DUMMYFUNCTION("""COMPUTED_VALUE"""),"LCP")</f>
        <v>LCP</v>
      </c>
      <c r="X99" s="3"/>
      <c r="Y99" s="3" t="str">
        <f>IFERROR(__xludf.DUMMYFUNCTION("""COMPUTED_VALUE"""),"GEP - High")</f>
        <v>GEP - High</v>
      </c>
      <c r="Z99" s="3" t="str">
        <f>IFERROR(__xludf.DUMMYFUNCTION("""COMPUTED_VALUE"""),"CM Ops Transformation")</f>
        <v>CM Ops Transformation</v>
      </c>
      <c r="AA99" s="3" t="b">
        <f>IFERROR(__xludf.DUMMYFUNCTION("""COMPUTED_VALUE"""),FALSE)</f>
        <v>0</v>
      </c>
    </row>
    <row r="100">
      <c r="A100" s="11">
        <f>IFERROR(__xludf.DUMMYFUNCTION("""COMPUTED_VALUE"""),1.00609827E8)</f>
        <v>100609827</v>
      </c>
      <c r="B100" s="3" t="str">
        <f>IFERROR(__xludf.DUMMYFUNCTION("""COMPUTED_VALUE"""),"Carlos Moreira")</f>
        <v>Carlos Moreira</v>
      </c>
      <c r="C100" s="3" t="str">
        <f>IFERROR(__xludf.DUMMYFUNCTION("""COMPUTED_VALUE"""),"Carlos  Moreira")</f>
        <v>Carlos  Moreira</v>
      </c>
      <c r="D100" s="3" t="str">
        <f>IFERROR(__xludf.DUMMYFUNCTION("""COMPUTED_VALUE"""),"Moreira, Carlos")</f>
        <v>Moreira, Carlos</v>
      </c>
      <c r="E100" s="3" t="str">
        <f>IFERROR(__xludf.DUMMYFUNCTION("""COMPUTED_VALUE"""),"Active")</f>
        <v>Active</v>
      </c>
      <c r="F100" s="3" t="str">
        <f>IFERROR(__xludf.DUMMYFUNCTION("""COMPUTED_VALUE"""),"carlos.moreira@pwc.com")</f>
        <v>carlos.moreira@pwc.com</v>
      </c>
      <c r="G100" s="3" t="str">
        <f>IFERROR(__xludf.DUMMYFUNCTION("""COMPUTED_VALUE"""),"Customer")</f>
        <v>Customer</v>
      </c>
      <c r="H100" s="3" t="str">
        <f>IFERROR(__xludf.DUMMYFUNCTION("""COMPUTED_VALUE"""),"CM X-Sector")</f>
        <v>CM X-Sector</v>
      </c>
      <c r="I100" s="3" t="str">
        <f>IFERROR(__xludf.DUMMYFUNCTION("""COMPUTED_VALUE"""),"Customer - Pricing &amp; Profitability")</f>
        <v>Customer - Pricing &amp; Profitability</v>
      </c>
      <c r="J100" s="3" t="str">
        <f>IFERROR(__xludf.DUMMYFUNCTION("""COMPUTED_VALUE"""),"Partner")</f>
        <v>Partner</v>
      </c>
      <c r="K100" s="12">
        <f>IFERROR(__xludf.DUMMYFUNCTION("""COMPUTED_VALUE"""),40664.0)</f>
        <v>40664</v>
      </c>
      <c r="L100" s="3" t="str">
        <f>IFERROR(__xludf.DUMMYFUNCTION("""COMPUTED_VALUE"""),"Philadelphia")</f>
        <v>Philadelphia</v>
      </c>
      <c r="M100" s="3" t="str">
        <f>IFERROR(__xludf.DUMMYFUNCTION("""COMPUTED_VALUE"""),"Philadelphia - Two Commerce Square, Suite 1800")</f>
        <v>Philadelphia - Two Commerce Square, Suite 1800</v>
      </c>
      <c r="N100" s="3" t="b">
        <f>IFERROR(__xludf.DUMMYFUNCTION("""COMPUTED_VALUE"""),FALSE)</f>
        <v>0</v>
      </c>
      <c r="O100" s="3" t="str">
        <f>IFERROR(__xludf.DUMMYFUNCTION("""COMPUTED_VALUE"""),"george.korizis@pwc.com")</f>
        <v>george.korizis@pwc.com</v>
      </c>
      <c r="P100" s="3" t="str">
        <f>IFERROR(__xludf.DUMMYFUNCTION("""COMPUTED_VALUE"""),"No")</f>
        <v>No</v>
      </c>
      <c r="Q100" s="3" t="b">
        <f>IFERROR(__xludf.DUMMYFUNCTION("""COMPUTED_VALUE"""),FALSE)</f>
        <v>0</v>
      </c>
      <c r="R100" s="3"/>
      <c r="S100" s="3"/>
      <c r="T100" s="3" t="b">
        <f>IFERROR(__xludf.DUMMYFUNCTION("""COMPUTED_VALUE"""),TRUE)</f>
        <v>1</v>
      </c>
      <c r="U100" s="3" t="b">
        <f>IFERROR(__xludf.DUMMYFUNCTION("""COMPUTED_VALUE"""),FALSE)</f>
        <v>0</v>
      </c>
      <c r="V100" s="3" t="b">
        <f>IFERROR(__xludf.DUMMYFUNCTION("""COMPUTED_VALUE"""),FALSE)</f>
        <v>0</v>
      </c>
      <c r="W100" s="3" t="str">
        <f>IFERROR(__xludf.DUMMYFUNCTION("""COMPUTED_VALUE"""),"Delivery")</f>
        <v>Delivery</v>
      </c>
      <c r="X100" s="3"/>
      <c r="Y100" s="3" t="str">
        <f>IFERROR(__xludf.DUMMYFUNCTION("""COMPUTED_VALUE"""),"Rainmaker")</f>
        <v>Rainmaker</v>
      </c>
      <c r="Z100" s="3" t="str">
        <f>IFERROR(__xludf.DUMMYFUNCTION("""COMPUTED_VALUE"""),"Commercial / CRM Transformation - CM &amp; IPS &amp; HIA")</f>
        <v>Commercial / CRM Transformation - CM &amp; IPS &amp; HIA</v>
      </c>
      <c r="AA100" s="3" t="b">
        <f>IFERROR(__xludf.DUMMYFUNCTION("""COMPUTED_VALUE"""),FALSE)</f>
        <v>0</v>
      </c>
    </row>
    <row r="101">
      <c r="A101" s="11">
        <f>IFERROR(__xludf.DUMMYFUNCTION("""COMPUTED_VALUE"""),1.00650064E8)</f>
        <v>100650064</v>
      </c>
      <c r="B101" s="3" t="str">
        <f>IFERROR(__xludf.DUMMYFUNCTION("""COMPUTED_VALUE"""),"Carlos Navarro")</f>
        <v>Carlos Navarro</v>
      </c>
      <c r="C101" s="3" t="str">
        <f>IFERROR(__xludf.DUMMYFUNCTION("""COMPUTED_VALUE"""),"Carlos  Navarro")</f>
        <v>Carlos  Navarro</v>
      </c>
      <c r="D101" s="3" t="str">
        <f>IFERROR(__xludf.DUMMYFUNCTION("""COMPUTED_VALUE"""),"Navarro, Carlos")</f>
        <v>Navarro, Carlos</v>
      </c>
      <c r="E101" s="3" t="str">
        <f>IFERROR(__xludf.DUMMYFUNCTION("""COMPUTED_VALUE"""),"Active")</f>
        <v>Active</v>
      </c>
      <c r="F101" s="3" t="str">
        <f>IFERROR(__xludf.DUMMYFUNCTION("""COMPUTED_VALUE"""),"c.navarro@pwc.com")</f>
        <v>c.navarro@pwc.com</v>
      </c>
      <c r="G101" s="3" t="str">
        <f>IFERROR(__xludf.DUMMYFUNCTION("""COMPUTED_VALUE"""),"Customer")</f>
        <v>Customer</v>
      </c>
      <c r="H101" s="3" t="str">
        <f>IFERROR(__xludf.DUMMYFUNCTION("""COMPUTED_VALUE"""),"CM X-Sector")</f>
        <v>CM X-Sector</v>
      </c>
      <c r="I101" s="3" t="str">
        <f>IFERROR(__xludf.DUMMYFUNCTION("""COMPUTED_VALUE"""),"Customer - Marketing")</f>
        <v>Customer - Marketing</v>
      </c>
      <c r="J101" s="3" t="str">
        <f>IFERROR(__xludf.DUMMYFUNCTION("""COMPUTED_VALUE"""),"Partner")</f>
        <v>Partner</v>
      </c>
      <c r="K101" s="12">
        <f>IFERROR(__xludf.DUMMYFUNCTION("""COMPUTED_VALUE"""),42186.0)</f>
        <v>42186</v>
      </c>
      <c r="L101" s="3" t="str">
        <f>IFERROR(__xludf.DUMMYFUNCTION("""COMPUTED_VALUE"""),"Hallandale Beach")</f>
        <v>Hallandale Beach</v>
      </c>
      <c r="M101" s="3" t="str">
        <f>IFERROR(__xludf.DUMMYFUNCTION("""COMPUTED_VALUE"""),"Hallandale Beach - 600 Silks Run")</f>
        <v>Hallandale Beach - 600 Silks Run</v>
      </c>
      <c r="N101" s="3" t="b">
        <f>IFERROR(__xludf.DUMMYFUNCTION("""COMPUTED_VALUE"""),FALSE)</f>
        <v>0</v>
      </c>
      <c r="O101" s="3" t="str">
        <f>IFERROR(__xludf.DUMMYFUNCTION("""COMPUTED_VALUE"""),"george.korizis@pwc.com")</f>
        <v>george.korizis@pwc.com</v>
      </c>
      <c r="P101" s="3" t="str">
        <f>IFERROR(__xludf.DUMMYFUNCTION("""COMPUTED_VALUE"""),"No")</f>
        <v>No</v>
      </c>
      <c r="Q101" s="3" t="b">
        <f>IFERROR(__xludf.DUMMYFUNCTION("""COMPUTED_VALUE"""),FALSE)</f>
        <v>0</v>
      </c>
      <c r="R101" s="3"/>
      <c r="S101" s="3"/>
      <c r="T101" s="3" t="b">
        <f>IFERROR(__xludf.DUMMYFUNCTION("""COMPUTED_VALUE"""),FALSE)</f>
        <v>0</v>
      </c>
      <c r="U101" s="3" t="b">
        <f>IFERROR(__xludf.DUMMYFUNCTION("""COMPUTED_VALUE"""),FALSE)</f>
        <v>0</v>
      </c>
      <c r="V101" s="3" t="b">
        <f>IFERROR(__xludf.DUMMYFUNCTION("""COMPUTED_VALUE"""),FALSE)</f>
        <v>0</v>
      </c>
      <c r="W101" s="3" t="str">
        <f>IFERROR(__xludf.DUMMYFUNCTION("""COMPUTED_VALUE"""),"Delivery")</f>
        <v>Delivery</v>
      </c>
      <c r="X101" s="3"/>
      <c r="Y101" s="3" t="str">
        <f>IFERROR(__xludf.DUMMYFUNCTION("""COMPUTED_VALUE"""),"Point Partner")</f>
        <v>Point Partner</v>
      </c>
      <c r="Z101" s="3" t="str">
        <f>IFERROR(__xludf.DUMMYFUNCTION("""COMPUTED_VALUE"""),"Commercial / CRM Transformation - CM &amp; IPS &amp; HIA")</f>
        <v>Commercial / CRM Transformation - CM &amp; IPS &amp; HIA</v>
      </c>
      <c r="AA101" s="3" t="b">
        <f>IFERROR(__xludf.DUMMYFUNCTION("""COMPUTED_VALUE"""),FALSE)</f>
        <v>0</v>
      </c>
    </row>
    <row r="102">
      <c r="A102" s="11">
        <f>IFERROR(__xludf.DUMMYFUNCTION("""COMPUTED_VALUE"""),1.00659145E8)</f>
        <v>100659145</v>
      </c>
      <c r="B102" s="3" t="str">
        <f>IFERROR(__xludf.DUMMYFUNCTION("""COMPUTED_VALUE"""),"Carmen Chan")</f>
        <v>Carmen Chan</v>
      </c>
      <c r="C102" s="3" t="str">
        <f>IFERROR(__xludf.DUMMYFUNCTION("""COMPUTED_VALUE"""),"Carmen  Chan")</f>
        <v>Carmen  Chan</v>
      </c>
      <c r="D102" s="3" t="str">
        <f>IFERROR(__xludf.DUMMYFUNCTION("""COMPUTED_VALUE"""),"Chan, Carmen")</f>
        <v>Chan, Carmen</v>
      </c>
      <c r="E102" s="3" t="str">
        <f>IFERROR(__xludf.DUMMYFUNCTION("""COMPUTED_VALUE"""),"Active")</f>
        <v>Active</v>
      </c>
      <c r="F102" s="3" t="str">
        <f>IFERROR(__xludf.DUMMYFUNCTION("""COMPUTED_VALUE"""),"carmen.w.chan@pwc.com")</f>
        <v>carmen.w.chan@pwc.com</v>
      </c>
      <c r="G102" s="3" t="str">
        <f>IFERROR(__xludf.DUMMYFUNCTION("""COMPUTED_VALUE"""),"Deals Transformation")</f>
        <v>Deals Transformation</v>
      </c>
      <c r="H102" s="3" t="str">
        <f>IFERROR(__xludf.DUMMYFUNCTION("""COMPUTED_VALUE"""),"TMT X-Sector")</f>
        <v>TMT X-Sector</v>
      </c>
      <c r="I102" s="3" t="str">
        <f>IFERROR(__xludf.DUMMYFUNCTION("""COMPUTED_VALUE"""),"DDV - GTM")</f>
        <v>DDV - GTM</v>
      </c>
      <c r="J102" s="3" t="str">
        <f>IFERROR(__xludf.DUMMYFUNCTION("""COMPUTED_VALUE"""),"Partner")</f>
        <v>Partner</v>
      </c>
      <c r="K102" s="12">
        <f>IFERROR(__xludf.DUMMYFUNCTION("""COMPUTED_VALUE"""),40776.0)</f>
        <v>40776</v>
      </c>
      <c r="L102" s="3" t="str">
        <f>IFERROR(__xludf.DUMMYFUNCTION("""COMPUTED_VALUE"""),"San Francisco")</f>
        <v>San Francisco</v>
      </c>
      <c r="M102" s="3" t="str">
        <f>IFERROR(__xludf.DUMMYFUNCTION("""COMPUTED_VALUE"""),"San Francisco - 405 Howard St")</f>
        <v>San Francisco - 405 Howard St</v>
      </c>
      <c r="N102" s="3" t="b">
        <f>IFERROR(__xludf.DUMMYFUNCTION("""COMPUTED_VALUE"""),FALSE)</f>
        <v>0</v>
      </c>
      <c r="O102" s="3" t="str">
        <f>IFERROR(__xludf.DUMMYFUNCTION("""COMPUTED_VALUE"""),"derek.b.townsend@pwc.com")</f>
        <v>derek.b.townsend@pwc.com</v>
      </c>
      <c r="P102" s="3" t="str">
        <f>IFERROR(__xludf.DUMMYFUNCTION("""COMPUTED_VALUE"""),"No")</f>
        <v>No</v>
      </c>
      <c r="Q102" s="3" t="b">
        <f>IFERROR(__xludf.DUMMYFUNCTION("""COMPUTED_VALUE"""),FALSE)</f>
        <v>0</v>
      </c>
      <c r="R102" s="3"/>
      <c r="S102" s="3"/>
      <c r="T102" s="3" t="b">
        <f>IFERROR(__xludf.DUMMYFUNCTION("""COMPUTED_VALUE"""),FALSE)</f>
        <v>0</v>
      </c>
      <c r="U102" s="3" t="b">
        <f>IFERROR(__xludf.DUMMYFUNCTION("""COMPUTED_VALUE"""),TRUE)</f>
        <v>1</v>
      </c>
      <c r="V102" s="3" t="b">
        <f>IFERROR(__xludf.DUMMYFUNCTION("""COMPUTED_VALUE"""),FALSE)</f>
        <v>0</v>
      </c>
      <c r="W102" s="3" t="str">
        <f>IFERROR(__xludf.DUMMYFUNCTION("""COMPUTED_VALUE"""),"Delivery")</f>
        <v>Delivery</v>
      </c>
      <c r="X102" s="3"/>
      <c r="Y102" s="3"/>
      <c r="Z102" s="3" t="str">
        <f>IFERROR(__xludf.DUMMYFUNCTION("""COMPUTED_VALUE"""),"Corporate M&amp;A Transformation - TMT")</f>
        <v>Corporate M&amp;A Transformation - TMT</v>
      </c>
      <c r="AA102" s="3" t="b">
        <f>IFERROR(__xludf.DUMMYFUNCTION("""COMPUTED_VALUE"""),FALSE)</f>
        <v>0</v>
      </c>
    </row>
    <row r="103">
      <c r="A103" s="11">
        <f>IFERROR(__xludf.DUMMYFUNCTION("""COMPUTED_VALUE"""),1.00584409E8)</f>
        <v>100584409</v>
      </c>
      <c r="B103" s="3" t="str">
        <f>IFERROR(__xludf.DUMMYFUNCTION("""COMPUTED_VALUE"""),"Carrie Duarte")</f>
        <v>Carrie Duarte</v>
      </c>
      <c r="C103" s="3" t="str">
        <f>IFERROR(__xludf.DUMMYFUNCTION("""COMPUTED_VALUE"""),"Carrie  Duarte")</f>
        <v>Carrie  Duarte</v>
      </c>
      <c r="D103" s="3" t="str">
        <f>IFERROR(__xludf.DUMMYFUNCTION("""COMPUTED_VALUE"""),"Duarte, Carrie")</f>
        <v>Duarte, Carrie</v>
      </c>
      <c r="E103" s="3" t="str">
        <f>IFERROR(__xludf.DUMMYFUNCTION("""COMPUTED_VALUE"""),"Active")</f>
        <v>Active</v>
      </c>
      <c r="F103" s="3" t="str">
        <f>IFERROR(__xludf.DUMMYFUNCTION("""COMPUTED_VALUE"""),"carrie.duarte@pwc.com")</f>
        <v>carrie.duarte@pwc.com</v>
      </c>
      <c r="G103" s="3" t="str">
        <f>IFERROR(__xludf.DUMMYFUNCTION("""COMPUTED_VALUE"""),"Workforce")</f>
        <v>Workforce</v>
      </c>
      <c r="H103" s="3" t="str">
        <f>IFERROR(__xludf.DUMMYFUNCTION("""COMPUTED_VALUE"""),"Technology")</f>
        <v>Technology</v>
      </c>
      <c r="I103" s="3" t="str">
        <f>IFERROR(__xludf.DUMMYFUNCTION("""COMPUTED_VALUE"""),"Workforce - Deals")</f>
        <v>Workforce - Deals</v>
      </c>
      <c r="J103" s="3" t="str">
        <f>IFERROR(__xludf.DUMMYFUNCTION("""COMPUTED_VALUE"""),"Partner")</f>
        <v>Partner</v>
      </c>
      <c r="K103" s="12">
        <f>IFERROR(__xludf.DUMMYFUNCTION("""COMPUTED_VALUE"""),35863.0)</f>
        <v>35863</v>
      </c>
      <c r="L103" s="3" t="str">
        <f>IFERROR(__xludf.DUMMYFUNCTION("""COMPUTED_VALUE"""),"Los Angeles")</f>
        <v>Los Angeles</v>
      </c>
      <c r="M103" s="3" t="str">
        <f>IFERROR(__xludf.DUMMYFUNCTION("""COMPUTED_VALUE"""),"Los Angeles - 601 South Figueroa Street")</f>
        <v>Los Angeles - 601 South Figueroa Street</v>
      </c>
      <c r="N103" s="3" t="b">
        <f>IFERROR(__xludf.DUMMYFUNCTION("""COMPUTED_VALUE"""),TRUE)</f>
        <v>1</v>
      </c>
      <c r="O103" s="3" t="str">
        <f>IFERROR(__xludf.DUMMYFUNCTION("""COMPUTED_VALUE"""),"craig.odonnell@pwc.com")</f>
        <v>craig.odonnell@pwc.com</v>
      </c>
      <c r="P103" s="3" t="str">
        <f>IFERROR(__xludf.DUMMYFUNCTION("""COMPUTED_VALUE"""),"No")</f>
        <v>No</v>
      </c>
      <c r="Q103" s="3" t="b">
        <f>IFERROR(__xludf.DUMMYFUNCTION("""COMPUTED_VALUE"""),TRUE)</f>
        <v>1</v>
      </c>
      <c r="R103" s="3" t="str">
        <f>IFERROR(__xludf.DUMMYFUNCTION("""COMPUTED_VALUE"""),"LCP Low")</f>
        <v>LCP Low</v>
      </c>
      <c r="S103" s="3"/>
      <c r="T103" s="3" t="b">
        <f>IFERROR(__xludf.DUMMYFUNCTION("""COMPUTED_VALUE"""),FALSE)</f>
        <v>0</v>
      </c>
      <c r="U103" s="3" t="b">
        <f>IFERROR(__xludf.DUMMYFUNCTION("""COMPUTED_VALUE"""),FALSE)</f>
        <v>0</v>
      </c>
      <c r="V103" s="3" t="b">
        <f>IFERROR(__xludf.DUMMYFUNCTION("""COMPUTED_VALUE"""),FALSE)</f>
        <v>0</v>
      </c>
      <c r="W103" s="3" t="str">
        <f>IFERROR(__xludf.DUMMYFUNCTION("""COMPUTED_VALUE"""),"LCP")</f>
        <v>LCP</v>
      </c>
      <c r="X103" s="3" t="str">
        <f>IFERROR(__xludf.DUMMYFUNCTION("""COMPUTED_VALUE"""),"#N/A")</f>
        <v>#N/A</v>
      </c>
      <c r="Y103" s="3" t="str">
        <f>IFERROR(__xludf.DUMMYFUNCTION("""COMPUTED_VALUE"""),"#N/A")</f>
        <v>#N/A</v>
      </c>
      <c r="Z103" s="3" t="str">
        <f>IFERROR(__xludf.DUMMYFUNCTION("""COMPUTED_VALUE"""),"Unknown")</f>
        <v>Unknown</v>
      </c>
      <c r="AA103" s="3" t="b">
        <f>IFERROR(__xludf.DUMMYFUNCTION("""COMPUTED_VALUE"""),FALSE)</f>
        <v>0</v>
      </c>
    </row>
    <row r="104">
      <c r="A104" s="11">
        <f>IFERROR(__xludf.DUMMYFUNCTION("""COMPUTED_VALUE"""),1.01156917E8)</f>
        <v>101156917</v>
      </c>
      <c r="B104" s="3" t="str">
        <f>IFERROR(__xludf.DUMMYFUNCTION("""COMPUTED_VALUE"""),"Carrie Shea")</f>
        <v>Carrie Shea</v>
      </c>
      <c r="C104" s="3" t="str">
        <f>IFERROR(__xludf.DUMMYFUNCTION("""COMPUTED_VALUE"""),"Carrie Lynn Shea")</f>
        <v>Carrie Lynn Shea</v>
      </c>
      <c r="D104" s="3" t="str">
        <f>IFERROR(__xludf.DUMMYFUNCTION("""COMPUTED_VALUE"""),"Shea, Carrie Lynn")</f>
        <v>Shea, Carrie Lynn</v>
      </c>
      <c r="E104" s="3" t="str">
        <f>IFERROR(__xludf.DUMMYFUNCTION("""COMPUTED_VALUE"""),"Active")</f>
        <v>Active</v>
      </c>
      <c r="F104" s="3" t="str">
        <f>IFERROR(__xludf.DUMMYFUNCTION("""COMPUTED_VALUE"""),"carrie.shea@pwc.com")</f>
        <v>carrie.shea@pwc.com</v>
      </c>
      <c r="G104" s="3" t="str">
        <f>IFERROR(__xludf.DUMMYFUNCTION("""COMPUTED_VALUE"""),"ESV")</f>
        <v>ESV</v>
      </c>
      <c r="H104" s="3" t="str">
        <f>IFERROR(__xludf.DUMMYFUNCTION("""COMPUTED_VALUE"""),"CM X-Sector")</f>
        <v>CM X-Sector</v>
      </c>
      <c r="I104" s="3" t="str">
        <f>IFERROR(__xludf.DUMMYFUNCTION("""COMPUTED_VALUE"""),"ESV - CM")</f>
        <v>ESV - CM</v>
      </c>
      <c r="J104" s="3" t="str">
        <f>IFERROR(__xludf.DUMMYFUNCTION("""COMPUTED_VALUE"""),"Managing Director")</f>
        <v>Managing Director</v>
      </c>
      <c r="K104" s="12">
        <f>IFERROR(__xludf.DUMMYFUNCTION("""COMPUTED_VALUE"""),44579.0)</f>
        <v>44579</v>
      </c>
      <c r="L104" s="3" t="str">
        <f>IFERROR(__xludf.DUMMYFUNCTION("""COMPUTED_VALUE"""),"Sarasota")</f>
        <v>Sarasota</v>
      </c>
      <c r="M104" s="3" t="str">
        <f>IFERROR(__xludf.DUMMYFUNCTION("""COMPUTED_VALUE"""),"Sarasota - 6220 University")</f>
        <v>Sarasota - 6220 University</v>
      </c>
      <c r="N104" s="3" t="b">
        <f>IFERROR(__xludf.DUMMYFUNCTION("""COMPUTED_VALUE"""),FALSE)</f>
        <v>0</v>
      </c>
      <c r="O104" s="3" t="str">
        <f>IFERROR(__xludf.DUMMYFUNCTION("""COMPUTED_VALUE"""),"edward.landry@pwc.com")</f>
        <v>edward.landry@pwc.com</v>
      </c>
      <c r="P104" s="3" t="str">
        <f>IFERROR(__xludf.DUMMYFUNCTION("""COMPUTED_VALUE"""),"FY22")</f>
        <v>FY22</v>
      </c>
      <c r="Q104" s="3" t="b">
        <f>IFERROR(__xludf.DUMMYFUNCTION("""COMPUTED_VALUE"""),FALSE)</f>
        <v>0</v>
      </c>
      <c r="R104" s="3"/>
      <c r="S104" s="3"/>
      <c r="T104" s="3" t="b">
        <f>IFERROR(__xludf.DUMMYFUNCTION("""COMPUTED_VALUE"""),FALSE)</f>
        <v>0</v>
      </c>
      <c r="U104" s="3" t="b">
        <f>IFERROR(__xludf.DUMMYFUNCTION("""COMPUTED_VALUE"""),TRUE)</f>
        <v>1</v>
      </c>
      <c r="V104" s="3" t="b">
        <f>IFERROR(__xludf.DUMMYFUNCTION("""COMPUTED_VALUE"""),TRUE)</f>
        <v>1</v>
      </c>
      <c r="W104" s="3" t="str">
        <f>IFERROR(__xludf.DUMMYFUNCTION("""COMPUTED_VALUE"""),"Catalyst")</f>
        <v>Catalyst</v>
      </c>
      <c r="X104" s="3"/>
      <c r="Y104" s="3" t="str">
        <f>IFERROR(__xludf.DUMMYFUNCTION("""COMPUTED_VALUE"""),"FY22")</f>
        <v>FY22</v>
      </c>
      <c r="Z104" s="3" t="str">
        <f>IFERROR(__xludf.DUMMYFUNCTION("""COMPUTED_VALUE"""),"")</f>
        <v/>
      </c>
      <c r="AA104" s="3" t="b">
        <f>IFERROR(__xludf.DUMMYFUNCTION("""COMPUTED_VALUE"""),FALSE)</f>
        <v>0</v>
      </c>
    </row>
    <row r="105">
      <c r="A105" s="11">
        <f>IFERROR(__xludf.DUMMYFUNCTION("""COMPUTED_VALUE"""),1.00641939E8)</f>
        <v>100641939</v>
      </c>
      <c r="B105" s="3" t="str">
        <f>IFERROR(__xludf.DUMMYFUNCTION("""COMPUTED_VALUE"""),"Carrie Wisher")</f>
        <v>Carrie Wisher</v>
      </c>
      <c r="C105" s="3" t="str">
        <f>IFERROR(__xludf.DUMMYFUNCTION("""COMPUTED_VALUE"""),"Carrie Lynn Wisher")</f>
        <v>Carrie Lynn Wisher</v>
      </c>
      <c r="D105" s="3" t="str">
        <f>IFERROR(__xludf.DUMMYFUNCTION("""COMPUTED_VALUE"""),"Wisher, Carrie Lynn")</f>
        <v>Wisher, Carrie Lynn</v>
      </c>
      <c r="E105" s="3" t="str">
        <f>IFERROR(__xludf.DUMMYFUNCTION("""COMPUTED_VALUE"""),"Active")</f>
        <v>Active</v>
      </c>
      <c r="F105" s="3" t="str">
        <f>IFERROR(__xludf.DUMMYFUNCTION("""COMPUTED_VALUE"""),"carrie.l.wisher@pwc.com")</f>
        <v>carrie.l.wisher@pwc.com</v>
      </c>
      <c r="G105" s="3" t="str">
        <f>IFERROR(__xludf.DUMMYFUNCTION("""COMPUTED_VALUE"""),"Workforce")</f>
        <v>Workforce</v>
      </c>
      <c r="H105" s="3" t="str">
        <f>IFERROR(__xludf.DUMMYFUNCTION("""COMPUTED_VALUE"""),"Energy")</f>
        <v>Energy</v>
      </c>
      <c r="I105" s="3" t="str">
        <f>IFERROR(__xludf.DUMMYFUNCTION("""COMPUTED_VALUE"""),"Workforce - Talent, Change &amp; Behaviors")</f>
        <v>Workforce - Talent, Change &amp; Behaviors</v>
      </c>
      <c r="J105" s="3" t="str">
        <f>IFERROR(__xludf.DUMMYFUNCTION("""COMPUTED_VALUE"""),"Partner")</f>
        <v>Partner</v>
      </c>
      <c r="K105" s="12">
        <f>IFERROR(__xludf.DUMMYFUNCTION("""COMPUTED_VALUE"""),39980.0)</f>
        <v>39980</v>
      </c>
      <c r="L105" s="3" t="str">
        <f>IFERROR(__xludf.DUMMYFUNCTION("""COMPUTED_VALUE"""),"Denver")</f>
        <v>Denver</v>
      </c>
      <c r="M105" s="3" t="str">
        <f>IFERROR(__xludf.DUMMYFUNCTION("""COMPUTED_VALUE"""),"Denver - 1900 Sixteenth Street")</f>
        <v>Denver - 1900 Sixteenth Street</v>
      </c>
      <c r="N105" s="3" t="b">
        <f>IFERROR(__xludf.DUMMYFUNCTION("""COMPUTED_VALUE"""),FALSE)</f>
        <v>0</v>
      </c>
      <c r="O105" s="3" t="str">
        <f>IFERROR(__xludf.DUMMYFUNCTION("""COMPUTED_VALUE"""),"craig.odonnell@pwc.com")</f>
        <v>craig.odonnell@pwc.com</v>
      </c>
      <c r="P105" s="3" t="str">
        <f>IFERROR(__xludf.DUMMYFUNCTION("""COMPUTED_VALUE"""),"No")</f>
        <v>No</v>
      </c>
      <c r="Q105" s="3" t="b">
        <f>IFERROR(__xludf.DUMMYFUNCTION("""COMPUTED_VALUE"""),FALSE)</f>
        <v>0</v>
      </c>
      <c r="R105" s="3"/>
      <c r="S105" s="3"/>
      <c r="T105" s="3" t="b">
        <f>IFERROR(__xludf.DUMMYFUNCTION("""COMPUTED_VALUE"""),FALSE)</f>
        <v>0</v>
      </c>
      <c r="U105" s="3" t="b">
        <f>IFERROR(__xludf.DUMMYFUNCTION("""COMPUTED_VALUE"""),FALSE)</f>
        <v>0</v>
      </c>
      <c r="V105" s="3" t="b">
        <f>IFERROR(__xludf.DUMMYFUNCTION("""COMPUTED_VALUE"""),FALSE)</f>
        <v>0</v>
      </c>
      <c r="W105" s="3" t="str">
        <f>IFERROR(__xludf.DUMMYFUNCTION("""COMPUTED_VALUE"""),"#N/A")</f>
        <v>#N/A</v>
      </c>
      <c r="X105" s="3" t="str">
        <f>IFERROR(__xludf.DUMMYFUNCTION("""COMPUTED_VALUE"""),"#N/A")</f>
        <v>#N/A</v>
      </c>
      <c r="Y105" s="3" t="str">
        <f>IFERROR(__xludf.DUMMYFUNCTION("""COMPUTED_VALUE"""),"#N/A")</f>
        <v>#N/A</v>
      </c>
      <c r="Z105" s="3" t="str">
        <f>IFERROR(__xludf.DUMMYFUNCTION("""COMPUTED_VALUE"""),"Unknown")</f>
        <v>Unknown</v>
      </c>
      <c r="AA105" s="3" t="b">
        <f>IFERROR(__xludf.DUMMYFUNCTION("""COMPUTED_VALUE"""),FALSE)</f>
        <v>0</v>
      </c>
    </row>
    <row r="106">
      <c r="A106" s="11">
        <f>IFERROR(__xludf.DUMMYFUNCTION("""COMPUTED_VALUE"""),1.00590896E8)</f>
        <v>100590896</v>
      </c>
      <c r="B106" s="3" t="str">
        <f>IFERROR(__xludf.DUMMYFUNCTION("""COMPUTED_VALUE"""),"Chad Leopard")</f>
        <v>Chad Leopard</v>
      </c>
      <c r="C106" s="3" t="str">
        <f>IFERROR(__xludf.DUMMYFUNCTION("""COMPUTED_VALUE"""),"Chad A Leopard")</f>
        <v>Chad A Leopard</v>
      </c>
      <c r="D106" s="3" t="str">
        <f>IFERROR(__xludf.DUMMYFUNCTION("""COMPUTED_VALUE"""),"Leopard, Chad A")</f>
        <v>Leopard, Chad A</v>
      </c>
      <c r="E106" s="3" t="str">
        <f>IFERROR(__xludf.DUMMYFUNCTION("""COMPUTED_VALUE"""),"Active")</f>
        <v>Active</v>
      </c>
      <c r="F106" s="3" t="str">
        <f>IFERROR(__xludf.DUMMYFUNCTION("""COMPUTED_VALUE"""),"chad.a.leopard@pwc.com")</f>
        <v>chad.a.leopard@pwc.com</v>
      </c>
      <c r="G106" s="3" t="str">
        <f>IFERROR(__xludf.DUMMYFUNCTION("""COMPUTED_VALUE"""),"Health")</f>
        <v>Health</v>
      </c>
      <c r="H106" s="3" t="str">
        <f>IFERROR(__xludf.DUMMYFUNCTION("""COMPUTED_VALUE"""),"Health Services")</f>
        <v>Health Services</v>
      </c>
      <c r="I106" s="3" t="str">
        <f>IFERROR(__xludf.DUMMYFUNCTION("""COMPUTED_VALUE"""),"Health - Provider Revenue Cycle")</f>
        <v>Health - Provider Revenue Cycle</v>
      </c>
      <c r="J106" s="3" t="str">
        <f>IFERROR(__xludf.DUMMYFUNCTION("""COMPUTED_VALUE"""),"Partner")</f>
        <v>Partner</v>
      </c>
      <c r="K106" s="12">
        <f>IFERROR(__xludf.DUMMYFUNCTION("""COMPUTED_VALUE"""),34044.0)</f>
        <v>34044</v>
      </c>
      <c r="L106" s="3" t="str">
        <f>IFERROR(__xludf.DUMMYFUNCTION("""COMPUTED_VALUE"""),"Dallas")</f>
        <v>Dallas</v>
      </c>
      <c r="M106" s="3" t="str">
        <f>IFERROR(__xludf.DUMMYFUNCTION("""COMPUTED_VALUE"""),"Dallas - 2121 North Pearl Street")</f>
        <v>Dallas - 2121 North Pearl Street</v>
      </c>
      <c r="N106" s="3" t="b">
        <f>IFERROR(__xludf.DUMMYFUNCTION("""COMPUTED_VALUE"""),FALSE)</f>
        <v>0</v>
      </c>
      <c r="O106" s="3" t="str">
        <f>IFERROR(__xludf.DUMMYFUNCTION("""COMPUTED_VALUE"""),"craig.e.gooch@pwc.com")</f>
        <v>craig.e.gooch@pwc.com</v>
      </c>
      <c r="P106" s="3" t="str">
        <f>IFERROR(__xludf.DUMMYFUNCTION("""COMPUTED_VALUE"""),"No")</f>
        <v>No</v>
      </c>
      <c r="Q106" s="3" t="b">
        <f>IFERROR(__xludf.DUMMYFUNCTION("""COMPUTED_VALUE"""),FALSE)</f>
        <v>0</v>
      </c>
      <c r="R106" s="3"/>
      <c r="S106" s="3"/>
      <c r="T106" s="3" t="b">
        <f>IFERROR(__xludf.DUMMYFUNCTION("""COMPUTED_VALUE"""),FALSE)</f>
        <v>0</v>
      </c>
      <c r="U106" s="3" t="b">
        <f>IFERROR(__xludf.DUMMYFUNCTION("""COMPUTED_VALUE"""),TRUE)</f>
        <v>1</v>
      </c>
      <c r="V106" s="3" t="b">
        <f>IFERROR(__xludf.DUMMYFUNCTION("""COMPUTED_VALUE"""),FALSE)</f>
        <v>0</v>
      </c>
      <c r="W106" s="3" t="str">
        <f>IFERROR(__xludf.DUMMYFUNCTION("""COMPUTED_VALUE"""),"Delivery")</f>
        <v>Delivery</v>
      </c>
      <c r="X106" s="3"/>
      <c r="Y106" s="3"/>
      <c r="Z106" s="3" t="str">
        <f>IFERROR(__xludf.DUMMYFUNCTION("""COMPUTED_VALUE"""),"Provider Transformation")</f>
        <v>Provider Transformation</v>
      </c>
      <c r="AA106" s="3" t="b">
        <f>IFERROR(__xludf.DUMMYFUNCTION("""COMPUTED_VALUE"""),FALSE)</f>
        <v>0</v>
      </c>
    </row>
    <row r="107">
      <c r="A107" s="11">
        <f>IFERROR(__xludf.DUMMYFUNCTION("""COMPUTED_VALUE"""),1.01072617E8)</f>
        <v>101072617</v>
      </c>
      <c r="B107" s="3" t="str">
        <f>IFERROR(__xludf.DUMMYFUNCTION("""COMPUTED_VALUE"""),"Charlene Glidden (On Leave)")</f>
        <v>Charlene Glidden (On Leave)</v>
      </c>
      <c r="C107" s="3" t="str">
        <f>IFERROR(__xludf.DUMMYFUNCTION("""COMPUTED_VALUE"""),"Charlene Lee Glidden")</f>
        <v>Charlene Lee Glidden</v>
      </c>
      <c r="D107" s="3" t="str">
        <f>IFERROR(__xludf.DUMMYFUNCTION("""COMPUTED_VALUE"""),"Glidden, Charlene Lee")</f>
        <v>Glidden, Charlene Lee</v>
      </c>
      <c r="E107" s="3" t="str">
        <f>IFERROR(__xludf.DUMMYFUNCTION("""COMPUTED_VALUE"""),"Disability Leave")</f>
        <v>Disability Leave</v>
      </c>
      <c r="F107" s="3" t="str">
        <f>IFERROR(__xludf.DUMMYFUNCTION("""COMPUTED_VALUE"""),"charlene.glidden@pwc.com")</f>
        <v>charlene.glidden@pwc.com</v>
      </c>
      <c r="G107" s="3" t="str">
        <f>IFERROR(__xludf.DUMMYFUNCTION("""COMPUTED_VALUE"""),"FS")</f>
        <v>FS</v>
      </c>
      <c r="H107" s="3" t="str">
        <f>IFERROR(__xludf.DUMMYFUNCTION("""COMPUTED_VALUE"""),"Insurance")</f>
        <v>Insurance</v>
      </c>
      <c r="I107" s="3" t="str">
        <f>IFERROR(__xludf.DUMMYFUNCTION("""COMPUTED_VALUE"""),"FS - Insurance")</f>
        <v>FS - Insurance</v>
      </c>
      <c r="J107" s="3" t="str">
        <f>IFERROR(__xludf.DUMMYFUNCTION("""COMPUTED_VALUE"""),"Managing Director (On Leave)")</f>
        <v>Managing Director (On Leave)</v>
      </c>
      <c r="K107" s="12">
        <f>IFERROR(__xludf.DUMMYFUNCTION("""COMPUTED_VALUE"""),44326.0)</f>
        <v>44326</v>
      </c>
      <c r="L107" s="3" t="str">
        <f>IFERROR(__xludf.DUMMYFUNCTION("""COMPUTED_VALUE"""),"Columbia")</f>
        <v>Columbia</v>
      </c>
      <c r="M107" s="3" t="str">
        <f>IFERROR(__xludf.DUMMYFUNCTION("""COMPUTED_VALUE"""),"Columbia - 1333 Main Street")</f>
        <v>Columbia - 1333 Main Street</v>
      </c>
      <c r="N107" s="3" t="b">
        <f>IFERROR(__xludf.DUMMYFUNCTION("""COMPUTED_VALUE"""),FALSE)</f>
        <v>0</v>
      </c>
      <c r="O107" s="3" t="str">
        <f>IFERROR(__xludf.DUMMYFUNCTION("""COMPUTED_VALUE"""),"ellen.walsh@pwc.com")</f>
        <v>ellen.walsh@pwc.com</v>
      </c>
      <c r="P107" s="3" t="str">
        <f>IFERROR(__xludf.DUMMYFUNCTION("""COMPUTED_VALUE"""),"FY21 2nd Half")</f>
        <v>FY21 2nd Half</v>
      </c>
      <c r="Q107" s="3" t="b">
        <f>IFERROR(__xludf.DUMMYFUNCTION("""COMPUTED_VALUE"""),FALSE)</f>
        <v>0</v>
      </c>
      <c r="R107" s="3"/>
      <c r="S107" s="3"/>
      <c r="T107" s="3" t="b">
        <f>IFERROR(__xludf.DUMMYFUNCTION("""COMPUTED_VALUE"""),TRUE)</f>
        <v>1</v>
      </c>
      <c r="U107" s="3" t="b">
        <f>IFERROR(__xludf.DUMMYFUNCTION("""COMPUTED_VALUE"""),FALSE)</f>
        <v>0</v>
      </c>
      <c r="V107" s="3" t="b">
        <f>IFERROR(__xludf.DUMMYFUNCTION("""COMPUTED_VALUE"""),FALSE)</f>
        <v>0</v>
      </c>
      <c r="W107" s="3" t="str">
        <f>IFERROR(__xludf.DUMMYFUNCTION("""COMPUTED_VALUE"""),"Catalyst")</f>
        <v>Catalyst</v>
      </c>
      <c r="X107" s="3" t="str">
        <f>IFERROR(__xludf.DUMMYFUNCTION("""COMPUTED_VALUE"""),"Investment")</f>
        <v>Investment</v>
      </c>
      <c r="Y107" s="3"/>
      <c r="Z107" s="3" t="str">
        <f>IFERROR(__xludf.DUMMYFUNCTION("""COMPUTED_VALUE"""),"Insurance Transformation")</f>
        <v>Insurance Transformation</v>
      </c>
      <c r="AA107" s="3" t="b">
        <f>IFERROR(__xludf.DUMMYFUNCTION("""COMPUTED_VALUE"""),FALSE)</f>
        <v>0</v>
      </c>
    </row>
    <row r="108">
      <c r="A108" s="11">
        <f>IFERROR(__xludf.DUMMYFUNCTION("""COMPUTED_VALUE"""),1.00586314E8)</f>
        <v>100586314</v>
      </c>
      <c r="B108" s="3" t="str">
        <f>IFERROR(__xludf.DUMMYFUNCTION("""COMPUTED_VALUE"""),"Charlie Hohenshelt")</f>
        <v>Charlie Hohenshelt</v>
      </c>
      <c r="C108" s="3" t="str">
        <f>IFERROR(__xludf.DUMMYFUNCTION("""COMPUTED_VALUE"""),"Charlie  Hohenshelt")</f>
        <v>Charlie  Hohenshelt</v>
      </c>
      <c r="D108" s="3" t="str">
        <f>IFERROR(__xludf.DUMMYFUNCTION("""COMPUTED_VALUE"""),"Hohenshelt, Charlie")</f>
        <v>Hohenshelt, Charlie</v>
      </c>
      <c r="E108" s="3" t="str">
        <f>IFERROR(__xludf.DUMMYFUNCTION("""COMPUTED_VALUE"""),"Active")</f>
        <v>Active</v>
      </c>
      <c r="F108" s="3" t="str">
        <f>IFERROR(__xludf.DUMMYFUNCTION("""COMPUTED_VALUE"""),"charlie.hohenshelt@pwc.com")</f>
        <v>charlie.hohenshelt@pwc.com</v>
      </c>
      <c r="G108" s="3" t="str">
        <f>IFERROR(__xludf.DUMMYFUNCTION("""COMPUTED_VALUE"""),"Customer")</f>
        <v>Customer</v>
      </c>
      <c r="H108" s="3" t="str">
        <f>IFERROR(__xludf.DUMMYFUNCTION("""COMPUTED_VALUE"""),"TMT X-Sector")</f>
        <v>TMT X-Sector</v>
      </c>
      <c r="I108" s="3" t="str">
        <f>IFERROR(__xludf.DUMMYFUNCTION("""COMPUTED_VALUE"""),"Customer - Sales")</f>
        <v>Customer - Sales</v>
      </c>
      <c r="J108" s="3" t="str">
        <f>IFERROR(__xludf.DUMMYFUNCTION("""COMPUTED_VALUE"""),"Partner")</f>
        <v>Partner</v>
      </c>
      <c r="K108" s="12">
        <f>IFERROR(__xludf.DUMMYFUNCTION("""COMPUTED_VALUE"""),40798.0)</f>
        <v>40798</v>
      </c>
      <c r="L108" s="3" t="str">
        <f>IFERROR(__xludf.DUMMYFUNCTION("""COMPUTED_VALUE"""),"Dallas")</f>
        <v>Dallas</v>
      </c>
      <c r="M108" s="3" t="str">
        <f>IFERROR(__xludf.DUMMYFUNCTION("""COMPUTED_VALUE"""),"Dallas - 2121 North Pearl Street")</f>
        <v>Dallas - 2121 North Pearl Street</v>
      </c>
      <c r="N108" s="3" t="b">
        <f>IFERROR(__xludf.DUMMYFUNCTION("""COMPUTED_VALUE"""),FALSE)</f>
        <v>0</v>
      </c>
      <c r="O108" s="3" t="str">
        <f>IFERROR(__xludf.DUMMYFUNCTION("""COMPUTED_VALUE"""),"george.korizis@pwc.com")</f>
        <v>george.korizis@pwc.com</v>
      </c>
      <c r="P108" s="3" t="str">
        <f>IFERROR(__xludf.DUMMYFUNCTION("""COMPUTED_VALUE"""),"No")</f>
        <v>No</v>
      </c>
      <c r="Q108" s="3" t="b">
        <f>IFERROR(__xludf.DUMMYFUNCTION("""COMPUTED_VALUE"""),FALSE)</f>
        <v>0</v>
      </c>
      <c r="R108" s="3"/>
      <c r="S108" s="3"/>
      <c r="T108" s="3" t="b">
        <f>IFERROR(__xludf.DUMMYFUNCTION("""COMPUTED_VALUE"""),TRUE)</f>
        <v>1</v>
      </c>
      <c r="U108" s="3" t="b">
        <f>IFERROR(__xludf.DUMMYFUNCTION("""COMPUTED_VALUE"""),FALSE)</f>
        <v>0</v>
      </c>
      <c r="V108" s="3" t="b">
        <f>IFERROR(__xludf.DUMMYFUNCTION("""COMPUTED_VALUE"""),FALSE)</f>
        <v>0</v>
      </c>
      <c r="W108" s="3" t="str">
        <f>IFERROR(__xludf.DUMMYFUNCTION("""COMPUTED_VALUE"""),"Delivery")</f>
        <v>Delivery</v>
      </c>
      <c r="X108" s="3"/>
      <c r="Y108" s="3" t="str">
        <f>IFERROR(__xludf.DUMMYFUNCTION("""COMPUTED_VALUE"""),"Rainmaker")</f>
        <v>Rainmaker</v>
      </c>
      <c r="Z108" s="3" t="str">
        <f>IFERROR(__xludf.DUMMYFUNCTION("""COMPUTED_VALUE"""),"Cloud Transformation - TMT")</f>
        <v>Cloud Transformation - TMT</v>
      </c>
      <c r="AA108" s="3" t="b">
        <f>IFERROR(__xludf.DUMMYFUNCTION("""COMPUTED_VALUE"""),FALSE)</f>
        <v>0</v>
      </c>
    </row>
    <row r="109">
      <c r="A109" s="11">
        <f>IFERROR(__xludf.DUMMYFUNCTION("""COMPUTED_VALUE"""),1.00650619E8)</f>
        <v>100650619</v>
      </c>
      <c r="B109" s="3" t="str">
        <f>IFERROR(__xludf.DUMMYFUNCTION("""COMPUTED_VALUE"""),"Charlotte Reardon")</f>
        <v>Charlotte Reardon</v>
      </c>
      <c r="C109" s="3" t="str">
        <f>IFERROR(__xludf.DUMMYFUNCTION("""COMPUTED_VALUE"""),"Charlotte  Reardon")</f>
        <v>Charlotte  Reardon</v>
      </c>
      <c r="D109" s="3" t="str">
        <f>IFERROR(__xludf.DUMMYFUNCTION("""COMPUTED_VALUE"""),"Reardon, Charlotte")</f>
        <v>Reardon, Charlotte</v>
      </c>
      <c r="E109" s="3" t="str">
        <f>IFERROR(__xludf.DUMMYFUNCTION("""COMPUTED_VALUE"""),"Active")</f>
        <v>Active</v>
      </c>
      <c r="F109" s="3" t="str">
        <f>IFERROR(__xludf.DUMMYFUNCTION("""COMPUTED_VALUE"""),"charlotte.reardon@pwc.com")</f>
        <v>charlotte.reardon@pwc.com</v>
      </c>
      <c r="G109" s="3" t="str">
        <f>IFERROR(__xludf.DUMMYFUNCTION("""COMPUTED_VALUE"""),"ESV")</f>
        <v>ESV</v>
      </c>
      <c r="H109" s="3" t="str">
        <f>IFERROR(__xludf.DUMMYFUNCTION("""COMPUTED_VALUE"""),"Health Services")</f>
        <v>Health Services</v>
      </c>
      <c r="I109" s="3" t="str">
        <f>IFERROR(__xludf.DUMMYFUNCTION("""COMPUTED_VALUE"""),"ESV - Health Services")</f>
        <v>ESV - Health Services</v>
      </c>
      <c r="J109" s="3" t="str">
        <f>IFERROR(__xludf.DUMMYFUNCTION("""COMPUTED_VALUE"""),"Partner")</f>
        <v>Partner</v>
      </c>
      <c r="K109" s="12">
        <f>IFERROR(__xludf.DUMMYFUNCTION("""COMPUTED_VALUE"""),42186.0)</f>
        <v>42186</v>
      </c>
      <c r="L109" s="3" t="str">
        <f>IFERROR(__xludf.DUMMYFUNCTION("""COMPUTED_VALUE"""),"New York")</f>
        <v>New York</v>
      </c>
      <c r="M109" s="3" t="str">
        <f>IFERROR(__xludf.DUMMYFUNCTION("""COMPUTED_VALUE"""),"New York - 300 Madison Avenue")</f>
        <v>New York - 300 Madison Avenue</v>
      </c>
      <c r="N109" s="3" t="b">
        <f>IFERROR(__xludf.DUMMYFUNCTION("""COMPUTED_VALUE"""),FALSE)</f>
        <v>0</v>
      </c>
      <c r="O109" s="3" t="str">
        <f>IFERROR(__xludf.DUMMYFUNCTION("""COMPUTED_VALUE"""),"sundar.subramanian@pwc.com")</f>
        <v>sundar.subramanian@pwc.com</v>
      </c>
      <c r="P109" s="3" t="str">
        <f>IFERROR(__xludf.DUMMYFUNCTION("""COMPUTED_VALUE"""),"No")</f>
        <v>No</v>
      </c>
      <c r="Q109" s="3" t="b">
        <f>IFERROR(__xludf.DUMMYFUNCTION("""COMPUTED_VALUE"""),TRUE)</f>
        <v>1</v>
      </c>
      <c r="R109" s="3" t="str">
        <f>IFERROR(__xludf.DUMMYFUNCTION("""COMPUTED_VALUE"""),"LCP Low")</f>
        <v>LCP Low</v>
      </c>
      <c r="S109" s="3"/>
      <c r="T109" s="3" t="b">
        <f>IFERROR(__xludf.DUMMYFUNCTION("""COMPUTED_VALUE"""),FALSE)</f>
        <v>0</v>
      </c>
      <c r="U109" s="3" t="b">
        <f>IFERROR(__xludf.DUMMYFUNCTION("""COMPUTED_VALUE"""),FALSE)</f>
        <v>0</v>
      </c>
      <c r="V109" s="3" t="b">
        <f>IFERROR(__xludf.DUMMYFUNCTION("""COMPUTED_VALUE"""),FALSE)</f>
        <v>0</v>
      </c>
      <c r="W109" s="3" t="str">
        <f>IFERROR(__xludf.DUMMYFUNCTION("""COMPUTED_VALUE"""),"LCP")</f>
        <v>LCP</v>
      </c>
      <c r="X109" s="3" t="str">
        <f>IFERROR(__xludf.DUMMYFUNCTION("""COMPUTED_VALUE"""),"Investment")</f>
        <v>Investment</v>
      </c>
      <c r="Y109" s="3" t="str">
        <f>IFERROR(__xludf.DUMMYFUNCTION("""COMPUTED_VALUE"""),"GEP - Low")</f>
        <v>GEP - Low</v>
      </c>
      <c r="Z109" s="3" t="str">
        <f>IFERROR(__xludf.DUMMYFUNCTION("""COMPUTED_VALUE"""),"Commercial / CRM Transformation - CM &amp; IPS &amp; HIA")</f>
        <v>Commercial / CRM Transformation - CM &amp; IPS &amp; HIA</v>
      </c>
      <c r="AA109" s="3" t="b">
        <f>IFERROR(__xludf.DUMMYFUNCTION("""COMPUTED_VALUE"""),FALSE)</f>
        <v>0</v>
      </c>
    </row>
    <row r="110">
      <c r="A110" s="11">
        <f>IFERROR(__xludf.DUMMYFUNCTION("""COMPUTED_VALUE"""),1.0105139E8)</f>
        <v>101051390</v>
      </c>
      <c r="B110" s="3" t="str">
        <f>IFERROR(__xludf.DUMMYFUNCTION("""COMPUTED_VALUE"""),"Chase McCann")</f>
        <v>Chase McCann</v>
      </c>
      <c r="C110" s="3" t="str">
        <f>IFERROR(__xludf.DUMMYFUNCTION("""COMPUTED_VALUE"""),"Chase Allen McCann")</f>
        <v>Chase Allen McCann</v>
      </c>
      <c r="D110" s="3" t="str">
        <f>IFERROR(__xludf.DUMMYFUNCTION("""COMPUTED_VALUE"""),"McCann, Chase Allen")</f>
        <v>McCann, Chase Allen</v>
      </c>
      <c r="E110" s="3" t="str">
        <f>IFERROR(__xludf.DUMMYFUNCTION("""COMPUTED_VALUE"""),"Active")</f>
        <v>Active</v>
      </c>
      <c r="F110" s="3" t="str">
        <f>IFERROR(__xludf.DUMMYFUNCTION("""COMPUTED_VALUE"""),"chase.mccann@pwc.com")</f>
        <v>chase.mccann@pwc.com</v>
      </c>
      <c r="G110" s="3" t="str">
        <f>IFERROR(__xludf.DUMMYFUNCTION("""COMPUTED_VALUE"""),"ESV")</f>
        <v>ESV</v>
      </c>
      <c r="H110" s="3" t="str">
        <f>IFERROR(__xludf.DUMMYFUNCTION("""COMPUTED_VALUE"""),"Health Services")</f>
        <v>Health Services</v>
      </c>
      <c r="I110" s="3" t="str">
        <f>IFERROR(__xludf.DUMMYFUNCTION("""COMPUTED_VALUE"""),"ESV - Health Services")</f>
        <v>ESV - Health Services</v>
      </c>
      <c r="J110" s="3" t="str">
        <f>IFERROR(__xludf.DUMMYFUNCTION("""COMPUTED_VALUE"""),"Partner")</f>
        <v>Partner</v>
      </c>
      <c r="K110" s="12">
        <f>IFERROR(__xludf.DUMMYFUNCTION("""COMPUTED_VALUE"""),44224.0)</f>
        <v>44224</v>
      </c>
      <c r="L110" s="3" t="str">
        <f>IFERROR(__xludf.DUMMYFUNCTION("""COMPUTED_VALUE"""),"Louisville")</f>
        <v>Louisville</v>
      </c>
      <c r="M110" s="3" t="str">
        <f>IFERROR(__xludf.DUMMYFUNCTION("""COMPUTED_VALUE"""),"Louisville - 500 West Main Street")</f>
        <v>Louisville - 500 West Main Street</v>
      </c>
      <c r="N110" s="3" t="b">
        <f>IFERROR(__xludf.DUMMYFUNCTION("""COMPUTED_VALUE"""),FALSE)</f>
        <v>0</v>
      </c>
      <c r="O110" s="3" t="str">
        <f>IFERROR(__xludf.DUMMYFUNCTION("""COMPUTED_VALUE"""),"sundar.subramanian@pwc.com")</f>
        <v>sundar.subramanian@pwc.com</v>
      </c>
      <c r="P110" s="3" t="str">
        <f>IFERROR(__xludf.DUMMYFUNCTION("""COMPUTED_VALUE"""),"FY21 2nd Half")</f>
        <v>FY21 2nd Half</v>
      </c>
      <c r="Q110" s="3" t="b">
        <f>IFERROR(__xludf.DUMMYFUNCTION("""COMPUTED_VALUE"""),FALSE)</f>
        <v>0</v>
      </c>
      <c r="R110" s="3"/>
      <c r="S110" s="3"/>
      <c r="T110" s="3" t="b">
        <f>IFERROR(__xludf.DUMMYFUNCTION("""COMPUTED_VALUE"""),FALSE)</f>
        <v>0</v>
      </c>
      <c r="U110" s="3" t="b">
        <f>IFERROR(__xludf.DUMMYFUNCTION("""COMPUTED_VALUE"""),TRUE)</f>
        <v>1</v>
      </c>
      <c r="V110" s="3" t="b">
        <f>IFERROR(__xludf.DUMMYFUNCTION("""COMPUTED_VALUE"""),FALSE)</f>
        <v>0</v>
      </c>
      <c r="W110" s="3" t="str">
        <f>IFERROR(__xludf.DUMMYFUNCTION("""COMPUTED_VALUE"""),"Catalyst")</f>
        <v>Catalyst</v>
      </c>
      <c r="X110" s="3" t="str">
        <f>IFERROR(__xludf.DUMMYFUNCTION("""COMPUTED_VALUE"""),"Investment")</f>
        <v>Investment</v>
      </c>
      <c r="Y110" s="3" t="str">
        <f>IFERROR(__xludf.DUMMYFUNCTION("""COMPUTED_VALUE"""),"FY21 2nd Half")</f>
        <v>FY21 2nd Half</v>
      </c>
      <c r="Z110" s="3" t="str">
        <f>IFERROR(__xludf.DUMMYFUNCTION("""COMPUTED_VALUE"""),"Enterprise Digital Transformation - Health Services")</f>
        <v>Enterprise Digital Transformation - Health Services</v>
      </c>
      <c r="AA110" s="3" t="b">
        <f>IFERROR(__xludf.DUMMYFUNCTION("""COMPUTED_VALUE"""),FALSE)</f>
        <v>0</v>
      </c>
    </row>
    <row r="111">
      <c r="A111" s="11">
        <f>IFERROR(__xludf.DUMMYFUNCTION("""COMPUTED_VALUE"""),1.01056026E8)</f>
        <v>101056026</v>
      </c>
      <c r="B111" s="3" t="str">
        <f>IFERROR(__xludf.DUMMYFUNCTION("""COMPUTED_VALUE"""),"Chelsea Hamilton")</f>
        <v>Chelsea Hamilton</v>
      </c>
      <c r="C111" s="3" t="str">
        <f>IFERROR(__xludf.DUMMYFUNCTION("""COMPUTED_VALUE"""),"Chelsea Richter Hamilton")</f>
        <v>Chelsea Richter Hamilton</v>
      </c>
      <c r="D111" s="3" t="str">
        <f>IFERROR(__xludf.DUMMYFUNCTION("""COMPUTED_VALUE"""),"Hamilton, Chelsea Richter")</f>
        <v>Hamilton, Chelsea Richter</v>
      </c>
      <c r="E111" s="3" t="str">
        <f>IFERROR(__xludf.DUMMYFUNCTION("""COMPUTED_VALUE"""),"Active")</f>
        <v>Active</v>
      </c>
      <c r="F111" s="3" t="str">
        <f>IFERROR(__xludf.DUMMYFUNCTION("""COMPUTED_VALUE"""),"chelsea.hamilton@pwc.com")</f>
        <v>chelsea.hamilton@pwc.com</v>
      </c>
      <c r="G111" s="3" t="str">
        <f>IFERROR(__xludf.DUMMYFUNCTION("""COMPUTED_VALUE"""),"Customer")</f>
        <v>Customer</v>
      </c>
      <c r="H111" s="3" t="str">
        <f>IFERROR(__xludf.DUMMYFUNCTION("""COMPUTED_VALUE"""),"CM X-Sector")</f>
        <v>CM X-Sector</v>
      </c>
      <c r="I111" s="3" t="str">
        <f>IFERROR(__xludf.DUMMYFUNCTION("""COMPUTED_VALUE"""),"Customer - Analytics")</f>
        <v>Customer - Analytics</v>
      </c>
      <c r="J111" s="3" t="str">
        <f>IFERROR(__xludf.DUMMYFUNCTION("""COMPUTED_VALUE"""),"Partner")</f>
        <v>Partner</v>
      </c>
      <c r="K111" s="12">
        <f>IFERROR(__xludf.DUMMYFUNCTION("""COMPUTED_VALUE"""),44256.0)</f>
        <v>44256</v>
      </c>
      <c r="L111" s="3" t="str">
        <f>IFERROR(__xludf.DUMMYFUNCTION("""COMPUTED_VALUE"""),"Jacksonville")</f>
        <v>Jacksonville</v>
      </c>
      <c r="M111" s="3" t="str">
        <f>IFERROR(__xludf.DUMMYFUNCTION("""COMPUTED_VALUE"""),"Jacksonville - 76 Laura Street")</f>
        <v>Jacksonville - 76 Laura Street</v>
      </c>
      <c r="N111" s="3" t="b">
        <f>IFERROR(__xludf.DUMMYFUNCTION("""COMPUTED_VALUE"""),FALSE)</f>
        <v>0</v>
      </c>
      <c r="O111" s="3" t="str">
        <f>IFERROR(__xludf.DUMMYFUNCTION("""COMPUTED_VALUE"""),"george.korizis@pwc.com")</f>
        <v>george.korizis@pwc.com</v>
      </c>
      <c r="P111" s="3" t="str">
        <f>IFERROR(__xludf.DUMMYFUNCTION("""COMPUTED_VALUE"""),"FY21 2nd Half")</f>
        <v>FY21 2nd Half</v>
      </c>
      <c r="Q111" s="3" t="b">
        <f>IFERROR(__xludf.DUMMYFUNCTION("""COMPUTED_VALUE"""),TRUE)</f>
        <v>1</v>
      </c>
      <c r="R111" s="3" t="str">
        <f>IFERROR(__xludf.DUMMYFUNCTION("""COMPUTED_VALUE"""),"LCP High")</f>
        <v>LCP High</v>
      </c>
      <c r="S111" s="3"/>
      <c r="T111" s="3" t="b">
        <f>IFERROR(__xludf.DUMMYFUNCTION("""COMPUTED_VALUE"""),FALSE)</f>
        <v>0</v>
      </c>
      <c r="U111" s="3" t="b">
        <f>IFERROR(__xludf.DUMMYFUNCTION("""COMPUTED_VALUE"""),TRUE)</f>
        <v>1</v>
      </c>
      <c r="V111" s="3" t="b">
        <f>IFERROR(__xludf.DUMMYFUNCTION("""COMPUTED_VALUE"""),FALSE)</f>
        <v>0</v>
      </c>
      <c r="W111" s="3" t="str">
        <f>IFERROR(__xludf.DUMMYFUNCTION("""COMPUTED_VALUE"""),"Catalyst")</f>
        <v>Catalyst</v>
      </c>
      <c r="X111" s="3" t="str">
        <f>IFERROR(__xludf.DUMMYFUNCTION("""COMPUTED_VALUE"""),"LCP; Investment")</f>
        <v>LCP; Investment</v>
      </c>
      <c r="Y111" s="3" t="str">
        <f>IFERROR(__xludf.DUMMYFUNCTION("""COMPUTED_VALUE"""),"GEP - Low")</f>
        <v>GEP - Low</v>
      </c>
      <c r="Z111" s="3" t="str">
        <f>IFERROR(__xludf.DUMMYFUNCTION("""COMPUTED_VALUE"""),"Enterprise Digital Transformation - BCM &amp; AWM")</f>
        <v>Enterprise Digital Transformation - BCM &amp; AWM</v>
      </c>
      <c r="AA111" s="3" t="b">
        <f>IFERROR(__xludf.DUMMYFUNCTION("""COMPUTED_VALUE"""),FALSE)</f>
        <v>0</v>
      </c>
    </row>
    <row r="112">
      <c r="A112" s="11">
        <f>IFERROR(__xludf.DUMMYFUNCTION("""COMPUTED_VALUE"""),1.01090216E8)</f>
        <v>101090216</v>
      </c>
      <c r="B112" s="3" t="str">
        <f>IFERROR(__xludf.DUMMYFUNCTION("""COMPUTED_VALUE"""),"Chetan Ghatge")</f>
        <v>Chetan Ghatge</v>
      </c>
      <c r="C112" s="3" t="str">
        <f>IFERROR(__xludf.DUMMYFUNCTION("""COMPUTED_VALUE"""),"Chetan M Ghatge")</f>
        <v>Chetan M Ghatge</v>
      </c>
      <c r="D112" s="3" t="str">
        <f>IFERROR(__xludf.DUMMYFUNCTION("""COMPUTED_VALUE"""),"Ghatge, Chetan M")</f>
        <v>Ghatge, Chetan M</v>
      </c>
      <c r="E112" s="3" t="str">
        <f>IFERROR(__xludf.DUMMYFUNCTION("""COMPUTED_VALUE"""),"Active")</f>
        <v>Active</v>
      </c>
      <c r="F112" s="3" t="str">
        <f>IFERROR(__xludf.DUMMYFUNCTION("""COMPUTED_VALUE"""),"chetan.ghatge@pwc.com")</f>
        <v>chetan.ghatge@pwc.com</v>
      </c>
      <c r="G112" s="3" t="str">
        <f>IFERROR(__xludf.DUMMYFUNCTION("""COMPUTED_VALUE"""),"Ops")</f>
        <v>Ops</v>
      </c>
      <c r="H112" s="3" t="str">
        <f>IFERROR(__xludf.DUMMYFUNCTION("""COMPUTED_VALUE"""),"Pharma and Life Sciences")</f>
        <v>Pharma and Life Sciences</v>
      </c>
      <c r="I112" s="3" t="str">
        <f>IFERROR(__xludf.DUMMYFUNCTION("""COMPUTED_VALUE"""),"Ops - Sourcing &amp; Procurement (S&amp;P)")</f>
        <v>Ops - Sourcing &amp; Procurement (S&amp;P)</v>
      </c>
      <c r="J112" s="3" t="str">
        <f>IFERROR(__xludf.DUMMYFUNCTION("""COMPUTED_VALUE"""),"Partner")</f>
        <v>Partner</v>
      </c>
      <c r="K112" s="12">
        <f>IFERROR(__xludf.DUMMYFUNCTION("""COMPUTED_VALUE"""),44389.0)</f>
        <v>44389</v>
      </c>
      <c r="L112" s="3" t="str">
        <f>IFERROR(__xludf.DUMMYFUNCTION("""COMPUTED_VALUE"""),"Boston")</f>
        <v>Boston</v>
      </c>
      <c r="M112" s="3" t="str">
        <f>IFERROR(__xludf.DUMMYFUNCTION("""COMPUTED_VALUE"""),"Boston - 101 Seaport Boulevard")</f>
        <v>Boston - 101 Seaport Boulevard</v>
      </c>
      <c r="N112" s="3" t="b">
        <f>IFERROR(__xludf.DUMMYFUNCTION("""COMPUTED_VALUE"""),FALSE)</f>
        <v>0</v>
      </c>
      <c r="O112" s="3" t="str">
        <f>IFERROR(__xludf.DUMMYFUNCTION("""COMPUTED_VALUE"""),"matthew.r.comte@pwc.com")</f>
        <v>matthew.r.comte@pwc.com</v>
      </c>
      <c r="P112" s="3" t="str">
        <f>IFERROR(__xludf.DUMMYFUNCTION("""COMPUTED_VALUE"""),"FY22")</f>
        <v>FY22</v>
      </c>
      <c r="Q112" s="3" t="b">
        <f>IFERROR(__xludf.DUMMYFUNCTION("""COMPUTED_VALUE"""),FALSE)</f>
        <v>0</v>
      </c>
      <c r="R112" s="3"/>
      <c r="S112" s="3"/>
      <c r="T112" s="3" t="b">
        <f>IFERROR(__xludf.DUMMYFUNCTION("""COMPUTED_VALUE"""),FALSE)</f>
        <v>0</v>
      </c>
      <c r="U112" s="3" t="b">
        <f>IFERROR(__xludf.DUMMYFUNCTION("""COMPUTED_VALUE"""),TRUE)</f>
        <v>1</v>
      </c>
      <c r="V112" s="3" t="b">
        <f>IFERROR(__xludf.DUMMYFUNCTION("""COMPUTED_VALUE"""),FALSE)</f>
        <v>0</v>
      </c>
      <c r="W112" s="3" t="str">
        <f>IFERROR(__xludf.DUMMYFUNCTION("""COMPUTED_VALUE"""),"Catalyst")</f>
        <v>Catalyst</v>
      </c>
      <c r="X112" s="3"/>
      <c r="Y112" s="3" t="str">
        <f>IFERROR(__xludf.DUMMYFUNCTION("""COMPUTED_VALUE"""),"FY22")</f>
        <v>FY22</v>
      </c>
      <c r="Z112" s="3" t="str">
        <f>IFERROR(__xludf.DUMMYFUNCTION("""COMPUTED_VALUE"""),"PLS Ops Transformation")</f>
        <v>PLS Ops Transformation</v>
      </c>
      <c r="AA112" s="3" t="b">
        <f>IFERROR(__xludf.DUMMYFUNCTION("""COMPUTED_VALUE"""),FALSE)</f>
        <v>0</v>
      </c>
    </row>
    <row r="113">
      <c r="A113" s="11">
        <f>IFERROR(__xludf.DUMMYFUNCTION("""COMPUTED_VALUE"""),1.00595407E8)</f>
        <v>100595407</v>
      </c>
      <c r="B113" s="3" t="str">
        <f>IFERROR(__xludf.DUMMYFUNCTION("""COMPUTED_VALUE"""),"Chi Onyewuchi")</f>
        <v>Chi Onyewuchi</v>
      </c>
      <c r="C113" s="3" t="str">
        <f>IFERROR(__xludf.DUMMYFUNCTION("""COMPUTED_VALUE"""),"Chijioke  Onyewuchi")</f>
        <v>Chijioke  Onyewuchi</v>
      </c>
      <c r="D113" s="3" t="str">
        <f>IFERROR(__xludf.DUMMYFUNCTION("""COMPUTED_VALUE"""),"Onyewuchi, Chijioke")</f>
        <v>Onyewuchi, Chijioke</v>
      </c>
      <c r="E113" s="3" t="str">
        <f>IFERROR(__xludf.DUMMYFUNCTION("""COMPUTED_VALUE"""),"Active")</f>
        <v>Active</v>
      </c>
      <c r="F113" s="3" t="str">
        <f>IFERROR(__xludf.DUMMYFUNCTION("""COMPUTED_VALUE"""),"chijioke.onyewuchi@pwc.com")</f>
        <v>chijioke.onyewuchi@pwc.com</v>
      </c>
      <c r="G113" s="3" t="str">
        <f>IFERROR(__xludf.DUMMYFUNCTION("""COMPUTED_VALUE"""),"Deals Transformation")</f>
        <v>Deals Transformation</v>
      </c>
      <c r="H113" s="3" t="str">
        <f>IFERROR(__xludf.DUMMYFUNCTION("""COMPUTED_VALUE"""),"Energy")</f>
        <v>Energy</v>
      </c>
      <c r="I113" s="3" t="str">
        <f>IFERROR(__xludf.DUMMYFUNCTION("""COMPUTED_VALUE"""),"DDV - ISD (Integration, Separation, Divestitures)")</f>
        <v>DDV - ISD (Integration, Separation, Divestitures)</v>
      </c>
      <c r="J113" s="3" t="str">
        <f>IFERROR(__xludf.DUMMYFUNCTION("""COMPUTED_VALUE"""),"Partner")</f>
        <v>Partner</v>
      </c>
      <c r="K113" s="12">
        <f>IFERROR(__xludf.DUMMYFUNCTION("""COMPUTED_VALUE"""),41078.0)</f>
        <v>41078</v>
      </c>
      <c r="L113" s="3" t="str">
        <f>IFERROR(__xludf.DUMMYFUNCTION("""COMPUTED_VALUE"""),"Houston")</f>
        <v>Houston</v>
      </c>
      <c r="M113" s="3" t="str">
        <f>IFERROR(__xludf.DUMMYFUNCTION("""COMPUTED_VALUE"""),"Houston - 1000 Louisiana Street")</f>
        <v>Houston - 1000 Louisiana Street</v>
      </c>
      <c r="N113" s="3" t="b">
        <f>IFERROR(__xludf.DUMMYFUNCTION("""COMPUTED_VALUE"""),FALSE)</f>
        <v>0</v>
      </c>
      <c r="O113" s="3" t="str">
        <f>IFERROR(__xludf.DUMMYFUNCTION("""COMPUTED_VALUE"""),"derek.b.townsend@pwc.com")</f>
        <v>derek.b.townsend@pwc.com</v>
      </c>
      <c r="P113" s="3" t="str">
        <f>IFERROR(__xludf.DUMMYFUNCTION("""COMPUTED_VALUE"""),"No")</f>
        <v>No</v>
      </c>
      <c r="Q113" s="3" t="b">
        <f>IFERROR(__xludf.DUMMYFUNCTION("""COMPUTED_VALUE"""),FALSE)</f>
        <v>0</v>
      </c>
      <c r="R113" s="3"/>
      <c r="S113" s="3"/>
      <c r="T113" s="3" t="b">
        <f>IFERROR(__xludf.DUMMYFUNCTION("""COMPUTED_VALUE"""),FALSE)</f>
        <v>0</v>
      </c>
      <c r="U113" s="3" t="b">
        <f>IFERROR(__xludf.DUMMYFUNCTION("""COMPUTED_VALUE"""),TRUE)</f>
        <v>1</v>
      </c>
      <c r="V113" s="3" t="b">
        <f>IFERROR(__xludf.DUMMYFUNCTION("""COMPUTED_VALUE"""),FALSE)</f>
        <v>0</v>
      </c>
      <c r="W113" s="3" t="str">
        <f>IFERROR(__xludf.DUMMYFUNCTION("""COMPUTED_VALUE"""),"Delivery")</f>
        <v>Delivery</v>
      </c>
      <c r="X113" s="3"/>
      <c r="Y113" s="3"/>
      <c r="Z113" s="3" t="str">
        <f>IFERROR(__xludf.DUMMYFUNCTION("""COMPUTED_VALUE"""),"Corporate M&amp;A Transformation - IPS")</f>
        <v>Corporate M&amp;A Transformation - IPS</v>
      </c>
      <c r="AA113" s="3" t="b">
        <f>IFERROR(__xludf.DUMMYFUNCTION("""COMPUTED_VALUE"""),FALSE)</f>
        <v>0</v>
      </c>
    </row>
    <row r="114">
      <c r="A114" s="11">
        <f>IFERROR(__xludf.DUMMYFUNCTION("""COMPUTED_VALUE"""),1.01088146E8)</f>
        <v>101088146</v>
      </c>
      <c r="B114" s="3" t="str">
        <f>IFERROR(__xludf.DUMMYFUNCTION("""COMPUTED_VALUE"""),"Chris Bonus")</f>
        <v>Chris Bonus</v>
      </c>
      <c r="C114" s="3" t="str">
        <f>IFERROR(__xludf.DUMMYFUNCTION("""COMPUTED_VALUE"""),"Christopher  Bonus")</f>
        <v>Christopher  Bonus</v>
      </c>
      <c r="D114" s="3" t="str">
        <f>IFERROR(__xludf.DUMMYFUNCTION("""COMPUTED_VALUE"""),"Bonus, Christopher")</f>
        <v>Bonus, Christopher</v>
      </c>
      <c r="E114" s="3" t="str">
        <f>IFERROR(__xludf.DUMMYFUNCTION("""COMPUTED_VALUE"""),"Active")</f>
        <v>Active</v>
      </c>
      <c r="F114" s="3" t="str">
        <f>IFERROR(__xludf.DUMMYFUNCTION("""COMPUTED_VALUE"""),"chris.bonus@pwc.com")</f>
        <v>chris.bonus@pwc.com</v>
      </c>
      <c r="G114" s="3" t="str">
        <f>IFERROR(__xludf.DUMMYFUNCTION("""COMPUTED_VALUE"""),"Health")</f>
        <v>Health</v>
      </c>
      <c r="H114" s="3" t="str">
        <f>IFERROR(__xludf.DUMMYFUNCTION("""COMPUTED_VALUE"""),"Health Services")</f>
        <v>Health Services</v>
      </c>
      <c r="I114" s="3" t="str">
        <f>IFERROR(__xludf.DUMMYFUNCTION("""COMPUTED_VALUE"""),"Health - Payer CO&amp;I")</f>
        <v>Health - Payer CO&amp;I</v>
      </c>
      <c r="J114" s="3" t="str">
        <f>IFERROR(__xludf.DUMMYFUNCTION("""COMPUTED_VALUE"""),"Partner")</f>
        <v>Partner</v>
      </c>
      <c r="K114" s="12">
        <f>IFERROR(__xludf.DUMMYFUNCTION("""COMPUTED_VALUE"""),44354.0)</f>
        <v>44354</v>
      </c>
      <c r="L114" s="3" t="str">
        <f>IFERROR(__xludf.DUMMYFUNCTION("""COMPUTED_VALUE"""),"Detroit")</f>
        <v>Detroit</v>
      </c>
      <c r="M114" s="3" t="str">
        <f>IFERROR(__xludf.DUMMYFUNCTION("""COMPUTED_VALUE"""),"Detroit - 500 Woodward Avenue")</f>
        <v>Detroit - 500 Woodward Avenue</v>
      </c>
      <c r="N114" s="3" t="b">
        <f>IFERROR(__xludf.DUMMYFUNCTION("""COMPUTED_VALUE"""),FALSE)</f>
        <v>0</v>
      </c>
      <c r="O114" s="3" t="str">
        <f>IFERROR(__xludf.DUMMYFUNCTION("""COMPUTED_VALUE"""),"craig.e.gooch@pwc.com")</f>
        <v>craig.e.gooch@pwc.com</v>
      </c>
      <c r="P114" s="3" t="str">
        <f>IFERROR(__xludf.DUMMYFUNCTION("""COMPUTED_VALUE"""),"FY21 2nd Half")</f>
        <v>FY21 2nd Half</v>
      </c>
      <c r="Q114" s="3" t="b">
        <f>IFERROR(__xludf.DUMMYFUNCTION("""COMPUTED_VALUE"""),FALSE)</f>
        <v>0</v>
      </c>
      <c r="R114" s="3"/>
      <c r="S114" s="3"/>
      <c r="T114" s="3" t="b">
        <f>IFERROR(__xludf.DUMMYFUNCTION("""COMPUTED_VALUE"""),FALSE)</f>
        <v>0</v>
      </c>
      <c r="U114" s="3" t="b">
        <f>IFERROR(__xludf.DUMMYFUNCTION("""COMPUTED_VALUE"""),TRUE)</f>
        <v>1</v>
      </c>
      <c r="V114" s="3" t="b">
        <f>IFERROR(__xludf.DUMMYFUNCTION("""COMPUTED_VALUE"""),FALSE)</f>
        <v>0</v>
      </c>
      <c r="W114" s="3" t="str">
        <f>IFERROR(__xludf.DUMMYFUNCTION("""COMPUTED_VALUE"""),"Catalyst")</f>
        <v>Catalyst</v>
      </c>
      <c r="X114" s="3" t="str">
        <f>IFERROR(__xludf.DUMMYFUNCTION("""COMPUTED_VALUE"""),"Investment")</f>
        <v>Investment</v>
      </c>
      <c r="Y114" s="3" t="str">
        <f>IFERROR(__xludf.DUMMYFUNCTION("""COMPUTED_VALUE"""),"FY21 2nd Half")</f>
        <v>FY21 2nd Half</v>
      </c>
      <c r="Z114" s="3" t="str">
        <f>IFERROR(__xludf.DUMMYFUNCTION("""COMPUTED_VALUE"""),"Payer Transformation")</f>
        <v>Payer Transformation</v>
      </c>
      <c r="AA114" s="3" t="b">
        <f>IFERROR(__xludf.DUMMYFUNCTION("""COMPUTED_VALUE"""),FALSE)</f>
        <v>0</v>
      </c>
    </row>
    <row r="115">
      <c r="A115" s="11">
        <f>IFERROR(__xludf.DUMMYFUNCTION("""COMPUTED_VALUE"""),1.00878189E8)</f>
        <v>100878189</v>
      </c>
      <c r="B115" s="3" t="str">
        <f>IFERROR(__xludf.DUMMYFUNCTION("""COMPUTED_VALUE"""),"Chris Burke")</f>
        <v>Chris Burke</v>
      </c>
      <c r="C115" s="3" t="str">
        <f>IFERROR(__xludf.DUMMYFUNCTION("""COMPUTED_VALUE"""),"Christopher  Burke")</f>
        <v>Christopher  Burke</v>
      </c>
      <c r="D115" s="3" t="str">
        <f>IFERROR(__xludf.DUMMYFUNCTION("""COMPUTED_VALUE"""),"Burke, Christopher")</f>
        <v>Burke, Christopher</v>
      </c>
      <c r="E115" s="3" t="str">
        <f>IFERROR(__xludf.DUMMYFUNCTION("""COMPUTED_VALUE"""),"Active")</f>
        <v>Active</v>
      </c>
      <c r="F115" s="3" t="str">
        <f>IFERROR(__xludf.DUMMYFUNCTION("""COMPUTED_VALUE"""),"chris.c.burke@pwc.com")</f>
        <v>chris.c.burke@pwc.com</v>
      </c>
      <c r="G115" s="3" t="str">
        <f>IFERROR(__xludf.DUMMYFUNCTION("""COMPUTED_VALUE"""),"Workforce")</f>
        <v>Workforce</v>
      </c>
      <c r="H115" s="3" t="str">
        <f>IFERROR(__xludf.DUMMYFUNCTION("""COMPUTED_VALUE"""),"Manufacturing")</f>
        <v>Manufacturing</v>
      </c>
      <c r="I115" s="3" t="str">
        <f>IFERROR(__xludf.DUMMYFUNCTION("""COMPUTED_VALUE"""),"Workforce - Talent, Change &amp; Behaviors")</f>
        <v>Workforce - Talent, Change &amp; Behaviors</v>
      </c>
      <c r="J115" s="3" t="str">
        <f>IFERROR(__xludf.DUMMYFUNCTION("""COMPUTED_VALUE"""),"Partner (Position Vacate:06/30/2022)")</f>
        <v>Partner (Position Vacate:06/30/2022)</v>
      </c>
      <c r="K115" s="12">
        <f>IFERROR(__xludf.DUMMYFUNCTION("""COMPUTED_VALUE"""),43508.0)</f>
        <v>43508</v>
      </c>
      <c r="L115" s="3" t="str">
        <f>IFERROR(__xludf.DUMMYFUNCTION("""COMPUTED_VALUE"""),"New York")</f>
        <v>New York</v>
      </c>
      <c r="M115" s="3" t="str">
        <f>IFERROR(__xludf.DUMMYFUNCTION("""COMPUTED_VALUE"""),"New York - 300 Madison Avenue")</f>
        <v>New York - 300 Madison Avenue</v>
      </c>
      <c r="N115" s="3" t="b">
        <f>IFERROR(__xludf.DUMMYFUNCTION("""COMPUTED_VALUE"""),FALSE)</f>
        <v>0</v>
      </c>
      <c r="O115" s="3" t="str">
        <f>IFERROR(__xludf.DUMMYFUNCTION("""COMPUTED_VALUE"""),"craig.odonnell@pwc.com")</f>
        <v>craig.odonnell@pwc.com</v>
      </c>
      <c r="P115" s="3" t="str">
        <f>IFERROR(__xludf.DUMMYFUNCTION("""COMPUTED_VALUE"""),"No")</f>
        <v>No</v>
      </c>
      <c r="Q115" s="3" t="b">
        <f>IFERROR(__xludf.DUMMYFUNCTION("""COMPUTED_VALUE"""),FALSE)</f>
        <v>0</v>
      </c>
      <c r="R115" s="3"/>
      <c r="S115" s="3"/>
      <c r="T115" s="3" t="b">
        <f>IFERROR(__xludf.DUMMYFUNCTION("""COMPUTED_VALUE"""),FALSE)</f>
        <v>0</v>
      </c>
      <c r="U115" s="3" t="b">
        <f>IFERROR(__xludf.DUMMYFUNCTION("""COMPUTED_VALUE"""),FALSE)</f>
        <v>0</v>
      </c>
      <c r="V115" s="3" t="b">
        <f>IFERROR(__xludf.DUMMYFUNCTION("""COMPUTED_VALUE"""),FALSE)</f>
        <v>0</v>
      </c>
      <c r="W115" s="3" t="str">
        <f>IFERROR(__xludf.DUMMYFUNCTION("""COMPUTED_VALUE"""),"#N/A")</f>
        <v>#N/A</v>
      </c>
      <c r="X115" s="3" t="str">
        <f>IFERROR(__xludf.DUMMYFUNCTION("""COMPUTED_VALUE"""),"#N/A")</f>
        <v>#N/A</v>
      </c>
      <c r="Y115" s="3" t="str">
        <f>IFERROR(__xludf.DUMMYFUNCTION("""COMPUTED_VALUE"""),"#N/A")</f>
        <v>#N/A</v>
      </c>
      <c r="Z115" s="3" t="str">
        <f>IFERROR(__xludf.DUMMYFUNCTION("""COMPUTED_VALUE"""),"Unknown")</f>
        <v>Unknown</v>
      </c>
      <c r="AA115" s="3" t="b">
        <f>IFERROR(__xludf.DUMMYFUNCTION("""COMPUTED_VALUE"""),FALSE)</f>
        <v>0</v>
      </c>
    </row>
    <row r="116">
      <c r="A116" s="11">
        <f>IFERROR(__xludf.DUMMYFUNCTION("""COMPUTED_VALUE"""),1.00613672E8)</f>
        <v>100613672</v>
      </c>
      <c r="B116" s="3" t="str">
        <f>IFERROR(__xludf.DUMMYFUNCTION("""COMPUTED_VALUE"""),"Chris Cook")</f>
        <v>Chris Cook</v>
      </c>
      <c r="C116" s="3" t="str">
        <f>IFERROR(__xludf.DUMMYFUNCTION("""COMPUTED_VALUE"""),"Christopher W Cook")</f>
        <v>Christopher W Cook</v>
      </c>
      <c r="D116" s="3" t="str">
        <f>IFERROR(__xludf.DUMMYFUNCTION("""COMPUTED_VALUE"""),"Cook, Christopher W")</f>
        <v>Cook, Christopher W</v>
      </c>
      <c r="E116" s="3" t="str">
        <f>IFERROR(__xludf.DUMMYFUNCTION("""COMPUTED_VALUE"""),"Active")</f>
        <v>Active</v>
      </c>
      <c r="F116" s="3" t="str">
        <f>IFERROR(__xludf.DUMMYFUNCTION("""COMPUTED_VALUE"""),"chris.w.cook@pwc.com")</f>
        <v>chris.w.cook@pwc.com</v>
      </c>
      <c r="G116" s="3" t="str">
        <f>IFERROR(__xludf.DUMMYFUNCTION("""COMPUTED_VALUE"""),"Deals Transformation")</f>
        <v>Deals Transformation</v>
      </c>
      <c r="H116" s="3" t="str">
        <f>IFERROR(__xludf.DUMMYFUNCTION("""COMPUTED_VALUE"""),"TMT X-Sector")</f>
        <v>TMT X-Sector</v>
      </c>
      <c r="I116" s="3" t="str">
        <f>IFERROR(__xludf.DUMMYFUNCTION("""COMPUTED_VALUE"""),"DDV - ISD (Integration, Separation, Divestitures)")</f>
        <v>DDV - ISD (Integration, Separation, Divestitures)</v>
      </c>
      <c r="J116" s="3" t="str">
        <f>IFERROR(__xludf.DUMMYFUNCTION("""COMPUTED_VALUE"""),"Partner")</f>
        <v>Partner</v>
      </c>
      <c r="K116" s="12">
        <f>IFERROR(__xludf.DUMMYFUNCTION("""COMPUTED_VALUE"""),37760.0)</f>
        <v>37760</v>
      </c>
      <c r="L116" s="3" t="str">
        <f>IFERROR(__xludf.DUMMYFUNCTION("""COMPUTED_VALUE"""),"San Diego")</f>
        <v>San Diego</v>
      </c>
      <c r="M116" s="3" t="str">
        <f>IFERROR(__xludf.DUMMYFUNCTION("""COMPUTED_VALUE"""),"San Diego - 12860 El Camino")</f>
        <v>San Diego - 12860 El Camino</v>
      </c>
      <c r="N116" s="3" t="b">
        <f>IFERROR(__xludf.DUMMYFUNCTION("""COMPUTED_VALUE"""),FALSE)</f>
        <v>0</v>
      </c>
      <c r="O116" s="3" t="str">
        <f>IFERROR(__xludf.DUMMYFUNCTION("""COMPUTED_VALUE"""),"derek.b.townsend@pwc.com")</f>
        <v>derek.b.townsend@pwc.com</v>
      </c>
      <c r="P116" s="3" t="str">
        <f>IFERROR(__xludf.DUMMYFUNCTION("""COMPUTED_VALUE"""),"No")</f>
        <v>No</v>
      </c>
      <c r="Q116" s="3" t="b">
        <f>IFERROR(__xludf.DUMMYFUNCTION("""COMPUTED_VALUE"""),FALSE)</f>
        <v>0</v>
      </c>
      <c r="R116" s="3"/>
      <c r="S116" s="3"/>
      <c r="T116" s="3" t="b">
        <f>IFERROR(__xludf.DUMMYFUNCTION("""COMPUTED_VALUE"""),FALSE)</f>
        <v>0</v>
      </c>
      <c r="U116" s="3" t="b">
        <f>IFERROR(__xludf.DUMMYFUNCTION("""COMPUTED_VALUE"""),TRUE)</f>
        <v>1</v>
      </c>
      <c r="V116" s="3" t="b">
        <f>IFERROR(__xludf.DUMMYFUNCTION("""COMPUTED_VALUE"""),FALSE)</f>
        <v>0</v>
      </c>
      <c r="W116" s="3" t="str">
        <f>IFERROR(__xludf.DUMMYFUNCTION("""COMPUTED_VALUE"""),"Delivery")</f>
        <v>Delivery</v>
      </c>
      <c r="X116" s="3"/>
      <c r="Y116" s="3"/>
      <c r="Z116" s="3" t="str">
        <f>IFERROR(__xludf.DUMMYFUNCTION("""COMPUTED_VALUE"""),"Corporate M&amp;A Transformation - TMT")</f>
        <v>Corporate M&amp;A Transformation - TMT</v>
      </c>
      <c r="AA116" s="3" t="b">
        <f>IFERROR(__xludf.DUMMYFUNCTION("""COMPUTED_VALUE"""),FALSE)</f>
        <v>0</v>
      </c>
    </row>
    <row r="117">
      <c r="A117" s="11">
        <f>IFERROR(__xludf.DUMMYFUNCTION("""COMPUTED_VALUE"""),1.01154609E8)</f>
        <v>101154609</v>
      </c>
      <c r="B117" s="3" t="str">
        <f>IFERROR(__xludf.DUMMYFUNCTION("""COMPUTED_VALUE"""),"Chris Hamilton")</f>
        <v>Chris Hamilton</v>
      </c>
      <c r="C117" s="3" t="str">
        <f>IFERROR(__xludf.DUMMYFUNCTION("""COMPUTED_VALUE"""),"Christopher F Hamilton")</f>
        <v>Christopher F Hamilton</v>
      </c>
      <c r="D117" s="3" t="str">
        <f>IFERROR(__xludf.DUMMYFUNCTION("""COMPUTED_VALUE"""),"Hamilton, Christopher F")</f>
        <v>Hamilton, Christopher F</v>
      </c>
      <c r="E117" s="3" t="str">
        <f>IFERROR(__xludf.DUMMYFUNCTION("""COMPUTED_VALUE"""),"Active")</f>
        <v>Active</v>
      </c>
      <c r="F117" s="3" t="str">
        <f>IFERROR(__xludf.DUMMYFUNCTION("""COMPUTED_VALUE"""),"chris.hamilton@pwc.com")</f>
        <v>chris.hamilton@pwc.com</v>
      </c>
      <c r="G117" s="3" t="str">
        <f>IFERROR(__xludf.DUMMYFUNCTION("""COMPUTED_VALUE"""),"Workforce")</f>
        <v>Workforce</v>
      </c>
      <c r="H117" s="3" t="str">
        <f>IFERROR(__xludf.DUMMYFUNCTION("""COMPUTED_VALUE"""),"Aerospace and Defence")</f>
        <v>Aerospace and Defence</v>
      </c>
      <c r="I117" s="3" t="str">
        <f>IFERROR(__xludf.DUMMYFUNCTION("""COMPUTED_VALUE"""),"Workforce - Rewards &amp; Well Being")</f>
        <v>Workforce - Rewards &amp; Well Being</v>
      </c>
      <c r="J117" s="3" t="str">
        <f>IFERROR(__xludf.DUMMYFUNCTION("""COMPUTED_VALUE"""),"Partner")</f>
        <v>Partner</v>
      </c>
      <c r="K117" s="12">
        <f>IFERROR(__xludf.DUMMYFUNCTION("""COMPUTED_VALUE"""),44501.0)</f>
        <v>44501</v>
      </c>
      <c r="L117" s="3" t="str">
        <f>IFERROR(__xludf.DUMMYFUNCTION("""COMPUTED_VALUE"""),"Washington")</f>
        <v>Washington</v>
      </c>
      <c r="M117" s="3" t="str">
        <f>IFERROR(__xludf.DUMMYFUNCTION("""COMPUTED_VALUE"""),"Washington DC - 655 New York Avenue")</f>
        <v>Washington DC - 655 New York Avenue</v>
      </c>
      <c r="N117" s="3" t="b">
        <f>IFERROR(__xludf.DUMMYFUNCTION("""COMPUTED_VALUE"""),FALSE)</f>
        <v>0</v>
      </c>
      <c r="O117" s="3" t="str">
        <f>IFERROR(__xludf.DUMMYFUNCTION("""COMPUTED_VALUE"""),"craig.odonnell@pwc.com")</f>
        <v>craig.odonnell@pwc.com</v>
      </c>
      <c r="P117" s="3" t="str">
        <f>IFERROR(__xludf.DUMMYFUNCTION("""COMPUTED_VALUE"""),"FY22")</f>
        <v>FY22</v>
      </c>
      <c r="Q117" s="3" t="b">
        <f>IFERROR(__xludf.DUMMYFUNCTION("""COMPUTED_VALUE"""),FALSE)</f>
        <v>0</v>
      </c>
      <c r="R117" s="3"/>
      <c r="S117" s="3"/>
      <c r="T117" s="3" t="b">
        <f>IFERROR(__xludf.DUMMYFUNCTION("""COMPUTED_VALUE"""),FALSE)</f>
        <v>0</v>
      </c>
      <c r="U117" s="3" t="b">
        <f>IFERROR(__xludf.DUMMYFUNCTION("""COMPUTED_VALUE"""),TRUE)</f>
        <v>1</v>
      </c>
      <c r="V117" s="3" t="b">
        <f>IFERROR(__xludf.DUMMYFUNCTION("""COMPUTED_VALUE"""),FALSE)</f>
        <v>0</v>
      </c>
      <c r="W117" s="3" t="str">
        <f>IFERROR(__xludf.DUMMYFUNCTION("""COMPUTED_VALUE"""),"Catalyst")</f>
        <v>Catalyst</v>
      </c>
      <c r="X117" s="3"/>
      <c r="Y117" s="3" t="str">
        <f>IFERROR(__xludf.DUMMYFUNCTION("""COMPUTED_VALUE"""),"FY22")</f>
        <v>FY22</v>
      </c>
      <c r="Z117" s="3" t="str">
        <f>IFERROR(__xludf.DUMMYFUNCTION("""COMPUTED_VALUE"""),"Rewards and Well-Being")</f>
        <v>Rewards and Well-Being</v>
      </c>
      <c r="AA117" s="3" t="b">
        <f>IFERROR(__xludf.DUMMYFUNCTION("""COMPUTED_VALUE"""),FALSE)</f>
        <v>0</v>
      </c>
    </row>
    <row r="118">
      <c r="A118" s="11">
        <f>IFERROR(__xludf.DUMMYFUNCTION("""COMPUTED_VALUE"""),1.00660529E8)</f>
        <v>100660529</v>
      </c>
      <c r="B118" s="3" t="str">
        <f>IFERROR(__xludf.DUMMYFUNCTION("""COMPUTED_VALUE"""),"Chris King")</f>
        <v>Chris King</v>
      </c>
      <c r="C118" s="3" t="str">
        <f>IFERROR(__xludf.DUMMYFUNCTION("""COMPUTED_VALUE"""),"Christopher J King")</f>
        <v>Christopher J King</v>
      </c>
      <c r="D118" s="3" t="str">
        <f>IFERROR(__xludf.DUMMYFUNCTION("""COMPUTED_VALUE"""),"King, Christopher J")</f>
        <v>King, Christopher J</v>
      </c>
      <c r="E118" s="3" t="str">
        <f>IFERROR(__xludf.DUMMYFUNCTION("""COMPUTED_VALUE"""),"Active")</f>
        <v>Active</v>
      </c>
      <c r="F118" s="3" t="str">
        <f>IFERROR(__xludf.DUMMYFUNCTION("""COMPUTED_VALUE"""),"chris.king@pwc.com")</f>
        <v>chris.king@pwc.com</v>
      </c>
      <c r="G118" s="3" t="str">
        <f>IFERROR(__xludf.DUMMYFUNCTION("""COMPUTED_VALUE"""),"Workforce")</f>
        <v>Workforce</v>
      </c>
      <c r="H118" s="3" t="str">
        <f>IFERROR(__xludf.DUMMYFUNCTION("""COMPUTED_VALUE"""),"TMT X-Sector")</f>
        <v>TMT X-Sector</v>
      </c>
      <c r="I118" s="3" t="str">
        <f>IFERROR(__xludf.DUMMYFUNCTION("""COMPUTED_VALUE"""),"Workforce - Rewards &amp; Well Being")</f>
        <v>Workforce - Rewards &amp; Well Being</v>
      </c>
      <c r="J118" s="3" t="str">
        <f>IFERROR(__xludf.DUMMYFUNCTION("""COMPUTED_VALUE"""),"Managing Director")</f>
        <v>Managing Director</v>
      </c>
      <c r="K118" s="12">
        <f>IFERROR(__xludf.DUMMYFUNCTION("""COMPUTED_VALUE"""),32006.0)</f>
        <v>32006</v>
      </c>
      <c r="L118" s="3" t="str">
        <f>IFERROR(__xludf.DUMMYFUNCTION("""COMPUTED_VALUE"""),"Chicago")</f>
        <v>Chicago</v>
      </c>
      <c r="M118" s="3" t="str">
        <f>IFERROR(__xludf.DUMMYFUNCTION("""COMPUTED_VALUE"""),"Chicago - One North Wacker Drive")</f>
        <v>Chicago - One North Wacker Drive</v>
      </c>
      <c r="N118" s="3" t="b">
        <f>IFERROR(__xludf.DUMMYFUNCTION("""COMPUTED_VALUE"""),FALSE)</f>
        <v>0</v>
      </c>
      <c r="O118" s="3" t="str">
        <f>IFERROR(__xludf.DUMMYFUNCTION("""COMPUTED_VALUE"""),"jack.abraham@pwc.com")</f>
        <v>jack.abraham@pwc.com</v>
      </c>
      <c r="P118" s="3" t="str">
        <f>IFERROR(__xludf.DUMMYFUNCTION("""COMPUTED_VALUE"""),"No")</f>
        <v>No</v>
      </c>
      <c r="Q118" s="3" t="b">
        <f>IFERROR(__xludf.DUMMYFUNCTION("""COMPUTED_VALUE"""),FALSE)</f>
        <v>0</v>
      </c>
      <c r="R118" s="3"/>
      <c r="S118" s="3"/>
      <c r="T118" s="3" t="b">
        <f>IFERROR(__xludf.DUMMYFUNCTION("""COMPUTED_VALUE"""),FALSE)</f>
        <v>0</v>
      </c>
      <c r="U118" s="3" t="b">
        <f>IFERROR(__xludf.DUMMYFUNCTION("""COMPUTED_VALUE"""),FALSE)</f>
        <v>0</v>
      </c>
      <c r="V118" s="3" t="b">
        <f>IFERROR(__xludf.DUMMYFUNCTION("""COMPUTED_VALUE"""),FALSE)</f>
        <v>0</v>
      </c>
      <c r="W118" s="3" t="str">
        <f>IFERROR(__xludf.DUMMYFUNCTION("""COMPUTED_VALUE"""),"#N/A")</f>
        <v>#N/A</v>
      </c>
      <c r="X118" s="3" t="str">
        <f>IFERROR(__xludf.DUMMYFUNCTION("""COMPUTED_VALUE"""),"#N/A")</f>
        <v>#N/A</v>
      </c>
      <c r="Y118" s="3" t="str">
        <f>IFERROR(__xludf.DUMMYFUNCTION("""COMPUTED_VALUE"""),"#N/A")</f>
        <v>#N/A</v>
      </c>
      <c r="Z118" s="3" t="str">
        <f>IFERROR(__xludf.DUMMYFUNCTION("""COMPUTED_VALUE"""),"Unknown")</f>
        <v>Unknown</v>
      </c>
      <c r="AA118" s="3" t="b">
        <f>IFERROR(__xludf.DUMMYFUNCTION("""COMPUTED_VALUE"""),FALSE)</f>
        <v>0</v>
      </c>
    </row>
    <row r="119">
      <c r="A119" s="11">
        <f>IFERROR(__xludf.DUMMYFUNCTION("""COMPUTED_VALUE"""),1.00625578E8)</f>
        <v>100625578</v>
      </c>
      <c r="B119" s="3" t="str">
        <f>IFERROR(__xludf.DUMMYFUNCTION("""COMPUTED_VALUE"""),"Chris Paley")</f>
        <v>Chris Paley</v>
      </c>
      <c r="C119" s="3" t="str">
        <f>IFERROR(__xludf.DUMMYFUNCTION("""COMPUTED_VALUE"""),"Christopher K Paley")</f>
        <v>Christopher K Paley</v>
      </c>
      <c r="D119" s="3" t="str">
        <f>IFERROR(__xludf.DUMMYFUNCTION("""COMPUTED_VALUE"""),"Paley, Christopher K")</f>
        <v>Paley, Christopher K</v>
      </c>
      <c r="E119" s="3" t="str">
        <f>IFERROR(__xludf.DUMMYFUNCTION("""COMPUTED_VALUE"""),"Active")</f>
        <v>Active</v>
      </c>
      <c r="F119" s="3" t="str">
        <f>IFERROR(__xludf.DUMMYFUNCTION("""COMPUTED_VALUE"""),"christopher.k.paley@pwc.com")</f>
        <v>christopher.k.paley@pwc.com</v>
      </c>
      <c r="G119" s="3" t="str">
        <f>IFERROR(__xludf.DUMMYFUNCTION("""COMPUTED_VALUE"""),"Finance")</f>
        <v>Finance</v>
      </c>
      <c r="H119" s="3" t="str">
        <f>IFERROR(__xludf.DUMMYFUNCTION("""COMPUTED_VALUE"""),"Manufacturing")</f>
        <v>Manufacturing</v>
      </c>
      <c r="I119" s="3" t="str">
        <f>IFERROR(__xludf.DUMMYFUNCTION("""COMPUTED_VALUE"""),"Finance - Finance Strategy / Op Model / Global Business Services / Talent")</f>
        <v>Finance - Finance Strategy / Op Model / Global Business Services / Talent</v>
      </c>
      <c r="J119" s="3" t="str">
        <f>IFERROR(__xludf.DUMMYFUNCTION("""COMPUTED_VALUE"""),"Partner")</f>
        <v>Partner</v>
      </c>
      <c r="K119" s="12">
        <f>IFERROR(__xludf.DUMMYFUNCTION("""COMPUTED_VALUE"""),39286.0)</f>
        <v>39286</v>
      </c>
      <c r="L119" s="3" t="str">
        <f>IFERROR(__xludf.DUMMYFUNCTION("""COMPUTED_VALUE"""),"New York")</f>
        <v>New York</v>
      </c>
      <c r="M119" s="3" t="str">
        <f>IFERROR(__xludf.DUMMYFUNCTION("""COMPUTED_VALUE"""),"New York - 300 Madison Avenue")</f>
        <v>New York - 300 Madison Avenue</v>
      </c>
      <c r="N119" s="3" t="b">
        <f>IFERROR(__xludf.DUMMYFUNCTION("""COMPUTED_VALUE"""),FALSE)</f>
        <v>0</v>
      </c>
      <c r="O119" s="3" t="str">
        <f>IFERROR(__xludf.DUMMYFUNCTION("""COMPUTED_VALUE"""),"kurtis.babczenko@pwc.com")</f>
        <v>kurtis.babczenko@pwc.com</v>
      </c>
      <c r="P119" s="3" t="str">
        <f>IFERROR(__xludf.DUMMYFUNCTION("""COMPUTED_VALUE"""),"No")</f>
        <v>No</v>
      </c>
      <c r="Q119" s="3" t="b">
        <f>IFERROR(__xludf.DUMMYFUNCTION("""COMPUTED_VALUE"""),FALSE)</f>
        <v>0</v>
      </c>
      <c r="R119" s="3"/>
      <c r="S119" s="3"/>
      <c r="T119" s="3" t="b">
        <f>IFERROR(__xludf.DUMMYFUNCTION("""COMPUTED_VALUE"""),FALSE)</f>
        <v>0</v>
      </c>
      <c r="U119" s="3" t="b">
        <f>IFERROR(__xludf.DUMMYFUNCTION("""COMPUTED_VALUE"""),TRUE)</f>
        <v>1</v>
      </c>
      <c r="V119" s="3" t="b">
        <f>IFERROR(__xludf.DUMMYFUNCTION("""COMPUTED_VALUE"""),FALSE)</f>
        <v>0</v>
      </c>
      <c r="W119" s="3" t="str">
        <f>IFERROR(__xludf.DUMMYFUNCTION("""COMPUTED_VALUE"""),"Delivery")</f>
        <v>Delivery</v>
      </c>
      <c r="X119" s="3"/>
      <c r="Y119" s="3"/>
      <c r="Z119" s="3" t="str">
        <f>IFERROR(__xludf.DUMMYFUNCTION("""COMPUTED_VALUE"""),"Finance Transformation IPS - IP")</f>
        <v>Finance Transformation IPS - IP</v>
      </c>
      <c r="AA119" s="3" t="b">
        <f>IFERROR(__xludf.DUMMYFUNCTION("""COMPUTED_VALUE"""),FALSE)</f>
        <v>0</v>
      </c>
    </row>
    <row r="120">
      <c r="A120" s="11">
        <f>IFERROR(__xludf.DUMMYFUNCTION("""COMPUTED_VALUE"""),1.01248391E8)</f>
        <v>101248391</v>
      </c>
      <c r="B120" s="3" t="str">
        <f>IFERROR(__xludf.DUMMYFUNCTION("""COMPUTED_VALUE"""),"Chris Smith")</f>
        <v>Chris Smith</v>
      </c>
      <c r="C120" s="3" t="str">
        <f>IFERROR(__xludf.DUMMYFUNCTION("""COMPUTED_VALUE"""),"Chris Smith")</f>
        <v>Chris Smith</v>
      </c>
      <c r="D120" s="3" t="str">
        <f>IFERROR(__xludf.DUMMYFUNCTION("""COMPUTED_VALUE"""),"Smith, Chirs")</f>
        <v>Smith, Chirs</v>
      </c>
      <c r="E120" s="3" t="str">
        <f>IFERROR(__xludf.DUMMYFUNCTION("""COMPUTED_VALUE"""),"Active")</f>
        <v>Active</v>
      </c>
      <c r="F120" s="3" t="str">
        <f>IFERROR(__xludf.DUMMYFUNCTION("""COMPUTED_VALUE"""),"christopher.smith@pwc.com")</f>
        <v>christopher.smith@pwc.com</v>
      </c>
      <c r="G120" s="3" t="str">
        <f>IFERROR(__xludf.DUMMYFUNCTION("""COMPUTED_VALUE"""),"Health")</f>
        <v>Health</v>
      </c>
      <c r="H120" s="3" t="str">
        <f>IFERROR(__xludf.DUMMYFUNCTION("""COMPUTED_VALUE"""),"Health Services")</f>
        <v>Health Services</v>
      </c>
      <c r="I120" s="3" t="str">
        <f>IFERROR(__xludf.DUMMYFUNCTION("""COMPUTED_VALUE"""),"Unknown")</f>
        <v>Unknown</v>
      </c>
      <c r="J120" s="3" t="str">
        <f>IFERROR(__xludf.DUMMYFUNCTION("""COMPUTED_VALUE"""),"Partner")</f>
        <v>Partner</v>
      </c>
      <c r="K120" s="12">
        <f>IFERROR(__xludf.DUMMYFUNCTION("""COMPUTED_VALUE"""),44704.0)</f>
        <v>44704</v>
      </c>
      <c r="L120" s="3" t="str">
        <f>IFERROR(__xludf.DUMMYFUNCTION("""COMPUTED_VALUE"""),"Los Angeles")</f>
        <v>Los Angeles</v>
      </c>
      <c r="M120" s="3" t="str">
        <f>IFERROR(__xludf.DUMMYFUNCTION("""COMPUTED_VALUE"""),"Unknown")</f>
        <v>Unknown</v>
      </c>
      <c r="N120" s="3" t="str">
        <f>IFERROR(__xludf.DUMMYFUNCTION("""COMPUTED_VALUE"""),"Unknown")</f>
        <v>Unknown</v>
      </c>
      <c r="O120" s="3" t="str">
        <f>IFERROR(__xludf.DUMMYFUNCTION("""COMPUTED_VALUE"""),"Unknown")</f>
        <v>Unknown</v>
      </c>
      <c r="P120" s="3" t="str">
        <f>IFERROR(__xludf.DUMMYFUNCTION("""COMPUTED_VALUE"""),"FY22")</f>
        <v>FY22</v>
      </c>
      <c r="Q120" s="3" t="str">
        <f>IFERROR(__xludf.DUMMYFUNCTION("""COMPUTED_VALUE"""),"Unknown")</f>
        <v>Unknown</v>
      </c>
      <c r="R120" s="3" t="str">
        <f>IFERROR(__xludf.DUMMYFUNCTION("""COMPUTED_VALUE"""),"Unknown")</f>
        <v>Unknown</v>
      </c>
      <c r="S120" s="3"/>
      <c r="T120" s="3" t="str">
        <f>IFERROR(__xludf.DUMMYFUNCTION("""COMPUTED_VALUE"""),"Unknown")</f>
        <v>Unknown</v>
      </c>
      <c r="U120" s="3" t="str">
        <f>IFERROR(__xludf.DUMMYFUNCTION("""COMPUTED_VALUE"""),"Unknown")</f>
        <v>Unknown</v>
      </c>
      <c r="V120" s="3" t="str">
        <f>IFERROR(__xludf.DUMMYFUNCTION("""COMPUTED_VALUE"""),"Unknown")</f>
        <v>Unknown</v>
      </c>
      <c r="W120" s="3" t="str">
        <f>IFERROR(__xludf.DUMMYFUNCTION("""COMPUTED_VALUE"""),"Catalyst")</f>
        <v>Catalyst</v>
      </c>
      <c r="X120" s="3" t="str">
        <f>IFERROR(__xludf.DUMMYFUNCTION("""COMPUTED_VALUE"""),"Unknown")</f>
        <v>Unknown</v>
      </c>
      <c r="Y120" s="3" t="str">
        <f>IFERROR(__xludf.DUMMYFUNCTION("""COMPUTED_VALUE"""),"Unknown")</f>
        <v>Unknown</v>
      </c>
      <c r="Z120" s="3" t="str">
        <f>IFERROR(__xludf.DUMMYFUNCTION("""COMPUTED_VALUE"""),"Unknown")</f>
        <v>Unknown</v>
      </c>
      <c r="AA120" s="3" t="str">
        <f>IFERROR(__xludf.DUMMYFUNCTION("""COMPUTED_VALUE"""),"Unknown")</f>
        <v>Unknown</v>
      </c>
    </row>
    <row r="121">
      <c r="A121" s="11">
        <f>IFERROR(__xludf.DUMMYFUNCTION("""COMPUTED_VALUE"""),1.00614201E8)</f>
        <v>100614201</v>
      </c>
      <c r="B121" s="3" t="str">
        <f>IFERROR(__xludf.DUMMYFUNCTION("""COMPUTED_VALUE"""),"Christian Bowers")</f>
        <v>Christian Bowers</v>
      </c>
      <c r="C121" s="3" t="str">
        <f>IFERROR(__xludf.DUMMYFUNCTION("""COMPUTED_VALUE"""),"Christian C Bowers")</f>
        <v>Christian C Bowers</v>
      </c>
      <c r="D121" s="3" t="str">
        <f>IFERROR(__xludf.DUMMYFUNCTION("""COMPUTED_VALUE"""),"Bowers, Christian C")</f>
        <v>Bowers, Christian C</v>
      </c>
      <c r="E121" s="3" t="str">
        <f>IFERROR(__xludf.DUMMYFUNCTION("""COMPUTED_VALUE"""),"Active")</f>
        <v>Active</v>
      </c>
      <c r="F121" s="3" t="str">
        <f>IFERROR(__xludf.DUMMYFUNCTION("""COMPUTED_VALUE"""),"christian.c.bowers@pwc.com")</f>
        <v>christian.c.bowers@pwc.com</v>
      </c>
      <c r="G121" s="3" t="str">
        <f>IFERROR(__xludf.DUMMYFUNCTION("""COMPUTED_VALUE"""),"Customer")</f>
        <v>Customer</v>
      </c>
      <c r="H121" s="3" t="str">
        <f>IFERROR(__xludf.DUMMYFUNCTION("""COMPUTED_VALUE"""),"Pharma and Life Sciences")</f>
        <v>Pharma and Life Sciences</v>
      </c>
      <c r="I121" s="3" t="str">
        <f>IFERROR(__xludf.DUMMYFUNCTION("""COMPUTED_VALUE"""),"Customer - Analytics")</f>
        <v>Customer - Analytics</v>
      </c>
      <c r="J121" s="3" t="str">
        <f>IFERROR(__xludf.DUMMYFUNCTION("""COMPUTED_VALUE"""),"Partner")</f>
        <v>Partner</v>
      </c>
      <c r="K121" s="12">
        <f>IFERROR(__xludf.DUMMYFUNCTION("""COMPUTED_VALUE"""),37928.0)</f>
        <v>37928</v>
      </c>
      <c r="L121" s="3" t="str">
        <f>IFERROR(__xludf.DUMMYFUNCTION("""COMPUTED_VALUE"""),"Washington")</f>
        <v>Washington</v>
      </c>
      <c r="M121" s="3" t="str">
        <f>IFERROR(__xludf.DUMMYFUNCTION("""COMPUTED_VALUE"""),"Washington DC - 655 New York Avenue")</f>
        <v>Washington DC - 655 New York Avenue</v>
      </c>
      <c r="N121" s="3" t="b">
        <f>IFERROR(__xludf.DUMMYFUNCTION("""COMPUTED_VALUE"""),FALSE)</f>
        <v>0</v>
      </c>
      <c r="O121" s="3" t="str">
        <f>IFERROR(__xludf.DUMMYFUNCTION("""COMPUTED_VALUE"""),"george.korizis@pwc.com")</f>
        <v>george.korizis@pwc.com</v>
      </c>
      <c r="P121" s="3" t="str">
        <f>IFERROR(__xludf.DUMMYFUNCTION("""COMPUTED_VALUE"""),"No")</f>
        <v>No</v>
      </c>
      <c r="Q121" s="3" t="b">
        <f>IFERROR(__xludf.DUMMYFUNCTION("""COMPUTED_VALUE"""),FALSE)</f>
        <v>0</v>
      </c>
      <c r="R121" s="3"/>
      <c r="S121" s="3"/>
      <c r="T121" s="3" t="b">
        <f>IFERROR(__xludf.DUMMYFUNCTION("""COMPUTED_VALUE"""),FALSE)</f>
        <v>0</v>
      </c>
      <c r="U121" s="3" t="b">
        <f>IFERROR(__xludf.DUMMYFUNCTION("""COMPUTED_VALUE"""),TRUE)</f>
        <v>1</v>
      </c>
      <c r="V121" s="3" t="b">
        <f>IFERROR(__xludf.DUMMYFUNCTION("""COMPUTED_VALUE"""),FALSE)</f>
        <v>0</v>
      </c>
      <c r="W121" s="3" t="str">
        <f>IFERROR(__xludf.DUMMYFUNCTION("""COMPUTED_VALUE"""),"Delivery")</f>
        <v>Delivery</v>
      </c>
      <c r="X121" s="3"/>
      <c r="Y121" s="3"/>
      <c r="Z121" s="3" t="str">
        <f>IFERROR(__xludf.DUMMYFUNCTION("""COMPUTED_VALUE"""),"Commercial / CRM Transformation - CM &amp; IPS &amp; HIA")</f>
        <v>Commercial / CRM Transformation - CM &amp; IPS &amp; HIA</v>
      </c>
      <c r="AA121" s="3" t="b">
        <f>IFERROR(__xludf.DUMMYFUNCTION("""COMPUTED_VALUE"""),FALSE)</f>
        <v>0</v>
      </c>
    </row>
    <row r="122">
      <c r="A122" s="11">
        <f>IFERROR(__xludf.DUMMYFUNCTION("""COMPUTED_VALUE"""),1.01210545E8)</f>
        <v>101210545</v>
      </c>
      <c r="B122" s="3" t="str">
        <f>IFERROR(__xludf.DUMMYFUNCTION("""COMPUTED_VALUE"""),"Christina Morris")</f>
        <v>Christina Morris</v>
      </c>
      <c r="C122" s="3" t="str">
        <f>IFERROR(__xludf.DUMMYFUNCTION("""COMPUTED_VALUE"""),"Christina R. Morris")</f>
        <v>Christina R. Morris</v>
      </c>
      <c r="D122" s="3" t="str">
        <f>IFERROR(__xludf.DUMMYFUNCTION("""COMPUTED_VALUE"""),"Morris, Christina R.")</f>
        <v>Morris, Christina R.</v>
      </c>
      <c r="E122" s="3" t="str">
        <f>IFERROR(__xludf.DUMMYFUNCTION("""COMPUTED_VALUE"""),"Active")</f>
        <v>Active</v>
      </c>
      <c r="F122" s="3" t="str">
        <f>IFERROR(__xludf.DUMMYFUNCTION("""COMPUTED_VALUE"""),"christina.morris@pwc.com")</f>
        <v>christina.morris@pwc.com</v>
      </c>
      <c r="G122" s="3" t="str">
        <f>IFERROR(__xludf.DUMMYFUNCTION("""COMPUTED_VALUE"""),"Ops")</f>
        <v>Ops</v>
      </c>
      <c r="H122" s="3" t="str">
        <f>IFERROR(__xludf.DUMMYFUNCTION("""COMPUTED_VALUE"""),"Health Services")</f>
        <v>Health Services</v>
      </c>
      <c r="I122" s="3" t="str">
        <f>IFERROR(__xludf.DUMMYFUNCTION("""COMPUTED_VALUE"""),"Ops - Connected Supply Chain (CSC)")</f>
        <v>Ops - Connected Supply Chain (CSC)</v>
      </c>
      <c r="J122" s="3" t="str">
        <f>IFERROR(__xludf.DUMMYFUNCTION("""COMPUTED_VALUE"""),"Managing Director")</f>
        <v>Managing Director</v>
      </c>
      <c r="K122" s="12">
        <f>IFERROR(__xludf.DUMMYFUNCTION("""COMPUTED_VALUE"""),44641.0)</f>
        <v>44641</v>
      </c>
      <c r="L122" s="3" t="str">
        <f>IFERROR(__xludf.DUMMYFUNCTION("""COMPUTED_VALUE"""),"Washington")</f>
        <v>Washington</v>
      </c>
      <c r="M122" s="3" t="str">
        <f>IFERROR(__xludf.DUMMYFUNCTION("""COMPUTED_VALUE"""),"Washington DC - 655 New York Avenue")</f>
        <v>Washington DC - 655 New York Avenue</v>
      </c>
      <c r="N122" s="3" t="b">
        <f>IFERROR(__xludf.DUMMYFUNCTION("""COMPUTED_VALUE"""),FALSE)</f>
        <v>0</v>
      </c>
      <c r="O122" s="3" t="str">
        <f>IFERROR(__xludf.DUMMYFUNCTION("""COMPUTED_VALUE"""),"jp.zonnenberg@pwc.com")</f>
        <v>jp.zonnenberg@pwc.com</v>
      </c>
      <c r="P122" s="3" t="str">
        <f>IFERROR(__xludf.DUMMYFUNCTION("""COMPUTED_VALUE"""),"FY22")</f>
        <v>FY22</v>
      </c>
      <c r="Q122" s="3" t="b">
        <f>IFERROR(__xludf.DUMMYFUNCTION("""COMPUTED_VALUE"""),FALSE)</f>
        <v>0</v>
      </c>
      <c r="R122" s="3"/>
      <c r="S122" s="3"/>
      <c r="T122" s="3" t="b">
        <f>IFERROR(__xludf.DUMMYFUNCTION("""COMPUTED_VALUE"""),FALSE)</f>
        <v>0</v>
      </c>
      <c r="U122" s="3" t="b">
        <f>IFERROR(__xludf.DUMMYFUNCTION("""COMPUTED_VALUE"""),TRUE)</f>
        <v>1</v>
      </c>
      <c r="V122" s="3" t="b">
        <f>IFERROR(__xludf.DUMMYFUNCTION("""COMPUTED_VALUE"""),FALSE)</f>
        <v>0</v>
      </c>
      <c r="W122" s="3" t="str">
        <f>IFERROR(__xludf.DUMMYFUNCTION("""COMPUTED_VALUE"""),"Catalyst")</f>
        <v>Catalyst</v>
      </c>
      <c r="X122" s="3"/>
      <c r="Y122" s="3" t="str">
        <f>IFERROR(__xludf.DUMMYFUNCTION("""COMPUTED_VALUE"""),"FY22")</f>
        <v>FY22</v>
      </c>
      <c r="Z122" s="3" t="str">
        <f>IFERROR(__xludf.DUMMYFUNCTION("""COMPUTED_VALUE"""),"")</f>
        <v/>
      </c>
      <c r="AA122" s="3" t="b">
        <f>IFERROR(__xludf.DUMMYFUNCTION("""COMPUTED_VALUE"""),FALSE)</f>
        <v>0</v>
      </c>
    </row>
    <row r="123">
      <c r="A123" s="11">
        <f>IFERROR(__xludf.DUMMYFUNCTION("""COMPUTED_VALUE"""),1.0060697E8)</f>
        <v>100606970</v>
      </c>
      <c r="B123" s="3" t="str">
        <f>IFERROR(__xludf.DUMMYFUNCTION("""COMPUTED_VALUE"""),"Christina Scherma")</f>
        <v>Christina Scherma</v>
      </c>
      <c r="C123" s="3" t="str">
        <f>IFERROR(__xludf.DUMMYFUNCTION("""COMPUTED_VALUE"""),"Christina Rose Scherma")</f>
        <v>Christina Rose Scherma</v>
      </c>
      <c r="D123" s="3" t="str">
        <f>IFERROR(__xludf.DUMMYFUNCTION("""COMPUTED_VALUE"""),"Scherma, Christina Rose")</f>
        <v>Scherma, Christina Rose</v>
      </c>
      <c r="E123" s="3" t="str">
        <f>IFERROR(__xludf.DUMMYFUNCTION("""COMPUTED_VALUE"""),"Active")</f>
        <v>Active</v>
      </c>
      <c r="F123" s="3" t="str">
        <f>IFERROR(__xludf.DUMMYFUNCTION("""COMPUTED_VALUE"""),"christina.r.scherma@pwc.com")</f>
        <v>christina.r.scherma@pwc.com</v>
      </c>
      <c r="G123" s="3" t="str">
        <f>IFERROR(__xludf.DUMMYFUNCTION("""COMPUTED_VALUE"""),"Deals Transformation")</f>
        <v>Deals Transformation</v>
      </c>
      <c r="H123" s="3" t="str">
        <f>IFERROR(__xludf.DUMMYFUNCTION("""COMPUTED_VALUE"""),"TMT X-Sector")</f>
        <v>TMT X-Sector</v>
      </c>
      <c r="I123" s="3" t="str">
        <f>IFERROR(__xludf.DUMMYFUNCTION("""COMPUTED_VALUE"""),"DDV - GTM")</f>
        <v>DDV - GTM</v>
      </c>
      <c r="J123" s="3" t="str">
        <f>IFERROR(__xludf.DUMMYFUNCTION("""COMPUTED_VALUE"""),"Partner")</f>
        <v>Partner</v>
      </c>
      <c r="K123" s="12">
        <f>IFERROR(__xludf.DUMMYFUNCTION("""COMPUTED_VALUE"""),37102.0)</f>
        <v>37102</v>
      </c>
      <c r="L123" s="3" t="str">
        <f>IFERROR(__xludf.DUMMYFUNCTION("""COMPUTED_VALUE"""),"New York")</f>
        <v>New York</v>
      </c>
      <c r="M123" s="3" t="str">
        <f>IFERROR(__xludf.DUMMYFUNCTION("""COMPUTED_VALUE"""),"New York - 300 Madison Avenue")</f>
        <v>New York - 300 Madison Avenue</v>
      </c>
      <c r="N123" s="3" t="b">
        <f>IFERROR(__xludf.DUMMYFUNCTION("""COMPUTED_VALUE"""),FALSE)</f>
        <v>0</v>
      </c>
      <c r="O123" s="3" t="str">
        <f>IFERROR(__xludf.DUMMYFUNCTION("""COMPUTED_VALUE"""),"derek.b.townsend@pwc.com")</f>
        <v>derek.b.townsend@pwc.com</v>
      </c>
      <c r="P123" s="3" t="str">
        <f>IFERROR(__xludf.DUMMYFUNCTION("""COMPUTED_VALUE"""),"No")</f>
        <v>No</v>
      </c>
      <c r="Q123" s="3" t="b">
        <f>IFERROR(__xludf.DUMMYFUNCTION("""COMPUTED_VALUE"""),FALSE)</f>
        <v>0</v>
      </c>
      <c r="R123" s="3"/>
      <c r="S123" s="3"/>
      <c r="T123" s="3" t="b">
        <f>IFERROR(__xludf.DUMMYFUNCTION("""COMPUTED_VALUE"""),FALSE)</f>
        <v>0</v>
      </c>
      <c r="U123" s="3" t="b">
        <f>IFERROR(__xludf.DUMMYFUNCTION("""COMPUTED_VALUE"""),TRUE)</f>
        <v>1</v>
      </c>
      <c r="V123" s="3" t="b">
        <f>IFERROR(__xludf.DUMMYFUNCTION("""COMPUTED_VALUE"""),FALSE)</f>
        <v>0</v>
      </c>
      <c r="W123" s="3" t="str">
        <f>IFERROR(__xludf.DUMMYFUNCTION("""COMPUTED_VALUE"""),"Delivery")</f>
        <v>Delivery</v>
      </c>
      <c r="X123" s="3"/>
      <c r="Y123" s="3"/>
      <c r="Z123" s="3" t="str">
        <f>IFERROR(__xludf.DUMMYFUNCTION("""COMPUTED_VALUE"""),"Corporate M&amp;A Transformation - TMT")</f>
        <v>Corporate M&amp;A Transformation - TMT</v>
      </c>
      <c r="AA123" s="3" t="b">
        <f>IFERROR(__xludf.DUMMYFUNCTION("""COMPUTED_VALUE"""),FALSE)</f>
        <v>0</v>
      </c>
    </row>
    <row r="124">
      <c r="A124" s="11">
        <f>IFERROR(__xludf.DUMMYFUNCTION("""COMPUTED_VALUE"""),1.00605581E8)</f>
        <v>100605581</v>
      </c>
      <c r="B124" s="3" t="str">
        <f>IFERROR(__xludf.DUMMYFUNCTION("""COMPUTED_VALUE"""),"Christine Randazzo")</f>
        <v>Christine Randazzo</v>
      </c>
      <c r="C124" s="3" t="str">
        <f>IFERROR(__xludf.DUMMYFUNCTION("""COMPUTED_VALUE"""),"Christine  Randazzo")</f>
        <v>Christine  Randazzo</v>
      </c>
      <c r="D124" s="3" t="str">
        <f>IFERROR(__xludf.DUMMYFUNCTION("""COMPUTED_VALUE"""),"Randazzo, Christine")</f>
        <v>Randazzo, Christine</v>
      </c>
      <c r="E124" s="3" t="str">
        <f>IFERROR(__xludf.DUMMYFUNCTION("""COMPUTED_VALUE"""),"Active")</f>
        <v>Active</v>
      </c>
      <c r="F124" s="3" t="str">
        <f>IFERROR(__xludf.DUMMYFUNCTION("""COMPUTED_VALUE"""),"christine.randazzo@pwc.com")</f>
        <v>christine.randazzo@pwc.com</v>
      </c>
      <c r="G124" s="3" t="str">
        <f>IFERROR(__xludf.DUMMYFUNCTION("""COMPUTED_VALUE"""),"Workforce")</f>
        <v>Workforce</v>
      </c>
      <c r="H124" s="3" t="str">
        <f>IFERROR(__xludf.DUMMYFUNCTION("""COMPUTED_VALUE"""),"IMA X-Sector")</f>
        <v>IMA X-Sector</v>
      </c>
      <c r="I124" s="3" t="str">
        <f>IFERROR(__xludf.DUMMYFUNCTION("""COMPUTED_VALUE"""),"Workforce - Rewards &amp; Well Being")</f>
        <v>Workforce - Rewards &amp; Well Being</v>
      </c>
      <c r="J124" s="3" t="str">
        <f>IFERROR(__xludf.DUMMYFUNCTION("""COMPUTED_VALUE"""),"Partner")</f>
        <v>Partner</v>
      </c>
      <c r="K124" s="12">
        <f>IFERROR(__xludf.DUMMYFUNCTION("""COMPUTED_VALUE"""),37851.0)</f>
        <v>37851</v>
      </c>
      <c r="L124" s="3" t="str">
        <f>IFERROR(__xludf.DUMMYFUNCTION("""COMPUTED_VALUE"""),"New York")</f>
        <v>New York</v>
      </c>
      <c r="M124" s="3" t="str">
        <f>IFERROR(__xludf.DUMMYFUNCTION("""COMPUTED_VALUE"""),"New York - 300 Madison Avenue")</f>
        <v>New York - 300 Madison Avenue</v>
      </c>
      <c r="N124" s="3" t="b">
        <f>IFERROR(__xludf.DUMMYFUNCTION("""COMPUTED_VALUE"""),FALSE)</f>
        <v>0</v>
      </c>
      <c r="O124" s="3" t="str">
        <f>IFERROR(__xludf.DUMMYFUNCTION("""COMPUTED_VALUE"""),"craig.odonnell@pwc.com")</f>
        <v>craig.odonnell@pwc.com</v>
      </c>
      <c r="P124" s="3" t="str">
        <f>IFERROR(__xludf.DUMMYFUNCTION("""COMPUTED_VALUE"""),"No")</f>
        <v>No</v>
      </c>
      <c r="Q124" s="3" t="b">
        <f>IFERROR(__xludf.DUMMYFUNCTION("""COMPUTED_VALUE"""),FALSE)</f>
        <v>0</v>
      </c>
      <c r="R124" s="3"/>
      <c r="S124" s="3"/>
      <c r="T124" s="3" t="b">
        <f>IFERROR(__xludf.DUMMYFUNCTION("""COMPUTED_VALUE"""),FALSE)</f>
        <v>0</v>
      </c>
      <c r="U124" s="3" t="b">
        <f>IFERROR(__xludf.DUMMYFUNCTION("""COMPUTED_VALUE"""),FALSE)</f>
        <v>0</v>
      </c>
      <c r="V124" s="3" t="b">
        <f>IFERROR(__xludf.DUMMYFUNCTION("""COMPUTED_VALUE"""),FALSE)</f>
        <v>0</v>
      </c>
      <c r="W124" s="3" t="str">
        <f>IFERROR(__xludf.DUMMYFUNCTION("""COMPUTED_VALUE"""),"#N/A")</f>
        <v>#N/A</v>
      </c>
      <c r="X124" s="3" t="str">
        <f>IFERROR(__xludf.DUMMYFUNCTION("""COMPUTED_VALUE"""),"#N/A")</f>
        <v>#N/A</v>
      </c>
      <c r="Y124" s="3" t="str">
        <f>IFERROR(__xludf.DUMMYFUNCTION("""COMPUTED_VALUE"""),"#N/A")</f>
        <v>#N/A</v>
      </c>
      <c r="Z124" s="3" t="str">
        <f>IFERROR(__xludf.DUMMYFUNCTION("""COMPUTED_VALUE"""),"Unknown")</f>
        <v>Unknown</v>
      </c>
      <c r="AA124" s="3" t="b">
        <f>IFERROR(__xludf.DUMMYFUNCTION("""COMPUTED_VALUE"""),FALSE)</f>
        <v>0</v>
      </c>
    </row>
    <row r="125">
      <c r="A125" s="11">
        <f>IFERROR(__xludf.DUMMYFUNCTION("""COMPUTED_VALUE"""),1.00633643E8)</f>
        <v>100633643</v>
      </c>
      <c r="B125" s="3" t="str">
        <f>IFERROR(__xludf.DUMMYFUNCTION("""COMPUTED_VALUE"""),"Christopher Dimuzio")</f>
        <v>Christopher Dimuzio</v>
      </c>
      <c r="C125" s="3" t="str">
        <f>IFERROR(__xludf.DUMMYFUNCTION("""COMPUTED_VALUE"""),"Christopher  Dimuzio")</f>
        <v>Christopher  Dimuzio</v>
      </c>
      <c r="D125" s="3" t="str">
        <f>IFERROR(__xludf.DUMMYFUNCTION("""COMPUTED_VALUE"""),"Dimuzio, Christopher")</f>
        <v>Dimuzio, Christopher</v>
      </c>
      <c r="E125" s="3" t="str">
        <f>IFERROR(__xludf.DUMMYFUNCTION("""COMPUTED_VALUE"""),"Active")</f>
        <v>Active</v>
      </c>
      <c r="F125" s="3" t="str">
        <f>IFERROR(__xludf.DUMMYFUNCTION("""COMPUTED_VALUE"""),"christopher.dimuzio@pwc.com")</f>
        <v>christopher.dimuzio@pwc.com</v>
      </c>
      <c r="G125" s="3" t="str">
        <f>IFERROR(__xludf.DUMMYFUNCTION("""COMPUTED_VALUE"""),"Finance")</f>
        <v>Finance</v>
      </c>
      <c r="H125" s="3" t="str">
        <f>IFERROR(__xludf.DUMMYFUNCTION("""COMPUTED_VALUE"""),"CM X-Sector")</f>
        <v>CM X-Sector</v>
      </c>
      <c r="I125" s="3" t="str">
        <f>IFERROR(__xludf.DUMMYFUNCTION("""COMPUTED_VALUE"""),"Finance - Financial Operations")</f>
        <v>Finance - Financial Operations</v>
      </c>
      <c r="J125" s="3" t="str">
        <f>IFERROR(__xludf.DUMMYFUNCTION("""COMPUTED_VALUE"""),"Partner")</f>
        <v>Partner</v>
      </c>
      <c r="K125" s="12">
        <f>IFERROR(__xludf.DUMMYFUNCTION("""COMPUTED_VALUE"""),39433.0)</f>
        <v>39433</v>
      </c>
      <c r="L125" s="3" t="str">
        <f>IFERROR(__xludf.DUMMYFUNCTION("""COMPUTED_VALUE"""),"Chicago")</f>
        <v>Chicago</v>
      </c>
      <c r="M125" s="3" t="str">
        <f>IFERROR(__xludf.DUMMYFUNCTION("""COMPUTED_VALUE"""),"Chicago - One North Wacker Drive")</f>
        <v>Chicago - One North Wacker Drive</v>
      </c>
      <c r="N125" s="3" t="b">
        <f>IFERROR(__xludf.DUMMYFUNCTION("""COMPUTED_VALUE"""),FALSE)</f>
        <v>0</v>
      </c>
      <c r="O125" s="3" t="str">
        <f>IFERROR(__xludf.DUMMYFUNCTION("""COMPUTED_VALUE"""),"kurtis.babczenko@pwc.com")</f>
        <v>kurtis.babczenko@pwc.com</v>
      </c>
      <c r="P125" s="3" t="str">
        <f>IFERROR(__xludf.DUMMYFUNCTION("""COMPUTED_VALUE"""),"No")</f>
        <v>No</v>
      </c>
      <c r="Q125" s="3" t="b">
        <f>IFERROR(__xludf.DUMMYFUNCTION("""COMPUTED_VALUE"""),FALSE)</f>
        <v>0</v>
      </c>
      <c r="R125" s="3"/>
      <c r="S125" s="3" t="str">
        <f>IFERROR(__xludf.DUMMYFUNCTION("""COMPUTED_VALUE"""),"Solution Innovation Champions")</f>
        <v>Solution Innovation Champions</v>
      </c>
      <c r="T125" s="3" t="b">
        <f>IFERROR(__xludf.DUMMYFUNCTION("""COMPUTED_VALUE"""),FALSE)</f>
        <v>0</v>
      </c>
      <c r="U125" s="3" t="b">
        <f>IFERROR(__xludf.DUMMYFUNCTION("""COMPUTED_VALUE"""),TRUE)</f>
        <v>1</v>
      </c>
      <c r="V125" s="3" t="b">
        <f>IFERROR(__xludf.DUMMYFUNCTION("""COMPUTED_VALUE"""),FALSE)</f>
        <v>0</v>
      </c>
      <c r="W125" s="3" t="str">
        <f>IFERROR(__xludf.DUMMYFUNCTION("""COMPUTED_VALUE"""),"Delivery")</f>
        <v>Delivery</v>
      </c>
      <c r="X125" s="3"/>
      <c r="Y125" s="3"/>
      <c r="Z125" s="3" t="str">
        <f>IFERROR(__xludf.DUMMYFUNCTION("""COMPUTED_VALUE"""),"Finance Transformation - CM")</f>
        <v>Finance Transformation - CM</v>
      </c>
      <c r="AA125" s="3" t="b">
        <f>IFERROR(__xludf.DUMMYFUNCTION("""COMPUTED_VALUE"""),FALSE)</f>
        <v>0</v>
      </c>
    </row>
    <row r="126">
      <c r="A126" s="11">
        <f>IFERROR(__xludf.DUMMYFUNCTION("""COMPUTED_VALUE"""),1.00923205E8)</f>
        <v>100923205</v>
      </c>
      <c r="B126" s="3" t="str">
        <f>IFERROR(__xludf.DUMMYFUNCTION("""COMPUTED_VALUE"""),"Christopher Hannegan")</f>
        <v>Christopher Hannegan</v>
      </c>
      <c r="C126" s="3" t="str">
        <f>IFERROR(__xludf.DUMMYFUNCTION("""COMPUTED_VALUE"""),"Christopher Paul Hannegan")</f>
        <v>Christopher Paul Hannegan</v>
      </c>
      <c r="D126" s="3" t="str">
        <f>IFERROR(__xludf.DUMMYFUNCTION("""COMPUTED_VALUE"""),"Hannegan, Christopher Paul")</f>
        <v>Hannegan, Christopher Paul</v>
      </c>
      <c r="E126" s="3" t="str">
        <f>IFERROR(__xludf.DUMMYFUNCTION("""COMPUTED_VALUE"""),"Active")</f>
        <v>Active</v>
      </c>
      <c r="F126" s="3" t="str">
        <f>IFERROR(__xludf.DUMMYFUNCTION("""COMPUTED_VALUE"""),"christopher.hannegan@pwc.com")</f>
        <v>christopher.hannegan@pwc.com</v>
      </c>
      <c r="G126" s="3" t="str">
        <f>IFERROR(__xludf.DUMMYFUNCTION("""COMPUTED_VALUE"""),"Workforce")</f>
        <v>Workforce</v>
      </c>
      <c r="H126" s="3" t="str">
        <f>IFERROR(__xludf.DUMMYFUNCTION("""COMPUTED_VALUE"""),"CM X-Sector")</f>
        <v>CM X-Sector</v>
      </c>
      <c r="I126" s="3" t="str">
        <f>IFERROR(__xludf.DUMMYFUNCTION("""COMPUTED_VALUE"""),"Workforce - Talent, Change &amp; Behaviors")</f>
        <v>Workforce - Talent, Change &amp; Behaviors</v>
      </c>
      <c r="J126" s="3" t="str">
        <f>IFERROR(__xludf.DUMMYFUNCTION("""COMPUTED_VALUE"""),"Partner")</f>
        <v>Partner</v>
      </c>
      <c r="K126" s="12">
        <f>IFERROR(__xludf.DUMMYFUNCTION("""COMPUTED_VALUE"""),43678.0)</f>
        <v>43678</v>
      </c>
      <c r="L126" s="3" t="str">
        <f>IFERROR(__xludf.DUMMYFUNCTION("""COMPUTED_VALUE"""),"Chicago")</f>
        <v>Chicago</v>
      </c>
      <c r="M126" s="3" t="str">
        <f>IFERROR(__xludf.DUMMYFUNCTION("""COMPUTED_VALUE"""),"Chicago - One North Wacker Drive")</f>
        <v>Chicago - One North Wacker Drive</v>
      </c>
      <c r="N126" s="3" t="b">
        <f>IFERROR(__xludf.DUMMYFUNCTION("""COMPUTED_VALUE"""),FALSE)</f>
        <v>0</v>
      </c>
      <c r="O126" s="3" t="str">
        <f>IFERROR(__xludf.DUMMYFUNCTION("""COMPUTED_VALUE"""),"craig.odonnell@pwc.com")</f>
        <v>craig.odonnell@pwc.com</v>
      </c>
      <c r="P126" s="3" t="str">
        <f>IFERROR(__xludf.DUMMYFUNCTION("""COMPUTED_VALUE"""),"No")</f>
        <v>No</v>
      </c>
      <c r="Q126" s="3" t="b">
        <f>IFERROR(__xludf.DUMMYFUNCTION("""COMPUTED_VALUE"""),FALSE)</f>
        <v>0</v>
      </c>
      <c r="R126" s="3"/>
      <c r="S126" s="3"/>
      <c r="T126" s="3" t="b">
        <f>IFERROR(__xludf.DUMMYFUNCTION("""COMPUTED_VALUE"""),FALSE)</f>
        <v>0</v>
      </c>
      <c r="U126" s="3" t="b">
        <f>IFERROR(__xludf.DUMMYFUNCTION("""COMPUTED_VALUE"""),FALSE)</f>
        <v>0</v>
      </c>
      <c r="V126" s="3" t="b">
        <f>IFERROR(__xludf.DUMMYFUNCTION("""COMPUTED_VALUE"""),FALSE)</f>
        <v>0</v>
      </c>
      <c r="W126" s="3" t="str">
        <f>IFERROR(__xludf.DUMMYFUNCTION("""COMPUTED_VALUE"""),"#N/A")</f>
        <v>#N/A</v>
      </c>
      <c r="X126" s="3" t="str">
        <f>IFERROR(__xludf.DUMMYFUNCTION("""COMPUTED_VALUE"""),"#N/A")</f>
        <v>#N/A</v>
      </c>
      <c r="Y126" s="3" t="str">
        <f>IFERROR(__xludf.DUMMYFUNCTION("""COMPUTED_VALUE"""),"#N/A")</f>
        <v>#N/A</v>
      </c>
      <c r="Z126" s="3" t="str">
        <f>IFERROR(__xludf.DUMMYFUNCTION("""COMPUTED_VALUE"""),"Unknown")</f>
        <v>Unknown</v>
      </c>
      <c r="AA126" s="3" t="b">
        <f>IFERROR(__xludf.DUMMYFUNCTION("""COMPUTED_VALUE"""),FALSE)</f>
        <v>0</v>
      </c>
    </row>
    <row r="127">
      <c r="A127" s="11">
        <f>IFERROR(__xludf.DUMMYFUNCTION("""COMPUTED_VALUE"""),1.00594397E8)</f>
        <v>100594397</v>
      </c>
      <c r="B127" s="3" t="str">
        <f>IFERROR(__xludf.DUMMYFUNCTION("""COMPUTED_VALUE"""),"Christopher Joline")</f>
        <v>Christopher Joline</v>
      </c>
      <c r="C127" s="3" t="str">
        <f>IFERROR(__xludf.DUMMYFUNCTION("""COMPUTED_VALUE"""),"Christopher  Joline")</f>
        <v>Christopher  Joline</v>
      </c>
      <c r="D127" s="3" t="str">
        <f>IFERROR(__xludf.DUMMYFUNCTION("""COMPUTED_VALUE"""),"Joline, Christopher")</f>
        <v>Joline, Christopher</v>
      </c>
      <c r="E127" s="3" t="str">
        <f>IFERROR(__xludf.DUMMYFUNCTION("""COMPUTED_VALUE"""),"Active")</f>
        <v>Active</v>
      </c>
      <c r="F127" s="3" t="str">
        <f>IFERROR(__xludf.DUMMYFUNCTION("""COMPUTED_VALUE"""),"chris.joline@pwc.com")</f>
        <v>chris.joline@pwc.com</v>
      </c>
      <c r="G127" s="3" t="str">
        <f>IFERROR(__xludf.DUMMYFUNCTION("""COMPUTED_VALUE"""),"FS")</f>
        <v>FS</v>
      </c>
      <c r="H127" s="3" t="str">
        <f>IFERROR(__xludf.DUMMYFUNCTION("""COMPUTED_VALUE"""),"Insurance")</f>
        <v>Insurance</v>
      </c>
      <c r="I127" s="3" t="str">
        <f>IFERROR(__xludf.DUMMYFUNCTION("""COMPUTED_VALUE"""),"FS - Insurance")</f>
        <v>FS - Insurance</v>
      </c>
      <c r="J127" s="3" t="str">
        <f>IFERROR(__xludf.DUMMYFUNCTION("""COMPUTED_VALUE"""),"Partner")</f>
        <v>Partner</v>
      </c>
      <c r="K127" s="12">
        <f>IFERROR(__xludf.DUMMYFUNCTION("""COMPUTED_VALUE"""),34855.0)</f>
        <v>34855</v>
      </c>
      <c r="L127" s="3" t="str">
        <f>IFERROR(__xludf.DUMMYFUNCTION("""COMPUTED_VALUE"""),"New York")</f>
        <v>New York</v>
      </c>
      <c r="M127" s="3" t="str">
        <f>IFERROR(__xludf.DUMMYFUNCTION("""COMPUTED_VALUE"""),"New York - 300 Madison Avenue")</f>
        <v>New York - 300 Madison Avenue</v>
      </c>
      <c r="N127" s="3" t="b">
        <f>IFERROR(__xludf.DUMMYFUNCTION("""COMPUTED_VALUE"""),FALSE)</f>
        <v>0</v>
      </c>
      <c r="O127" s="3" t="str">
        <f>IFERROR(__xludf.DUMMYFUNCTION("""COMPUTED_VALUE"""),"alison.hoover@pwc.com")</f>
        <v>alison.hoover@pwc.com</v>
      </c>
      <c r="P127" s="3" t="str">
        <f>IFERROR(__xludf.DUMMYFUNCTION("""COMPUTED_VALUE"""),"No")</f>
        <v>No</v>
      </c>
      <c r="Q127" s="3" t="b">
        <f>IFERROR(__xludf.DUMMYFUNCTION("""COMPUTED_VALUE"""),TRUE)</f>
        <v>1</v>
      </c>
      <c r="R127" s="3" t="str">
        <f>IFERROR(__xludf.DUMMYFUNCTION("""COMPUTED_VALUE"""),"LCP Low")</f>
        <v>LCP Low</v>
      </c>
      <c r="S127" s="3"/>
      <c r="T127" s="3" t="b">
        <f>IFERROR(__xludf.DUMMYFUNCTION("""COMPUTED_VALUE"""),FALSE)</f>
        <v>0</v>
      </c>
      <c r="U127" s="3" t="b">
        <f>IFERROR(__xludf.DUMMYFUNCTION("""COMPUTED_VALUE"""),FALSE)</f>
        <v>0</v>
      </c>
      <c r="V127" s="3" t="b">
        <f>IFERROR(__xludf.DUMMYFUNCTION("""COMPUTED_VALUE"""),FALSE)</f>
        <v>0</v>
      </c>
      <c r="W127" s="3" t="str">
        <f>IFERROR(__xludf.DUMMYFUNCTION("""COMPUTED_VALUE"""),"LCP")</f>
        <v>LCP</v>
      </c>
      <c r="X127" s="3"/>
      <c r="Y127" s="3" t="str">
        <f>IFERROR(__xludf.DUMMYFUNCTION("""COMPUTED_VALUE"""),"GEP - Low")</f>
        <v>GEP - Low</v>
      </c>
      <c r="Z127" s="3" t="str">
        <f>IFERROR(__xludf.DUMMYFUNCTION("""COMPUTED_VALUE"""),"Insurance Transformation")</f>
        <v>Insurance Transformation</v>
      </c>
      <c r="AA127" s="3" t="b">
        <f>IFERROR(__xludf.DUMMYFUNCTION("""COMPUTED_VALUE"""),FALSE)</f>
        <v>0</v>
      </c>
    </row>
    <row r="128">
      <c r="A128" s="11">
        <f>IFERROR(__xludf.DUMMYFUNCTION("""COMPUTED_VALUE"""),1.00654705E8)</f>
        <v>100654705</v>
      </c>
      <c r="B128" s="3" t="str">
        <f>IFERROR(__xludf.DUMMYFUNCTION("""COMPUTED_VALUE"""),"Christopher Joyce")</f>
        <v>Christopher Joyce</v>
      </c>
      <c r="C128" s="3" t="str">
        <f>IFERROR(__xludf.DUMMYFUNCTION("""COMPUTED_VALUE"""),"Christopher J Joyce")</f>
        <v>Christopher J Joyce</v>
      </c>
      <c r="D128" s="3" t="str">
        <f>IFERROR(__xludf.DUMMYFUNCTION("""COMPUTED_VALUE"""),"Joyce, Christopher J")</f>
        <v>Joyce, Christopher J</v>
      </c>
      <c r="E128" s="3" t="str">
        <f>IFERROR(__xludf.DUMMYFUNCTION("""COMPUTED_VALUE"""),"Active")</f>
        <v>Active</v>
      </c>
      <c r="F128" s="3" t="str">
        <f>IFERROR(__xludf.DUMMYFUNCTION("""COMPUTED_VALUE"""),"christopher.j.joyce@pwc.com")</f>
        <v>christopher.j.joyce@pwc.com</v>
      </c>
      <c r="G128" s="3" t="str">
        <f>IFERROR(__xludf.DUMMYFUNCTION("""COMPUTED_VALUE"""),"Health")</f>
        <v>Health</v>
      </c>
      <c r="H128" s="3" t="str">
        <f>IFERROR(__xludf.DUMMYFUNCTION("""COMPUTED_VALUE"""),"Health Services")</f>
        <v>Health Services</v>
      </c>
      <c r="I128" s="3" t="str">
        <f>IFERROR(__xludf.DUMMYFUNCTION("""COMPUTED_VALUE"""),"Health - Payer CO&amp;I")</f>
        <v>Health - Payer CO&amp;I</v>
      </c>
      <c r="J128" s="3" t="str">
        <f>IFERROR(__xludf.DUMMYFUNCTION("""COMPUTED_VALUE"""),"Partner")</f>
        <v>Partner</v>
      </c>
      <c r="K128" s="12">
        <f>IFERROR(__xludf.DUMMYFUNCTION("""COMPUTED_VALUE"""),40567.0)</f>
        <v>40567</v>
      </c>
      <c r="L128" s="3" t="str">
        <f>IFERROR(__xludf.DUMMYFUNCTION("""COMPUTED_VALUE"""),"New York")</f>
        <v>New York</v>
      </c>
      <c r="M128" s="3" t="str">
        <f>IFERROR(__xludf.DUMMYFUNCTION("""COMPUTED_VALUE"""),"New York - 300 Madison Avenue")</f>
        <v>New York - 300 Madison Avenue</v>
      </c>
      <c r="N128" s="3" t="b">
        <f>IFERROR(__xludf.DUMMYFUNCTION("""COMPUTED_VALUE"""),FALSE)</f>
        <v>0</v>
      </c>
      <c r="O128" s="3" t="str">
        <f>IFERROR(__xludf.DUMMYFUNCTION("""COMPUTED_VALUE"""),"craig.e.gooch@pwc.com")</f>
        <v>craig.e.gooch@pwc.com</v>
      </c>
      <c r="P128" s="3" t="str">
        <f>IFERROR(__xludf.DUMMYFUNCTION("""COMPUTED_VALUE"""),"No")</f>
        <v>No</v>
      </c>
      <c r="Q128" s="3" t="b">
        <f>IFERROR(__xludf.DUMMYFUNCTION("""COMPUTED_VALUE"""),FALSE)</f>
        <v>0</v>
      </c>
      <c r="R128" s="3"/>
      <c r="S128" s="3"/>
      <c r="T128" s="3" t="b">
        <f>IFERROR(__xludf.DUMMYFUNCTION("""COMPUTED_VALUE"""),TRUE)</f>
        <v>1</v>
      </c>
      <c r="U128" s="3" t="b">
        <f>IFERROR(__xludf.DUMMYFUNCTION("""COMPUTED_VALUE"""),FALSE)</f>
        <v>0</v>
      </c>
      <c r="V128" s="3" t="b">
        <f>IFERROR(__xludf.DUMMYFUNCTION("""COMPUTED_VALUE"""),FALSE)</f>
        <v>0</v>
      </c>
      <c r="W128" s="3" t="str">
        <f>IFERROR(__xludf.DUMMYFUNCTION("""COMPUTED_VALUE"""),"Delivery")</f>
        <v>Delivery</v>
      </c>
      <c r="X128" s="3"/>
      <c r="Y128" s="3" t="str">
        <f>IFERROR(__xludf.DUMMYFUNCTION("""COMPUTED_VALUE"""),"Rainmaker")</f>
        <v>Rainmaker</v>
      </c>
      <c r="Z128" s="3" t="str">
        <f>IFERROR(__xludf.DUMMYFUNCTION("""COMPUTED_VALUE"""),"Payer Transformation")</f>
        <v>Payer Transformation</v>
      </c>
      <c r="AA128" s="3" t="b">
        <f>IFERROR(__xludf.DUMMYFUNCTION("""COMPUTED_VALUE"""),FALSE)</f>
        <v>0</v>
      </c>
    </row>
    <row r="129">
      <c r="A129" s="11">
        <f>IFERROR(__xludf.DUMMYFUNCTION("""COMPUTED_VALUE"""),1.00910509E8)</f>
        <v>100910509</v>
      </c>
      <c r="B129" s="3" t="str">
        <f>IFERROR(__xludf.DUMMYFUNCTION("""COMPUTED_VALUE"""),"Christopher Manning")</f>
        <v>Christopher Manning</v>
      </c>
      <c r="C129" s="3" t="str">
        <f>IFERROR(__xludf.DUMMYFUNCTION("""COMPUTED_VALUE"""),"Christopher Nicholas Manning")</f>
        <v>Christopher Nicholas Manning</v>
      </c>
      <c r="D129" s="3" t="str">
        <f>IFERROR(__xludf.DUMMYFUNCTION("""COMPUTED_VALUE"""),"Manning, Christopher")</f>
        <v>Manning, Christopher</v>
      </c>
      <c r="E129" s="3" t="str">
        <f>IFERROR(__xludf.DUMMYFUNCTION("""COMPUTED_VALUE"""),"Secondment")</f>
        <v>Secondment</v>
      </c>
      <c r="F129" s="3" t="str">
        <f>IFERROR(__xludf.DUMMYFUNCTION("""COMPUTED_VALUE"""),"christopher.manning@pwc.com")</f>
        <v>christopher.manning@pwc.com</v>
      </c>
      <c r="G129" s="3" t="str">
        <f>IFERROR(__xludf.DUMMYFUNCTION("""COMPUTED_VALUE"""),"ESV")</f>
        <v>ESV</v>
      </c>
      <c r="H129" s="3" t="str">
        <f>IFERROR(__xludf.DUMMYFUNCTION("""COMPUTED_VALUE"""),"Insurance")</f>
        <v>Insurance</v>
      </c>
      <c r="I129" s="3" t="str">
        <f>IFERROR(__xludf.DUMMYFUNCTION("""COMPUTED_VALUE"""),"ESV - Insurance")</f>
        <v>ESV - Insurance</v>
      </c>
      <c r="J129" s="3" t="str">
        <f>IFERROR(__xludf.DUMMYFUNCTION("""COMPUTED_VALUE"""),"Partner")</f>
        <v>Partner</v>
      </c>
      <c r="K129" s="12">
        <f>IFERROR(__xludf.DUMMYFUNCTION("""COMPUTED_VALUE"""),43689.0)</f>
        <v>43689</v>
      </c>
      <c r="L129" s="3" t="str">
        <f>IFERROR(__xludf.DUMMYFUNCTION("""COMPUTED_VALUE"""),"Florham Park")</f>
        <v>Florham Park</v>
      </c>
      <c r="M129" s="3" t="str">
        <f>IFERROR(__xludf.DUMMYFUNCTION("""COMPUTED_VALUE"""),"Florham Park - 400 Campus Drive")</f>
        <v>Florham Park - 400 Campus Drive</v>
      </c>
      <c r="N129" s="3" t="b">
        <f>IFERROR(__xludf.DUMMYFUNCTION("""COMPUTED_VALUE"""),FALSE)</f>
        <v>0</v>
      </c>
      <c r="O129" s="3" t="str">
        <f>IFERROR(__xludf.DUMMYFUNCTION("""COMPUTED_VALUE"""),"sundar.subramanian@pwc.com")</f>
        <v>sundar.subramanian@pwc.com</v>
      </c>
      <c r="P129" s="3" t="str">
        <f>IFERROR(__xludf.DUMMYFUNCTION("""COMPUTED_VALUE"""),"No")</f>
        <v>No</v>
      </c>
      <c r="Q129" s="3" t="b">
        <f>IFERROR(__xludf.DUMMYFUNCTION("""COMPUTED_VALUE"""),TRUE)</f>
        <v>1</v>
      </c>
      <c r="R129" s="3" t="str">
        <f>IFERROR(__xludf.DUMMYFUNCTION("""COMPUTED_VALUE"""),"LCP Low")</f>
        <v>LCP Low</v>
      </c>
      <c r="S129" s="3"/>
      <c r="T129" s="3" t="b">
        <f>IFERROR(__xludf.DUMMYFUNCTION("""COMPUTED_VALUE"""),FALSE)</f>
        <v>0</v>
      </c>
      <c r="U129" s="3" t="b">
        <f>IFERROR(__xludf.DUMMYFUNCTION("""COMPUTED_VALUE"""),TRUE)</f>
        <v>1</v>
      </c>
      <c r="V129" s="3" t="b">
        <f>IFERROR(__xludf.DUMMYFUNCTION("""COMPUTED_VALUE"""),FALSE)</f>
        <v>0</v>
      </c>
      <c r="W129" s="3" t="str">
        <f>IFERROR(__xludf.DUMMYFUNCTION("""COMPUTED_VALUE"""),"LCP")</f>
        <v>LCP</v>
      </c>
      <c r="X129" s="3"/>
      <c r="Y129" s="3" t="str">
        <f>IFERROR(__xludf.DUMMYFUNCTION("""COMPUTED_VALUE"""),"GEP - Low")</f>
        <v>GEP - Low</v>
      </c>
      <c r="Z129" s="3" t="str">
        <f>IFERROR(__xludf.DUMMYFUNCTION("""COMPUTED_VALUE"""),"Enterprise Digital Transformation - Insurance")</f>
        <v>Enterprise Digital Transformation - Insurance</v>
      </c>
      <c r="AA129" s="3" t="b">
        <f>IFERROR(__xludf.DUMMYFUNCTION("""COMPUTED_VALUE"""),FALSE)</f>
        <v>0</v>
      </c>
    </row>
    <row r="130">
      <c r="A130" s="11">
        <f>IFERROR(__xludf.DUMMYFUNCTION("""COMPUTED_VALUE"""),1.00634482E8)</f>
        <v>100634482</v>
      </c>
      <c r="B130" s="3" t="str">
        <f>IFERROR(__xludf.DUMMYFUNCTION("""COMPUTED_VALUE"""),"Christopher Pullano")</f>
        <v>Christopher Pullano</v>
      </c>
      <c r="C130" s="3" t="str">
        <f>IFERROR(__xludf.DUMMYFUNCTION("""COMPUTED_VALUE"""),"Christopher  Pullano")</f>
        <v>Christopher  Pullano</v>
      </c>
      <c r="D130" s="3" t="str">
        <f>IFERROR(__xludf.DUMMYFUNCTION("""COMPUTED_VALUE"""),"Pullano, Christopher")</f>
        <v>Pullano, Christopher</v>
      </c>
      <c r="E130" s="3" t="str">
        <f>IFERROR(__xludf.DUMMYFUNCTION("""COMPUTED_VALUE"""),"Active")</f>
        <v>Active</v>
      </c>
      <c r="F130" s="3" t="str">
        <f>IFERROR(__xludf.DUMMYFUNCTION("""COMPUTED_VALUE"""),"christopher.pullano@pwc.com")</f>
        <v>christopher.pullano@pwc.com</v>
      </c>
      <c r="G130" s="3" t="str">
        <f>IFERROR(__xludf.DUMMYFUNCTION("""COMPUTED_VALUE"""),"FS")</f>
        <v>FS</v>
      </c>
      <c r="H130" s="3" t="str">
        <f>IFERROR(__xludf.DUMMYFUNCTION("""COMPUTED_VALUE"""),"Banking and Capital Markets")</f>
        <v>Banking and Capital Markets</v>
      </c>
      <c r="I130" s="3" t="str">
        <f>IFERROR(__xludf.DUMMYFUNCTION("""COMPUTED_VALUE"""),"FS - Banking and Capital Markets")</f>
        <v>FS - Banking and Capital Markets</v>
      </c>
      <c r="J130" s="3" t="str">
        <f>IFERROR(__xludf.DUMMYFUNCTION("""COMPUTED_VALUE"""),"Partner")</f>
        <v>Partner</v>
      </c>
      <c r="K130" s="12">
        <f>IFERROR(__xludf.DUMMYFUNCTION("""COMPUTED_VALUE"""),39489.0)</f>
        <v>39489</v>
      </c>
      <c r="L130" s="3" t="str">
        <f>IFERROR(__xludf.DUMMYFUNCTION("""COMPUTED_VALUE"""),"New York")</f>
        <v>New York</v>
      </c>
      <c r="M130" s="3" t="str">
        <f>IFERROR(__xludf.DUMMYFUNCTION("""COMPUTED_VALUE"""),"New York - 300 Madison Avenue")</f>
        <v>New York - 300 Madison Avenue</v>
      </c>
      <c r="N130" s="3" t="b">
        <f>IFERROR(__xludf.DUMMYFUNCTION("""COMPUTED_VALUE"""),FALSE)</f>
        <v>0</v>
      </c>
      <c r="O130" s="3" t="str">
        <f>IFERROR(__xludf.DUMMYFUNCTION("""COMPUTED_VALUE"""),"alison.hoover@pwc.com")</f>
        <v>alison.hoover@pwc.com</v>
      </c>
      <c r="P130" s="3" t="str">
        <f>IFERROR(__xludf.DUMMYFUNCTION("""COMPUTED_VALUE"""),"No")</f>
        <v>No</v>
      </c>
      <c r="Q130" s="3" t="b">
        <f>IFERROR(__xludf.DUMMYFUNCTION("""COMPUTED_VALUE"""),TRUE)</f>
        <v>1</v>
      </c>
      <c r="R130" s="3" t="str">
        <f>IFERROR(__xludf.DUMMYFUNCTION("""COMPUTED_VALUE"""),"LCP High")</f>
        <v>LCP High</v>
      </c>
      <c r="S130" s="3"/>
      <c r="T130" s="3" t="b">
        <f>IFERROR(__xludf.DUMMYFUNCTION("""COMPUTED_VALUE"""),FALSE)</f>
        <v>0</v>
      </c>
      <c r="U130" s="3" t="b">
        <f>IFERROR(__xludf.DUMMYFUNCTION("""COMPUTED_VALUE"""),FALSE)</f>
        <v>0</v>
      </c>
      <c r="V130" s="3" t="b">
        <f>IFERROR(__xludf.DUMMYFUNCTION("""COMPUTED_VALUE"""),FALSE)</f>
        <v>0</v>
      </c>
      <c r="W130" s="3" t="str">
        <f>IFERROR(__xludf.DUMMYFUNCTION("""COMPUTED_VALUE"""),"LCP")</f>
        <v>LCP</v>
      </c>
      <c r="X130" s="3"/>
      <c r="Y130" s="3" t="str">
        <f>IFERROR(__xludf.DUMMYFUNCTION("""COMPUTED_VALUE"""),"GEP - High")</f>
        <v>GEP - High</v>
      </c>
      <c r="Z130" s="3" t="str">
        <f>IFERROR(__xludf.DUMMYFUNCTION("""COMPUTED_VALUE"""),"Capital Markets Transformation")</f>
        <v>Capital Markets Transformation</v>
      </c>
      <c r="AA130" s="3" t="b">
        <f>IFERROR(__xludf.DUMMYFUNCTION("""COMPUTED_VALUE"""),FALSE)</f>
        <v>0</v>
      </c>
    </row>
    <row r="131">
      <c r="A131" s="11">
        <f>IFERROR(__xludf.DUMMYFUNCTION("""COMPUTED_VALUE"""),1.00628186E8)</f>
        <v>100628186</v>
      </c>
      <c r="B131" s="3" t="str">
        <f>IFERROR(__xludf.DUMMYFUNCTION("""COMPUTED_VALUE"""),"Christopher Scarpati")</f>
        <v>Christopher Scarpati</v>
      </c>
      <c r="C131" s="3" t="str">
        <f>IFERROR(__xludf.DUMMYFUNCTION("""COMPUTED_VALUE"""),"Christopher Vincent Scarpati")</f>
        <v>Christopher Vincent Scarpati</v>
      </c>
      <c r="D131" s="3" t="str">
        <f>IFERROR(__xludf.DUMMYFUNCTION("""COMPUTED_VALUE"""),"Scarpati, Christopher Vincent")</f>
        <v>Scarpati, Christopher Vincent</v>
      </c>
      <c r="E131" s="3" t="str">
        <f>IFERROR(__xludf.DUMMYFUNCTION("""COMPUTED_VALUE"""),"Active")</f>
        <v>Active</v>
      </c>
      <c r="F131" s="3" t="str">
        <f>IFERROR(__xludf.DUMMYFUNCTION("""COMPUTED_VALUE"""),"christopher.v.scarpati@pwc.com")</f>
        <v>christopher.v.scarpati@pwc.com</v>
      </c>
      <c r="G131" s="3" t="str">
        <f>IFERROR(__xludf.DUMMYFUNCTION("""COMPUTED_VALUE"""),"FS")</f>
        <v>FS</v>
      </c>
      <c r="H131" s="3" t="str">
        <f>IFERROR(__xludf.DUMMYFUNCTION("""COMPUTED_VALUE"""),"Banking and Capital Markets")</f>
        <v>Banking and Capital Markets</v>
      </c>
      <c r="I131" s="3" t="str">
        <f>IFERROR(__xludf.DUMMYFUNCTION("""COMPUTED_VALUE"""),"FS - Banking and Capital Markets")</f>
        <v>FS - Banking and Capital Markets</v>
      </c>
      <c r="J131" s="3" t="str">
        <f>IFERROR(__xludf.DUMMYFUNCTION("""COMPUTED_VALUE"""),"Partner")</f>
        <v>Partner</v>
      </c>
      <c r="K131" s="12">
        <f>IFERROR(__xludf.DUMMYFUNCTION("""COMPUTED_VALUE"""),38936.0)</f>
        <v>38936</v>
      </c>
      <c r="L131" s="3" t="str">
        <f>IFERROR(__xludf.DUMMYFUNCTION("""COMPUTED_VALUE"""),"New York")</f>
        <v>New York</v>
      </c>
      <c r="M131" s="3" t="str">
        <f>IFERROR(__xludf.DUMMYFUNCTION("""COMPUTED_VALUE"""),"New York - 300 Madison Avenue")</f>
        <v>New York - 300 Madison Avenue</v>
      </c>
      <c r="N131" s="3" t="b">
        <f>IFERROR(__xludf.DUMMYFUNCTION("""COMPUTED_VALUE"""),TRUE)</f>
        <v>1</v>
      </c>
      <c r="O131" s="3" t="str">
        <f>IFERROR(__xludf.DUMMYFUNCTION("""COMPUTED_VALUE"""),"alison.hoover@pwc.com")</f>
        <v>alison.hoover@pwc.com</v>
      </c>
      <c r="P131" s="3" t="str">
        <f>IFERROR(__xludf.DUMMYFUNCTION("""COMPUTED_VALUE"""),"No")</f>
        <v>No</v>
      </c>
      <c r="Q131" s="3" t="b">
        <f>IFERROR(__xludf.DUMMYFUNCTION("""COMPUTED_VALUE"""),FALSE)</f>
        <v>0</v>
      </c>
      <c r="R131" s="3"/>
      <c r="S131" s="3"/>
      <c r="T131" s="3" t="b">
        <f>IFERROR(__xludf.DUMMYFUNCTION("""COMPUTED_VALUE"""),TRUE)</f>
        <v>1</v>
      </c>
      <c r="U131" s="3" t="b">
        <f>IFERROR(__xludf.DUMMYFUNCTION("""COMPUTED_VALUE"""),FALSE)</f>
        <v>0</v>
      </c>
      <c r="V131" s="3" t="b">
        <f>IFERROR(__xludf.DUMMYFUNCTION("""COMPUTED_VALUE"""),FALSE)</f>
        <v>0</v>
      </c>
      <c r="W131" s="3" t="str">
        <f>IFERROR(__xludf.DUMMYFUNCTION("""COMPUTED_VALUE"""),"Delivery")</f>
        <v>Delivery</v>
      </c>
      <c r="X131" s="3" t="str">
        <f>IFERROR(__xludf.DUMMYFUNCTION("""COMPUTED_VALUE"""),"Investment")</f>
        <v>Investment</v>
      </c>
      <c r="Y131" s="3"/>
      <c r="Z131" s="3" t="str">
        <f>IFERROR(__xludf.DUMMYFUNCTION("""COMPUTED_VALUE"""),"Capital Markets Transformation")</f>
        <v>Capital Markets Transformation</v>
      </c>
      <c r="AA131" s="3" t="b">
        <f>IFERROR(__xludf.DUMMYFUNCTION("""COMPUTED_VALUE"""),TRUE)</f>
        <v>1</v>
      </c>
    </row>
    <row r="132">
      <c r="A132" s="11">
        <f>IFERROR(__xludf.DUMMYFUNCTION("""COMPUTED_VALUE"""),1.01148689E8)</f>
        <v>101148689</v>
      </c>
      <c r="B132" s="3" t="str">
        <f>IFERROR(__xludf.DUMMYFUNCTION("""COMPUTED_VALUE"""),"Cindy Drucker")</f>
        <v>Cindy Drucker</v>
      </c>
      <c r="C132" s="3" t="str">
        <f>IFERROR(__xludf.DUMMYFUNCTION("""COMPUTED_VALUE"""),"Cynthia Rebecca Drucker")</f>
        <v>Cynthia Rebecca Drucker</v>
      </c>
      <c r="D132" s="3" t="str">
        <f>IFERROR(__xludf.DUMMYFUNCTION("""COMPUTED_VALUE"""),"Drucker, Cynthia Rebecca")</f>
        <v>Drucker, Cynthia Rebecca</v>
      </c>
      <c r="E132" s="3" t="str">
        <f>IFERROR(__xludf.DUMMYFUNCTION("""COMPUTED_VALUE"""),"Active")</f>
        <v>Active</v>
      </c>
      <c r="F132" s="3" t="str">
        <f>IFERROR(__xludf.DUMMYFUNCTION("""COMPUTED_VALUE"""),"cindy.drucker@pwc.com")</f>
        <v>cindy.drucker@pwc.com</v>
      </c>
      <c r="G132" s="3" t="str">
        <f>IFERROR(__xludf.DUMMYFUNCTION("""COMPUTED_VALUE"""),"ESV")</f>
        <v>ESV</v>
      </c>
      <c r="H132" s="3" t="str">
        <f>IFERROR(__xludf.DUMMYFUNCTION("""COMPUTED_VALUE"""),"Not Applicable")</f>
        <v>Not Applicable</v>
      </c>
      <c r="I132" s="3" t="str">
        <f>IFERROR(__xludf.DUMMYFUNCTION("""COMPUTED_VALUE"""),"ESV - ESG")</f>
        <v>ESV - ESG</v>
      </c>
      <c r="J132" s="3" t="str">
        <f>IFERROR(__xludf.DUMMYFUNCTION("""COMPUTED_VALUE"""),"Managing Director")</f>
        <v>Managing Director</v>
      </c>
      <c r="K132" s="12">
        <f>IFERROR(__xludf.DUMMYFUNCTION("""COMPUTED_VALUE"""),44515.0)</f>
        <v>44515</v>
      </c>
      <c r="L132" s="3" t="str">
        <f>IFERROR(__xludf.DUMMYFUNCTION("""COMPUTED_VALUE"""),"Washington")</f>
        <v>Washington</v>
      </c>
      <c r="M132" s="3" t="str">
        <f>IFERROR(__xludf.DUMMYFUNCTION("""COMPUTED_VALUE"""),"Washington DC - 655 New York Avenue")</f>
        <v>Washington DC - 655 New York Avenue</v>
      </c>
      <c r="N132" s="3" t="b">
        <f>IFERROR(__xludf.DUMMYFUNCTION("""COMPUTED_VALUE"""),FALSE)</f>
        <v>0</v>
      </c>
      <c r="O132" s="3" t="str">
        <f>IFERROR(__xludf.DUMMYFUNCTION("""COMPUTED_VALUE"""),"ron.kinghorn@pwc.com")</f>
        <v>ron.kinghorn@pwc.com</v>
      </c>
      <c r="P132" s="3" t="str">
        <f>IFERROR(__xludf.DUMMYFUNCTION("""COMPUTED_VALUE"""),"FY22")</f>
        <v>FY22</v>
      </c>
      <c r="Q132" s="3" t="b">
        <f>IFERROR(__xludf.DUMMYFUNCTION("""COMPUTED_VALUE"""),FALSE)</f>
        <v>0</v>
      </c>
      <c r="R132" s="3"/>
      <c r="S132" s="3"/>
      <c r="T132" s="3" t="b">
        <f>IFERROR(__xludf.DUMMYFUNCTION("""COMPUTED_VALUE"""),FALSE)</f>
        <v>0</v>
      </c>
      <c r="U132" s="3" t="b">
        <f>IFERROR(__xludf.DUMMYFUNCTION("""COMPUTED_VALUE"""),TRUE)</f>
        <v>1</v>
      </c>
      <c r="V132" s="3" t="b">
        <f>IFERROR(__xludf.DUMMYFUNCTION("""COMPUTED_VALUE"""),TRUE)</f>
        <v>1</v>
      </c>
      <c r="W132" s="3" t="str">
        <f>IFERROR(__xludf.DUMMYFUNCTION("""COMPUTED_VALUE"""),"Catalyst")</f>
        <v>Catalyst</v>
      </c>
      <c r="X132" s="3"/>
      <c r="Y132" s="3" t="str">
        <f>IFERROR(__xludf.DUMMYFUNCTION("""COMPUTED_VALUE"""),"FY22")</f>
        <v>FY22</v>
      </c>
      <c r="Z132" s="3" t="str">
        <f>IFERROR(__xludf.DUMMYFUNCTION("""COMPUTED_VALUE"""),"ESG")</f>
        <v>ESG</v>
      </c>
      <c r="AA132" s="3" t="b">
        <f>IFERROR(__xludf.DUMMYFUNCTION("""COMPUTED_VALUE"""),FALSE)</f>
        <v>0</v>
      </c>
    </row>
    <row r="133">
      <c r="A133" s="11">
        <f>IFERROR(__xludf.DUMMYFUNCTION("""COMPUTED_VALUE"""),1.0065605E8)</f>
        <v>100656050</v>
      </c>
      <c r="B133" s="3" t="str">
        <f>IFERROR(__xludf.DUMMYFUNCTION("""COMPUTED_VALUE"""),"Cindy Fraterrigo")</f>
        <v>Cindy Fraterrigo</v>
      </c>
      <c r="C133" s="3" t="str">
        <f>IFERROR(__xludf.DUMMYFUNCTION("""COMPUTED_VALUE"""),"Cindy M Fraterrigo")</f>
        <v>Cindy M Fraterrigo</v>
      </c>
      <c r="D133" s="3" t="str">
        <f>IFERROR(__xludf.DUMMYFUNCTION("""COMPUTED_VALUE"""),"Fraterrigo, Cindy M")</f>
        <v>Fraterrigo, Cindy M</v>
      </c>
      <c r="E133" s="3" t="str">
        <f>IFERROR(__xludf.DUMMYFUNCTION("""COMPUTED_VALUE"""),"Active")</f>
        <v>Active</v>
      </c>
      <c r="F133" s="3" t="str">
        <f>IFERROR(__xludf.DUMMYFUNCTION("""COMPUTED_VALUE"""),"cindy.fraterrigo@pwc.com")</f>
        <v>cindy.fraterrigo@pwc.com</v>
      </c>
      <c r="G133" s="3" t="str">
        <f>IFERROR(__xludf.DUMMYFUNCTION("""COMPUTED_VALUE"""),"Workforce")</f>
        <v>Workforce</v>
      </c>
      <c r="H133" s="3" t="str">
        <f>IFERROR(__xludf.DUMMYFUNCTION("""COMPUTED_VALUE"""),"FS X-Sector")</f>
        <v>FS X-Sector</v>
      </c>
      <c r="I133" s="3" t="str">
        <f>IFERROR(__xludf.DUMMYFUNCTION("""COMPUTED_VALUE"""),"Workforce - Rewards &amp; Well Being")</f>
        <v>Workforce - Rewards &amp; Well Being</v>
      </c>
      <c r="J133" s="3" t="str">
        <f>IFERROR(__xludf.DUMMYFUNCTION("""COMPUTED_VALUE"""),"Partner")</f>
        <v>Partner</v>
      </c>
      <c r="K133" s="12">
        <f>IFERROR(__xludf.DUMMYFUNCTION("""COMPUTED_VALUE"""),34197.0)</f>
        <v>34197</v>
      </c>
      <c r="L133" s="3" t="str">
        <f>IFERROR(__xludf.DUMMYFUNCTION("""COMPUTED_VALUE"""),"Chicago")</f>
        <v>Chicago</v>
      </c>
      <c r="M133" s="3" t="str">
        <f>IFERROR(__xludf.DUMMYFUNCTION("""COMPUTED_VALUE"""),"Chicago - One North Wacker Drive")</f>
        <v>Chicago - One North Wacker Drive</v>
      </c>
      <c r="N133" s="3" t="b">
        <f>IFERROR(__xludf.DUMMYFUNCTION("""COMPUTED_VALUE"""),TRUE)</f>
        <v>1</v>
      </c>
      <c r="O133" s="3" t="str">
        <f>IFERROR(__xludf.DUMMYFUNCTION("""COMPUTED_VALUE"""),"craig.odonnell@pwc.com")</f>
        <v>craig.odonnell@pwc.com</v>
      </c>
      <c r="P133" s="3" t="str">
        <f>IFERROR(__xludf.DUMMYFUNCTION("""COMPUTED_VALUE"""),"No")</f>
        <v>No</v>
      </c>
      <c r="Q133" s="3" t="b">
        <f>IFERROR(__xludf.DUMMYFUNCTION("""COMPUTED_VALUE"""),FALSE)</f>
        <v>0</v>
      </c>
      <c r="R133" s="3"/>
      <c r="S133" s="3"/>
      <c r="T133" s="3" t="b">
        <f>IFERROR(__xludf.DUMMYFUNCTION("""COMPUTED_VALUE"""),FALSE)</f>
        <v>0</v>
      </c>
      <c r="U133" s="3" t="b">
        <f>IFERROR(__xludf.DUMMYFUNCTION("""COMPUTED_VALUE"""),FALSE)</f>
        <v>0</v>
      </c>
      <c r="V133" s="3" t="b">
        <f>IFERROR(__xludf.DUMMYFUNCTION("""COMPUTED_VALUE"""),FALSE)</f>
        <v>0</v>
      </c>
      <c r="W133" s="3" t="str">
        <f>IFERROR(__xludf.DUMMYFUNCTION("""COMPUTED_VALUE"""),"#N/A")</f>
        <v>#N/A</v>
      </c>
      <c r="X133" s="3" t="str">
        <f>IFERROR(__xludf.DUMMYFUNCTION("""COMPUTED_VALUE"""),"#N/A")</f>
        <v>#N/A</v>
      </c>
      <c r="Y133" s="3" t="str">
        <f>IFERROR(__xludf.DUMMYFUNCTION("""COMPUTED_VALUE"""),"#N/A")</f>
        <v>#N/A</v>
      </c>
      <c r="Z133" s="3" t="str">
        <f>IFERROR(__xludf.DUMMYFUNCTION("""COMPUTED_VALUE"""),"Unknown")</f>
        <v>Unknown</v>
      </c>
      <c r="AA133" s="3" t="b">
        <f>IFERROR(__xludf.DUMMYFUNCTION("""COMPUTED_VALUE"""),TRUE)</f>
        <v>1</v>
      </c>
    </row>
    <row r="134">
      <c r="A134" s="11">
        <f>IFERROR(__xludf.DUMMYFUNCTION("""COMPUTED_VALUE"""),1.00644077E8)</f>
        <v>100644077</v>
      </c>
      <c r="B134" s="3" t="str">
        <f>IFERROR(__xludf.DUMMYFUNCTION("""COMPUTED_VALUE"""),"CJ Bangah")</f>
        <v>CJ Bangah</v>
      </c>
      <c r="C134" s="3" t="str">
        <f>IFERROR(__xludf.DUMMYFUNCTION("""COMPUTED_VALUE"""),"Christina J Bangah")</f>
        <v>Christina J Bangah</v>
      </c>
      <c r="D134" s="3" t="str">
        <f>IFERROR(__xludf.DUMMYFUNCTION("""COMPUTED_VALUE"""),"Bangah, Christina J")</f>
        <v>Bangah, Christina J</v>
      </c>
      <c r="E134" s="3" t="str">
        <f>IFERROR(__xludf.DUMMYFUNCTION("""COMPUTED_VALUE"""),"Active")</f>
        <v>Active</v>
      </c>
      <c r="F134" s="3" t="str">
        <f>IFERROR(__xludf.DUMMYFUNCTION("""COMPUTED_VALUE"""),"christina.j.bangah@pwc.com")</f>
        <v>christina.j.bangah@pwc.com</v>
      </c>
      <c r="G134" s="3" t="str">
        <f>IFERROR(__xludf.DUMMYFUNCTION("""COMPUTED_VALUE"""),"Customer")</f>
        <v>Customer</v>
      </c>
      <c r="H134" s="3" t="str">
        <f>IFERROR(__xludf.DUMMYFUNCTION("""COMPUTED_VALUE"""),"TMT X-Sector")</f>
        <v>TMT X-Sector</v>
      </c>
      <c r="I134" s="3" t="str">
        <f>IFERROR(__xludf.DUMMYFUNCTION("""COMPUTED_VALUE"""),"Customer - Sales")</f>
        <v>Customer - Sales</v>
      </c>
      <c r="J134" s="3" t="str">
        <f>IFERROR(__xludf.DUMMYFUNCTION("""COMPUTED_VALUE"""),"Partner")</f>
        <v>Partner</v>
      </c>
      <c r="K134" s="12">
        <f>IFERROR(__xludf.DUMMYFUNCTION("""COMPUTED_VALUE"""),40189.0)</f>
        <v>40189</v>
      </c>
      <c r="L134" s="3" t="str">
        <f>IFERROR(__xludf.DUMMYFUNCTION("""COMPUTED_VALUE"""),"Seattle")</f>
        <v>Seattle</v>
      </c>
      <c r="M134" s="3" t="str">
        <f>IFERROR(__xludf.DUMMYFUNCTION("""COMPUTED_VALUE"""),"Seattle - 1420 Fifth Avenue")</f>
        <v>Seattle - 1420 Fifth Avenue</v>
      </c>
      <c r="N134" s="3" t="b">
        <f>IFERROR(__xludf.DUMMYFUNCTION("""COMPUTED_VALUE"""),FALSE)</f>
        <v>0</v>
      </c>
      <c r="O134" s="3" t="str">
        <f>IFERROR(__xludf.DUMMYFUNCTION("""COMPUTED_VALUE"""),"george.korizis@pwc.com")</f>
        <v>george.korizis@pwc.com</v>
      </c>
      <c r="P134" s="3" t="str">
        <f>IFERROR(__xludf.DUMMYFUNCTION("""COMPUTED_VALUE"""),"No")</f>
        <v>No</v>
      </c>
      <c r="Q134" s="3" t="b">
        <f>IFERROR(__xludf.DUMMYFUNCTION("""COMPUTED_VALUE"""),FALSE)</f>
        <v>0</v>
      </c>
      <c r="R134" s="3"/>
      <c r="S134" s="3"/>
      <c r="T134" s="3" t="b">
        <f>IFERROR(__xludf.DUMMYFUNCTION("""COMPUTED_VALUE"""),FALSE)</f>
        <v>0</v>
      </c>
      <c r="U134" s="3" t="b">
        <f>IFERROR(__xludf.DUMMYFUNCTION("""COMPUTED_VALUE"""),FALSE)</f>
        <v>0</v>
      </c>
      <c r="V134" s="3" t="b">
        <f>IFERROR(__xludf.DUMMYFUNCTION("""COMPUTED_VALUE"""),FALSE)</f>
        <v>0</v>
      </c>
      <c r="W134" s="3" t="str">
        <f>IFERROR(__xludf.DUMMYFUNCTION("""COMPUTED_VALUE"""),"Delivery")</f>
        <v>Delivery</v>
      </c>
      <c r="X134" s="3"/>
      <c r="Y134" s="3" t="str">
        <f>IFERROR(__xludf.DUMMYFUNCTION("""COMPUTED_VALUE"""),"Point Partner")</f>
        <v>Point Partner</v>
      </c>
      <c r="Z134" s="3" t="str">
        <f>IFERROR(__xludf.DUMMYFUNCTION("""COMPUTED_VALUE"""),"Cloud Transformation - TMT")</f>
        <v>Cloud Transformation - TMT</v>
      </c>
      <c r="AA134" s="3" t="b">
        <f>IFERROR(__xludf.DUMMYFUNCTION("""COMPUTED_VALUE"""),FALSE)</f>
        <v>0</v>
      </c>
    </row>
    <row r="135">
      <c r="A135" s="11">
        <f>IFERROR(__xludf.DUMMYFUNCTION("""COMPUTED_VALUE"""),1.0090037E8)</f>
        <v>100900370</v>
      </c>
      <c r="B135" s="3" t="str">
        <f>IFERROR(__xludf.DUMMYFUNCTION("""COMPUTED_VALUE"""),"Claudia Douglass")</f>
        <v>Claudia Douglass</v>
      </c>
      <c r="C135" s="3" t="str">
        <f>IFERROR(__xludf.DUMMYFUNCTION("""COMPUTED_VALUE"""),"Claudia  Douglass")</f>
        <v>Claudia  Douglass</v>
      </c>
      <c r="D135" s="3" t="str">
        <f>IFERROR(__xludf.DUMMYFUNCTION("""COMPUTED_VALUE"""),"Douglass, Claudia")</f>
        <v>Douglass, Claudia</v>
      </c>
      <c r="E135" s="3" t="str">
        <f>IFERROR(__xludf.DUMMYFUNCTION("""COMPUTED_VALUE"""),"Active")</f>
        <v>Active</v>
      </c>
      <c r="F135" s="3" t="str">
        <f>IFERROR(__xludf.DUMMYFUNCTION("""COMPUTED_VALUE"""),"claudia.douglass@pwc.com")</f>
        <v>claudia.douglass@pwc.com</v>
      </c>
      <c r="G135" s="3" t="str">
        <f>IFERROR(__xludf.DUMMYFUNCTION("""COMPUTED_VALUE"""),"Health")</f>
        <v>Health</v>
      </c>
      <c r="H135" s="3" t="str">
        <f>IFERROR(__xludf.DUMMYFUNCTION("""COMPUTED_VALUE"""),"Health Services")</f>
        <v>Health Services</v>
      </c>
      <c r="I135" s="3" t="str">
        <f>IFERROR(__xludf.DUMMYFUNCTION("""COMPUTED_VALUE"""),"Health - Provider FFG")</f>
        <v>Health - Provider FFG</v>
      </c>
      <c r="J135" s="3" t="str">
        <f>IFERROR(__xludf.DUMMYFUNCTION("""COMPUTED_VALUE"""),"Partner")</f>
        <v>Partner</v>
      </c>
      <c r="K135" s="12">
        <f>IFERROR(__xludf.DUMMYFUNCTION("""COMPUTED_VALUE"""),43626.0)</f>
        <v>43626</v>
      </c>
      <c r="L135" s="3" t="str">
        <f>IFERROR(__xludf.DUMMYFUNCTION("""COMPUTED_VALUE"""),"Charlotte")</f>
        <v>Charlotte</v>
      </c>
      <c r="M135" s="3" t="str">
        <f>IFERROR(__xludf.DUMMYFUNCTION("""COMPUTED_VALUE"""),"Charlotte - 214 North Tryon Street")</f>
        <v>Charlotte - 214 North Tryon Street</v>
      </c>
      <c r="N135" s="3" t="b">
        <f>IFERROR(__xludf.DUMMYFUNCTION("""COMPUTED_VALUE"""),FALSE)</f>
        <v>0</v>
      </c>
      <c r="O135" s="3" t="str">
        <f>IFERROR(__xludf.DUMMYFUNCTION("""COMPUTED_VALUE"""),"craig.e.gooch@pwc.com")</f>
        <v>craig.e.gooch@pwc.com</v>
      </c>
      <c r="P135" s="3" t="str">
        <f>IFERROR(__xludf.DUMMYFUNCTION("""COMPUTED_VALUE"""),"No")</f>
        <v>No</v>
      </c>
      <c r="Q135" s="3" t="b">
        <f>IFERROR(__xludf.DUMMYFUNCTION("""COMPUTED_VALUE"""),FALSE)</f>
        <v>0</v>
      </c>
      <c r="R135" s="3"/>
      <c r="S135" s="3"/>
      <c r="T135" s="3" t="b">
        <f>IFERROR(__xludf.DUMMYFUNCTION("""COMPUTED_VALUE"""),FALSE)</f>
        <v>0</v>
      </c>
      <c r="U135" s="3" t="b">
        <f>IFERROR(__xludf.DUMMYFUNCTION("""COMPUTED_VALUE"""),TRUE)</f>
        <v>1</v>
      </c>
      <c r="V135" s="3" t="b">
        <f>IFERROR(__xludf.DUMMYFUNCTION("""COMPUTED_VALUE"""),FALSE)</f>
        <v>0</v>
      </c>
      <c r="W135" s="3" t="str">
        <f>IFERROR(__xludf.DUMMYFUNCTION("""COMPUTED_VALUE"""),"Delivery")</f>
        <v>Delivery</v>
      </c>
      <c r="X135" s="3"/>
      <c r="Y135" s="3"/>
      <c r="Z135" s="3" t="str">
        <f>IFERROR(__xludf.DUMMYFUNCTION("""COMPUTED_VALUE"""),"Provider Transformation")</f>
        <v>Provider Transformation</v>
      </c>
      <c r="AA135" s="3" t="b">
        <f>IFERROR(__xludf.DUMMYFUNCTION("""COMPUTED_VALUE"""),FALSE)</f>
        <v>0</v>
      </c>
    </row>
    <row r="136">
      <c r="A136" s="11">
        <f>IFERROR(__xludf.DUMMYFUNCTION("""COMPUTED_VALUE"""),1.00882877E8)</f>
        <v>100882877</v>
      </c>
      <c r="B136" s="3" t="str">
        <f>IFERROR(__xludf.DUMMYFUNCTION("""COMPUTED_VALUE"""),"Claudia Montgomery")</f>
        <v>Claudia Montgomery</v>
      </c>
      <c r="C136" s="3" t="str">
        <f>IFERROR(__xludf.DUMMYFUNCTION("""COMPUTED_VALUE"""),"Claudia Roenitz Montgomery")</f>
        <v>Claudia Roenitz Montgomery</v>
      </c>
      <c r="D136" s="3" t="str">
        <f>IFERROR(__xludf.DUMMYFUNCTION("""COMPUTED_VALUE"""),"Montgomery, Claudia Roenitz")</f>
        <v>Montgomery, Claudia Roenitz</v>
      </c>
      <c r="E136" s="3" t="str">
        <f>IFERROR(__xludf.DUMMYFUNCTION("""COMPUTED_VALUE"""),"Active")</f>
        <v>Active</v>
      </c>
      <c r="F136" s="3" t="str">
        <f>IFERROR(__xludf.DUMMYFUNCTION("""COMPUTED_VALUE"""),"claudia.montgomery@pwc.com")</f>
        <v>claudia.montgomery@pwc.com</v>
      </c>
      <c r="G136" s="3" t="str">
        <f>IFERROR(__xludf.DUMMYFUNCTION("""COMPUTED_VALUE"""),"Workforce")</f>
        <v>Workforce</v>
      </c>
      <c r="H136" s="3" t="str">
        <f>IFERROR(__xludf.DUMMYFUNCTION("""COMPUTED_VALUE"""),"Technology")</f>
        <v>Technology</v>
      </c>
      <c r="I136" s="3" t="str">
        <f>IFERROR(__xludf.DUMMYFUNCTION("""COMPUTED_VALUE"""),"Workforce - HRT")</f>
        <v>Workforce - HRT</v>
      </c>
      <c r="J136" s="3" t="str">
        <f>IFERROR(__xludf.DUMMYFUNCTION("""COMPUTED_VALUE"""),"Managing Director")</f>
        <v>Managing Director</v>
      </c>
      <c r="K136" s="12">
        <f>IFERROR(__xludf.DUMMYFUNCTION("""COMPUTED_VALUE"""),43563.0)</f>
        <v>43563</v>
      </c>
      <c r="L136" s="3" t="str">
        <f>IFERROR(__xludf.DUMMYFUNCTION("""COMPUTED_VALUE"""),"Chicago")</f>
        <v>Chicago</v>
      </c>
      <c r="M136" s="3" t="str">
        <f>IFERROR(__xludf.DUMMYFUNCTION("""COMPUTED_VALUE"""),"Chicago - One North Wacker Drive")</f>
        <v>Chicago - One North Wacker Drive</v>
      </c>
      <c r="N136" s="3" t="b">
        <f>IFERROR(__xludf.DUMMYFUNCTION("""COMPUTED_VALUE"""),FALSE)</f>
        <v>0</v>
      </c>
      <c r="O136" s="3" t="str">
        <f>IFERROR(__xludf.DUMMYFUNCTION("""COMPUTED_VALUE"""),"diane.m.youden@pwc.com")</f>
        <v>diane.m.youden@pwc.com</v>
      </c>
      <c r="P136" s="3" t="str">
        <f>IFERROR(__xludf.DUMMYFUNCTION("""COMPUTED_VALUE"""),"No")</f>
        <v>No</v>
      </c>
      <c r="Q136" s="3" t="b">
        <f>IFERROR(__xludf.DUMMYFUNCTION("""COMPUTED_VALUE"""),FALSE)</f>
        <v>0</v>
      </c>
      <c r="R136" s="3"/>
      <c r="S136" s="3"/>
      <c r="T136" s="3" t="b">
        <f>IFERROR(__xludf.DUMMYFUNCTION("""COMPUTED_VALUE"""),FALSE)</f>
        <v>0</v>
      </c>
      <c r="U136" s="3" t="b">
        <f>IFERROR(__xludf.DUMMYFUNCTION("""COMPUTED_VALUE"""),FALSE)</f>
        <v>0</v>
      </c>
      <c r="V136" s="3" t="b">
        <f>IFERROR(__xludf.DUMMYFUNCTION("""COMPUTED_VALUE"""),FALSE)</f>
        <v>0</v>
      </c>
      <c r="W136" s="3" t="str">
        <f>IFERROR(__xludf.DUMMYFUNCTION("""COMPUTED_VALUE"""),"#N/A")</f>
        <v>#N/A</v>
      </c>
      <c r="X136" s="3" t="str">
        <f>IFERROR(__xludf.DUMMYFUNCTION("""COMPUTED_VALUE"""),"#N/A")</f>
        <v>#N/A</v>
      </c>
      <c r="Y136" s="3" t="str">
        <f>IFERROR(__xludf.DUMMYFUNCTION("""COMPUTED_VALUE"""),"#N/A")</f>
        <v>#N/A</v>
      </c>
      <c r="Z136" s="3" t="str">
        <f>IFERROR(__xludf.DUMMYFUNCTION("""COMPUTED_VALUE"""),"Unknown")</f>
        <v>Unknown</v>
      </c>
      <c r="AA136" s="3" t="b">
        <f>IFERROR(__xludf.DUMMYFUNCTION("""COMPUTED_VALUE"""),FALSE)</f>
        <v>0</v>
      </c>
    </row>
    <row r="137">
      <c r="A137" s="11">
        <f>IFERROR(__xludf.DUMMYFUNCTION("""COMPUTED_VALUE"""),1.00624248E8)</f>
        <v>100624248</v>
      </c>
      <c r="B137" s="3" t="str">
        <f>IFERROR(__xludf.DUMMYFUNCTION("""COMPUTED_VALUE"""),"Clay Hale")</f>
        <v>Clay Hale</v>
      </c>
      <c r="C137" s="3" t="str">
        <f>IFERROR(__xludf.DUMMYFUNCTION("""COMPUTED_VALUE"""),"Clay Frederick Hale")</f>
        <v>Clay Frederick Hale</v>
      </c>
      <c r="D137" s="3" t="str">
        <f>IFERROR(__xludf.DUMMYFUNCTION("""COMPUTED_VALUE"""),"Hale, Clay Frederick")</f>
        <v>Hale, Clay Frederick</v>
      </c>
      <c r="E137" s="3" t="str">
        <f>IFERROR(__xludf.DUMMYFUNCTION("""COMPUTED_VALUE"""),"Active")</f>
        <v>Active</v>
      </c>
      <c r="F137" s="3" t="str">
        <f>IFERROR(__xludf.DUMMYFUNCTION("""COMPUTED_VALUE"""),"clay.f.hale@pwc.com")</f>
        <v>clay.f.hale@pwc.com</v>
      </c>
      <c r="G137" s="3" t="str">
        <f>IFERROR(__xludf.DUMMYFUNCTION("""COMPUTED_VALUE"""),"Deals Transformation")</f>
        <v>Deals Transformation</v>
      </c>
      <c r="H137" s="3" t="str">
        <f>IFERROR(__xludf.DUMMYFUNCTION("""COMPUTED_VALUE"""),"Health Services")</f>
        <v>Health Services</v>
      </c>
      <c r="I137" s="3" t="str">
        <f>IFERROR(__xludf.DUMMYFUNCTION("""COMPUTED_VALUE"""),"DDV - Operations")</f>
        <v>DDV - Operations</v>
      </c>
      <c r="J137" s="3" t="str">
        <f>IFERROR(__xludf.DUMMYFUNCTION("""COMPUTED_VALUE"""),"Partner")</f>
        <v>Partner</v>
      </c>
      <c r="K137" s="12">
        <f>IFERROR(__xludf.DUMMYFUNCTION("""COMPUTED_VALUE"""),41673.0)</f>
        <v>41673</v>
      </c>
      <c r="L137" s="3" t="str">
        <f>IFERROR(__xludf.DUMMYFUNCTION("""COMPUTED_VALUE"""),"Atlanta")</f>
        <v>Atlanta</v>
      </c>
      <c r="M137" s="3" t="str">
        <f>IFERROR(__xludf.DUMMYFUNCTION("""COMPUTED_VALUE"""),"Atlanta - 1075 Peachtree Street NE")</f>
        <v>Atlanta - 1075 Peachtree Street NE</v>
      </c>
      <c r="N137" s="3" t="b">
        <f>IFERROR(__xludf.DUMMYFUNCTION("""COMPUTED_VALUE"""),FALSE)</f>
        <v>0</v>
      </c>
      <c r="O137" s="3" t="str">
        <f>IFERROR(__xludf.DUMMYFUNCTION("""COMPUTED_VALUE"""),"derek.b.townsend@pwc.com")</f>
        <v>derek.b.townsend@pwc.com</v>
      </c>
      <c r="P137" s="3" t="str">
        <f>IFERROR(__xludf.DUMMYFUNCTION("""COMPUTED_VALUE"""),"No")</f>
        <v>No</v>
      </c>
      <c r="Q137" s="3" t="b">
        <f>IFERROR(__xludf.DUMMYFUNCTION("""COMPUTED_VALUE"""),FALSE)</f>
        <v>0</v>
      </c>
      <c r="R137" s="3"/>
      <c r="S137" s="3"/>
      <c r="T137" s="3" t="b">
        <f>IFERROR(__xludf.DUMMYFUNCTION("""COMPUTED_VALUE"""),FALSE)</f>
        <v>0</v>
      </c>
      <c r="U137" s="3" t="b">
        <f>IFERROR(__xludf.DUMMYFUNCTION("""COMPUTED_VALUE"""),TRUE)</f>
        <v>1</v>
      </c>
      <c r="V137" s="3" t="b">
        <f>IFERROR(__xludf.DUMMYFUNCTION("""COMPUTED_VALUE"""),FALSE)</f>
        <v>0</v>
      </c>
      <c r="W137" s="3" t="str">
        <f>IFERROR(__xludf.DUMMYFUNCTION("""COMPUTED_VALUE"""),"Delivery")</f>
        <v>Delivery</v>
      </c>
      <c r="X137" s="3" t="str">
        <f>IFERROR(__xludf.DUMMYFUNCTION("""COMPUTED_VALUE"""),"Investment")</f>
        <v>Investment</v>
      </c>
      <c r="Y137" s="3"/>
      <c r="Z137" s="3" t="str">
        <f>IFERROR(__xludf.DUMMYFUNCTION("""COMPUTED_VALUE"""),"Corporate M&amp;A Transformation Payer/Provider/Digital Health")</f>
        <v>Corporate M&amp;A Transformation Payer/Provider/Digital Health</v>
      </c>
      <c r="AA137" s="3" t="b">
        <f>IFERROR(__xludf.DUMMYFUNCTION("""COMPUTED_VALUE"""),FALSE)</f>
        <v>0</v>
      </c>
    </row>
    <row r="138">
      <c r="A138" s="11">
        <f>IFERROR(__xludf.DUMMYFUNCTION("""COMPUTED_VALUE"""),1.0062141E8)</f>
        <v>100621410</v>
      </c>
      <c r="B138" s="3" t="str">
        <f>IFERROR(__xludf.DUMMYFUNCTION("""COMPUTED_VALUE"""),"Colby Conner")</f>
        <v>Colby Conner</v>
      </c>
      <c r="C138" s="3" t="str">
        <f>IFERROR(__xludf.DUMMYFUNCTION("""COMPUTED_VALUE"""),"Colby B Conner")</f>
        <v>Colby B Conner</v>
      </c>
      <c r="D138" s="3" t="str">
        <f>IFERROR(__xludf.DUMMYFUNCTION("""COMPUTED_VALUE"""),"Conner, Colby B")</f>
        <v>Conner, Colby B</v>
      </c>
      <c r="E138" s="3" t="str">
        <f>IFERROR(__xludf.DUMMYFUNCTION("""COMPUTED_VALUE"""),"Active")</f>
        <v>Active</v>
      </c>
      <c r="F138" s="3" t="str">
        <f>IFERROR(__xludf.DUMMYFUNCTION("""COMPUTED_VALUE"""),"colby.b.conner@pwc.com")</f>
        <v>colby.b.conner@pwc.com</v>
      </c>
      <c r="G138" s="3" t="str">
        <f>IFERROR(__xludf.DUMMYFUNCTION("""COMPUTED_VALUE"""),"Finance")</f>
        <v>Finance</v>
      </c>
      <c r="H138" s="3" t="str">
        <f>IFERROR(__xludf.DUMMYFUNCTION("""COMPUTED_VALUE"""),"CM X-Sector")</f>
        <v>CM X-Sector</v>
      </c>
      <c r="I138" s="3" t="str">
        <f>IFERROR(__xludf.DUMMYFUNCTION("""COMPUTED_VALUE"""),"Finance - Enterprise Performance Management")</f>
        <v>Finance - Enterprise Performance Management</v>
      </c>
      <c r="J138" s="3" t="str">
        <f>IFERROR(__xludf.DUMMYFUNCTION("""COMPUTED_VALUE"""),"Partner")</f>
        <v>Partner</v>
      </c>
      <c r="K138" s="12">
        <f>IFERROR(__xludf.DUMMYFUNCTION("""COMPUTED_VALUE"""),38126.0)</f>
        <v>38126</v>
      </c>
      <c r="L138" s="3" t="str">
        <f>IFERROR(__xludf.DUMMYFUNCTION("""COMPUTED_VALUE"""),"San Francisco")</f>
        <v>San Francisco</v>
      </c>
      <c r="M138" s="3" t="str">
        <f>IFERROR(__xludf.DUMMYFUNCTION("""COMPUTED_VALUE"""),"San Francisco - 405 Howard St")</f>
        <v>San Francisco - 405 Howard St</v>
      </c>
      <c r="N138" s="3" t="b">
        <f>IFERROR(__xludf.DUMMYFUNCTION("""COMPUTED_VALUE"""),FALSE)</f>
        <v>0</v>
      </c>
      <c r="O138" s="3" t="str">
        <f>IFERROR(__xludf.DUMMYFUNCTION("""COMPUTED_VALUE"""),"kurtis.babczenko@pwc.com")</f>
        <v>kurtis.babczenko@pwc.com</v>
      </c>
      <c r="P138" s="3" t="str">
        <f>IFERROR(__xludf.DUMMYFUNCTION("""COMPUTED_VALUE"""),"No")</f>
        <v>No</v>
      </c>
      <c r="Q138" s="3" t="b">
        <f>IFERROR(__xludf.DUMMYFUNCTION("""COMPUTED_VALUE"""),FALSE)</f>
        <v>0</v>
      </c>
      <c r="R138" s="3"/>
      <c r="S138" s="3"/>
      <c r="T138" s="3" t="b">
        <f>IFERROR(__xludf.DUMMYFUNCTION("""COMPUTED_VALUE"""),FALSE)</f>
        <v>0</v>
      </c>
      <c r="U138" s="3" t="b">
        <f>IFERROR(__xludf.DUMMYFUNCTION("""COMPUTED_VALUE"""),TRUE)</f>
        <v>1</v>
      </c>
      <c r="V138" s="3" t="b">
        <f>IFERROR(__xludf.DUMMYFUNCTION("""COMPUTED_VALUE"""),FALSE)</f>
        <v>0</v>
      </c>
      <c r="W138" s="3" t="str">
        <f>IFERROR(__xludf.DUMMYFUNCTION("""COMPUTED_VALUE"""),"Delivery")</f>
        <v>Delivery</v>
      </c>
      <c r="X138" s="3" t="str">
        <f>IFERROR(__xludf.DUMMYFUNCTION("""COMPUTED_VALUE"""),"Investment")</f>
        <v>Investment</v>
      </c>
      <c r="Y138" s="3"/>
      <c r="Z138" s="3" t="str">
        <f>IFERROR(__xludf.DUMMYFUNCTION("""COMPUTED_VALUE"""),"Finance Transformation - CM")</f>
        <v>Finance Transformation - CM</v>
      </c>
      <c r="AA138" s="3" t="b">
        <f>IFERROR(__xludf.DUMMYFUNCTION("""COMPUTED_VALUE"""),FALSE)</f>
        <v>0</v>
      </c>
    </row>
    <row r="139">
      <c r="A139" s="11">
        <f>IFERROR(__xludf.DUMMYFUNCTION("""COMPUTED_VALUE"""),1.00616377E8)</f>
        <v>100616377</v>
      </c>
      <c r="B139" s="3" t="str">
        <f>IFERROR(__xludf.DUMMYFUNCTION("""COMPUTED_VALUE"""),"Colin Carroll")</f>
        <v>Colin Carroll</v>
      </c>
      <c r="C139" s="3" t="str">
        <f>IFERROR(__xludf.DUMMYFUNCTION("""COMPUTED_VALUE"""),"Colin  Carroll")</f>
        <v>Colin  Carroll</v>
      </c>
      <c r="D139" s="3" t="str">
        <f>IFERROR(__xludf.DUMMYFUNCTION("""COMPUTED_VALUE"""),"Carroll, Colin")</f>
        <v>Carroll, Colin</v>
      </c>
      <c r="E139" s="3" t="str">
        <f>IFERROR(__xludf.DUMMYFUNCTION("""COMPUTED_VALUE"""),"Active")</f>
        <v>Active</v>
      </c>
      <c r="F139" s="3" t="str">
        <f>IFERROR(__xludf.DUMMYFUNCTION("""COMPUTED_VALUE"""),"colin.carroll@pwc.com")</f>
        <v>colin.carroll@pwc.com</v>
      </c>
      <c r="G139" s="3" t="str">
        <f>IFERROR(__xludf.DUMMYFUNCTION("""COMPUTED_VALUE"""),"Customer")</f>
        <v>Customer</v>
      </c>
      <c r="H139" s="3" t="str">
        <f>IFERROR(__xludf.DUMMYFUNCTION("""COMPUTED_VALUE"""),"TMT X-Sector")</f>
        <v>TMT X-Sector</v>
      </c>
      <c r="I139" s="3" t="str">
        <f>IFERROR(__xludf.DUMMYFUNCTION("""COMPUTED_VALUE"""),"Customer - Pricing &amp; Profitability")</f>
        <v>Customer - Pricing &amp; Profitability</v>
      </c>
      <c r="J139" s="3" t="str">
        <f>IFERROR(__xludf.DUMMYFUNCTION("""COMPUTED_VALUE"""),"Partner")</f>
        <v>Partner</v>
      </c>
      <c r="K139" s="12">
        <f>IFERROR(__xludf.DUMMYFUNCTION("""COMPUTED_VALUE"""),41736.0)</f>
        <v>41736</v>
      </c>
      <c r="L139" s="3" t="str">
        <f>IFERROR(__xludf.DUMMYFUNCTION("""COMPUTED_VALUE"""),"Chicago")</f>
        <v>Chicago</v>
      </c>
      <c r="M139" s="3" t="str">
        <f>IFERROR(__xludf.DUMMYFUNCTION("""COMPUTED_VALUE"""),"Chicago - One North Wacker Drive")</f>
        <v>Chicago - One North Wacker Drive</v>
      </c>
      <c r="N139" s="3" t="b">
        <f>IFERROR(__xludf.DUMMYFUNCTION("""COMPUTED_VALUE"""),FALSE)</f>
        <v>0</v>
      </c>
      <c r="O139" s="3" t="str">
        <f>IFERROR(__xludf.DUMMYFUNCTION("""COMPUTED_VALUE"""),"george.korizis@pwc.com")</f>
        <v>george.korizis@pwc.com</v>
      </c>
      <c r="P139" s="3" t="str">
        <f>IFERROR(__xludf.DUMMYFUNCTION("""COMPUTED_VALUE"""),"No")</f>
        <v>No</v>
      </c>
      <c r="Q139" s="3" t="b">
        <f>IFERROR(__xludf.DUMMYFUNCTION("""COMPUTED_VALUE"""),FALSE)</f>
        <v>0</v>
      </c>
      <c r="R139" s="3"/>
      <c r="S139" s="3"/>
      <c r="T139" s="3" t="b">
        <f>IFERROR(__xludf.DUMMYFUNCTION("""COMPUTED_VALUE"""),TRUE)</f>
        <v>1</v>
      </c>
      <c r="U139" s="3" t="b">
        <f>IFERROR(__xludf.DUMMYFUNCTION("""COMPUTED_VALUE"""),FALSE)</f>
        <v>0</v>
      </c>
      <c r="V139" s="3" t="b">
        <f>IFERROR(__xludf.DUMMYFUNCTION("""COMPUTED_VALUE"""),FALSE)</f>
        <v>0</v>
      </c>
      <c r="W139" s="3" t="str">
        <f>IFERROR(__xludf.DUMMYFUNCTION("""COMPUTED_VALUE"""),"Delivery")</f>
        <v>Delivery</v>
      </c>
      <c r="X139" s="3"/>
      <c r="Y139" s="3" t="str">
        <f>IFERROR(__xludf.DUMMYFUNCTION("""COMPUTED_VALUE"""),"Rainmaker")</f>
        <v>Rainmaker</v>
      </c>
      <c r="Z139" s="3" t="str">
        <f>IFERROR(__xludf.DUMMYFUNCTION("""COMPUTED_VALUE"""),"Marketing Transformation")</f>
        <v>Marketing Transformation</v>
      </c>
      <c r="AA139" s="3" t="b">
        <f>IFERROR(__xludf.DUMMYFUNCTION("""COMPUTED_VALUE"""),FALSE)</f>
        <v>0</v>
      </c>
    </row>
    <row r="140">
      <c r="A140" s="11">
        <f>IFERROR(__xludf.DUMMYFUNCTION("""COMPUTED_VALUE"""),1.01059844E8)</f>
        <v>101059844</v>
      </c>
      <c r="B140" s="3" t="str">
        <f>IFERROR(__xludf.DUMMYFUNCTION("""COMPUTED_VALUE"""),"Connie Perry")</f>
        <v>Connie Perry</v>
      </c>
      <c r="C140" s="3" t="str">
        <f>IFERROR(__xludf.DUMMYFUNCTION("""COMPUTED_VALUE"""),"Constance Frances Perry")</f>
        <v>Constance Frances Perry</v>
      </c>
      <c r="D140" s="3" t="str">
        <f>IFERROR(__xludf.DUMMYFUNCTION("""COMPUTED_VALUE"""),"Perry, Constance Frances")</f>
        <v>Perry, Constance Frances</v>
      </c>
      <c r="E140" s="3" t="str">
        <f>IFERROR(__xludf.DUMMYFUNCTION("""COMPUTED_VALUE"""),"Active")</f>
        <v>Active</v>
      </c>
      <c r="F140" s="3" t="str">
        <f>IFERROR(__xludf.DUMMYFUNCTION("""COMPUTED_VALUE"""),"connie.f.perry@pwc.com")</f>
        <v>connie.f.perry@pwc.com</v>
      </c>
      <c r="G140" s="3" t="str">
        <f>IFERROR(__xludf.DUMMYFUNCTION("""COMPUTED_VALUE"""),"Workforce")</f>
        <v>Workforce</v>
      </c>
      <c r="H140" s="3" t="str">
        <f>IFERROR(__xludf.DUMMYFUNCTION("""COMPUTED_VALUE"""),"HI X-Sector")</f>
        <v>HI X-Sector</v>
      </c>
      <c r="I140" s="3" t="str">
        <f>IFERROR(__xludf.DUMMYFUNCTION("""COMPUTED_VALUE"""),"Workforce - Rewards &amp; Well Being")</f>
        <v>Workforce - Rewards &amp; Well Being</v>
      </c>
      <c r="J140" s="3" t="str">
        <f>IFERROR(__xludf.DUMMYFUNCTION("""COMPUTED_VALUE"""),"Managing Director")</f>
        <v>Managing Director</v>
      </c>
      <c r="K140" s="12">
        <f>IFERROR(__xludf.DUMMYFUNCTION("""COMPUTED_VALUE"""),44263.0)</f>
        <v>44263</v>
      </c>
      <c r="L140" s="3" t="str">
        <f>IFERROR(__xludf.DUMMYFUNCTION("""COMPUTED_VALUE"""),"Milwaukee")</f>
        <v>Milwaukee</v>
      </c>
      <c r="M140" s="3" t="str">
        <f>IFERROR(__xludf.DUMMYFUNCTION("""COMPUTED_VALUE"""),"Milwaukee - 833 East Michigan Street")</f>
        <v>Milwaukee - 833 East Michigan Street</v>
      </c>
      <c r="N140" s="3" t="b">
        <f>IFERROR(__xludf.DUMMYFUNCTION("""COMPUTED_VALUE"""),FALSE)</f>
        <v>0</v>
      </c>
      <c r="O140" s="3" t="str">
        <f>IFERROR(__xludf.DUMMYFUNCTION("""COMPUTED_VALUE"""),"jack.abraham@pwc.com")</f>
        <v>jack.abraham@pwc.com</v>
      </c>
      <c r="P140" s="3" t="str">
        <f>IFERROR(__xludf.DUMMYFUNCTION("""COMPUTED_VALUE"""),"FY21 2nd Half")</f>
        <v>FY21 2nd Half</v>
      </c>
      <c r="Q140" s="3" t="b">
        <f>IFERROR(__xludf.DUMMYFUNCTION("""COMPUTED_VALUE"""),FALSE)</f>
        <v>0</v>
      </c>
      <c r="R140" s="3"/>
      <c r="S140" s="3"/>
      <c r="T140" s="3" t="b">
        <f>IFERROR(__xludf.DUMMYFUNCTION("""COMPUTED_VALUE"""),FALSE)</f>
        <v>0</v>
      </c>
      <c r="U140" s="3" t="b">
        <f>IFERROR(__xludf.DUMMYFUNCTION("""COMPUTED_VALUE"""),TRUE)</f>
        <v>1</v>
      </c>
      <c r="V140" s="3" t="b">
        <f>IFERROR(__xludf.DUMMYFUNCTION("""COMPUTED_VALUE"""),FALSE)</f>
        <v>0</v>
      </c>
      <c r="W140" s="3" t="str">
        <f>IFERROR(__xludf.DUMMYFUNCTION("""COMPUTED_VALUE"""),"Catalyst")</f>
        <v>Catalyst</v>
      </c>
      <c r="X140" s="3"/>
      <c r="Y140" s="3" t="str">
        <f>IFERROR(__xludf.DUMMYFUNCTION("""COMPUTED_VALUE"""),"FY21 2nd Half")</f>
        <v>FY21 2nd Half</v>
      </c>
      <c r="Z140" s="3" t="str">
        <f>IFERROR(__xludf.DUMMYFUNCTION("""COMPUTED_VALUE"""),"Rewards and Well-Being")</f>
        <v>Rewards and Well-Being</v>
      </c>
      <c r="AA140" s="3" t="b">
        <f>IFERROR(__xludf.DUMMYFUNCTION("""COMPUTED_VALUE"""),FALSE)</f>
        <v>0</v>
      </c>
    </row>
    <row r="141">
      <c r="A141" s="11">
        <f>IFERROR(__xludf.DUMMYFUNCTION("""COMPUTED_VALUE"""),1.00628181E8)</f>
        <v>100628181</v>
      </c>
      <c r="B141" s="3" t="str">
        <f>IFERROR(__xludf.DUMMYFUNCTION("""COMPUTED_VALUE"""),"Connie Yang")</f>
        <v>Connie Yang</v>
      </c>
      <c r="C141" s="3" t="str">
        <f>IFERROR(__xludf.DUMMYFUNCTION("""COMPUTED_VALUE"""),"Connie  Yang")</f>
        <v>Connie  Yang</v>
      </c>
      <c r="D141" s="3" t="str">
        <f>IFERROR(__xludf.DUMMYFUNCTION("""COMPUTED_VALUE"""),"Yang, Connie")</f>
        <v>Yang, Connie</v>
      </c>
      <c r="E141" s="3" t="str">
        <f>IFERROR(__xludf.DUMMYFUNCTION("""COMPUTED_VALUE"""),"Active")</f>
        <v>Active</v>
      </c>
      <c r="F141" s="3" t="str">
        <f>IFERROR(__xludf.DUMMYFUNCTION("""COMPUTED_VALUE"""),"connie.yang@pwc.com")</f>
        <v>connie.yang@pwc.com</v>
      </c>
      <c r="G141" s="3" t="str">
        <f>IFERROR(__xludf.DUMMYFUNCTION("""COMPUTED_VALUE"""),"Health")</f>
        <v>Health</v>
      </c>
      <c r="H141" s="3" t="str">
        <f>IFERROR(__xludf.DUMMYFUNCTION("""COMPUTED_VALUE"""),"Health Services")</f>
        <v>Health Services</v>
      </c>
      <c r="I141" s="3" t="str">
        <f>IFERROR(__xludf.DUMMYFUNCTION("""COMPUTED_VALUE"""),"Health - Provider FFG")</f>
        <v>Health - Provider FFG</v>
      </c>
      <c r="J141" s="3" t="str">
        <f>IFERROR(__xludf.DUMMYFUNCTION("""COMPUTED_VALUE"""),"Partner")</f>
        <v>Partner</v>
      </c>
      <c r="K141" s="12">
        <f>IFERROR(__xludf.DUMMYFUNCTION("""COMPUTED_VALUE"""),42086.0)</f>
        <v>42086</v>
      </c>
      <c r="L141" s="3" t="str">
        <f>IFERROR(__xludf.DUMMYFUNCTION("""COMPUTED_VALUE"""),"Indianapolis")</f>
        <v>Indianapolis</v>
      </c>
      <c r="M141" s="3" t="str">
        <f>IFERROR(__xludf.DUMMYFUNCTION("""COMPUTED_VALUE"""),"Indianapolis - 101 West Washington Street")</f>
        <v>Indianapolis - 101 West Washington Street</v>
      </c>
      <c r="N141" s="3" t="b">
        <f>IFERROR(__xludf.DUMMYFUNCTION("""COMPUTED_VALUE"""),FALSE)</f>
        <v>0</v>
      </c>
      <c r="O141" s="3" t="str">
        <f>IFERROR(__xludf.DUMMYFUNCTION("""COMPUTED_VALUE"""),"craig.e.gooch@pwc.com")</f>
        <v>craig.e.gooch@pwc.com</v>
      </c>
      <c r="P141" s="3" t="str">
        <f>IFERROR(__xludf.DUMMYFUNCTION("""COMPUTED_VALUE"""),"No")</f>
        <v>No</v>
      </c>
      <c r="Q141" s="3" t="b">
        <f>IFERROR(__xludf.DUMMYFUNCTION("""COMPUTED_VALUE"""),TRUE)</f>
        <v>1</v>
      </c>
      <c r="R141" s="3" t="str">
        <f>IFERROR(__xludf.DUMMYFUNCTION("""COMPUTED_VALUE"""),"LCP High")</f>
        <v>LCP High</v>
      </c>
      <c r="S141" s="3" t="str">
        <f>IFERROR(__xludf.DUMMYFUNCTION("""COMPUTED_VALUE"""),"Solution Innovation Champions")</f>
        <v>Solution Innovation Champions</v>
      </c>
      <c r="T141" s="3" t="b">
        <f>IFERROR(__xludf.DUMMYFUNCTION("""COMPUTED_VALUE"""),FALSE)</f>
        <v>0</v>
      </c>
      <c r="U141" s="3" t="b">
        <f>IFERROR(__xludf.DUMMYFUNCTION("""COMPUTED_VALUE"""),FALSE)</f>
        <v>0</v>
      </c>
      <c r="V141" s="3" t="b">
        <f>IFERROR(__xludf.DUMMYFUNCTION("""COMPUTED_VALUE"""),FALSE)</f>
        <v>0</v>
      </c>
      <c r="W141" s="3" t="str">
        <f>IFERROR(__xludf.DUMMYFUNCTION("""COMPUTED_VALUE"""),"LCP")</f>
        <v>LCP</v>
      </c>
      <c r="X141" s="3"/>
      <c r="Y141" s="3" t="str">
        <f>IFERROR(__xludf.DUMMYFUNCTION("""COMPUTED_VALUE"""),"GEP - High")</f>
        <v>GEP - High</v>
      </c>
      <c r="Z141" s="3" t="str">
        <f>IFERROR(__xludf.DUMMYFUNCTION("""COMPUTED_VALUE"""),"Provider Transformation")</f>
        <v>Provider Transformation</v>
      </c>
      <c r="AA141" s="3" t="b">
        <f>IFERROR(__xludf.DUMMYFUNCTION("""COMPUTED_VALUE"""),FALSE)</f>
        <v>0</v>
      </c>
    </row>
    <row r="142">
      <c r="A142" s="11">
        <f>IFERROR(__xludf.DUMMYFUNCTION("""COMPUTED_VALUE"""),1.00619604E8)</f>
        <v>100619604</v>
      </c>
      <c r="B142" s="3" t="str">
        <f>IFERROR(__xludf.DUMMYFUNCTION("""COMPUTED_VALUE"""),"Conrad Balejko")</f>
        <v>Conrad Balejko</v>
      </c>
      <c r="C142" s="3" t="str">
        <f>IFERROR(__xludf.DUMMYFUNCTION("""COMPUTED_VALUE"""),"Conrad  Balejko")</f>
        <v>Conrad  Balejko</v>
      </c>
      <c r="D142" s="3" t="str">
        <f>IFERROR(__xludf.DUMMYFUNCTION("""COMPUTED_VALUE"""),"Balejko, Conrad")</f>
        <v>Balejko, Conrad</v>
      </c>
      <c r="E142" s="3" t="str">
        <f>IFERROR(__xludf.DUMMYFUNCTION("""COMPUTED_VALUE"""),"Active")</f>
        <v>Active</v>
      </c>
      <c r="F142" s="3" t="str">
        <f>IFERROR(__xludf.DUMMYFUNCTION("""COMPUTED_VALUE"""),"cb@pwc.com")</f>
        <v>cb@pwc.com</v>
      </c>
      <c r="G142" s="3" t="str">
        <f>IFERROR(__xludf.DUMMYFUNCTION("""COMPUTED_VALUE"""),"Deals Transformation")</f>
        <v>Deals Transformation</v>
      </c>
      <c r="H142" s="3" t="str">
        <f>IFERROR(__xludf.DUMMYFUNCTION("""COMPUTED_VALUE"""),"Manufacturing")</f>
        <v>Manufacturing</v>
      </c>
      <c r="I142" s="3" t="str">
        <f>IFERROR(__xludf.DUMMYFUNCTION("""COMPUTED_VALUE"""),"DDV - Finance")</f>
        <v>DDV - Finance</v>
      </c>
      <c r="J142" s="3" t="str">
        <f>IFERROR(__xludf.DUMMYFUNCTION("""COMPUTED_VALUE"""),"Partner")</f>
        <v>Partner</v>
      </c>
      <c r="K142" s="12">
        <f>IFERROR(__xludf.DUMMYFUNCTION("""COMPUTED_VALUE"""),37991.0)</f>
        <v>37991</v>
      </c>
      <c r="L142" s="3" t="str">
        <f>IFERROR(__xludf.DUMMYFUNCTION("""COMPUTED_VALUE"""),"Boston")</f>
        <v>Boston</v>
      </c>
      <c r="M142" s="3" t="str">
        <f>IFERROR(__xludf.DUMMYFUNCTION("""COMPUTED_VALUE"""),"Boston - 101 Seaport Boulevard")</f>
        <v>Boston - 101 Seaport Boulevard</v>
      </c>
      <c r="N142" s="3" t="b">
        <f>IFERROR(__xludf.DUMMYFUNCTION("""COMPUTED_VALUE"""),FALSE)</f>
        <v>0</v>
      </c>
      <c r="O142" s="3" t="str">
        <f>IFERROR(__xludf.DUMMYFUNCTION("""COMPUTED_VALUE"""),"derek.b.townsend@pwc.com")</f>
        <v>derek.b.townsend@pwc.com</v>
      </c>
      <c r="P142" s="3" t="str">
        <f>IFERROR(__xludf.DUMMYFUNCTION("""COMPUTED_VALUE"""),"No")</f>
        <v>No</v>
      </c>
      <c r="Q142" s="3" t="b">
        <f>IFERROR(__xludf.DUMMYFUNCTION("""COMPUTED_VALUE"""),FALSE)</f>
        <v>0</v>
      </c>
      <c r="R142" s="3"/>
      <c r="S142" s="3"/>
      <c r="T142" s="3" t="b">
        <f>IFERROR(__xludf.DUMMYFUNCTION("""COMPUTED_VALUE"""),FALSE)</f>
        <v>0</v>
      </c>
      <c r="U142" s="3" t="b">
        <f>IFERROR(__xludf.DUMMYFUNCTION("""COMPUTED_VALUE"""),FALSE)</f>
        <v>0</v>
      </c>
      <c r="V142" s="3" t="b">
        <f>IFERROR(__xludf.DUMMYFUNCTION("""COMPUTED_VALUE"""),FALSE)</f>
        <v>0</v>
      </c>
      <c r="W142" s="3" t="str">
        <f>IFERROR(__xludf.DUMMYFUNCTION("""COMPUTED_VALUE"""),"Delivery")</f>
        <v>Delivery</v>
      </c>
      <c r="X142" s="3"/>
      <c r="Y142" s="3" t="str">
        <f>IFERROR(__xludf.DUMMYFUNCTION("""COMPUTED_VALUE"""),"Point Partner")</f>
        <v>Point Partner</v>
      </c>
      <c r="Z142" s="3" t="str">
        <f>IFERROR(__xludf.DUMMYFUNCTION("""COMPUTED_VALUE"""),"PE M&amp;A Transformation")</f>
        <v>PE M&amp;A Transformation</v>
      </c>
      <c r="AA142" s="3" t="b">
        <f>IFERROR(__xludf.DUMMYFUNCTION("""COMPUTED_VALUE"""),FALSE)</f>
        <v>0</v>
      </c>
    </row>
    <row r="143">
      <c r="A143" s="11">
        <f>IFERROR(__xludf.DUMMYFUNCTION("""COMPUTED_VALUE"""),1.01230882E8)</f>
        <v>101230882</v>
      </c>
      <c r="B143" s="3" t="str">
        <f>IFERROR(__xludf.DUMMYFUNCTION("""COMPUTED_VALUE"""),"Cora Lee Mooney")</f>
        <v>Cora Lee Mooney</v>
      </c>
      <c r="C143" s="3" t="str">
        <f>IFERROR(__xludf.DUMMYFUNCTION("""COMPUTED_VALUE"""),"Cora Lee  Mooney")</f>
        <v>Cora Lee  Mooney</v>
      </c>
      <c r="D143" s="3" t="str">
        <f>IFERROR(__xludf.DUMMYFUNCTION("""COMPUTED_VALUE"""),"Mooney, Cora Lee")</f>
        <v>Mooney, Cora Lee</v>
      </c>
      <c r="E143" s="3" t="str">
        <f>IFERROR(__xludf.DUMMYFUNCTION("""COMPUTED_VALUE"""),"Active")</f>
        <v>Active</v>
      </c>
      <c r="F143" s="3" t="str">
        <f>IFERROR(__xludf.DUMMYFUNCTION("""COMPUTED_VALUE"""),"coralee.mooney@pwc.com")</f>
        <v>coralee.mooney@pwc.com</v>
      </c>
      <c r="G143" s="3" t="str">
        <f>IFERROR(__xludf.DUMMYFUNCTION("""COMPUTED_VALUE"""),"ESV")</f>
        <v>ESV</v>
      </c>
      <c r="H143" s="3" t="str">
        <f>IFERROR(__xludf.DUMMYFUNCTION("""COMPUTED_VALUE"""),"IMA X-Sector")</f>
        <v>IMA X-Sector</v>
      </c>
      <c r="I143" s="3" t="str">
        <f>IFERROR(__xludf.DUMMYFUNCTION("""COMPUTED_VALUE"""),"ESV - ESG")</f>
        <v>ESV - ESG</v>
      </c>
      <c r="J143" s="3" t="str">
        <f>IFERROR(__xludf.DUMMYFUNCTION("""COMPUTED_VALUE"""),"Partner")</f>
        <v>Partner</v>
      </c>
      <c r="K143" s="12">
        <f>IFERROR(__xludf.DUMMYFUNCTION("""COMPUTED_VALUE"""),44669.0)</f>
        <v>44669</v>
      </c>
      <c r="L143" s="3" t="str">
        <f>IFERROR(__xludf.DUMMYFUNCTION("""COMPUTED_VALUE"""),"Cleveland")</f>
        <v>Cleveland</v>
      </c>
      <c r="M143" s="3" t="str">
        <f>IFERROR(__xludf.DUMMYFUNCTION("""COMPUTED_VALUE"""),"#N/A")</f>
        <v>#N/A</v>
      </c>
      <c r="N143" s="3" t="b">
        <f>IFERROR(__xludf.DUMMYFUNCTION("""COMPUTED_VALUE"""),FALSE)</f>
        <v>0</v>
      </c>
      <c r="O143" s="3" t="str">
        <f>IFERROR(__xludf.DUMMYFUNCTION("""COMPUTED_VALUE"""),"")</f>
        <v/>
      </c>
      <c r="P143" s="3" t="str">
        <f>IFERROR(__xludf.DUMMYFUNCTION("""COMPUTED_VALUE"""),"FY22")</f>
        <v>FY22</v>
      </c>
      <c r="Q143" s="3" t="b">
        <f>IFERROR(__xludf.DUMMYFUNCTION("""COMPUTED_VALUE"""),FALSE)</f>
        <v>0</v>
      </c>
      <c r="R143" s="3" t="str">
        <f>IFERROR(__xludf.DUMMYFUNCTION("""COMPUTED_VALUE"""),"Unknown")</f>
        <v>Unknown</v>
      </c>
      <c r="S143" s="3" t="str">
        <f>IFERROR(__xludf.DUMMYFUNCTION("""COMPUTED_VALUE"""),"Unknown")</f>
        <v>Unknown</v>
      </c>
      <c r="T143" s="3" t="b">
        <f>IFERROR(__xludf.DUMMYFUNCTION("""COMPUTED_VALUE"""),FALSE)</f>
        <v>0</v>
      </c>
      <c r="U143" s="3" t="b">
        <f>IFERROR(__xludf.DUMMYFUNCTION("""COMPUTED_VALUE"""),TRUE)</f>
        <v>1</v>
      </c>
      <c r="V143" s="3" t="b">
        <f>IFERROR(__xludf.DUMMYFUNCTION("""COMPUTED_VALUE"""),FALSE)</f>
        <v>0</v>
      </c>
      <c r="W143" s="3" t="str">
        <f>IFERROR(__xludf.DUMMYFUNCTION("""COMPUTED_VALUE"""),"Catalyst")</f>
        <v>Catalyst</v>
      </c>
      <c r="X143" s="3" t="str">
        <f>IFERROR(__xludf.DUMMYFUNCTION("""COMPUTED_VALUE"""),"Unknown")</f>
        <v>Unknown</v>
      </c>
      <c r="Y143" s="3" t="str">
        <f>IFERROR(__xludf.DUMMYFUNCTION("""COMPUTED_VALUE"""),"FY22")</f>
        <v>FY22</v>
      </c>
      <c r="Z143" s="3" t="str">
        <f>IFERROR(__xludf.DUMMYFUNCTION("""COMPUTED_VALUE"""),"Unknown")</f>
        <v>Unknown</v>
      </c>
      <c r="AA143" s="3" t="b">
        <f>IFERROR(__xludf.DUMMYFUNCTION("""COMPUTED_VALUE"""),FALSE)</f>
        <v>0</v>
      </c>
    </row>
    <row r="144">
      <c r="A144" s="11">
        <f>IFERROR(__xludf.DUMMYFUNCTION("""COMPUTED_VALUE"""),1.00611158E8)</f>
        <v>100611158</v>
      </c>
      <c r="B144" s="3" t="str">
        <f>IFERROR(__xludf.DUMMYFUNCTION("""COMPUTED_VALUE"""),"Cornell Staeger")</f>
        <v>Cornell Staeger</v>
      </c>
      <c r="C144" s="3" t="str">
        <f>IFERROR(__xludf.DUMMYFUNCTION("""COMPUTED_VALUE"""),"Cornell  Staeger")</f>
        <v>Cornell  Staeger</v>
      </c>
      <c r="D144" s="3" t="str">
        <f>IFERROR(__xludf.DUMMYFUNCTION("""COMPUTED_VALUE"""),"Staeger, Cornell")</f>
        <v>Staeger, Cornell</v>
      </c>
      <c r="E144" s="3" t="str">
        <f>IFERROR(__xludf.DUMMYFUNCTION("""COMPUTED_VALUE"""),"Active")</f>
        <v>Active</v>
      </c>
      <c r="F144" s="3" t="str">
        <f>IFERROR(__xludf.DUMMYFUNCTION("""COMPUTED_VALUE"""),"cornell.staeger@pwc.com")</f>
        <v>cornell.staeger@pwc.com</v>
      </c>
      <c r="G144" s="3" t="str">
        <f>IFERROR(__xludf.DUMMYFUNCTION("""COMPUTED_VALUE"""),"Workforce")</f>
        <v>Workforce</v>
      </c>
      <c r="H144" s="3" t="str">
        <f>IFERROR(__xludf.DUMMYFUNCTION("""COMPUTED_VALUE"""),"CM X-Sector")</f>
        <v>CM X-Sector</v>
      </c>
      <c r="I144" s="3" t="str">
        <f>IFERROR(__xludf.DUMMYFUNCTION("""COMPUTED_VALUE"""),"Workforce - Rewards &amp; Well Being")</f>
        <v>Workforce - Rewards &amp; Well Being</v>
      </c>
      <c r="J144" s="3" t="str">
        <f>IFERROR(__xludf.DUMMYFUNCTION("""COMPUTED_VALUE"""),"Partner")</f>
        <v>Partner</v>
      </c>
      <c r="K144" s="12">
        <f>IFERROR(__xludf.DUMMYFUNCTION("""COMPUTED_VALUE"""),37277.0)</f>
        <v>37277</v>
      </c>
      <c r="L144" s="3" t="str">
        <f>IFERROR(__xludf.DUMMYFUNCTION("""COMPUTED_VALUE"""),"New York")</f>
        <v>New York</v>
      </c>
      <c r="M144" s="3" t="str">
        <f>IFERROR(__xludf.DUMMYFUNCTION("""COMPUTED_VALUE"""),"New York - 300 Madison Avenue")</f>
        <v>New York - 300 Madison Avenue</v>
      </c>
      <c r="N144" s="3" t="b">
        <f>IFERROR(__xludf.DUMMYFUNCTION("""COMPUTED_VALUE"""),FALSE)</f>
        <v>0</v>
      </c>
      <c r="O144" s="3" t="str">
        <f>IFERROR(__xludf.DUMMYFUNCTION("""COMPUTED_VALUE"""),"craig.odonnell@pwc.com")</f>
        <v>craig.odonnell@pwc.com</v>
      </c>
      <c r="P144" s="3" t="str">
        <f>IFERROR(__xludf.DUMMYFUNCTION("""COMPUTED_VALUE"""),"No")</f>
        <v>No</v>
      </c>
      <c r="Q144" s="3" t="b">
        <f>IFERROR(__xludf.DUMMYFUNCTION("""COMPUTED_VALUE"""),FALSE)</f>
        <v>0</v>
      </c>
      <c r="R144" s="3"/>
      <c r="S144" s="3"/>
      <c r="T144" s="3" t="b">
        <f>IFERROR(__xludf.DUMMYFUNCTION("""COMPUTED_VALUE"""),FALSE)</f>
        <v>0</v>
      </c>
      <c r="U144" s="3" t="b">
        <f>IFERROR(__xludf.DUMMYFUNCTION("""COMPUTED_VALUE"""),FALSE)</f>
        <v>0</v>
      </c>
      <c r="V144" s="3" t="b">
        <f>IFERROR(__xludf.DUMMYFUNCTION("""COMPUTED_VALUE"""),FALSE)</f>
        <v>0</v>
      </c>
      <c r="W144" s="3" t="str">
        <f>IFERROR(__xludf.DUMMYFUNCTION("""COMPUTED_VALUE"""),"#N/A")</f>
        <v>#N/A</v>
      </c>
      <c r="X144" s="3" t="str">
        <f>IFERROR(__xludf.DUMMYFUNCTION("""COMPUTED_VALUE"""),"#N/A")</f>
        <v>#N/A</v>
      </c>
      <c r="Y144" s="3" t="str">
        <f>IFERROR(__xludf.DUMMYFUNCTION("""COMPUTED_VALUE"""),"#N/A")</f>
        <v>#N/A</v>
      </c>
      <c r="Z144" s="3" t="str">
        <f>IFERROR(__xludf.DUMMYFUNCTION("""COMPUTED_VALUE"""),"Unknown")</f>
        <v>Unknown</v>
      </c>
      <c r="AA144" s="3" t="b">
        <f>IFERROR(__xludf.DUMMYFUNCTION("""COMPUTED_VALUE"""),FALSE)</f>
        <v>0</v>
      </c>
    </row>
    <row r="145">
      <c r="A145" s="11">
        <f>IFERROR(__xludf.DUMMYFUNCTION("""COMPUTED_VALUE"""),1.00893232E8)</f>
        <v>100893232</v>
      </c>
      <c r="B145" s="3" t="str">
        <f>IFERROR(__xludf.DUMMYFUNCTION("""COMPUTED_VALUE"""),"Cort Jacoby")</f>
        <v>Cort Jacoby</v>
      </c>
      <c r="C145" s="3" t="str">
        <f>IFERROR(__xludf.DUMMYFUNCTION("""COMPUTED_VALUE"""),"Cort Steven Jacoby")</f>
        <v>Cort Steven Jacoby</v>
      </c>
      <c r="D145" s="3" t="str">
        <f>IFERROR(__xludf.DUMMYFUNCTION("""COMPUTED_VALUE"""),"Jacoby, Cort Steven")</f>
        <v>Jacoby, Cort Steven</v>
      </c>
      <c r="E145" s="3" t="str">
        <f>IFERROR(__xludf.DUMMYFUNCTION("""COMPUTED_VALUE"""),"Active")</f>
        <v>Active</v>
      </c>
      <c r="F145" s="3" t="str">
        <f>IFERROR(__xludf.DUMMYFUNCTION("""COMPUTED_VALUE"""),"cort.jacoby@pwc.com")</f>
        <v>cort.jacoby@pwc.com</v>
      </c>
      <c r="G145" s="3" t="str">
        <f>IFERROR(__xludf.DUMMYFUNCTION("""COMPUTED_VALUE"""),"Ops")</f>
        <v>Ops</v>
      </c>
      <c r="H145" s="3" t="str">
        <f>IFERROR(__xludf.DUMMYFUNCTION("""COMPUTED_VALUE"""),"CM X-Sector")</f>
        <v>CM X-Sector</v>
      </c>
      <c r="I145" s="3" t="str">
        <f>IFERROR(__xludf.DUMMYFUNCTION("""COMPUTED_VALUE"""),"Ops - Connected Supply Chain (CSC)")</f>
        <v>Ops - Connected Supply Chain (CSC)</v>
      </c>
      <c r="J145" s="3" t="str">
        <f>IFERROR(__xludf.DUMMYFUNCTION("""COMPUTED_VALUE"""),"Partner")</f>
        <v>Partner</v>
      </c>
      <c r="K145" s="12">
        <f>IFERROR(__xludf.DUMMYFUNCTION("""COMPUTED_VALUE"""),43570.0)</f>
        <v>43570</v>
      </c>
      <c r="L145" s="3" t="str">
        <f>IFERROR(__xludf.DUMMYFUNCTION("""COMPUTED_VALUE"""),"Chicago")</f>
        <v>Chicago</v>
      </c>
      <c r="M145" s="3" t="str">
        <f>IFERROR(__xludf.DUMMYFUNCTION("""COMPUTED_VALUE"""),"Chicago - One North Wacker Drive")</f>
        <v>Chicago - One North Wacker Drive</v>
      </c>
      <c r="N145" s="3" t="b">
        <f>IFERROR(__xludf.DUMMYFUNCTION("""COMPUTED_VALUE"""),FALSE)</f>
        <v>0</v>
      </c>
      <c r="O145" s="3" t="str">
        <f>IFERROR(__xludf.DUMMYFUNCTION("""COMPUTED_VALUE"""),"matthew.r.comte@pwc.com")</f>
        <v>matthew.r.comte@pwc.com</v>
      </c>
      <c r="P145" s="3" t="str">
        <f>IFERROR(__xludf.DUMMYFUNCTION("""COMPUTED_VALUE"""),"No")</f>
        <v>No</v>
      </c>
      <c r="Q145" s="3" t="b">
        <f>IFERROR(__xludf.DUMMYFUNCTION("""COMPUTED_VALUE"""),FALSE)</f>
        <v>0</v>
      </c>
      <c r="R145" s="3"/>
      <c r="S145" s="3"/>
      <c r="T145" s="3" t="b">
        <f>IFERROR(__xludf.DUMMYFUNCTION("""COMPUTED_VALUE"""),FALSE)</f>
        <v>0</v>
      </c>
      <c r="U145" s="3" t="b">
        <f>IFERROR(__xludf.DUMMYFUNCTION("""COMPUTED_VALUE"""),TRUE)</f>
        <v>1</v>
      </c>
      <c r="V145" s="3" t="b">
        <f>IFERROR(__xludf.DUMMYFUNCTION("""COMPUTED_VALUE"""),FALSE)</f>
        <v>0</v>
      </c>
      <c r="W145" s="3" t="str">
        <f>IFERROR(__xludf.DUMMYFUNCTION("""COMPUTED_VALUE"""),"Delivery")</f>
        <v>Delivery</v>
      </c>
      <c r="X145" s="3"/>
      <c r="Y145" s="3"/>
      <c r="Z145" s="3" t="str">
        <f>IFERROR(__xludf.DUMMYFUNCTION("""COMPUTED_VALUE"""),"CM Ops Transformation")</f>
        <v>CM Ops Transformation</v>
      </c>
      <c r="AA145" s="3" t="b">
        <f>IFERROR(__xludf.DUMMYFUNCTION("""COMPUTED_VALUE"""),FALSE)</f>
        <v>0</v>
      </c>
    </row>
    <row r="146">
      <c r="A146" s="11">
        <f>IFERROR(__xludf.DUMMYFUNCTION("""COMPUTED_VALUE"""),1.0059132E8)</f>
        <v>100591320</v>
      </c>
      <c r="B146" s="3" t="str">
        <f>IFERROR(__xludf.DUMMYFUNCTION("""COMPUTED_VALUE"""),"Courtney Showell")</f>
        <v>Courtney Showell</v>
      </c>
      <c r="C146" s="3" t="str">
        <f>IFERROR(__xludf.DUMMYFUNCTION("""COMPUTED_VALUE"""),"Courtney S.W. Showell")</f>
        <v>Courtney S.W. Showell</v>
      </c>
      <c r="D146" s="3" t="str">
        <f>IFERROR(__xludf.DUMMYFUNCTION("""COMPUTED_VALUE"""),"Showell, Courtney S.W.")</f>
        <v>Showell, Courtney S.W.</v>
      </c>
      <c r="E146" s="3" t="str">
        <f>IFERROR(__xludf.DUMMYFUNCTION("""COMPUTED_VALUE"""),"Active")</f>
        <v>Active</v>
      </c>
      <c r="F146" s="3" t="str">
        <f>IFERROR(__xludf.DUMMYFUNCTION("""COMPUTED_VALUE"""),"courtney.showell@pwc.com")</f>
        <v>courtney.showell@pwc.com</v>
      </c>
      <c r="G146" s="3" t="str">
        <f>IFERROR(__xludf.DUMMYFUNCTION("""COMPUTED_VALUE"""),"Deals Transformation")</f>
        <v>Deals Transformation</v>
      </c>
      <c r="H146" s="3" t="str">
        <f>IFERROR(__xludf.DUMMYFUNCTION("""COMPUTED_VALUE"""),"Health Services")</f>
        <v>Health Services</v>
      </c>
      <c r="I146" s="3" t="str">
        <f>IFERROR(__xludf.DUMMYFUNCTION("""COMPUTED_VALUE"""),"DDV - Operations")</f>
        <v>DDV - Operations</v>
      </c>
      <c r="J146" s="3" t="str">
        <f>IFERROR(__xludf.DUMMYFUNCTION("""COMPUTED_VALUE"""),"Partner")</f>
        <v>Partner</v>
      </c>
      <c r="K146" s="12">
        <f>IFERROR(__xludf.DUMMYFUNCTION("""COMPUTED_VALUE"""),35135.0)</f>
        <v>35135</v>
      </c>
      <c r="L146" s="3" t="str">
        <f>IFERROR(__xludf.DUMMYFUNCTION("""COMPUTED_VALUE"""),"Atlanta")</f>
        <v>Atlanta</v>
      </c>
      <c r="M146" s="3" t="str">
        <f>IFERROR(__xludf.DUMMYFUNCTION("""COMPUTED_VALUE"""),"Atlanta - 1075 Peachtree Street NE")</f>
        <v>Atlanta - 1075 Peachtree Street NE</v>
      </c>
      <c r="N146" s="3" t="b">
        <f>IFERROR(__xludf.DUMMYFUNCTION("""COMPUTED_VALUE"""),FALSE)</f>
        <v>0</v>
      </c>
      <c r="O146" s="3" t="str">
        <f>IFERROR(__xludf.DUMMYFUNCTION("""COMPUTED_VALUE"""),"derek.b.townsend@pwc.com")</f>
        <v>derek.b.townsend@pwc.com</v>
      </c>
      <c r="P146" s="3" t="str">
        <f>IFERROR(__xludf.DUMMYFUNCTION("""COMPUTED_VALUE"""),"No")</f>
        <v>No</v>
      </c>
      <c r="Q146" s="3" t="b">
        <f>IFERROR(__xludf.DUMMYFUNCTION("""COMPUTED_VALUE"""),TRUE)</f>
        <v>1</v>
      </c>
      <c r="R146" s="3" t="str">
        <f>IFERROR(__xludf.DUMMYFUNCTION("""COMPUTED_VALUE"""),"LCP Low")</f>
        <v>LCP Low</v>
      </c>
      <c r="S146" s="3"/>
      <c r="T146" s="3" t="b">
        <f>IFERROR(__xludf.DUMMYFUNCTION("""COMPUTED_VALUE"""),FALSE)</f>
        <v>0</v>
      </c>
      <c r="U146" s="3" t="b">
        <f>IFERROR(__xludf.DUMMYFUNCTION("""COMPUTED_VALUE"""),FALSE)</f>
        <v>0</v>
      </c>
      <c r="V146" s="3" t="b">
        <f>IFERROR(__xludf.DUMMYFUNCTION("""COMPUTED_VALUE"""),FALSE)</f>
        <v>0</v>
      </c>
      <c r="W146" s="3" t="str">
        <f>IFERROR(__xludf.DUMMYFUNCTION("""COMPUTED_VALUE"""),"LCP")</f>
        <v>LCP</v>
      </c>
      <c r="X146" s="3"/>
      <c r="Y146" s="3" t="str">
        <f>IFERROR(__xludf.DUMMYFUNCTION("""COMPUTED_VALUE"""),"GEP - Low")</f>
        <v>GEP - Low</v>
      </c>
      <c r="Z146" s="3" t="str">
        <f>IFERROR(__xludf.DUMMYFUNCTION("""COMPUTED_VALUE"""),"Corporate M&amp;A Transformation Payer/Provider/Digital Health")</f>
        <v>Corporate M&amp;A Transformation Payer/Provider/Digital Health</v>
      </c>
      <c r="AA146" s="3" t="b">
        <f>IFERROR(__xludf.DUMMYFUNCTION("""COMPUTED_VALUE"""),FALSE)</f>
        <v>0</v>
      </c>
    </row>
    <row r="147">
      <c r="A147" s="11">
        <f>IFERROR(__xludf.DUMMYFUNCTION("""COMPUTED_VALUE"""),1.00634752E8)</f>
        <v>100634752</v>
      </c>
      <c r="B147" s="3" t="str">
        <f>IFERROR(__xludf.DUMMYFUNCTION("""COMPUTED_VALUE"""),"Craig Gooch")</f>
        <v>Craig Gooch</v>
      </c>
      <c r="C147" s="3" t="str">
        <f>IFERROR(__xludf.DUMMYFUNCTION("""COMPUTED_VALUE"""),"Craig E Gooch")</f>
        <v>Craig E Gooch</v>
      </c>
      <c r="D147" s="3" t="str">
        <f>IFERROR(__xludf.DUMMYFUNCTION("""COMPUTED_VALUE"""),"Gooch, Craig E")</f>
        <v>Gooch, Craig E</v>
      </c>
      <c r="E147" s="3" t="str">
        <f>IFERROR(__xludf.DUMMYFUNCTION("""COMPUTED_VALUE"""),"Active")</f>
        <v>Active</v>
      </c>
      <c r="F147" s="3" t="str">
        <f>IFERROR(__xludf.DUMMYFUNCTION("""COMPUTED_VALUE"""),"craig.e.gooch@pwc.com")</f>
        <v>craig.e.gooch@pwc.com</v>
      </c>
      <c r="G147" s="3" t="str">
        <f>IFERROR(__xludf.DUMMYFUNCTION("""COMPUTED_VALUE"""),"Health")</f>
        <v>Health</v>
      </c>
      <c r="H147" s="3" t="str">
        <f>IFERROR(__xludf.DUMMYFUNCTION("""COMPUTED_VALUE"""),"Health Services")</f>
        <v>Health Services</v>
      </c>
      <c r="I147" s="3" t="str">
        <f>IFERROR(__xludf.DUMMYFUNCTION("""COMPUTED_VALUE"""),"Health - Provider ERP")</f>
        <v>Health - Provider ERP</v>
      </c>
      <c r="J147" s="3" t="str">
        <f>IFERROR(__xludf.DUMMYFUNCTION("""COMPUTED_VALUE"""),"Partner")</f>
        <v>Partner</v>
      </c>
      <c r="K147" s="12">
        <f>IFERROR(__xludf.DUMMYFUNCTION("""COMPUTED_VALUE"""),39587.0)</f>
        <v>39587</v>
      </c>
      <c r="L147" s="3" t="str">
        <f>IFERROR(__xludf.DUMMYFUNCTION("""COMPUTED_VALUE"""),"St. Louis")</f>
        <v>St. Louis</v>
      </c>
      <c r="M147" s="3" t="str">
        <f>IFERROR(__xludf.DUMMYFUNCTION("""COMPUTED_VALUE"""),"St. Louis - 6 Cardinal Way")</f>
        <v>St. Louis - 6 Cardinal Way</v>
      </c>
      <c r="N147" s="3" t="b">
        <f>IFERROR(__xludf.DUMMYFUNCTION("""COMPUTED_VALUE"""),TRUE)</f>
        <v>1</v>
      </c>
      <c r="O147" s="3" t="str">
        <f>IFERROR(__xludf.DUMMYFUNCTION("""COMPUTED_VALUE"""),"mike.connolly@pwc.com")</f>
        <v>mike.connolly@pwc.com</v>
      </c>
      <c r="P147" s="3" t="str">
        <f>IFERROR(__xludf.DUMMYFUNCTION("""COMPUTED_VALUE"""),"No")</f>
        <v>No</v>
      </c>
      <c r="Q147" s="3" t="b">
        <f>IFERROR(__xludf.DUMMYFUNCTION("""COMPUTED_VALUE"""),TRUE)</f>
        <v>1</v>
      </c>
      <c r="R147" s="3" t="str">
        <f>IFERROR(__xludf.DUMMYFUNCTION("""COMPUTED_VALUE"""),"LCP Low")</f>
        <v>LCP Low</v>
      </c>
      <c r="S147" s="3"/>
      <c r="T147" s="3" t="b">
        <f>IFERROR(__xludf.DUMMYFUNCTION("""COMPUTED_VALUE"""),FALSE)</f>
        <v>0</v>
      </c>
      <c r="U147" s="3" t="b">
        <f>IFERROR(__xludf.DUMMYFUNCTION("""COMPUTED_VALUE"""),TRUE)</f>
        <v>1</v>
      </c>
      <c r="V147" s="3" t="b">
        <f>IFERROR(__xludf.DUMMYFUNCTION("""COMPUTED_VALUE"""),FALSE)</f>
        <v>0</v>
      </c>
      <c r="W147" s="3" t="str">
        <f>IFERROR(__xludf.DUMMYFUNCTION("""COMPUTED_VALUE"""),"LCP")</f>
        <v>LCP</v>
      </c>
      <c r="X147" s="3"/>
      <c r="Y147" s="3" t="str">
        <f>IFERROR(__xludf.DUMMYFUNCTION("""COMPUTED_VALUE"""),"GEP - Low")</f>
        <v>GEP - Low</v>
      </c>
      <c r="Z147" s="3" t="str">
        <f>IFERROR(__xludf.DUMMYFUNCTION("""COMPUTED_VALUE"""),"Provider Transformation")</f>
        <v>Provider Transformation</v>
      </c>
      <c r="AA147" s="3" t="b">
        <f>IFERROR(__xludf.DUMMYFUNCTION("""COMPUTED_VALUE"""),FALSE)</f>
        <v>0</v>
      </c>
    </row>
    <row r="148">
      <c r="A148" s="11">
        <f>IFERROR(__xludf.DUMMYFUNCTION("""COMPUTED_VALUE"""),1.00609628E8)</f>
        <v>100609628</v>
      </c>
      <c r="B148" s="3" t="str">
        <f>IFERROR(__xludf.DUMMYFUNCTION("""COMPUTED_VALUE"""),"Craig O'Donnell")</f>
        <v>Craig O'Donnell</v>
      </c>
      <c r="C148" s="3" t="str">
        <f>IFERROR(__xludf.DUMMYFUNCTION("""COMPUTED_VALUE"""),"Craig T O'Donnell")</f>
        <v>Craig T O'Donnell</v>
      </c>
      <c r="D148" s="3" t="str">
        <f>IFERROR(__xludf.DUMMYFUNCTION("""COMPUTED_VALUE"""),"O'Donnell, Craig T")</f>
        <v>O'Donnell, Craig T</v>
      </c>
      <c r="E148" s="3" t="str">
        <f>IFERROR(__xludf.DUMMYFUNCTION("""COMPUTED_VALUE"""),"Active")</f>
        <v>Active</v>
      </c>
      <c r="F148" s="3" t="str">
        <f>IFERROR(__xludf.DUMMYFUNCTION("""COMPUTED_VALUE"""),"craig.odonnell@pwc.com")</f>
        <v>craig.odonnell@pwc.com</v>
      </c>
      <c r="G148" s="3" t="str">
        <f>IFERROR(__xludf.DUMMYFUNCTION("""COMPUTED_VALUE"""),"Workforce")</f>
        <v>Workforce</v>
      </c>
      <c r="H148" s="3" t="str">
        <f>IFERROR(__xludf.DUMMYFUNCTION("""COMPUTED_VALUE"""),"FS X-Sector")</f>
        <v>FS X-Sector</v>
      </c>
      <c r="I148" s="3" t="str">
        <f>IFERROR(__xludf.DUMMYFUNCTION("""COMPUTED_VALUE"""),"Workforce - Rewards &amp; Well Being")</f>
        <v>Workforce - Rewards &amp; Well Being</v>
      </c>
      <c r="J148" s="3" t="str">
        <f>IFERROR(__xludf.DUMMYFUNCTION("""COMPUTED_VALUE"""),"Partner")</f>
        <v>Partner</v>
      </c>
      <c r="K148" s="12">
        <f>IFERROR(__xludf.DUMMYFUNCTION("""COMPUTED_VALUE"""),41554.0)</f>
        <v>41554</v>
      </c>
      <c r="L148" s="3" t="str">
        <f>IFERROR(__xludf.DUMMYFUNCTION("""COMPUTED_VALUE"""),"Boston")</f>
        <v>Boston</v>
      </c>
      <c r="M148" s="3" t="str">
        <f>IFERROR(__xludf.DUMMYFUNCTION("""COMPUTED_VALUE"""),"Boston - 101 Seaport Boulevard")</f>
        <v>Boston - 101 Seaport Boulevard</v>
      </c>
      <c r="N148" s="3" t="b">
        <f>IFERROR(__xludf.DUMMYFUNCTION("""COMPUTED_VALUE"""),TRUE)</f>
        <v>1</v>
      </c>
      <c r="O148" s="3" t="str">
        <f>IFERROR(__xludf.DUMMYFUNCTION("""COMPUTED_VALUE"""),"mike.connolly@pwc.com")</f>
        <v>mike.connolly@pwc.com</v>
      </c>
      <c r="P148" s="3" t="str">
        <f>IFERROR(__xludf.DUMMYFUNCTION("""COMPUTED_VALUE"""),"No")</f>
        <v>No</v>
      </c>
      <c r="Q148" s="3" t="b">
        <f>IFERROR(__xludf.DUMMYFUNCTION("""COMPUTED_VALUE"""),FALSE)</f>
        <v>0</v>
      </c>
      <c r="R148" s="3"/>
      <c r="S148" s="3"/>
      <c r="T148" s="3" t="b">
        <f>IFERROR(__xludf.DUMMYFUNCTION("""COMPUTED_VALUE"""),FALSE)</f>
        <v>0</v>
      </c>
      <c r="U148" s="3" t="b">
        <f>IFERROR(__xludf.DUMMYFUNCTION("""COMPUTED_VALUE"""),FALSE)</f>
        <v>0</v>
      </c>
      <c r="V148" s="3" t="b">
        <f>IFERROR(__xludf.DUMMYFUNCTION("""COMPUTED_VALUE"""),FALSE)</f>
        <v>0</v>
      </c>
      <c r="W148" s="3" t="str">
        <f>IFERROR(__xludf.DUMMYFUNCTION("""COMPUTED_VALUE"""),"#N/A")</f>
        <v>#N/A</v>
      </c>
      <c r="X148" s="3" t="str">
        <f>IFERROR(__xludf.DUMMYFUNCTION("""COMPUTED_VALUE"""),"#N/A")</f>
        <v>#N/A</v>
      </c>
      <c r="Y148" s="3" t="str">
        <f>IFERROR(__xludf.DUMMYFUNCTION("""COMPUTED_VALUE"""),"#N/A")</f>
        <v>#N/A</v>
      </c>
      <c r="Z148" s="3" t="str">
        <f>IFERROR(__xludf.DUMMYFUNCTION("""COMPUTED_VALUE"""),"Unknown")</f>
        <v>Unknown</v>
      </c>
      <c r="AA148" s="3" t="b">
        <f>IFERROR(__xludf.DUMMYFUNCTION("""COMPUTED_VALUE"""),FALSE)</f>
        <v>0</v>
      </c>
    </row>
    <row r="149">
      <c r="A149" s="11">
        <f>IFERROR(__xludf.DUMMYFUNCTION("""COMPUTED_VALUE"""),1.00643044E8)</f>
        <v>100643044</v>
      </c>
      <c r="B149" s="3" t="str">
        <f>IFERROR(__xludf.DUMMYFUNCTION("""COMPUTED_VALUE"""),"Curt Bigelow")</f>
        <v>Curt Bigelow</v>
      </c>
      <c r="C149" s="3" t="str">
        <f>IFERROR(__xludf.DUMMYFUNCTION("""COMPUTED_VALUE"""),"Curt Raymond Bigelow")</f>
        <v>Curt Raymond Bigelow</v>
      </c>
      <c r="D149" s="3" t="str">
        <f>IFERROR(__xludf.DUMMYFUNCTION("""COMPUTED_VALUE"""),"Bigelow, Curt Raymond")</f>
        <v>Bigelow, Curt Raymond</v>
      </c>
      <c r="E149" s="3" t="str">
        <f>IFERROR(__xludf.DUMMYFUNCTION("""COMPUTED_VALUE"""),"Active")</f>
        <v>Active</v>
      </c>
      <c r="F149" s="3" t="str">
        <f>IFERROR(__xludf.DUMMYFUNCTION("""COMPUTED_VALUE"""),"curt.bigelow@pwc.com")</f>
        <v>curt.bigelow@pwc.com</v>
      </c>
      <c r="G149" s="3" t="str">
        <f>IFERROR(__xludf.DUMMYFUNCTION("""COMPUTED_VALUE"""),"Ops")</f>
        <v>Ops</v>
      </c>
      <c r="H149" s="3" t="str">
        <f>IFERROR(__xludf.DUMMYFUNCTION("""COMPUTED_VALUE"""),"Aerospace and Defence")</f>
        <v>Aerospace and Defence</v>
      </c>
      <c r="I149" s="3" t="str">
        <f>IFERROR(__xludf.DUMMYFUNCTION("""COMPUTED_VALUE"""),"Ops - Product Development &amp; Manufacturing (PDM)")</f>
        <v>Ops - Product Development &amp; Manufacturing (PDM)</v>
      </c>
      <c r="J149" s="3" t="str">
        <f>IFERROR(__xludf.DUMMYFUNCTION("""COMPUTED_VALUE"""),"Managing Director")</f>
        <v>Managing Director</v>
      </c>
      <c r="K149" s="12">
        <f>IFERROR(__xludf.DUMMYFUNCTION("""COMPUTED_VALUE"""),42099.0)</f>
        <v>42099</v>
      </c>
      <c r="L149" s="3" t="str">
        <f>IFERROR(__xludf.DUMMYFUNCTION("""COMPUTED_VALUE"""),"Denver")</f>
        <v>Denver</v>
      </c>
      <c r="M149" s="3" t="str">
        <f>IFERROR(__xludf.DUMMYFUNCTION("""COMPUTED_VALUE"""),"Denver - 1900 Sixteenth Street")</f>
        <v>Denver - 1900 Sixteenth Street</v>
      </c>
      <c r="N149" s="3" t="b">
        <f>IFERROR(__xludf.DUMMYFUNCTION("""COMPUTED_VALUE"""),FALSE)</f>
        <v>0</v>
      </c>
      <c r="O149" s="3" t="str">
        <f>IFERROR(__xludf.DUMMYFUNCTION("""COMPUTED_VALUE"""),"mark.poulson@pwc.com")</f>
        <v>mark.poulson@pwc.com</v>
      </c>
      <c r="P149" s="3" t="str">
        <f>IFERROR(__xludf.DUMMYFUNCTION("""COMPUTED_VALUE"""),"No")</f>
        <v>No</v>
      </c>
      <c r="Q149" s="3" t="b">
        <f>IFERROR(__xludf.DUMMYFUNCTION("""COMPUTED_VALUE"""),FALSE)</f>
        <v>0</v>
      </c>
      <c r="R149" s="3"/>
      <c r="S149" s="3"/>
      <c r="T149" s="3" t="b">
        <f>IFERROR(__xludf.DUMMYFUNCTION("""COMPUTED_VALUE"""),FALSE)</f>
        <v>0</v>
      </c>
      <c r="U149" s="3" t="b">
        <f>IFERROR(__xludf.DUMMYFUNCTION("""COMPUTED_VALUE"""),TRUE)</f>
        <v>1</v>
      </c>
      <c r="V149" s="3" t="b">
        <f>IFERROR(__xludf.DUMMYFUNCTION("""COMPUTED_VALUE"""),FALSE)</f>
        <v>0</v>
      </c>
      <c r="W149" s="3" t="str">
        <f>IFERROR(__xludf.DUMMYFUNCTION("""COMPUTED_VALUE"""),"Delivery")</f>
        <v>Delivery</v>
      </c>
      <c r="X149" s="3"/>
      <c r="Y149" s="3"/>
      <c r="Z149" s="3" t="str">
        <f>IFERROR(__xludf.DUMMYFUNCTION("""COMPUTED_VALUE"""),"Enterprise Digital Transformation - CM &amp; IPS")</f>
        <v>Enterprise Digital Transformation - CM &amp; IPS</v>
      </c>
      <c r="AA149" s="3" t="b">
        <f>IFERROR(__xludf.DUMMYFUNCTION("""COMPUTED_VALUE"""),FALSE)</f>
        <v>0</v>
      </c>
    </row>
    <row r="150">
      <c r="A150" s="11">
        <f>IFERROR(__xludf.DUMMYFUNCTION("""COMPUTED_VALUE"""),1.00638978E8)</f>
        <v>100638978</v>
      </c>
      <c r="B150" s="3" t="str">
        <f>IFERROR(__xludf.DUMMYFUNCTION("""COMPUTED_VALUE"""),"Cydney Aiken")</f>
        <v>Cydney Aiken</v>
      </c>
      <c r="C150" s="3" t="str">
        <f>IFERROR(__xludf.DUMMYFUNCTION("""COMPUTED_VALUE"""),"Cydney Marie Aiken")</f>
        <v>Cydney Marie Aiken</v>
      </c>
      <c r="D150" s="3" t="str">
        <f>IFERROR(__xludf.DUMMYFUNCTION("""COMPUTED_VALUE"""),"Aiken, Cydney Marie")</f>
        <v>Aiken, Cydney Marie</v>
      </c>
      <c r="E150" s="3" t="str">
        <f>IFERROR(__xludf.DUMMYFUNCTION("""COMPUTED_VALUE"""),"Active")</f>
        <v>Active</v>
      </c>
      <c r="F150" s="3" t="str">
        <f>IFERROR(__xludf.DUMMYFUNCTION("""COMPUTED_VALUE"""),"cydney.m.aiken@pwc.com")</f>
        <v>cydney.m.aiken@pwc.com</v>
      </c>
      <c r="G150" s="3" t="str">
        <f>IFERROR(__xludf.DUMMYFUNCTION("""COMPUTED_VALUE"""),"Workforce")</f>
        <v>Workforce</v>
      </c>
      <c r="H150" s="3" t="str">
        <f>IFERROR(__xludf.DUMMYFUNCTION("""COMPUTED_VALUE"""),"Energy")</f>
        <v>Energy</v>
      </c>
      <c r="I150" s="3" t="str">
        <f>IFERROR(__xludf.DUMMYFUNCTION("""COMPUTED_VALUE"""),"Workforce - Talent, Change &amp; Behaviors")</f>
        <v>Workforce - Talent, Change &amp; Behaviors</v>
      </c>
      <c r="J150" s="3" t="str">
        <f>IFERROR(__xludf.DUMMYFUNCTION("""COMPUTED_VALUE"""),"Partner")</f>
        <v>Partner</v>
      </c>
      <c r="K150" s="12">
        <f>IFERROR(__xludf.DUMMYFUNCTION("""COMPUTED_VALUE"""),39986.0)</f>
        <v>39986</v>
      </c>
      <c r="L150" s="3" t="str">
        <f>IFERROR(__xludf.DUMMYFUNCTION("""COMPUTED_VALUE"""),"Houston")</f>
        <v>Houston</v>
      </c>
      <c r="M150" s="3" t="str">
        <f>IFERROR(__xludf.DUMMYFUNCTION("""COMPUTED_VALUE"""),"Houston - 1000 Louisiana Street")</f>
        <v>Houston - 1000 Louisiana Street</v>
      </c>
      <c r="N150" s="3" t="b">
        <f>IFERROR(__xludf.DUMMYFUNCTION("""COMPUTED_VALUE"""),FALSE)</f>
        <v>0</v>
      </c>
      <c r="O150" s="3" t="str">
        <f>IFERROR(__xludf.DUMMYFUNCTION("""COMPUTED_VALUE"""),"craig.odonnell@pwc.com")</f>
        <v>craig.odonnell@pwc.com</v>
      </c>
      <c r="P150" s="3" t="str">
        <f>IFERROR(__xludf.DUMMYFUNCTION("""COMPUTED_VALUE"""),"No")</f>
        <v>No</v>
      </c>
      <c r="Q150" s="3" t="b">
        <f>IFERROR(__xludf.DUMMYFUNCTION("""COMPUTED_VALUE"""),FALSE)</f>
        <v>0</v>
      </c>
      <c r="R150" s="3"/>
      <c r="S150" s="3"/>
      <c r="T150" s="3" t="b">
        <f>IFERROR(__xludf.DUMMYFUNCTION("""COMPUTED_VALUE"""),FALSE)</f>
        <v>0</v>
      </c>
      <c r="U150" s="3" t="b">
        <f>IFERROR(__xludf.DUMMYFUNCTION("""COMPUTED_VALUE"""),FALSE)</f>
        <v>0</v>
      </c>
      <c r="V150" s="3" t="b">
        <f>IFERROR(__xludf.DUMMYFUNCTION("""COMPUTED_VALUE"""),FALSE)</f>
        <v>0</v>
      </c>
      <c r="W150" s="3" t="str">
        <f>IFERROR(__xludf.DUMMYFUNCTION("""COMPUTED_VALUE"""),"#N/A")</f>
        <v>#N/A</v>
      </c>
      <c r="X150" s="3" t="str">
        <f>IFERROR(__xludf.DUMMYFUNCTION("""COMPUTED_VALUE"""),"#N/A")</f>
        <v>#N/A</v>
      </c>
      <c r="Y150" s="3" t="str">
        <f>IFERROR(__xludf.DUMMYFUNCTION("""COMPUTED_VALUE"""),"#N/A")</f>
        <v>#N/A</v>
      </c>
      <c r="Z150" s="3" t="str">
        <f>IFERROR(__xludf.DUMMYFUNCTION("""COMPUTED_VALUE"""),"Unknown")</f>
        <v>Unknown</v>
      </c>
      <c r="AA150" s="3" t="b">
        <f>IFERROR(__xludf.DUMMYFUNCTION("""COMPUTED_VALUE"""),FALSE)</f>
        <v>0</v>
      </c>
    </row>
    <row r="151">
      <c r="A151" s="11">
        <f>IFERROR(__xludf.DUMMYFUNCTION("""COMPUTED_VALUE"""),1.00625755E8)</f>
        <v>100625755</v>
      </c>
      <c r="B151" s="3" t="str">
        <f>IFERROR(__xludf.DUMMYFUNCTION("""COMPUTED_VALUE"""),"Damien McMahon")</f>
        <v>Damien McMahon</v>
      </c>
      <c r="C151" s="3" t="str">
        <f>IFERROR(__xludf.DUMMYFUNCTION("""COMPUTED_VALUE"""),"Damien  McMahon")</f>
        <v>Damien  McMahon</v>
      </c>
      <c r="D151" s="3" t="str">
        <f>IFERROR(__xludf.DUMMYFUNCTION("""COMPUTED_VALUE"""),"McMahon, Damien")</f>
        <v>McMahon, Damien</v>
      </c>
      <c r="E151" s="3" t="str">
        <f>IFERROR(__xludf.DUMMYFUNCTION("""COMPUTED_VALUE"""),"Secondment")</f>
        <v>Secondment</v>
      </c>
      <c r="F151" s="3" t="str">
        <f>IFERROR(__xludf.DUMMYFUNCTION("""COMPUTED_VALUE"""),"mcmahon.damien@pwc.com")</f>
        <v>mcmahon.damien@pwc.com</v>
      </c>
      <c r="G151" s="3" t="str">
        <f>IFERROR(__xludf.DUMMYFUNCTION("""COMPUTED_VALUE"""),"Finance")</f>
        <v>Finance</v>
      </c>
      <c r="H151" s="3" t="str">
        <f>IFERROR(__xludf.DUMMYFUNCTION("""COMPUTED_VALUE"""),"TMT X-Sector")</f>
        <v>TMT X-Sector</v>
      </c>
      <c r="I151" s="3" t="str">
        <f>IFERROR(__xludf.DUMMYFUNCTION("""COMPUTED_VALUE"""),"Finance - Treasury / Working Capital / Cash Management")</f>
        <v>Finance - Treasury / Working Capital / Cash Management</v>
      </c>
      <c r="J151" s="3" t="str">
        <f>IFERROR(__xludf.DUMMYFUNCTION("""COMPUTED_VALUE"""),"Partner (Close:06/27/2022)")</f>
        <v>Partner (Close:06/27/2022)</v>
      </c>
      <c r="K151" s="12">
        <f>IFERROR(__xludf.DUMMYFUNCTION("""COMPUTED_VALUE"""),42963.0)</f>
        <v>42963</v>
      </c>
      <c r="L151" s="3" t="str">
        <f>IFERROR(__xludf.DUMMYFUNCTION("""COMPUTED_VALUE"""),"San Jose")</f>
        <v>San Jose</v>
      </c>
      <c r="M151" s="3" t="str">
        <f>IFERROR(__xludf.DUMMYFUNCTION("""COMPUTED_VALUE"""),"San Jose - 488 Almaden Boulevard")</f>
        <v>San Jose - 488 Almaden Boulevard</v>
      </c>
      <c r="N151" s="3" t="b">
        <f>IFERROR(__xludf.DUMMYFUNCTION("""COMPUTED_VALUE"""),FALSE)</f>
        <v>0</v>
      </c>
      <c r="O151" s="3" t="str">
        <f>IFERROR(__xludf.DUMMYFUNCTION("""COMPUTED_VALUE"""),"kurtis.babczenko@pwc.com")</f>
        <v>kurtis.babczenko@pwc.com</v>
      </c>
      <c r="P151" s="3" t="str">
        <f>IFERROR(__xludf.DUMMYFUNCTION("""COMPUTED_VALUE"""),"No")</f>
        <v>No</v>
      </c>
      <c r="Q151" s="3" t="b">
        <f>IFERROR(__xludf.DUMMYFUNCTION("""COMPUTED_VALUE"""),FALSE)</f>
        <v>0</v>
      </c>
      <c r="R151" s="3"/>
      <c r="S151" s="3"/>
      <c r="T151" s="3" t="b">
        <f>IFERROR(__xludf.DUMMYFUNCTION("""COMPUTED_VALUE"""),FALSE)</f>
        <v>0</v>
      </c>
      <c r="U151" s="3" t="b">
        <f>IFERROR(__xludf.DUMMYFUNCTION("""COMPUTED_VALUE"""),TRUE)</f>
        <v>1</v>
      </c>
      <c r="V151" s="3" t="b">
        <f>IFERROR(__xludf.DUMMYFUNCTION("""COMPUTED_VALUE"""),FALSE)</f>
        <v>0</v>
      </c>
      <c r="W151" s="3" t="str">
        <f>IFERROR(__xludf.DUMMYFUNCTION("""COMPUTED_VALUE"""),"Delivery")</f>
        <v>Delivery</v>
      </c>
      <c r="X151" s="3"/>
      <c r="Y151" s="3"/>
      <c r="Z151" s="3" t="str">
        <f>IFERROR(__xludf.DUMMYFUNCTION("""COMPUTED_VALUE"""),"Finance Transformation - TMT")</f>
        <v>Finance Transformation - TMT</v>
      </c>
      <c r="AA151" s="3" t="b">
        <f>IFERROR(__xludf.DUMMYFUNCTION("""COMPUTED_VALUE"""),FALSE)</f>
        <v>0</v>
      </c>
    </row>
    <row r="152">
      <c r="A152" s="11">
        <f>IFERROR(__xludf.DUMMYFUNCTION("""COMPUTED_VALUE"""),1.01076271E8)</f>
        <v>101076271</v>
      </c>
      <c r="B152" s="3" t="str">
        <f>IFERROR(__xludf.DUMMYFUNCTION("""COMPUTED_VALUE"""),"Dan Stolarski")</f>
        <v>Dan Stolarski</v>
      </c>
      <c r="C152" s="3" t="str">
        <f>IFERROR(__xludf.DUMMYFUNCTION("""COMPUTED_VALUE"""),"Daniel  Stolarski")</f>
        <v>Daniel  Stolarski</v>
      </c>
      <c r="D152" s="3" t="str">
        <f>IFERROR(__xludf.DUMMYFUNCTION("""COMPUTED_VALUE"""),"Stolarski, Daniel")</f>
        <v>Stolarski, Daniel</v>
      </c>
      <c r="E152" s="3" t="str">
        <f>IFERROR(__xludf.DUMMYFUNCTION("""COMPUTED_VALUE"""),"Active")</f>
        <v>Active</v>
      </c>
      <c r="F152" s="3" t="str">
        <f>IFERROR(__xludf.DUMMYFUNCTION("""COMPUTED_VALUE"""),"dan.stolarski@pwc.com")</f>
        <v>dan.stolarski@pwc.com</v>
      </c>
      <c r="G152" s="3" t="str">
        <f>IFERROR(__xludf.DUMMYFUNCTION("""COMPUTED_VALUE"""),"Ops")</f>
        <v>Ops</v>
      </c>
      <c r="H152" s="3" t="str">
        <f>IFERROR(__xludf.DUMMYFUNCTION("""COMPUTED_VALUE"""),"Consumer")</f>
        <v>Consumer</v>
      </c>
      <c r="I152" s="3" t="str">
        <f>IFERROR(__xludf.DUMMYFUNCTION("""COMPUTED_VALUE"""),"Ops - Org Strategy Strategy &amp; Solutions (OSS)")</f>
        <v>Ops - Org Strategy Strategy &amp; Solutions (OSS)</v>
      </c>
      <c r="J152" s="3" t="str">
        <f>IFERROR(__xludf.DUMMYFUNCTION("""COMPUTED_VALUE"""),"Managing Director")</f>
        <v>Managing Director</v>
      </c>
      <c r="K152" s="12">
        <f>IFERROR(__xludf.DUMMYFUNCTION("""COMPUTED_VALUE"""),44340.0)</f>
        <v>44340</v>
      </c>
      <c r="L152" s="3" t="str">
        <f>IFERROR(__xludf.DUMMYFUNCTION("""COMPUTED_VALUE"""),"Florham Park")</f>
        <v>Florham Park</v>
      </c>
      <c r="M152" s="3" t="str">
        <f>IFERROR(__xludf.DUMMYFUNCTION("""COMPUTED_VALUE"""),"Florham Park - 400 Campus Drive")</f>
        <v>Florham Park - 400 Campus Drive</v>
      </c>
      <c r="N152" s="3" t="b">
        <f>IFERROR(__xludf.DUMMYFUNCTION("""COMPUTED_VALUE"""),FALSE)</f>
        <v>0</v>
      </c>
      <c r="O152" s="3" t="str">
        <f>IFERROR(__xludf.DUMMYFUNCTION("""COMPUTED_VALUE"""),"todd.bargman@pwc.com")</f>
        <v>todd.bargman@pwc.com</v>
      </c>
      <c r="P152" s="3" t="str">
        <f>IFERROR(__xludf.DUMMYFUNCTION("""COMPUTED_VALUE"""),"FY21 2nd Half")</f>
        <v>FY21 2nd Half</v>
      </c>
      <c r="Q152" s="3" t="b">
        <f>IFERROR(__xludf.DUMMYFUNCTION("""COMPUTED_VALUE"""),FALSE)</f>
        <v>0</v>
      </c>
      <c r="R152" s="3"/>
      <c r="S152" s="3"/>
      <c r="T152" s="3" t="b">
        <f>IFERROR(__xludf.DUMMYFUNCTION("""COMPUTED_VALUE"""),FALSE)</f>
        <v>0</v>
      </c>
      <c r="U152" s="3" t="b">
        <f>IFERROR(__xludf.DUMMYFUNCTION("""COMPUTED_VALUE"""),TRUE)</f>
        <v>1</v>
      </c>
      <c r="V152" s="3" t="b">
        <f>IFERROR(__xludf.DUMMYFUNCTION("""COMPUTED_VALUE"""),FALSE)</f>
        <v>0</v>
      </c>
      <c r="W152" s="3" t="str">
        <f>IFERROR(__xludf.DUMMYFUNCTION("""COMPUTED_VALUE"""),"Catalyst")</f>
        <v>Catalyst</v>
      </c>
      <c r="X152" s="3"/>
      <c r="Y152" s="3" t="str">
        <f>IFERROR(__xludf.DUMMYFUNCTION("""COMPUTED_VALUE"""),"FY21 2nd Half")</f>
        <v>FY21 2nd Half</v>
      </c>
      <c r="Z152" s="3" t="str">
        <f>IFERROR(__xludf.DUMMYFUNCTION("""COMPUTED_VALUE"""),"CM Ops Transformation")</f>
        <v>CM Ops Transformation</v>
      </c>
      <c r="AA152" s="3" t="b">
        <f>IFERROR(__xludf.DUMMYFUNCTION("""COMPUTED_VALUE"""),FALSE)</f>
        <v>0</v>
      </c>
    </row>
    <row r="153">
      <c r="A153" s="11">
        <f>IFERROR(__xludf.DUMMYFUNCTION("""COMPUTED_VALUE"""),1.00610445E8)</f>
        <v>100610445</v>
      </c>
      <c r="B153" s="3" t="str">
        <f>IFERROR(__xludf.DUMMYFUNCTION("""COMPUTED_VALUE"""),"Dan Whigham")</f>
        <v>Dan Whigham</v>
      </c>
      <c r="C153" s="3" t="str">
        <f>IFERROR(__xludf.DUMMYFUNCTION("""COMPUTED_VALUE"""),"Dan  Whigham")</f>
        <v>Dan  Whigham</v>
      </c>
      <c r="D153" s="3" t="str">
        <f>IFERROR(__xludf.DUMMYFUNCTION("""COMPUTED_VALUE"""),"Whigham, Dan")</f>
        <v>Whigham, Dan</v>
      </c>
      <c r="E153" s="3" t="str">
        <f>IFERROR(__xludf.DUMMYFUNCTION("""COMPUTED_VALUE"""),"Active")</f>
        <v>Active</v>
      </c>
      <c r="F153" s="3" t="str">
        <f>IFERROR(__xludf.DUMMYFUNCTION("""COMPUTED_VALUE"""),"dan.whigham@pwc.com")</f>
        <v>dan.whigham@pwc.com</v>
      </c>
      <c r="G153" s="3" t="str">
        <f>IFERROR(__xludf.DUMMYFUNCTION("""COMPUTED_VALUE"""),"Finance")</f>
        <v>Finance</v>
      </c>
      <c r="H153" s="3" t="str">
        <f>IFERROR(__xludf.DUMMYFUNCTION("""COMPUTED_VALUE"""),"Power and Utilities")</f>
        <v>Power and Utilities</v>
      </c>
      <c r="I153" s="3" t="str">
        <f>IFERROR(__xludf.DUMMYFUNCTION("""COMPUTED_VALUE"""),"Finance - Finance Strategy / Op Model / Global Business Services / Talent")</f>
        <v>Finance - Finance Strategy / Op Model / Global Business Services / Talent</v>
      </c>
      <c r="J153" s="3" t="str">
        <f>IFERROR(__xludf.DUMMYFUNCTION("""COMPUTED_VALUE"""),"Partner")</f>
        <v>Partner</v>
      </c>
      <c r="K153" s="12">
        <f>IFERROR(__xludf.DUMMYFUNCTION("""COMPUTED_VALUE"""),41974.0)</f>
        <v>41974</v>
      </c>
      <c r="L153" s="3" t="str">
        <f>IFERROR(__xludf.DUMMYFUNCTION("""COMPUTED_VALUE"""),"Atlanta")</f>
        <v>Atlanta</v>
      </c>
      <c r="M153" s="3" t="str">
        <f>IFERROR(__xludf.DUMMYFUNCTION("""COMPUTED_VALUE"""),"Atlanta - 1075 Peachtree Street NE")</f>
        <v>Atlanta - 1075 Peachtree Street NE</v>
      </c>
      <c r="N153" s="3" t="b">
        <f>IFERROR(__xludf.DUMMYFUNCTION("""COMPUTED_VALUE"""),FALSE)</f>
        <v>0</v>
      </c>
      <c r="O153" s="3" t="str">
        <f>IFERROR(__xludf.DUMMYFUNCTION("""COMPUTED_VALUE"""),"kurtis.babczenko@pwc.com")</f>
        <v>kurtis.babczenko@pwc.com</v>
      </c>
      <c r="P153" s="3" t="str">
        <f>IFERROR(__xludf.DUMMYFUNCTION("""COMPUTED_VALUE"""),"No")</f>
        <v>No</v>
      </c>
      <c r="Q153" s="3" t="b">
        <f>IFERROR(__xludf.DUMMYFUNCTION("""COMPUTED_VALUE"""),TRUE)</f>
        <v>1</v>
      </c>
      <c r="R153" s="3" t="str">
        <f>IFERROR(__xludf.DUMMYFUNCTION("""COMPUTED_VALUE"""),"LCP High")</f>
        <v>LCP High</v>
      </c>
      <c r="S153" s="3"/>
      <c r="T153" s="3" t="b">
        <f>IFERROR(__xludf.DUMMYFUNCTION("""COMPUTED_VALUE"""),FALSE)</f>
        <v>0</v>
      </c>
      <c r="U153" s="3" t="b">
        <f>IFERROR(__xludf.DUMMYFUNCTION("""COMPUTED_VALUE"""),FALSE)</f>
        <v>0</v>
      </c>
      <c r="V153" s="3" t="b">
        <f>IFERROR(__xludf.DUMMYFUNCTION("""COMPUTED_VALUE"""),FALSE)</f>
        <v>0</v>
      </c>
      <c r="W153" s="3" t="str">
        <f>IFERROR(__xludf.DUMMYFUNCTION("""COMPUTED_VALUE"""),"LCP")</f>
        <v>LCP</v>
      </c>
      <c r="X153" s="3"/>
      <c r="Y153" s="3" t="str">
        <f>IFERROR(__xludf.DUMMYFUNCTION("""COMPUTED_VALUE"""),"GEP - High")</f>
        <v>GEP - High</v>
      </c>
      <c r="Z153" s="3" t="str">
        <f>IFERROR(__xludf.DUMMYFUNCTION("""COMPUTED_VALUE"""),"Finance Transformation IPS - EUM / PU")</f>
        <v>Finance Transformation IPS - EUM / PU</v>
      </c>
      <c r="AA153" s="3" t="b">
        <f>IFERROR(__xludf.DUMMYFUNCTION("""COMPUTED_VALUE"""),FALSE)</f>
        <v>0</v>
      </c>
    </row>
    <row r="154">
      <c r="A154" s="11">
        <f>IFERROR(__xludf.DUMMYFUNCTION("""COMPUTED_VALUE"""),1.00610426E8)</f>
        <v>100610426</v>
      </c>
      <c r="B154" s="3" t="str">
        <f>IFERROR(__xludf.DUMMYFUNCTION("""COMPUTED_VALUE"""),"Daniel Bowman")</f>
        <v>Daniel Bowman</v>
      </c>
      <c r="C154" s="3" t="str">
        <f>IFERROR(__xludf.DUMMYFUNCTION("""COMPUTED_VALUE"""),"Daniel  Bowman")</f>
        <v>Daniel  Bowman</v>
      </c>
      <c r="D154" s="3" t="str">
        <f>IFERROR(__xludf.DUMMYFUNCTION("""COMPUTED_VALUE"""),"Bowman, Daniel")</f>
        <v>Bowman, Daniel</v>
      </c>
      <c r="E154" s="3" t="str">
        <f>IFERROR(__xludf.DUMMYFUNCTION("""COMPUTED_VALUE"""),"Active")</f>
        <v>Active</v>
      </c>
      <c r="F154" s="3" t="str">
        <f>IFERROR(__xludf.DUMMYFUNCTION("""COMPUTED_VALUE"""),"dan.bowman@pwc.com")</f>
        <v>dan.bowman@pwc.com</v>
      </c>
      <c r="G154" s="3" t="str">
        <f>IFERROR(__xludf.DUMMYFUNCTION("""COMPUTED_VALUE"""),"Ops")</f>
        <v>Ops</v>
      </c>
      <c r="H154" s="3" t="str">
        <f>IFERROR(__xludf.DUMMYFUNCTION("""COMPUTED_VALUE"""),"Power and Utilities")</f>
        <v>Power and Utilities</v>
      </c>
      <c r="I154" s="3" t="str">
        <f>IFERROR(__xludf.DUMMYFUNCTION("""COMPUTED_VALUE"""),"Ops - Org Strategy Strategy &amp; Solutions (OSS)")</f>
        <v>Ops - Org Strategy Strategy &amp; Solutions (OSS)</v>
      </c>
      <c r="J154" s="3" t="str">
        <f>IFERROR(__xludf.DUMMYFUNCTION("""COMPUTED_VALUE"""),"Partner")</f>
        <v>Partner</v>
      </c>
      <c r="K154" s="12">
        <f>IFERROR(__xludf.DUMMYFUNCTION("""COMPUTED_VALUE"""),40777.0)</f>
        <v>40777</v>
      </c>
      <c r="L154" s="3" t="str">
        <f>IFERROR(__xludf.DUMMYFUNCTION("""COMPUTED_VALUE"""),"San Francisco")</f>
        <v>San Francisco</v>
      </c>
      <c r="M154" s="3" t="str">
        <f>IFERROR(__xludf.DUMMYFUNCTION("""COMPUTED_VALUE"""),"San Francisco - 405 Howard St")</f>
        <v>San Francisco - 405 Howard St</v>
      </c>
      <c r="N154" s="3" t="b">
        <f>IFERROR(__xludf.DUMMYFUNCTION("""COMPUTED_VALUE"""),TRUE)</f>
        <v>1</v>
      </c>
      <c r="O154" s="3" t="str">
        <f>IFERROR(__xludf.DUMMYFUNCTION("""COMPUTED_VALUE"""),"matthew.r.comte@pwc.com")</f>
        <v>matthew.r.comte@pwc.com</v>
      </c>
      <c r="P154" s="3" t="str">
        <f>IFERROR(__xludf.DUMMYFUNCTION("""COMPUTED_VALUE"""),"No")</f>
        <v>No</v>
      </c>
      <c r="Q154" s="3" t="b">
        <f>IFERROR(__xludf.DUMMYFUNCTION("""COMPUTED_VALUE"""),TRUE)</f>
        <v>1</v>
      </c>
      <c r="R154" s="3" t="str">
        <f>IFERROR(__xludf.DUMMYFUNCTION("""COMPUTED_VALUE"""),"LCP High")</f>
        <v>LCP High</v>
      </c>
      <c r="S154" s="3"/>
      <c r="T154" s="3" t="b">
        <f>IFERROR(__xludf.DUMMYFUNCTION("""COMPUTED_VALUE"""),FALSE)</f>
        <v>0</v>
      </c>
      <c r="U154" s="3" t="b">
        <f>IFERROR(__xludf.DUMMYFUNCTION("""COMPUTED_VALUE"""),FALSE)</f>
        <v>0</v>
      </c>
      <c r="V154" s="3" t="b">
        <f>IFERROR(__xludf.DUMMYFUNCTION("""COMPUTED_VALUE"""),FALSE)</f>
        <v>0</v>
      </c>
      <c r="W154" s="3" t="str">
        <f>IFERROR(__xludf.DUMMYFUNCTION("""COMPUTED_VALUE"""),"LCP")</f>
        <v>LCP</v>
      </c>
      <c r="X154" s="3"/>
      <c r="Y154" s="3" t="str">
        <f>IFERROR(__xludf.DUMMYFUNCTION("""COMPUTED_VALUE"""),"GEP - High")</f>
        <v>GEP - High</v>
      </c>
      <c r="Z154" s="3" t="str">
        <f>IFERROR(__xludf.DUMMYFUNCTION("""COMPUTED_VALUE"""),"EUM + Telecom Ops Transformation")</f>
        <v>EUM + Telecom Ops Transformation</v>
      </c>
      <c r="AA154" s="3" t="b">
        <f>IFERROR(__xludf.DUMMYFUNCTION("""COMPUTED_VALUE"""),TRUE)</f>
        <v>1</v>
      </c>
    </row>
    <row r="155">
      <c r="A155" s="11">
        <f>IFERROR(__xludf.DUMMYFUNCTION("""COMPUTED_VALUE"""),1.00610205E8)</f>
        <v>100610205</v>
      </c>
      <c r="B155" s="3" t="str">
        <f>IFERROR(__xludf.DUMMYFUNCTION("""COMPUTED_VALUE"""),"Daniel Hays")</f>
        <v>Daniel Hays</v>
      </c>
      <c r="C155" s="3" t="str">
        <f>IFERROR(__xludf.DUMMYFUNCTION("""COMPUTED_VALUE"""),"Daniel S Hays")</f>
        <v>Daniel S Hays</v>
      </c>
      <c r="D155" s="3" t="str">
        <f>IFERROR(__xludf.DUMMYFUNCTION("""COMPUTED_VALUE"""),"Hays, Daniel S")</f>
        <v>Hays, Daniel S</v>
      </c>
      <c r="E155" s="3" t="str">
        <f>IFERROR(__xludf.DUMMYFUNCTION("""COMPUTED_VALUE"""),"Active")</f>
        <v>Active</v>
      </c>
      <c r="F155" s="3" t="str">
        <f>IFERROR(__xludf.DUMMYFUNCTION("""COMPUTED_VALUE"""),"dan.hays@pwc.com")</f>
        <v>dan.hays@pwc.com</v>
      </c>
      <c r="G155" s="3" t="str">
        <f>IFERROR(__xludf.DUMMYFUNCTION("""COMPUTED_VALUE"""),"ESV")</f>
        <v>ESV</v>
      </c>
      <c r="H155" s="3" t="str">
        <f>IFERROR(__xludf.DUMMYFUNCTION("""COMPUTED_VALUE"""),"TMT X-Sector")</f>
        <v>TMT X-Sector</v>
      </c>
      <c r="I155" s="3" t="str">
        <f>IFERROR(__xludf.DUMMYFUNCTION("""COMPUTED_VALUE"""),"ESV - TMT")</f>
        <v>ESV - TMT</v>
      </c>
      <c r="J155" s="3" t="str">
        <f>IFERROR(__xludf.DUMMYFUNCTION("""COMPUTED_VALUE"""),"Partner")</f>
        <v>Partner</v>
      </c>
      <c r="K155" s="12">
        <f>IFERROR(__xludf.DUMMYFUNCTION("""COMPUTED_VALUE"""),40777.0)</f>
        <v>40777</v>
      </c>
      <c r="L155" s="3" t="str">
        <f>IFERROR(__xludf.DUMMYFUNCTION("""COMPUTED_VALUE"""),"Washington")</f>
        <v>Washington</v>
      </c>
      <c r="M155" s="3" t="str">
        <f>IFERROR(__xludf.DUMMYFUNCTION("""COMPUTED_VALUE"""),"Washington DC - 655 New York Avenue")</f>
        <v>Washington DC - 655 New York Avenue</v>
      </c>
      <c r="N155" s="3" t="b">
        <f>IFERROR(__xludf.DUMMYFUNCTION("""COMPUTED_VALUE"""),FALSE)</f>
        <v>0</v>
      </c>
      <c r="O155" s="3" t="str">
        <f>IFERROR(__xludf.DUMMYFUNCTION("""COMPUTED_VALUE"""),"sundar.subramanian@pwc.com")</f>
        <v>sundar.subramanian@pwc.com</v>
      </c>
      <c r="P155" s="3" t="str">
        <f>IFERROR(__xludf.DUMMYFUNCTION("""COMPUTED_VALUE"""),"No")</f>
        <v>No</v>
      </c>
      <c r="Q155" s="3" t="b">
        <f>IFERROR(__xludf.DUMMYFUNCTION("""COMPUTED_VALUE"""),TRUE)</f>
        <v>1</v>
      </c>
      <c r="R155" s="3" t="str">
        <f>IFERROR(__xludf.DUMMYFUNCTION("""COMPUTED_VALUE"""),"LCP Low")</f>
        <v>LCP Low</v>
      </c>
      <c r="S155" s="3"/>
      <c r="T155" s="3" t="b">
        <f>IFERROR(__xludf.DUMMYFUNCTION("""COMPUTED_VALUE"""),FALSE)</f>
        <v>0</v>
      </c>
      <c r="U155" s="3" t="b">
        <f>IFERROR(__xludf.DUMMYFUNCTION("""COMPUTED_VALUE"""),TRUE)</f>
        <v>1</v>
      </c>
      <c r="V155" s="3" t="b">
        <f>IFERROR(__xludf.DUMMYFUNCTION("""COMPUTED_VALUE"""),FALSE)</f>
        <v>0</v>
      </c>
      <c r="W155" s="3" t="str">
        <f>IFERROR(__xludf.DUMMYFUNCTION("""COMPUTED_VALUE"""),"LCP")</f>
        <v>LCP</v>
      </c>
      <c r="X155" s="3" t="str">
        <f>IFERROR(__xludf.DUMMYFUNCTION("""COMPUTED_VALUE"""),"Investment")</f>
        <v>Investment</v>
      </c>
      <c r="Y155" s="3" t="str">
        <f>IFERROR(__xludf.DUMMYFUNCTION("""COMPUTED_VALUE"""),"GEP - Low")</f>
        <v>GEP - Low</v>
      </c>
      <c r="Z155" s="3" t="str">
        <f>IFERROR(__xludf.DUMMYFUNCTION("""COMPUTED_VALUE"""),"Enterprise Digital Transformation - TMT")</f>
        <v>Enterprise Digital Transformation - TMT</v>
      </c>
      <c r="AA155" s="3" t="b">
        <f>IFERROR(__xludf.DUMMYFUNCTION("""COMPUTED_VALUE"""),FALSE)</f>
        <v>0</v>
      </c>
    </row>
    <row r="156">
      <c r="A156" s="11">
        <f>IFERROR(__xludf.DUMMYFUNCTION("""COMPUTED_VALUE"""),1.00600654E8)</f>
        <v>100600654</v>
      </c>
      <c r="B156" s="3" t="str">
        <f>IFERROR(__xludf.DUMMYFUNCTION("""COMPUTED_VALUE"""),"Daniel Jackett")</f>
        <v>Daniel Jackett</v>
      </c>
      <c r="C156" s="3" t="str">
        <f>IFERROR(__xludf.DUMMYFUNCTION("""COMPUTED_VALUE"""),"Daniel J Jackett")</f>
        <v>Daniel J Jackett</v>
      </c>
      <c r="D156" s="3" t="str">
        <f>IFERROR(__xludf.DUMMYFUNCTION("""COMPUTED_VALUE"""),"Jackett, Daniel J")</f>
        <v>Jackett, Daniel J</v>
      </c>
      <c r="E156" s="3" t="str">
        <f>IFERROR(__xludf.DUMMYFUNCTION("""COMPUTED_VALUE"""),"Active")</f>
        <v>Active</v>
      </c>
      <c r="F156" s="3" t="str">
        <f>IFERROR(__xludf.DUMMYFUNCTION("""COMPUTED_VALUE"""),"daniel.j.jackett@pwc.com")</f>
        <v>daniel.j.jackett@pwc.com</v>
      </c>
      <c r="G156" s="3" t="str">
        <f>IFERROR(__xludf.DUMMYFUNCTION("""COMPUTED_VALUE"""),"FS")</f>
        <v>FS</v>
      </c>
      <c r="H156" s="3" t="str">
        <f>IFERROR(__xludf.DUMMYFUNCTION("""COMPUTED_VALUE"""),"Banking and Capital Markets")</f>
        <v>Banking and Capital Markets</v>
      </c>
      <c r="I156" s="3" t="str">
        <f>IFERROR(__xludf.DUMMYFUNCTION("""COMPUTED_VALUE"""),"FS - Banking and Capital Markets")</f>
        <v>FS - Banking and Capital Markets</v>
      </c>
      <c r="J156" s="3" t="str">
        <f>IFERROR(__xludf.DUMMYFUNCTION("""COMPUTED_VALUE"""),"Partner (Position Vacate:06/30/2022)")</f>
        <v>Partner (Position Vacate:06/30/2022)</v>
      </c>
      <c r="K156" s="12">
        <f>IFERROR(__xludf.DUMMYFUNCTION("""COMPUTED_VALUE"""),30869.0)</f>
        <v>30869</v>
      </c>
      <c r="L156" s="3" t="str">
        <f>IFERROR(__xludf.DUMMYFUNCTION("""COMPUTED_VALUE"""),"San Francisco")</f>
        <v>San Francisco</v>
      </c>
      <c r="M156" s="3" t="str">
        <f>IFERROR(__xludf.DUMMYFUNCTION("""COMPUTED_VALUE"""),"San Francisco - 405 Howard St")</f>
        <v>San Francisco - 405 Howard St</v>
      </c>
      <c r="N156" s="3" t="b">
        <f>IFERROR(__xludf.DUMMYFUNCTION("""COMPUTED_VALUE"""),FALSE)</f>
        <v>0</v>
      </c>
      <c r="O156" s="3" t="str">
        <f>IFERROR(__xludf.DUMMYFUNCTION("""COMPUTED_VALUE"""),"alison.hoover@pwc.com")</f>
        <v>alison.hoover@pwc.com</v>
      </c>
      <c r="P156" s="3" t="str">
        <f>IFERROR(__xludf.DUMMYFUNCTION("""COMPUTED_VALUE"""),"No")</f>
        <v>No</v>
      </c>
      <c r="Q156" s="3" t="b">
        <f>IFERROR(__xludf.DUMMYFUNCTION("""COMPUTED_VALUE"""),FALSE)</f>
        <v>0</v>
      </c>
      <c r="R156" s="3"/>
      <c r="S156" s="3"/>
      <c r="T156" s="3" t="b">
        <f>IFERROR(__xludf.DUMMYFUNCTION("""COMPUTED_VALUE"""),FALSE)</f>
        <v>0</v>
      </c>
      <c r="U156" s="3" t="b">
        <f>IFERROR(__xludf.DUMMYFUNCTION("""COMPUTED_VALUE"""),TRUE)</f>
        <v>1</v>
      </c>
      <c r="V156" s="3" t="b">
        <f>IFERROR(__xludf.DUMMYFUNCTION("""COMPUTED_VALUE"""),FALSE)</f>
        <v>0</v>
      </c>
      <c r="W156" s="3" t="str">
        <f>IFERROR(__xludf.DUMMYFUNCTION("""COMPUTED_VALUE"""),"Delivery")</f>
        <v>Delivery</v>
      </c>
      <c r="X156" s="3"/>
      <c r="Y156" s="3"/>
      <c r="Z156" s="3" t="str">
        <f>IFERROR(__xludf.DUMMYFUNCTION("""COMPUTED_VALUE"""),"Banking Transformation")</f>
        <v>Banking Transformation</v>
      </c>
      <c r="AA156" s="3" t="b">
        <f>IFERROR(__xludf.DUMMYFUNCTION("""COMPUTED_VALUE"""),FALSE)</f>
        <v>0</v>
      </c>
    </row>
    <row r="157">
      <c r="A157" s="11">
        <f>IFERROR(__xludf.DUMMYFUNCTION("""COMPUTED_VALUE"""),1.00599669E8)</f>
        <v>100599669</v>
      </c>
      <c r="B157" s="3" t="str">
        <f>IFERROR(__xludf.DUMMYFUNCTION("""COMPUTED_VALUE"""),"Daniel O'Neill")</f>
        <v>Daniel O'Neill</v>
      </c>
      <c r="C157" s="3" t="str">
        <f>IFERROR(__xludf.DUMMYFUNCTION("""COMPUTED_VALUE"""),"Daniel A O'Neill")</f>
        <v>Daniel A O'Neill</v>
      </c>
      <c r="D157" s="3" t="str">
        <f>IFERROR(__xludf.DUMMYFUNCTION("""COMPUTED_VALUE"""),"O'Neill, Daniel A")</f>
        <v>O'Neill, Daniel A</v>
      </c>
      <c r="E157" s="3" t="str">
        <f>IFERROR(__xludf.DUMMYFUNCTION("""COMPUTED_VALUE"""),"Active")</f>
        <v>Active</v>
      </c>
      <c r="F157" s="3" t="str">
        <f>IFERROR(__xludf.DUMMYFUNCTION("""COMPUTED_VALUE"""),"daniel.a.oneill@pwc.com")</f>
        <v>daniel.a.oneill@pwc.com</v>
      </c>
      <c r="G157" s="3" t="str">
        <f>IFERROR(__xludf.DUMMYFUNCTION("""COMPUTED_VALUE"""),"Deals Transformation")</f>
        <v>Deals Transformation</v>
      </c>
      <c r="H157" s="3" t="str">
        <f>IFERROR(__xludf.DUMMYFUNCTION("""COMPUTED_VALUE"""),"Manufacturing")</f>
        <v>Manufacturing</v>
      </c>
      <c r="I157" s="3" t="str">
        <f>IFERROR(__xludf.DUMMYFUNCTION("""COMPUTED_VALUE"""),"DDV - Finance")</f>
        <v>DDV - Finance</v>
      </c>
      <c r="J157" s="3" t="str">
        <f>IFERROR(__xludf.DUMMYFUNCTION("""COMPUTED_VALUE"""),"Partner")</f>
        <v>Partner</v>
      </c>
      <c r="K157" s="12">
        <f>IFERROR(__xludf.DUMMYFUNCTION("""COMPUTED_VALUE"""),38068.0)</f>
        <v>38068</v>
      </c>
      <c r="L157" s="3" t="str">
        <f>IFERROR(__xludf.DUMMYFUNCTION("""COMPUTED_VALUE"""),"Boston")</f>
        <v>Boston</v>
      </c>
      <c r="M157" s="3" t="str">
        <f>IFERROR(__xludf.DUMMYFUNCTION("""COMPUTED_VALUE"""),"Boston - 101 Seaport Boulevard")</f>
        <v>Boston - 101 Seaport Boulevard</v>
      </c>
      <c r="N157" s="3" t="b">
        <f>IFERROR(__xludf.DUMMYFUNCTION("""COMPUTED_VALUE"""),FALSE)</f>
        <v>0</v>
      </c>
      <c r="O157" s="3" t="str">
        <f>IFERROR(__xludf.DUMMYFUNCTION("""COMPUTED_VALUE"""),"derek.b.townsend@pwc.com")</f>
        <v>derek.b.townsend@pwc.com</v>
      </c>
      <c r="P157" s="3" t="str">
        <f>IFERROR(__xludf.DUMMYFUNCTION("""COMPUTED_VALUE"""),"No")</f>
        <v>No</v>
      </c>
      <c r="Q157" s="3" t="b">
        <f>IFERROR(__xludf.DUMMYFUNCTION("""COMPUTED_VALUE"""),TRUE)</f>
        <v>1</v>
      </c>
      <c r="R157" s="3" t="str">
        <f>IFERROR(__xludf.DUMMYFUNCTION("""COMPUTED_VALUE"""),"LCP Low")</f>
        <v>LCP Low</v>
      </c>
      <c r="S157" s="3"/>
      <c r="T157" s="3" t="b">
        <f>IFERROR(__xludf.DUMMYFUNCTION("""COMPUTED_VALUE"""),FALSE)</f>
        <v>0</v>
      </c>
      <c r="U157" s="3" t="b">
        <f>IFERROR(__xludf.DUMMYFUNCTION("""COMPUTED_VALUE"""),FALSE)</f>
        <v>0</v>
      </c>
      <c r="V157" s="3" t="b">
        <f>IFERROR(__xludf.DUMMYFUNCTION("""COMPUTED_VALUE"""),FALSE)</f>
        <v>0</v>
      </c>
      <c r="W157" s="3" t="str">
        <f>IFERROR(__xludf.DUMMYFUNCTION("""COMPUTED_VALUE"""),"LCP")</f>
        <v>LCP</v>
      </c>
      <c r="X157" s="3"/>
      <c r="Y157" s="3" t="str">
        <f>IFERROR(__xludf.DUMMYFUNCTION("""COMPUTED_VALUE"""),"GEP - Low")</f>
        <v>GEP - Low</v>
      </c>
      <c r="Z157" s="3" t="str">
        <f>IFERROR(__xludf.DUMMYFUNCTION("""COMPUTED_VALUE"""),"Enterprise Digital Transformation - CM &amp; IPS")</f>
        <v>Enterprise Digital Transformation - CM &amp; IPS</v>
      </c>
      <c r="AA157" s="3" t="b">
        <f>IFERROR(__xludf.DUMMYFUNCTION("""COMPUTED_VALUE"""),FALSE)</f>
        <v>0</v>
      </c>
    </row>
    <row r="158">
      <c r="A158" s="11">
        <f>IFERROR(__xludf.DUMMYFUNCTION("""COMPUTED_VALUE"""),1.01241958E8)</f>
        <v>101241958</v>
      </c>
      <c r="B158" s="3" t="str">
        <f>IFERROR(__xludf.DUMMYFUNCTION("""COMPUTED_VALUE"""),"Darcy Dangler Brumley")</f>
        <v>Darcy Dangler Brumley</v>
      </c>
      <c r="C158" s="3" t="str">
        <f>IFERROR(__xludf.DUMMYFUNCTION("""COMPUTED_VALUE"""),"Unknown")</f>
        <v>Unknown</v>
      </c>
      <c r="D158" s="3" t="str">
        <f>IFERROR(__xludf.DUMMYFUNCTION("""COMPUTED_VALUE"""),"Unknown")</f>
        <v>Unknown</v>
      </c>
      <c r="E158" s="3" t="str">
        <f>IFERROR(__xludf.DUMMYFUNCTION("""COMPUTED_VALUE"""),"Active")</f>
        <v>Active</v>
      </c>
      <c r="F158" s="3" t="str">
        <f>IFERROR(__xludf.DUMMYFUNCTION("""COMPUTED_VALUE"""),"darcy.d.brumley@pwc.com")</f>
        <v>darcy.d.brumley@pwc.com</v>
      </c>
      <c r="G158" s="3" t="str">
        <f>IFERROR(__xludf.DUMMYFUNCTION("""COMPUTED_VALUE"""),"Health")</f>
        <v>Health</v>
      </c>
      <c r="H158" s="3" t="str">
        <f>IFERROR(__xludf.DUMMYFUNCTION("""COMPUTED_VALUE"""),"Health Services")</f>
        <v>Health Services</v>
      </c>
      <c r="I158" s="3" t="str">
        <f>IFERROR(__xludf.DUMMYFUNCTION("""COMPUTED_VALUE"""),"Health - Provider ERP")</f>
        <v>Health - Provider ERP</v>
      </c>
      <c r="J158" s="3" t="str">
        <f>IFERROR(__xludf.DUMMYFUNCTION("""COMPUTED_VALUE"""),"Partner")</f>
        <v>Partner</v>
      </c>
      <c r="K158" s="12">
        <f>IFERROR(__xludf.DUMMYFUNCTION("""COMPUTED_VALUE"""),44686.0)</f>
        <v>44686</v>
      </c>
      <c r="L158" s="3" t="str">
        <f>IFERROR(__xludf.DUMMYFUNCTION("""COMPUTED_VALUE"""),"Chicago")</f>
        <v>Chicago</v>
      </c>
      <c r="M158" s="3" t="str">
        <f>IFERROR(__xludf.DUMMYFUNCTION("""COMPUTED_VALUE"""),"#N/A")</f>
        <v>#N/A</v>
      </c>
      <c r="N158" s="3" t="str">
        <f>IFERROR(__xludf.DUMMYFUNCTION("""COMPUTED_VALUE"""),"Unknown")</f>
        <v>Unknown</v>
      </c>
      <c r="O158" s="3" t="str">
        <f>IFERROR(__xludf.DUMMYFUNCTION("""COMPUTED_VALUE"""),"Unknown")</f>
        <v>Unknown</v>
      </c>
      <c r="P158" s="3" t="str">
        <f>IFERROR(__xludf.DUMMYFUNCTION("""COMPUTED_VALUE"""),"FY22")</f>
        <v>FY22</v>
      </c>
      <c r="Q158" s="3" t="str">
        <f>IFERROR(__xludf.DUMMYFUNCTION("""COMPUTED_VALUE"""),"Unknown")</f>
        <v>Unknown</v>
      </c>
      <c r="R158" s="3" t="str">
        <f>IFERROR(__xludf.DUMMYFUNCTION("""COMPUTED_VALUE"""),"Unknown")</f>
        <v>Unknown</v>
      </c>
      <c r="S158" s="3" t="str">
        <f>IFERROR(__xludf.DUMMYFUNCTION("""COMPUTED_VALUE"""),"Unknown")</f>
        <v>Unknown</v>
      </c>
      <c r="T158" s="3" t="str">
        <f>IFERROR(__xludf.DUMMYFUNCTION("""COMPUTED_VALUE"""),"Unknown")</f>
        <v>Unknown</v>
      </c>
      <c r="U158" s="3" t="b">
        <f>IFERROR(__xludf.DUMMYFUNCTION("""COMPUTED_VALUE"""),TRUE)</f>
        <v>1</v>
      </c>
      <c r="V158" s="3" t="str">
        <f>IFERROR(__xludf.DUMMYFUNCTION("""COMPUTED_VALUE"""),"Unknown")</f>
        <v>Unknown</v>
      </c>
      <c r="W158" s="3" t="str">
        <f>IFERROR(__xludf.DUMMYFUNCTION("""COMPUTED_VALUE"""),"Catalyst")</f>
        <v>Catalyst</v>
      </c>
      <c r="X158" s="3" t="str">
        <f>IFERROR(__xludf.DUMMYFUNCTION("""COMPUTED_VALUE"""),"Unknown")</f>
        <v>Unknown</v>
      </c>
      <c r="Y158" s="3" t="str">
        <f>IFERROR(__xludf.DUMMYFUNCTION("""COMPUTED_VALUE"""),"FY22")</f>
        <v>FY22</v>
      </c>
      <c r="Z158" s="3" t="str">
        <f>IFERROR(__xludf.DUMMYFUNCTION("""COMPUTED_VALUE"""),"#N/A")</f>
        <v>#N/A</v>
      </c>
      <c r="AA158" s="3" t="b">
        <f>IFERROR(__xludf.DUMMYFUNCTION("""COMPUTED_VALUE"""),FALSE)</f>
        <v>0</v>
      </c>
    </row>
    <row r="159">
      <c r="A159" s="3">
        <f>IFERROR(__xludf.DUMMYFUNCTION("""COMPUTED_VALUE"""),1.00617853E8)</f>
        <v>100617853</v>
      </c>
      <c r="B159" s="3" t="str">
        <f>IFERROR(__xludf.DUMMYFUNCTION("""COMPUTED_VALUE"""),"Daryl Walcroft")</f>
        <v>Daryl Walcroft</v>
      </c>
      <c r="C159" s="3" t="str">
        <f>IFERROR(__xludf.DUMMYFUNCTION("""COMPUTED_VALUE"""),"Daryl  Walcroft")</f>
        <v>Daryl  Walcroft</v>
      </c>
      <c r="D159" s="3" t="str">
        <f>IFERROR(__xludf.DUMMYFUNCTION("""COMPUTED_VALUE"""),"Walcroft, Daryl")</f>
        <v>Walcroft, Daryl</v>
      </c>
      <c r="E159" s="3" t="str">
        <f>IFERROR(__xludf.DUMMYFUNCTION("""COMPUTED_VALUE"""),"Active")</f>
        <v>Active</v>
      </c>
      <c r="F159" s="3" t="str">
        <f>IFERROR(__xludf.DUMMYFUNCTION("""COMPUTED_VALUE"""),"daryl.walcroft@pwc.com")</f>
        <v>daryl.walcroft@pwc.com</v>
      </c>
      <c r="G159" s="3" t="str">
        <f>IFERROR(__xludf.DUMMYFUNCTION("""COMPUTED_VALUE"""),"Ops")</f>
        <v>Ops</v>
      </c>
      <c r="H159" s="3" t="str">
        <f>IFERROR(__xludf.DUMMYFUNCTION("""COMPUTED_VALUE"""),"Power and Utilities")</f>
        <v>Power and Utilities</v>
      </c>
      <c r="I159" s="3" t="str">
        <f>IFERROR(__xludf.DUMMYFUNCTION("""COMPUTED_VALUE"""),"Ops - Capital Project Excellence (CPE)")</f>
        <v>Ops - Capital Project Excellence (CPE)</v>
      </c>
      <c r="J159" s="3" t="str">
        <f>IFERROR(__xludf.DUMMYFUNCTION("""COMPUTED_VALUE"""),"Partner")</f>
        <v>Partner</v>
      </c>
      <c r="K159" s="12">
        <f>IFERROR(__xludf.DUMMYFUNCTION("""COMPUTED_VALUE"""),37900.0)</f>
        <v>37900</v>
      </c>
      <c r="L159" s="3" t="str">
        <f>IFERROR(__xludf.DUMMYFUNCTION("""COMPUTED_VALUE"""),"San Francisco")</f>
        <v>San Francisco</v>
      </c>
      <c r="M159" s="3" t="str">
        <f>IFERROR(__xludf.DUMMYFUNCTION("""COMPUTED_VALUE"""),"San Francisco - 405 Howard St")</f>
        <v>San Francisco - 405 Howard St</v>
      </c>
      <c r="N159" s="3" t="b">
        <f>IFERROR(__xludf.DUMMYFUNCTION("""COMPUTED_VALUE"""),TRUE)</f>
        <v>1</v>
      </c>
      <c r="O159" s="3" t="str">
        <f>IFERROR(__xludf.DUMMYFUNCTION("""COMPUTED_VALUE"""),"matthew.r.comte@pwc.com")</f>
        <v>matthew.r.comte@pwc.com</v>
      </c>
      <c r="P159" s="3" t="str">
        <f>IFERROR(__xludf.DUMMYFUNCTION("""COMPUTED_VALUE"""),"No")</f>
        <v>No</v>
      </c>
      <c r="Q159" s="3" t="b">
        <f>IFERROR(__xludf.DUMMYFUNCTION("""COMPUTED_VALUE"""),FALSE)</f>
        <v>0</v>
      </c>
      <c r="R159" s="3"/>
      <c r="S159" s="3"/>
      <c r="T159" s="3" t="b">
        <f>IFERROR(__xludf.DUMMYFUNCTION("""COMPUTED_VALUE"""),FALSE)</f>
        <v>0</v>
      </c>
      <c r="U159" s="3" t="b">
        <f>IFERROR(__xludf.DUMMYFUNCTION("""COMPUTED_VALUE"""),TRUE)</f>
        <v>1</v>
      </c>
      <c r="V159" s="3" t="b">
        <f>IFERROR(__xludf.DUMMYFUNCTION("""COMPUTED_VALUE"""),FALSE)</f>
        <v>0</v>
      </c>
      <c r="W159" s="3" t="str">
        <f>IFERROR(__xludf.DUMMYFUNCTION("""COMPUTED_VALUE"""),"Delivery")</f>
        <v>Delivery</v>
      </c>
      <c r="X159" s="3" t="str">
        <f>IFERROR(__xludf.DUMMYFUNCTION("""COMPUTED_VALUE"""),"Investment")</f>
        <v>Investment</v>
      </c>
      <c r="Y159" s="3" t="str">
        <f>IFERROR(__xludf.DUMMYFUNCTION("""COMPUTED_VALUE"""),"Investment")</f>
        <v>Investment</v>
      </c>
      <c r="Z159" s="3" t="str">
        <f>IFERROR(__xludf.DUMMYFUNCTION("""COMPUTED_VALUE"""),"EUM + Telecom Ops Transformation")</f>
        <v>EUM + Telecom Ops Transformation</v>
      </c>
      <c r="AA159" s="3" t="b">
        <f>IFERROR(__xludf.DUMMYFUNCTION("""COMPUTED_VALUE"""),FALSE)</f>
        <v>0</v>
      </c>
    </row>
    <row r="160">
      <c r="A160" s="11">
        <f>IFERROR(__xludf.DUMMYFUNCTION("""COMPUTED_VALUE"""),1.00892076E8)</f>
        <v>100892076</v>
      </c>
      <c r="B160" s="3" t="str">
        <f>IFERROR(__xludf.DUMMYFUNCTION("""COMPUTED_VALUE"""),"Dave Eberhardt")</f>
        <v>Dave Eberhardt</v>
      </c>
      <c r="C160" s="3" t="str">
        <f>IFERROR(__xludf.DUMMYFUNCTION("""COMPUTED_VALUE"""),"David Frederick Eberhardt")</f>
        <v>David Frederick Eberhardt</v>
      </c>
      <c r="D160" s="3" t="str">
        <f>IFERROR(__xludf.DUMMYFUNCTION("""COMPUTED_VALUE"""),"Eberhardt, David Frederick")</f>
        <v>Eberhardt, David Frederick</v>
      </c>
      <c r="E160" s="3" t="str">
        <f>IFERROR(__xludf.DUMMYFUNCTION("""COMPUTED_VALUE"""),"Active")</f>
        <v>Active</v>
      </c>
      <c r="F160" s="3" t="str">
        <f>IFERROR(__xludf.DUMMYFUNCTION("""COMPUTED_VALUE"""),"david.eberhardt@pwc.com")</f>
        <v>david.eberhardt@pwc.com</v>
      </c>
      <c r="G160" s="3" t="str">
        <f>IFERROR(__xludf.DUMMYFUNCTION("""COMPUTED_VALUE"""),"Workforce")</f>
        <v>Workforce</v>
      </c>
      <c r="H160" s="3" t="str">
        <f>IFERROR(__xludf.DUMMYFUNCTION("""COMPUTED_VALUE"""),"Energy")</f>
        <v>Energy</v>
      </c>
      <c r="I160" s="3" t="str">
        <f>IFERROR(__xludf.DUMMYFUNCTION("""COMPUTED_VALUE"""),"Workforce - HRT")</f>
        <v>Workforce - HRT</v>
      </c>
      <c r="J160" s="3" t="str">
        <f>IFERROR(__xludf.DUMMYFUNCTION("""COMPUTED_VALUE"""),"Partner")</f>
        <v>Partner</v>
      </c>
      <c r="K160" s="12">
        <f>IFERROR(__xludf.DUMMYFUNCTION("""COMPUTED_VALUE"""),43570.0)</f>
        <v>43570</v>
      </c>
      <c r="L160" s="3" t="str">
        <f>IFERROR(__xludf.DUMMYFUNCTION("""COMPUTED_VALUE"""),"Salt Lake City")</f>
        <v>Salt Lake City</v>
      </c>
      <c r="M160" s="3" t="str">
        <f>IFERROR(__xludf.DUMMYFUNCTION("""COMPUTED_VALUE"""),"Salt Lake City - 201 South Main")</f>
        <v>Salt Lake City - 201 South Main</v>
      </c>
      <c r="N160" s="3" t="b">
        <f>IFERROR(__xludf.DUMMYFUNCTION("""COMPUTED_VALUE"""),FALSE)</f>
        <v>0</v>
      </c>
      <c r="O160" s="3" t="str">
        <f>IFERROR(__xludf.DUMMYFUNCTION("""COMPUTED_VALUE"""),"craig.odonnell@pwc.com")</f>
        <v>craig.odonnell@pwc.com</v>
      </c>
      <c r="P160" s="3" t="str">
        <f>IFERROR(__xludf.DUMMYFUNCTION("""COMPUTED_VALUE"""),"No")</f>
        <v>No</v>
      </c>
      <c r="Q160" s="3" t="b">
        <f>IFERROR(__xludf.DUMMYFUNCTION("""COMPUTED_VALUE"""),FALSE)</f>
        <v>0</v>
      </c>
      <c r="R160" s="3"/>
      <c r="S160" s="3"/>
      <c r="T160" s="3" t="b">
        <f>IFERROR(__xludf.DUMMYFUNCTION("""COMPUTED_VALUE"""),FALSE)</f>
        <v>0</v>
      </c>
      <c r="U160" s="3" t="b">
        <f>IFERROR(__xludf.DUMMYFUNCTION("""COMPUTED_VALUE"""),FALSE)</f>
        <v>0</v>
      </c>
      <c r="V160" s="3" t="b">
        <f>IFERROR(__xludf.DUMMYFUNCTION("""COMPUTED_VALUE"""),FALSE)</f>
        <v>0</v>
      </c>
      <c r="W160" s="3" t="str">
        <f>IFERROR(__xludf.DUMMYFUNCTION("""COMPUTED_VALUE"""),"#N/A")</f>
        <v>#N/A</v>
      </c>
      <c r="X160" s="3" t="str">
        <f>IFERROR(__xludf.DUMMYFUNCTION("""COMPUTED_VALUE"""),"#N/A")</f>
        <v>#N/A</v>
      </c>
      <c r="Y160" s="3" t="str">
        <f>IFERROR(__xludf.DUMMYFUNCTION("""COMPUTED_VALUE"""),"#N/A")</f>
        <v>#N/A</v>
      </c>
      <c r="Z160" s="3" t="str">
        <f>IFERROR(__xludf.DUMMYFUNCTION("""COMPUTED_VALUE"""),"Unknown")</f>
        <v>Unknown</v>
      </c>
      <c r="AA160" s="3" t="b">
        <f>IFERROR(__xludf.DUMMYFUNCTION("""COMPUTED_VALUE"""),FALSE)</f>
        <v>0</v>
      </c>
    </row>
    <row r="161">
      <c r="A161" s="11">
        <f>IFERROR(__xludf.DUMMYFUNCTION("""COMPUTED_VALUE"""),1.00620643E8)</f>
        <v>100620643</v>
      </c>
      <c r="B161" s="3" t="str">
        <f>IFERROR(__xludf.DUMMYFUNCTION("""COMPUTED_VALUE"""),"Dave Hoffman")</f>
        <v>Dave Hoffman</v>
      </c>
      <c r="C161" s="3" t="str">
        <f>IFERROR(__xludf.DUMMYFUNCTION("""COMPUTED_VALUE"""),"John D Hoffman")</f>
        <v>John D Hoffman</v>
      </c>
      <c r="D161" s="3" t="str">
        <f>IFERROR(__xludf.DUMMYFUNCTION("""COMPUTED_VALUE"""),"Hoffman, John D")</f>
        <v>Hoffman, John D</v>
      </c>
      <c r="E161" s="3" t="str">
        <f>IFERROR(__xludf.DUMMYFUNCTION("""COMPUTED_VALUE"""),"Active")</f>
        <v>Active</v>
      </c>
      <c r="F161" s="3" t="str">
        <f>IFERROR(__xludf.DUMMYFUNCTION("""COMPUTED_VALUE"""),"j.david.hoffman@pwc.com")</f>
        <v>j.david.hoffman@pwc.com</v>
      </c>
      <c r="G161" s="3" t="str">
        <f>IFERROR(__xludf.DUMMYFUNCTION("""COMPUTED_VALUE"""),"FS")</f>
        <v>FS</v>
      </c>
      <c r="H161" s="3" t="str">
        <f>IFERROR(__xludf.DUMMYFUNCTION("""COMPUTED_VALUE"""),"Banking and Capital Markets")</f>
        <v>Banking and Capital Markets</v>
      </c>
      <c r="I161" s="3" t="str">
        <f>IFERROR(__xludf.DUMMYFUNCTION("""COMPUTED_VALUE"""),"FS - Banking and Capital Markets")</f>
        <v>FS - Banking and Capital Markets</v>
      </c>
      <c r="J161" s="3" t="str">
        <f>IFERROR(__xludf.DUMMYFUNCTION("""COMPUTED_VALUE"""),"Partner")</f>
        <v>Partner</v>
      </c>
      <c r="K161" s="12">
        <f>IFERROR(__xludf.DUMMYFUNCTION("""COMPUTED_VALUE"""),38614.0)</f>
        <v>38614</v>
      </c>
      <c r="L161" s="3" t="str">
        <f>IFERROR(__xludf.DUMMYFUNCTION("""COMPUTED_VALUE"""),"Arlington")</f>
        <v>Arlington</v>
      </c>
      <c r="M161" s="3" t="str">
        <f>IFERROR(__xludf.DUMMYFUNCTION("""COMPUTED_VALUE"""),"Arlington - 1000 Wilson Boulevard")</f>
        <v>Arlington - 1000 Wilson Boulevard</v>
      </c>
      <c r="N161" s="3" t="b">
        <f>IFERROR(__xludf.DUMMYFUNCTION("""COMPUTED_VALUE"""),FALSE)</f>
        <v>0</v>
      </c>
      <c r="O161" s="3" t="str">
        <f>IFERROR(__xludf.DUMMYFUNCTION("""COMPUTED_VALUE"""),"alison.hoover@pwc.com")</f>
        <v>alison.hoover@pwc.com</v>
      </c>
      <c r="P161" s="3" t="str">
        <f>IFERROR(__xludf.DUMMYFUNCTION("""COMPUTED_VALUE"""),"No")</f>
        <v>No</v>
      </c>
      <c r="Q161" s="3" t="b">
        <f>IFERROR(__xludf.DUMMYFUNCTION("""COMPUTED_VALUE"""),FALSE)</f>
        <v>0</v>
      </c>
      <c r="R161" s="3"/>
      <c r="S161" s="3"/>
      <c r="T161" s="3" t="b">
        <f>IFERROR(__xludf.DUMMYFUNCTION("""COMPUTED_VALUE"""),FALSE)</f>
        <v>0</v>
      </c>
      <c r="U161" s="3" t="b">
        <f>IFERROR(__xludf.DUMMYFUNCTION("""COMPUTED_VALUE"""),TRUE)</f>
        <v>1</v>
      </c>
      <c r="V161" s="3" t="b">
        <f>IFERROR(__xludf.DUMMYFUNCTION("""COMPUTED_VALUE"""),FALSE)</f>
        <v>0</v>
      </c>
      <c r="W161" s="3" t="str">
        <f>IFERROR(__xludf.DUMMYFUNCTION("""COMPUTED_VALUE"""),"Delivery")</f>
        <v>Delivery</v>
      </c>
      <c r="X161" s="3"/>
      <c r="Y161" s="3"/>
      <c r="Z161" s="3" t="str">
        <f>IFERROR(__xludf.DUMMYFUNCTION("""COMPUTED_VALUE"""),"Banking Transformation")</f>
        <v>Banking Transformation</v>
      </c>
      <c r="AA161" s="3" t="b">
        <f>IFERROR(__xludf.DUMMYFUNCTION("""COMPUTED_VALUE"""),FALSE)</f>
        <v>0</v>
      </c>
    </row>
    <row r="162">
      <c r="A162" s="11">
        <f>IFERROR(__xludf.DUMMYFUNCTION("""COMPUTED_VALUE"""),1.00661738E8)</f>
        <v>100661738</v>
      </c>
      <c r="B162" s="3" t="str">
        <f>IFERROR(__xludf.DUMMYFUNCTION("""COMPUTED_VALUE"""),"Dave Powell")</f>
        <v>Dave Powell</v>
      </c>
      <c r="C162" s="3" t="str">
        <f>IFERROR(__xludf.DUMMYFUNCTION("""COMPUTED_VALUE"""),"David M Powell")</f>
        <v>David M Powell</v>
      </c>
      <c r="D162" s="3" t="str">
        <f>IFERROR(__xludf.DUMMYFUNCTION("""COMPUTED_VALUE"""),"Powell, David M")</f>
        <v>Powell, David M</v>
      </c>
      <c r="E162" s="3" t="str">
        <f>IFERROR(__xludf.DUMMYFUNCTION("""COMPUTED_VALUE"""),"Active")</f>
        <v>Active</v>
      </c>
      <c r="F162" s="3" t="str">
        <f>IFERROR(__xludf.DUMMYFUNCTION("""COMPUTED_VALUE"""),"dave.powell@pwc.com")</f>
        <v>dave.powell@pwc.com</v>
      </c>
      <c r="G162" s="3" t="str">
        <f>IFERROR(__xludf.DUMMYFUNCTION("""COMPUTED_VALUE"""),"ESV")</f>
        <v>ESV</v>
      </c>
      <c r="H162" s="3" t="str">
        <f>IFERROR(__xludf.DUMMYFUNCTION("""COMPUTED_VALUE"""),"Pharma and Life Sciences")</f>
        <v>Pharma and Life Sciences</v>
      </c>
      <c r="I162" s="3" t="str">
        <f>IFERROR(__xludf.DUMMYFUNCTION("""COMPUTED_VALUE"""),"ESV - PLS")</f>
        <v>ESV - PLS</v>
      </c>
      <c r="J162" s="3" t="str">
        <f>IFERROR(__xludf.DUMMYFUNCTION("""COMPUTED_VALUE"""),"Partner")</f>
        <v>Partner</v>
      </c>
      <c r="K162" s="12">
        <f>IFERROR(__xludf.DUMMYFUNCTION("""COMPUTED_VALUE"""),42541.0)</f>
        <v>42541</v>
      </c>
      <c r="L162" s="3" t="str">
        <f>IFERROR(__xludf.DUMMYFUNCTION("""COMPUTED_VALUE"""),"Cleveland")</f>
        <v>Cleveland</v>
      </c>
      <c r="M162" s="3" t="str">
        <f>IFERROR(__xludf.DUMMYFUNCTION("""COMPUTED_VALUE"""),"Cleveland - 200 Public Square")</f>
        <v>Cleveland - 200 Public Square</v>
      </c>
      <c r="N162" s="3" t="b">
        <f>IFERROR(__xludf.DUMMYFUNCTION("""COMPUTED_VALUE"""),FALSE)</f>
        <v>0</v>
      </c>
      <c r="O162" s="3" t="str">
        <f>IFERROR(__xludf.DUMMYFUNCTION("""COMPUTED_VALUE"""),"sundar.subramanian@pwc.com")</f>
        <v>sundar.subramanian@pwc.com</v>
      </c>
      <c r="P162" s="3" t="str">
        <f>IFERROR(__xludf.DUMMYFUNCTION("""COMPUTED_VALUE"""),"No")</f>
        <v>No</v>
      </c>
      <c r="Q162" s="3" t="b">
        <f>IFERROR(__xludf.DUMMYFUNCTION("""COMPUTED_VALUE"""),TRUE)</f>
        <v>1</v>
      </c>
      <c r="R162" s="3" t="str">
        <f>IFERROR(__xludf.DUMMYFUNCTION("""COMPUTED_VALUE"""),"LCP Low")</f>
        <v>LCP Low</v>
      </c>
      <c r="S162" s="3"/>
      <c r="T162" s="3" t="b">
        <f>IFERROR(__xludf.DUMMYFUNCTION("""COMPUTED_VALUE"""),FALSE)</f>
        <v>0</v>
      </c>
      <c r="U162" s="3" t="b">
        <f>IFERROR(__xludf.DUMMYFUNCTION("""COMPUTED_VALUE"""),FALSE)</f>
        <v>0</v>
      </c>
      <c r="V162" s="3" t="b">
        <f>IFERROR(__xludf.DUMMYFUNCTION("""COMPUTED_VALUE"""),FALSE)</f>
        <v>0</v>
      </c>
      <c r="W162" s="3" t="str">
        <f>IFERROR(__xludf.DUMMYFUNCTION("""COMPUTED_VALUE"""),"LCP")</f>
        <v>LCP</v>
      </c>
      <c r="X162" s="3"/>
      <c r="Y162" s="3" t="str">
        <f>IFERROR(__xludf.DUMMYFUNCTION("""COMPUTED_VALUE"""),"GEP - Low")</f>
        <v>GEP - Low</v>
      </c>
      <c r="Z162" s="3" t="str">
        <f>IFERROR(__xludf.DUMMYFUNCTION("""COMPUTED_VALUE"""),"Enterprise Digital Transformation - PLS")</f>
        <v>Enterprise Digital Transformation - PLS</v>
      </c>
      <c r="AA162" s="3" t="b">
        <f>IFERROR(__xludf.DUMMYFUNCTION("""COMPUTED_VALUE"""),TRUE)</f>
        <v>1</v>
      </c>
    </row>
    <row r="163">
      <c r="A163" s="11">
        <f>IFERROR(__xludf.DUMMYFUNCTION("""COMPUTED_VALUE"""),1.01147686E8)</f>
        <v>101147686</v>
      </c>
      <c r="B163" s="3" t="str">
        <f>IFERROR(__xludf.DUMMYFUNCTION("""COMPUTED_VALUE"""),"Davi Bryan")</f>
        <v>Davi Bryan</v>
      </c>
      <c r="C163" s="3" t="str">
        <f>IFERROR(__xludf.DUMMYFUNCTION("""COMPUTED_VALUE"""),"Davi Ann Bryan")</f>
        <v>Davi Ann Bryan</v>
      </c>
      <c r="D163" s="3" t="str">
        <f>IFERROR(__xludf.DUMMYFUNCTION("""COMPUTED_VALUE"""),"Bryan, Davi Ann")</f>
        <v>Bryan, Davi Ann</v>
      </c>
      <c r="E163" s="3" t="str">
        <f>IFERROR(__xludf.DUMMYFUNCTION("""COMPUTED_VALUE"""),"Active")</f>
        <v>Active</v>
      </c>
      <c r="F163" s="3" t="str">
        <f>IFERROR(__xludf.DUMMYFUNCTION("""COMPUTED_VALUE"""),"davi.bryan@pwc.com")</f>
        <v>davi.bryan@pwc.com</v>
      </c>
      <c r="G163" s="3" t="str">
        <f>IFERROR(__xludf.DUMMYFUNCTION("""COMPUTED_VALUE"""),"Workforce")</f>
        <v>Workforce</v>
      </c>
      <c r="H163" s="3" t="str">
        <f>IFERROR(__xludf.DUMMYFUNCTION("""COMPUTED_VALUE"""),"EUR X-Sector")</f>
        <v>EUR X-Sector</v>
      </c>
      <c r="I163" s="3" t="str">
        <f>IFERROR(__xludf.DUMMYFUNCTION("""COMPUTED_VALUE"""),"Workforce - Talent, Change &amp; Behaviors")</f>
        <v>Workforce - Talent, Change &amp; Behaviors</v>
      </c>
      <c r="J163" s="3" t="str">
        <f>IFERROR(__xludf.DUMMYFUNCTION("""COMPUTED_VALUE"""),"Partner")</f>
        <v>Partner</v>
      </c>
      <c r="K163" s="12">
        <f>IFERROR(__xludf.DUMMYFUNCTION("""COMPUTED_VALUE"""),44494.0)</f>
        <v>44494</v>
      </c>
      <c r="L163" s="3" t="str">
        <f>IFERROR(__xludf.DUMMYFUNCTION("""COMPUTED_VALUE"""),"Houston")</f>
        <v>Houston</v>
      </c>
      <c r="M163" s="3" t="str">
        <f>IFERROR(__xludf.DUMMYFUNCTION("""COMPUTED_VALUE"""),"Houston - 1000 Louisiana Street")</f>
        <v>Houston - 1000 Louisiana Street</v>
      </c>
      <c r="N163" s="3" t="b">
        <f>IFERROR(__xludf.DUMMYFUNCTION("""COMPUTED_VALUE"""),FALSE)</f>
        <v>0</v>
      </c>
      <c r="O163" s="3" t="str">
        <f>IFERROR(__xludf.DUMMYFUNCTION("""COMPUTED_VALUE"""),"craig.odonnell@pwc.com")</f>
        <v>craig.odonnell@pwc.com</v>
      </c>
      <c r="P163" s="3" t="str">
        <f>IFERROR(__xludf.DUMMYFUNCTION("""COMPUTED_VALUE"""),"FY22")</f>
        <v>FY22</v>
      </c>
      <c r="Q163" s="3" t="b">
        <f>IFERROR(__xludf.DUMMYFUNCTION("""COMPUTED_VALUE"""),FALSE)</f>
        <v>0</v>
      </c>
      <c r="R163" s="3"/>
      <c r="S163" s="3"/>
      <c r="T163" s="3" t="b">
        <f>IFERROR(__xludf.DUMMYFUNCTION("""COMPUTED_VALUE"""),FALSE)</f>
        <v>0</v>
      </c>
      <c r="U163" s="3" t="b">
        <f>IFERROR(__xludf.DUMMYFUNCTION("""COMPUTED_VALUE"""),TRUE)</f>
        <v>1</v>
      </c>
      <c r="V163" s="3" t="b">
        <f>IFERROR(__xludf.DUMMYFUNCTION("""COMPUTED_VALUE"""),FALSE)</f>
        <v>0</v>
      </c>
      <c r="W163" s="3" t="str">
        <f>IFERROR(__xludf.DUMMYFUNCTION("""COMPUTED_VALUE"""),"Catalyst")</f>
        <v>Catalyst</v>
      </c>
      <c r="X163" s="3"/>
      <c r="Y163" s="3" t="str">
        <f>IFERROR(__xludf.DUMMYFUNCTION("""COMPUTED_VALUE"""),"FY22")</f>
        <v>FY22</v>
      </c>
      <c r="Z163" s="3" t="str">
        <f>IFERROR(__xludf.DUMMYFUNCTION("""COMPUTED_VALUE"""),"Talent Change &amp; Behaviors")</f>
        <v>Talent Change &amp; Behaviors</v>
      </c>
      <c r="AA163" s="3" t="b">
        <f>IFERROR(__xludf.DUMMYFUNCTION("""COMPUTED_VALUE"""),FALSE)</f>
        <v>0</v>
      </c>
    </row>
    <row r="164">
      <c r="A164" s="11">
        <f>IFERROR(__xludf.DUMMYFUNCTION("""COMPUTED_VALUE"""),1.00582604E8)</f>
        <v>100582604</v>
      </c>
      <c r="B164" s="3" t="str">
        <f>IFERROR(__xludf.DUMMYFUNCTION("""COMPUTED_VALUE"""),"David Baral")</f>
        <v>David Baral</v>
      </c>
      <c r="C164" s="3" t="str">
        <f>IFERROR(__xludf.DUMMYFUNCTION("""COMPUTED_VALUE"""),"Debajyoti  Baral")</f>
        <v>Debajyoti  Baral</v>
      </c>
      <c r="D164" s="3" t="str">
        <f>IFERROR(__xludf.DUMMYFUNCTION("""COMPUTED_VALUE"""),"Baral, Debajyoti")</f>
        <v>Baral, Debajyoti</v>
      </c>
      <c r="E164" s="3" t="str">
        <f>IFERROR(__xludf.DUMMYFUNCTION("""COMPUTED_VALUE"""),"Active")</f>
        <v>Active</v>
      </c>
      <c r="F164" s="3" t="str">
        <f>IFERROR(__xludf.DUMMYFUNCTION("""COMPUTED_VALUE"""),"david.baral@pwc.com")</f>
        <v>david.baral@pwc.com</v>
      </c>
      <c r="G164" s="3" t="str">
        <f>IFERROR(__xludf.DUMMYFUNCTION("""COMPUTED_VALUE"""),"Workforce")</f>
        <v>Workforce</v>
      </c>
      <c r="H164" s="3" t="str">
        <f>IFERROR(__xludf.DUMMYFUNCTION("""COMPUTED_VALUE"""),"Banking and Capital Markets")</f>
        <v>Banking and Capital Markets</v>
      </c>
      <c r="I164" s="3" t="str">
        <f>IFERROR(__xludf.DUMMYFUNCTION("""COMPUTED_VALUE"""),"Workforce - Deals")</f>
        <v>Workforce - Deals</v>
      </c>
      <c r="J164" s="3" t="str">
        <f>IFERROR(__xludf.DUMMYFUNCTION("""COMPUTED_VALUE"""),"Managing Director")</f>
        <v>Managing Director</v>
      </c>
      <c r="K164" s="12">
        <f>IFERROR(__xludf.DUMMYFUNCTION("""COMPUTED_VALUE"""),38984.0)</f>
        <v>38984</v>
      </c>
      <c r="L164" s="3" t="str">
        <f>IFERROR(__xludf.DUMMYFUNCTION("""COMPUTED_VALUE"""),"New York")</f>
        <v>New York</v>
      </c>
      <c r="M164" s="3" t="str">
        <f>IFERROR(__xludf.DUMMYFUNCTION("""COMPUTED_VALUE"""),"New York - 300 Madison Avenue")</f>
        <v>New York - 300 Madison Avenue</v>
      </c>
      <c r="N164" s="3" t="b">
        <f>IFERROR(__xludf.DUMMYFUNCTION("""COMPUTED_VALUE"""),FALSE)</f>
        <v>0</v>
      </c>
      <c r="O164" s="3" t="str">
        <f>IFERROR(__xludf.DUMMYFUNCTION("""COMPUTED_VALUE"""),"paul.g.kennedy@pwc.com")</f>
        <v>paul.g.kennedy@pwc.com</v>
      </c>
      <c r="P164" s="3" t="str">
        <f>IFERROR(__xludf.DUMMYFUNCTION("""COMPUTED_VALUE"""),"No")</f>
        <v>No</v>
      </c>
      <c r="Q164" s="3" t="b">
        <f>IFERROR(__xludf.DUMMYFUNCTION("""COMPUTED_VALUE"""),FALSE)</f>
        <v>0</v>
      </c>
      <c r="R164" s="3"/>
      <c r="S164" s="3"/>
      <c r="T164" s="3" t="b">
        <f>IFERROR(__xludf.DUMMYFUNCTION("""COMPUTED_VALUE"""),FALSE)</f>
        <v>0</v>
      </c>
      <c r="U164" s="3" t="b">
        <f>IFERROR(__xludf.DUMMYFUNCTION("""COMPUTED_VALUE"""),FALSE)</f>
        <v>0</v>
      </c>
      <c r="V164" s="3" t="b">
        <f>IFERROR(__xludf.DUMMYFUNCTION("""COMPUTED_VALUE"""),FALSE)</f>
        <v>0</v>
      </c>
      <c r="W164" s="3" t="str">
        <f>IFERROR(__xludf.DUMMYFUNCTION("""COMPUTED_VALUE"""),"#N/A")</f>
        <v>#N/A</v>
      </c>
      <c r="X164" s="3" t="str">
        <f>IFERROR(__xludf.DUMMYFUNCTION("""COMPUTED_VALUE"""),"#N/A")</f>
        <v>#N/A</v>
      </c>
      <c r="Y164" s="3" t="str">
        <f>IFERROR(__xludf.DUMMYFUNCTION("""COMPUTED_VALUE"""),"#N/A")</f>
        <v>#N/A</v>
      </c>
      <c r="Z164" s="3" t="str">
        <f>IFERROR(__xludf.DUMMYFUNCTION("""COMPUTED_VALUE"""),"Unknown")</f>
        <v>Unknown</v>
      </c>
      <c r="AA164" s="3" t="b">
        <f>IFERROR(__xludf.DUMMYFUNCTION("""COMPUTED_VALUE"""),FALSE)</f>
        <v>0</v>
      </c>
    </row>
    <row r="165">
      <c r="A165" s="11">
        <f>IFERROR(__xludf.DUMMYFUNCTION("""COMPUTED_VALUE"""),1.00611547E8)</f>
        <v>100611547</v>
      </c>
      <c r="B165" s="3" t="str">
        <f>IFERROR(__xludf.DUMMYFUNCTION("""COMPUTED_VALUE"""),"David Church")</f>
        <v>David Church</v>
      </c>
      <c r="C165" s="3" t="str">
        <f>IFERROR(__xludf.DUMMYFUNCTION("""COMPUTED_VALUE"""),"David Earl Church")</f>
        <v>David Earl Church</v>
      </c>
      <c r="D165" s="3" t="str">
        <f>IFERROR(__xludf.DUMMYFUNCTION("""COMPUTED_VALUE"""),"Church, David Earl")</f>
        <v>Church, David Earl</v>
      </c>
      <c r="E165" s="3" t="str">
        <f>IFERROR(__xludf.DUMMYFUNCTION("""COMPUTED_VALUE"""),"Active")</f>
        <v>Active</v>
      </c>
      <c r="F165" s="3" t="str">
        <f>IFERROR(__xludf.DUMMYFUNCTION("""COMPUTED_VALUE"""),"david.e.church@pwc.com")</f>
        <v>david.e.church@pwc.com</v>
      </c>
      <c r="G165" s="3" t="str">
        <f>IFERROR(__xludf.DUMMYFUNCTION("""COMPUTED_VALUE"""),"Health")</f>
        <v>Health</v>
      </c>
      <c r="H165" s="3" t="str">
        <f>IFERROR(__xludf.DUMMYFUNCTION("""COMPUTED_VALUE"""),"Health Services")</f>
        <v>Health Services</v>
      </c>
      <c r="I165" s="3" t="str">
        <f>IFERROR(__xludf.DUMMYFUNCTION("""COMPUTED_VALUE"""),"Health - Provider FFG")</f>
        <v>Health - Provider FFG</v>
      </c>
      <c r="J165" s="3" t="str">
        <f>IFERROR(__xludf.DUMMYFUNCTION("""COMPUTED_VALUE"""),"Partner")</f>
        <v>Partner</v>
      </c>
      <c r="K165" s="12">
        <f>IFERROR(__xludf.DUMMYFUNCTION("""COMPUTED_VALUE"""),41589.0)</f>
        <v>41589</v>
      </c>
      <c r="L165" s="3" t="str">
        <f>IFERROR(__xludf.DUMMYFUNCTION("""COMPUTED_VALUE"""),"Chicago")</f>
        <v>Chicago</v>
      </c>
      <c r="M165" s="3" t="str">
        <f>IFERROR(__xludf.DUMMYFUNCTION("""COMPUTED_VALUE"""),"Chicago - One North Wacker Drive")</f>
        <v>Chicago - One North Wacker Drive</v>
      </c>
      <c r="N165" s="3" t="b">
        <f>IFERROR(__xludf.DUMMYFUNCTION("""COMPUTED_VALUE"""),FALSE)</f>
        <v>0</v>
      </c>
      <c r="O165" s="3" t="str">
        <f>IFERROR(__xludf.DUMMYFUNCTION("""COMPUTED_VALUE"""),"craig.e.gooch@pwc.com")</f>
        <v>craig.e.gooch@pwc.com</v>
      </c>
      <c r="P165" s="3" t="str">
        <f>IFERROR(__xludf.DUMMYFUNCTION("""COMPUTED_VALUE"""),"No")</f>
        <v>No</v>
      </c>
      <c r="Q165" s="3" t="b">
        <f>IFERROR(__xludf.DUMMYFUNCTION("""COMPUTED_VALUE"""),FALSE)</f>
        <v>0</v>
      </c>
      <c r="R165" s="3"/>
      <c r="S165" s="3"/>
      <c r="T165" s="3" t="b">
        <f>IFERROR(__xludf.DUMMYFUNCTION("""COMPUTED_VALUE"""),FALSE)</f>
        <v>0</v>
      </c>
      <c r="U165" s="3" t="b">
        <f>IFERROR(__xludf.DUMMYFUNCTION("""COMPUTED_VALUE"""),TRUE)</f>
        <v>1</v>
      </c>
      <c r="V165" s="3" t="b">
        <f>IFERROR(__xludf.DUMMYFUNCTION("""COMPUTED_VALUE"""),FALSE)</f>
        <v>0</v>
      </c>
      <c r="W165" s="3" t="str">
        <f>IFERROR(__xludf.DUMMYFUNCTION("""COMPUTED_VALUE"""),"Delivery")</f>
        <v>Delivery</v>
      </c>
      <c r="X165" s="3"/>
      <c r="Y165" s="3"/>
      <c r="Z165" s="3" t="str">
        <f>IFERROR(__xludf.DUMMYFUNCTION("""COMPUTED_VALUE"""),"Provider Transformation")</f>
        <v>Provider Transformation</v>
      </c>
      <c r="AA165" s="3" t="b">
        <f>IFERROR(__xludf.DUMMYFUNCTION("""COMPUTED_VALUE"""),FALSE)</f>
        <v>0</v>
      </c>
    </row>
    <row r="166">
      <c r="A166" s="11">
        <f>IFERROR(__xludf.DUMMYFUNCTION("""COMPUTED_VALUE"""),1.01245114E8)</f>
        <v>101245114</v>
      </c>
      <c r="B166" s="3" t="str">
        <f>IFERROR(__xludf.DUMMYFUNCTION("""COMPUTED_VALUE"""),"David Evans")</f>
        <v>David Evans</v>
      </c>
      <c r="C166" s="3" t="str">
        <f>IFERROR(__xludf.DUMMYFUNCTION("""COMPUTED_VALUE"""),"David Evans")</f>
        <v>David Evans</v>
      </c>
      <c r="D166" s="3" t="str">
        <f>IFERROR(__xludf.DUMMYFUNCTION("""COMPUTED_VALUE"""),"Evans, David")</f>
        <v>Evans, David</v>
      </c>
      <c r="E166" s="3" t="str">
        <f>IFERROR(__xludf.DUMMYFUNCTION("""COMPUTED_VALUE"""),"Active")</f>
        <v>Active</v>
      </c>
      <c r="F166" s="3" t="str">
        <f>IFERROR(__xludf.DUMMYFUNCTION("""COMPUTED_VALUE"""),"david.d.evans@pwc.com")</f>
        <v>david.d.evans@pwc.com</v>
      </c>
      <c r="G166" s="3" t="str">
        <f>IFERROR(__xludf.DUMMYFUNCTION("""COMPUTED_VALUE"""),"Health")</f>
        <v>Health</v>
      </c>
      <c r="H166" s="3" t="str">
        <f>IFERROR(__xludf.DUMMYFUNCTION("""COMPUTED_VALUE"""),"Health Services")</f>
        <v>Health Services</v>
      </c>
      <c r="I166" s="3" t="str">
        <f>IFERROR(__xludf.DUMMYFUNCTION("""COMPUTED_VALUE"""),"Unknown")</f>
        <v>Unknown</v>
      </c>
      <c r="J166" s="3" t="str">
        <f>IFERROR(__xludf.DUMMYFUNCTION("""COMPUTED_VALUE"""),"Partner")</f>
        <v>Partner</v>
      </c>
      <c r="K166" s="12">
        <f>IFERROR(__xludf.DUMMYFUNCTION("""COMPUTED_VALUE"""),44704.0)</f>
        <v>44704</v>
      </c>
      <c r="L166" s="3" t="str">
        <f>IFERROR(__xludf.DUMMYFUNCTION("""COMPUTED_VALUE"""),"Milwaukee")</f>
        <v>Milwaukee</v>
      </c>
      <c r="M166" s="3" t="str">
        <f>IFERROR(__xludf.DUMMYFUNCTION("""COMPUTED_VALUE"""),"Unknown")</f>
        <v>Unknown</v>
      </c>
      <c r="N166" s="3" t="str">
        <f>IFERROR(__xludf.DUMMYFUNCTION("""COMPUTED_VALUE"""),"Unknown")</f>
        <v>Unknown</v>
      </c>
      <c r="O166" s="3" t="str">
        <f>IFERROR(__xludf.DUMMYFUNCTION("""COMPUTED_VALUE"""),"Unknown")</f>
        <v>Unknown</v>
      </c>
      <c r="P166" s="3" t="str">
        <f>IFERROR(__xludf.DUMMYFUNCTION("""COMPUTED_VALUE"""),"FY22")</f>
        <v>FY22</v>
      </c>
      <c r="Q166" s="3" t="str">
        <f>IFERROR(__xludf.DUMMYFUNCTION("""COMPUTED_VALUE"""),"Unknown")</f>
        <v>Unknown</v>
      </c>
      <c r="R166" s="3" t="str">
        <f>IFERROR(__xludf.DUMMYFUNCTION("""COMPUTED_VALUE"""),"Unknown")</f>
        <v>Unknown</v>
      </c>
      <c r="S166" s="3"/>
      <c r="T166" s="3" t="str">
        <f>IFERROR(__xludf.DUMMYFUNCTION("""COMPUTED_VALUE"""),"Unknown")</f>
        <v>Unknown</v>
      </c>
      <c r="U166" s="3" t="str">
        <f>IFERROR(__xludf.DUMMYFUNCTION("""COMPUTED_VALUE"""),"Unknown")</f>
        <v>Unknown</v>
      </c>
      <c r="V166" s="3" t="str">
        <f>IFERROR(__xludf.DUMMYFUNCTION("""COMPUTED_VALUE"""),"Unknown")</f>
        <v>Unknown</v>
      </c>
      <c r="W166" s="3" t="str">
        <f>IFERROR(__xludf.DUMMYFUNCTION("""COMPUTED_VALUE"""),"Catalyst")</f>
        <v>Catalyst</v>
      </c>
      <c r="X166" s="3" t="str">
        <f>IFERROR(__xludf.DUMMYFUNCTION("""COMPUTED_VALUE"""),"Unknown")</f>
        <v>Unknown</v>
      </c>
      <c r="Y166" s="3" t="str">
        <f>IFERROR(__xludf.DUMMYFUNCTION("""COMPUTED_VALUE"""),"Unknown")</f>
        <v>Unknown</v>
      </c>
      <c r="Z166" s="3" t="str">
        <f>IFERROR(__xludf.DUMMYFUNCTION("""COMPUTED_VALUE"""),"Unknown")</f>
        <v>Unknown</v>
      </c>
      <c r="AA166" s="3" t="str">
        <f>IFERROR(__xludf.DUMMYFUNCTION("""COMPUTED_VALUE"""),"Unknown")</f>
        <v>Unknown</v>
      </c>
    </row>
    <row r="167">
      <c r="A167" s="11">
        <f>IFERROR(__xludf.DUMMYFUNCTION("""COMPUTED_VALUE"""),1.00584422E8)</f>
        <v>100584422</v>
      </c>
      <c r="B167" s="3" t="str">
        <f>IFERROR(__xludf.DUMMYFUNCTION("""COMPUTED_VALUE"""),"David Ganiear")</f>
        <v>David Ganiear</v>
      </c>
      <c r="C167" s="3" t="str">
        <f>IFERROR(__xludf.DUMMYFUNCTION("""COMPUTED_VALUE"""),"David C Ganiear")</f>
        <v>David C Ganiear</v>
      </c>
      <c r="D167" s="3" t="str">
        <f>IFERROR(__xludf.DUMMYFUNCTION("""COMPUTED_VALUE"""),"Ganiear, David C")</f>
        <v>Ganiear, David C</v>
      </c>
      <c r="E167" s="3" t="str">
        <f>IFERROR(__xludf.DUMMYFUNCTION("""COMPUTED_VALUE"""),"Active")</f>
        <v>Active</v>
      </c>
      <c r="F167" s="3" t="str">
        <f>IFERROR(__xludf.DUMMYFUNCTION("""COMPUTED_VALUE"""),"david.ganiear@pwc.com")</f>
        <v>david.ganiear@pwc.com</v>
      </c>
      <c r="G167" s="3" t="str">
        <f>IFERROR(__xludf.DUMMYFUNCTION("""COMPUTED_VALUE"""),"Customer")</f>
        <v>Customer</v>
      </c>
      <c r="H167" s="3" t="str">
        <f>IFERROR(__xludf.DUMMYFUNCTION("""COMPUTED_VALUE"""),"CM X-Sector")</f>
        <v>CM X-Sector</v>
      </c>
      <c r="I167" s="3" t="str">
        <f>IFERROR(__xludf.DUMMYFUNCTION("""COMPUTED_VALUE"""),"Customer - Pricing &amp; Profitability")</f>
        <v>Customer - Pricing &amp; Profitability</v>
      </c>
      <c r="J167" s="3" t="str">
        <f>IFERROR(__xludf.DUMMYFUNCTION("""COMPUTED_VALUE"""),"Partner")</f>
        <v>Partner</v>
      </c>
      <c r="K167" s="12">
        <f>IFERROR(__xludf.DUMMYFUNCTION("""COMPUTED_VALUE"""),42186.0)</f>
        <v>42186</v>
      </c>
      <c r="L167" s="3" t="str">
        <f>IFERROR(__xludf.DUMMYFUNCTION("""COMPUTED_VALUE"""),"Dallas")</f>
        <v>Dallas</v>
      </c>
      <c r="M167" s="3" t="str">
        <f>IFERROR(__xludf.DUMMYFUNCTION("""COMPUTED_VALUE"""),"Dallas - 2121 North Pearl Street")</f>
        <v>Dallas - 2121 North Pearl Street</v>
      </c>
      <c r="N167" s="3" t="b">
        <f>IFERROR(__xludf.DUMMYFUNCTION("""COMPUTED_VALUE"""),FALSE)</f>
        <v>0</v>
      </c>
      <c r="O167" s="3" t="str">
        <f>IFERROR(__xludf.DUMMYFUNCTION("""COMPUTED_VALUE"""),"george.korizis@pwc.com")</f>
        <v>george.korizis@pwc.com</v>
      </c>
      <c r="P167" s="3" t="str">
        <f>IFERROR(__xludf.DUMMYFUNCTION("""COMPUTED_VALUE"""),"No")</f>
        <v>No</v>
      </c>
      <c r="Q167" s="3" t="b">
        <f>IFERROR(__xludf.DUMMYFUNCTION("""COMPUTED_VALUE"""),FALSE)</f>
        <v>0</v>
      </c>
      <c r="R167" s="3"/>
      <c r="S167" s="3"/>
      <c r="T167" s="3" t="b">
        <f>IFERROR(__xludf.DUMMYFUNCTION("""COMPUTED_VALUE"""),FALSE)</f>
        <v>0</v>
      </c>
      <c r="U167" s="3" t="b">
        <f>IFERROR(__xludf.DUMMYFUNCTION("""COMPUTED_VALUE"""),TRUE)</f>
        <v>1</v>
      </c>
      <c r="V167" s="3" t="b">
        <f>IFERROR(__xludf.DUMMYFUNCTION("""COMPUTED_VALUE"""),FALSE)</f>
        <v>0</v>
      </c>
      <c r="W167" s="3" t="str">
        <f>IFERROR(__xludf.DUMMYFUNCTION("""COMPUTED_VALUE"""),"Delivery")</f>
        <v>Delivery</v>
      </c>
      <c r="X167" s="3"/>
      <c r="Y167" s="3"/>
      <c r="Z167" s="3" t="str">
        <f>IFERROR(__xludf.DUMMYFUNCTION("""COMPUTED_VALUE"""),"Marketing Transformation")</f>
        <v>Marketing Transformation</v>
      </c>
      <c r="AA167" s="3" t="b">
        <f>IFERROR(__xludf.DUMMYFUNCTION("""COMPUTED_VALUE"""),FALSE)</f>
        <v>0</v>
      </c>
    </row>
    <row r="168">
      <c r="A168" s="11">
        <f>IFERROR(__xludf.DUMMYFUNCTION("""COMPUTED_VALUE"""),1.00986592E8)</f>
        <v>100986592</v>
      </c>
      <c r="B168" s="3" t="str">
        <f>IFERROR(__xludf.DUMMYFUNCTION("""COMPUTED_VALUE"""),"David Gunn")</f>
        <v>David Gunn</v>
      </c>
      <c r="C168" s="3" t="str">
        <f>IFERROR(__xludf.DUMMYFUNCTION("""COMPUTED_VALUE"""),"David Joseph Gunn")</f>
        <v>David Joseph Gunn</v>
      </c>
      <c r="D168" s="3" t="str">
        <f>IFERROR(__xludf.DUMMYFUNCTION("""COMPUTED_VALUE"""),"Gunn, David Joseph")</f>
        <v>Gunn, David Joseph</v>
      </c>
      <c r="E168" s="3" t="str">
        <f>IFERROR(__xludf.DUMMYFUNCTION("""COMPUTED_VALUE"""),"Active")</f>
        <v>Active</v>
      </c>
      <c r="F168" s="3" t="str">
        <f>IFERROR(__xludf.DUMMYFUNCTION("""COMPUTED_VALUE"""),"david.gunn@pwc.com")</f>
        <v>david.gunn@pwc.com</v>
      </c>
      <c r="G168" s="3" t="str">
        <f>IFERROR(__xludf.DUMMYFUNCTION("""COMPUTED_VALUE"""),"Workforce")</f>
        <v>Workforce</v>
      </c>
      <c r="H168" s="3" t="str">
        <f>IFERROR(__xludf.DUMMYFUNCTION("""COMPUTED_VALUE"""),"TMT X-Sector")</f>
        <v>TMT X-Sector</v>
      </c>
      <c r="I168" s="3" t="str">
        <f>IFERROR(__xludf.DUMMYFUNCTION("""COMPUTED_VALUE"""),"Workforce - Talent, Change &amp; Behaviors")</f>
        <v>Workforce - Talent, Change &amp; Behaviors</v>
      </c>
      <c r="J168" s="3" t="str">
        <f>IFERROR(__xludf.DUMMYFUNCTION("""COMPUTED_VALUE"""),"Partner")</f>
        <v>Partner</v>
      </c>
      <c r="K168" s="12">
        <f>IFERROR(__xludf.DUMMYFUNCTION("""COMPUTED_VALUE"""),43906.0)</f>
        <v>43906</v>
      </c>
      <c r="L168" s="3" t="str">
        <f>IFERROR(__xludf.DUMMYFUNCTION("""COMPUTED_VALUE"""),"Los Angeles")</f>
        <v>Los Angeles</v>
      </c>
      <c r="M168" s="3" t="str">
        <f>IFERROR(__xludf.DUMMYFUNCTION("""COMPUTED_VALUE"""),"Los Angeles - 601 South Figueroa Street")</f>
        <v>Los Angeles - 601 South Figueroa Street</v>
      </c>
      <c r="N168" s="3" t="b">
        <f>IFERROR(__xludf.DUMMYFUNCTION("""COMPUTED_VALUE"""),FALSE)</f>
        <v>0</v>
      </c>
      <c r="O168" s="3" t="str">
        <f>IFERROR(__xludf.DUMMYFUNCTION("""COMPUTED_VALUE"""),"craig.odonnell@pwc.com")</f>
        <v>craig.odonnell@pwc.com</v>
      </c>
      <c r="P168" s="3" t="str">
        <f>IFERROR(__xludf.DUMMYFUNCTION("""COMPUTED_VALUE"""),"No")</f>
        <v>No</v>
      </c>
      <c r="Q168" s="3" t="b">
        <f>IFERROR(__xludf.DUMMYFUNCTION("""COMPUTED_VALUE"""),FALSE)</f>
        <v>0</v>
      </c>
      <c r="R168" s="3"/>
      <c r="S168" s="3"/>
      <c r="T168" s="3" t="b">
        <f>IFERROR(__xludf.DUMMYFUNCTION("""COMPUTED_VALUE"""),FALSE)</f>
        <v>0</v>
      </c>
      <c r="U168" s="3" t="b">
        <f>IFERROR(__xludf.DUMMYFUNCTION("""COMPUTED_VALUE"""),FALSE)</f>
        <v>0</v>
      </c>
      <c r="V168" s="3" t="b">
        <f>IFERROR(__xludf.DUMMYFUNCTION("""COMPUTED_VALUE"""),FALSE)</f>
        <v>0</v>
      </c>
      <c r="W168" s="3" t="str">
        <f>IFERROR(__xludf.DUMMYFUNCTION("""COMPUTED_VALUE"""),"#N/A")</f>
        <v>#N/A</v>
      </c>
      <c r="X168" s="3" t="str">
        <f>IFERROR(__xludf.DUMMYFUNCTION("""COMPUTED_VALUE"""),"#N/A")</f>
        <v>#N/A</v>
      </c>
      <c r="Y168" s="3" t="str">
        <f>IFERROR(__xludf.DUMMYFUNCTION("""COMPUTED_VALUE"""),"#N/A")</f>
        <v>#N/A</v>
      </c>
      <c r="Z168" s="3" t="str">
        <f>IFERROR(__xludf.DUMMYFUNCTION("""COMPUTED_VALUE"""),"Unknown")</f>
        <v>Unknown</v>
      </c>
      <c r="AA168" s="3" t="b">
        <f>IFERROR(__xludf.DUMMYFUNCTION("""COMPUTED_VALUE"""),FALSE)</f>
        <v>0</v>
      </c>
    </row>
    <row r="169">
      <c r="A169" s="11">
        <f>IFERROR(__xludf.DUMMYFUNCTION("""COMPUTED_VALUE"""),1.00660061E8)</f>
        <v>100660061</v>
      </c>
      <c r="B169" s="3" t="str">
        <f>IFERROR(__xludf.DUMMYFUNCTION("""COMPUTED_VALUE"""),"David Krovitz")</f>
        <v>David Krovitz</v>
      </c>
      <c r="C169" s="3" t="str">
        <f>IFERROR(__xludf.DUMMYFUNCTION("""COMPUTED_VALUE"""),"David  Krovitz")</f>
        <v>David  Krovitz</v>
      </c>
      <c r="D169" s="3" t="str">
        <f>IFERROR(__xludf.DUMMYFUNCTION("""COMPUTED_VALUE"""),"Krovitz, David")</f>
        <v>Krovitz, David</v>
      </c>
      <c r="E169" s="3" t="str">
        <f>IFERROR(__xludf.DUMMYFUNCTION("""COMPUTED_VALUE"""),"Active")</f>
        <v>Active</v>
      </c>
      <c r="F169" s="3" t="str">
        <f>IFERROR(__xludf.DUMMYFUNCTION("""COMPUTED_VALUE"""),"david.krovitz@pwc.com")</f>
        <v>david.krovitz@pwc.com</v>
      </c>
      <c r="G169" s="3" t="str">
        <f>IFERROR(__xludf.DUMMYFUNCTION("""COMPUTED_VALUE"""),"Customer")</f>
        <v>Customer</v>
      </c>
      <c r="H169" s="3" t="str">
        <f>IFERROR(__xludf.DUMMYFUNCTION("""COMPUTED_VALUE"""),"Power and Utilities")</f>
        <v>Power and Utilities</v>
      </c>
      <c r="I169" s="3" t="str">
        <f>IFERROR(__xludf.DUMMYFUNCTION("""COMPUTED_VALUE"""),"Customer - Customer Strategy &amp; Experience")</f>
        <v>Customer - Customer Strategy &amp; Experience</v>
      </c>
      <c r="J169" s="3" t="str">
        <f>IFERROR(__xludf.DUMMYFUNCTION("""COMPUTED_VALUE"""),"Managing Director")</f>
        <v>Managing Director</v>
      </c>
      <c r="K169" s="12">
        <f>IFERROR(__xludf.DUMMYFUNCTION("""COMPUTED_VALUE"""),42281.0)</f>
        <v>42281</v>
      </c>
      <c r="L169" s="3" t="str">
        <f>IFERROR(__xludf.DUMMYFUNCTION("""COMPUTED_VALUE"""),"Los Angeles")</f>
        <v>Los Angeles</v>
      </c>
      <c r="M169" s="3" t="str">
        <f>IFERROR(__xludf.DUMMYFUNCTION("""COMPUTED_VALUE"""),"Los Angeles - 601 South Figueroa Street")</f>
        <v>Los Angeles - 601 South Figueroa Street</v>
      </c>
      <c r="N169" s="3" t="b">
        <f>IFERROR(__xludf.DUMMYFUNCTION("""COMPUTED_VALUE"""),FALSE)</f>
        <v>0</v>
      </c>
      <c r="O169" s="3" t="str">
        <f>IFERROR(__xludf.DUMMYFUNCTION("""COMPUTED_VALUE"""),"mark.beekman@pwc.com")</f>
        <v>mark.beekman@pwc.com</v>
      </c>
      <c r="P169" s="3" t="str">
        <f>IFERROR(__xludf.DUMMYFUNCTION("""COMPUTED_VALUE"""),"No")</f>
        <v>No</v>
      </c>
      <c r="Q169" s="3" t="b">
        <f>IFERROR(__xludf.DUMMYFUNCTION("""COMPUTED_VALUE"""),FALSE)</f>
        <v>0</v>
      </c>
      <c r="R169" s="3"/>
      <c r="S169" s="3"/>
      <c r="T169" s="3" t="b">
        <f>IFERROR(__xludf.DUMMYFUNCTION("""COMPUTED_VALUE"""),FALSE)</f>
        <v>0</v>
      </c>
      <c r="U169" s="3" t="b">
        <f>IFERROR(__xludf.DUMMYFUNCTION("""COMPUTED_VALUE"""),TRUE)</f>
        <v>1</v>
      </c>
      <c r="V169" s="3" t="b">
        <f>IFERROR(__xludf.DUMMYFUNCTION("""COMPUTED_VALUE"""),FALSE)</f>
        <v>0</v>
      </c>
      <c r="W169" s="3" t="str">
        <f>IFERROR(__xludf.DUMMYFUNCTION("""COMPUTED_VALUE"""),"Delivery")</f>
        <v>Delivery</v>
      </c>
      <c r="X169" s="3"/>
      <c r="Y169" s="3"/>
      <c r="Z169" s="3" t="str">
        <f>IFERROR(__xludf.DUMMYFUNCTION("""COMPUTED_VALUE"""),"Commercial / CRM Transformation - CM &amp; IPS &amp; HIA")</f>
        <v>Commercial / CRM Transformation - CM &amp; IPS &amp; HIA</v>
      </c>
      <c r="AA169" s="3" t="b">
        <f>IFERROR(__xludf.DUMMYFUNCTION("""COMPUTED_VALUE"""),FALSE)</f>
        <v>0</v>
      </c>
    </row>
    <row r="170">
      <c r="A170" s="11">
        <f>IFERROR(__xludf.DUMMYFUNCTION("""COMPUTED_VALUE"""),1.00608136E8)</f>
        <v>100608136</v>
      </c>
      <c r="B170" s="3" t="str">
        <f>IFERROR(__xludf.DUMMYFUNCTION("""COMPUTED_VALUE"""),"David Lebolt")</f>
        <v>David Lebolt</v>
      </c>
      <c r="C170" s="3" t="str">
        <f>IFERROR(__xludf.DUMMYFUNCTION("""COMPUTED_VALUE"""),"David S Lebolt")</f>
        <v>David S Lebolt</v>
      </c>
      <c r="D170" s="3" t="str">
        <f>IFERROR(__xludf.DUMMYFUNCTION("""COMPUTED_VALUE"""),"Lebolt, David S")</f>
        <v>Lebolt, David S</v>
      </c>
      <c r="E170" s="3" t="str">
        <f>IFERROR(__xludf.DUMMYFUNCTION("""COMPUTED_VALUE"""),"Active")</f>
        <v>Active</v>
      </c>
      <c r="F170" s="3" t="str">
        <f>IFERROR(__xludf.DUMMYFUNCTION("""COMPUTED_VALUE"""),"david.s.lebolt@pwc.com")</f>
        <v>david.s.lebolt@pwc.com</v>
      </c>
      <c r="G170" s="3" t="str">
        <f>IFERROR(__xludf.DUMMYFUNCTION("""COMPUTED_VALUE"""),"Workforce")</f>
        <v>Workforce</v>
      </c>
      <c r="H170" s="3" t="str">
        <f>IFERROR(__xludf.DUMMYFUNCTION("""COMPUTED_VALUE"""),"HI X-Sector")</f>
        <v>HI X-Sector</v>
      </c>
      <c r="I170" s="3" t="str">
        <f>IFERROR(__xludf.DUMMYFUNCTION("""COMPUTED_VALUE"""),"Workforce - Rewards &amp; Well Being")</f>
        <v>Workforce - Rewards &amp; Well Being</v>
      </c>
      <c r="J170" s="3" t="str">
        <f>IFERROR(__xludf.DUMMYFUNCTION("""COMPUTED_VALUE"""),"Partner")</f>
        <v>Partner</v>
      </c>
      <c r="K170" s="12">
        <f>IFERROR(__xludf.DUMMYFUNCTION("""COMPUTED_VALUE"""),41526.0)</f>
        <v>41526</v>
      </c>
      <c r="L170" s="3" t="str">
        <f>IFERROR(__xludf.DUMMYFUNCTION("""COMPUTED_VALUE"""),"New York")</f>
        <v>New York</v>
      </c>
      <c r="M170" s="3" t="str">
        <f>IFERROR(__xludf.DUMMYFUNCTION("""COMPUTED_VALUE"""),"New York - 300 Madison Avenue")</f>
        <v>New York - 300 Madison Avenue</v>
      </c>
      <c r="N170" s="3" t="b">
        <f>IFERROR(__xludf.DUMMYFUNCTION("""COMPUTED_VALUE"""),FALSE)</f>
        <v>0</v>
      </c>
      <c r="O170" s="3" t="str">
        <f>IFERROR(__xludf.DUMMYFUNCTION("""COMPUTED_VALUE"""),"craig.odonnell@pwc.com")</f>
        <v>craig.odonnell@pwc.com</v>
      </c>
      <c r="P170" s="3" t="str">
        <f>IFERROR(__xludf.DUMMYFUNCTION("""COMPUTED_VALUE"""),"No")</f>
        <v>No</v>
      </c>
      <c r="Q170" s="3" t="b">
        <f>IFERROR(__xludf.DUMMYFUNCTION("""COMPUTED_VALUE"""),FALSE)</f>
        <v>0</v>
      </c>
      <c r="R170" s="3"/>
      <c r="S170" s="3"/>
      <c r="T170" s="3" t="b">
        <f>IFERROR(__xludf.DUMMYFUNCTION("""COMPUTED_VALUE"""),FALSE)</f>
        <v>0</v>
      </c>
      <c r="U170" s="3" t="b">
        <f>IFERROR(__xludf.DUMMYFUNCTION("""COMPUTED_VALUE"""),FALSE)</f>
        <v>0</v>
      </c>
      <c r="V170" s="3" t="b">
        <f>IFERROR(__xludf.DUMMYFUNCTION("""COMPUTED_VALUE"""),FALSE)</f>
        <v>0</v>
      </c>
      <c r="W170" s="3" t="str">
        <f>IFERROR(__xludf.DUMMYFUNCTION("""COMPUTED_VALUE"""),"#N/A")</f>
        <v>#N/A</v>
      </c>
      <c r="X170" s="3" t="str">
        <f>IFERROR(__xludf.DUMMYFUNCTION("""COMPUTED_VALUE"""),"#N/A")</f>
        <v>#N/A</v>
      </c>
      <c r="Y170" s="3" t="str">
        <f>IFERROR(__xludf.DUMMYFUNCTION("""COMPUTED_VALUE"""),"#N/A")</f>
        <v>#N/A</v>
      </c>
      <c r="Z170" s="3" t="str">
        <f>IFERROR(__xludf.DUMMYFUNCTION("""COMPUTED_VALUE"""),"Unknown")</f>
        <v>Unknown</v>
      </c>
      <c r="AA170" s="3" t="b">
        <f>IFERROR(__xludf.DUMMYFUNCTION("""COMPUTED_VALUE"""),FALSE)</f>
        <v>0</v>
      </c>
    </row>
    <row r="171">
      <c r="A171" s="11">
        <f>IFERROR(__xludf.DUMMYFUNCTION("""COMPUTED_VALUE"""),1.00623421E8)</f>
        <v>100623421</v>
      </c>
      <c r="B171" s="3" t="str">
        <f>IFERROR(__xludf.DUMMYFUNCTION("""COMPUTED_VALUE"""),"David Moss")</f>
        <v>David Moss</v>
      </c>
      <c r="C171" s="3" t="str">
        <f>IFERROR(__xludf.DUMMYFUNCTION("""COMPUTED_VALUE"""),"David  Moss")</f>
        <v>David  Moss</v>
      </c>
      <c r="D171" s="3" t="str">
        <f>IFERROR(__xludf.DUMMYFUNCTION("""COMPUTED_VALUE"""),"Moss, David")</f>
        <v>Moss, David</v>
      </c>
      <c r="E171" s="3" t="str">
        <f>IFERROR(__xludf.DUMMYFUNCTION("""COMPUTED_VALUE"""),"Active")</f>
        <v>Active</v>
      </c>
      <c r="F171" s="3" t="str">
        <f>IFERROR(__xludf.DUMMYFUNCTION("""COMPUTED_VALUE"""),"david.moss@pwc.com")</f>
        <v>david.moss@pwc.com</v>
      </c>
      <c r="G171" s="3" t="str">
        <f>IFERROR(__xludf.DUMMYFUNCTION("""COMPUTED_VALUE"""),"Customer")</f>
        <v>Customer</v>
      </c>
      <c r="H171" s="3" t="str">
        <f>IFERROR(__xludf.DUMMYFUNCTION("""COMPUTED_VALUE"""),"CM X-Sector")</f>
        <v>CM X-Sector</v>
      </c>
      <c r="I171" s="3" t="str">
        <f>IFERROR(__xludf.DUMMYFUNCTION("""COMPUTED_VALUE"""),"Customer - Pricing &amp; Profitability")</f>
        <v>Customer - Pricing &amp; Profitability</v>
      </c>
      <c r="J171" s="3" t="str">
        <f>IFERROR(__xludf.DUMMYFUNCTION("""COMPUTED_VALUE"""),"Partner")</f>
        <v>Partner</v>
      </c>
      <c r="K171" s="12">
        <f>IFERROR(__xludf.DUMMYFUNCTION("""COMPUTED_VALUE"""),38362.0)</f>
        <v>38362</v>
      </c>
      <c r="L171" s="3" t="str">
        <f>IFERROR(__xludf.DUMMYFUNCTION("""COMPUTED_VALUE"""),"Atlanta")</f>
        <v>Atlanta</v>
      </c>
      <c r="M171" s="3" t="str">
        <f>IFERROR(__xludf.DUMMYFUNCTION("""COMPUTED_VALUE"""),"Atlanta - 1075 Peachtree Street NE")</f>
        <v>Atlanta - 1075 Peachtree Street NE</v>
      </c>
      <c r="N171" s="3" t="b">
        <f>IFERROR(__xludf.DUMMYFUNCTION("""COMPUTED_VALUE"""),TRUE)</f>
        <v>1</v>
      </c>
      <c r="O171" s="3" t="str">
        <f>IFERROR(__xludf.DUMMYFUNCTION("""COMPUTED_VALUE"""),"george.korizis@pwc.com")</f>
        <v>george.korizis@pwc.com</v>
      </c>
      <c r="P171" s="3" t="str">
        <f>IFERROR(__xludf.DUMMYFUNCTION("""COMPUTED_VALUE"""),"No")</f>
        <v>No</v>
      </c>
      <c r="Q171" s="3" t="b">
        <f>IFERROR(__xludf.DUMMYFUNCTION("""COMPUTED_VALUE"""),FALSE)</f>
        <v>0</v>
      </c>
      <c r="R171" s="3"/>
      <c r="S171" s="3"/>
      <c r="T171" s="3" t="b">
        <f>IFERROR(__xludf.DUMMYFUNCTION("""COMPUTED_VALUE"""),FALSE)</f>
        <v>0</v>
      </c>
      <c r="U171" s="3" t="b">
        <f>IFERROR(__xludf.DUMMYFUNCTION("""COMPUTED_VALUE"""),TRUE)</f>
        <v>1</v>
      </c>
      <c r="V171" s="3" t="b">
        <f>IFERROR(__xludf.DUMMYFUNCTION("""COMPUTED_VALUE"""),FALSE)</f>
        <v>0</v>
      </c>
      <c r="W171" s="3" t="str">
        <f>IFERROR(__xludf.DUMMYFUNCTION("""COMPUTED_VALUE"""),"Delivery")</f>
        <v>Delivery</v>
      </c>
      <c r="X171" s="3"/>
      <c r="Y171" s="3"/>
      <c r="Z171" s="3" t="str">
        <f>IFERROR(__xludf.DUMMYFUNCTION("""COMPUTED_VALUE"""),"Marketing Transformation")</f>
        <v>Marketing Transformation</v>
      </c>
      <c r="AA171" s="3" t="b">
        <f>IFERROR(__xludf.DUMMYFUNCTION("""COMPUTED_VALUE"""),FALSE)</f>
        <v>0</v>
      </c>
    </row>
    <row r="172">
      <c r="A172" s="11">
        <f>IFERROR(__xludf.DUMMYFUNCTION("""COMPUTED_VALUE"""),1.01215106E8)</f>
        <v>101215106</v>
      </c>
      <c r="B172" s="3" t="str">
        <f>IFERROR(__xludf.DUMMYFUNCTION("""COMPUTED_VALUE"""),"David Rosselli")</f>
        <v>David Rosselli</v>
      </c>
      <c r="C172" s="3" t="str">
        <f>IFERROR(__xludf.DUMMYFUNCTION("""COMPUTED_VALUE"""),"David  Rosselli")</f>
        <v>David  Rosselli</v>
      </c>
      <c r="D172" s="3" t="str">
        <f>IFERROR(__xludf.DUMMYFUNCTION("""COMPUTED_VALUE"""),"Rosselli, David")</f>
        <v>Rosselli, David</v>
      </c>
      <c r="E172" s="3" t="str">
        <f>IFERROR(__xludf.DUMMYFUNCTION("""COMPUTED_VALUE"""),"Active")</f>
        <v>Active</v>
      </c>
      <c r="F172" s="3" t="str">
        <f>IFERROR(__xludf.DUMMYFUNCTION("""COMPUTED_VALUE"""),"david.rosselli@pwc.com")</f>
        <v>david.rosselli@pwc.com</v>
      </c>
      <c r="G172" s="3" t="str">
        <f>IFERROR(__xludf.DUMMYFUNCTION("""COMPUTED_VALUE"""),"Ops")</f>
        <v>Ops</v>
      </c>
      <c r="H172" s="3" t="str">
        <f>IFERROR(__xludf.DUMMYFUNCTION("""COMPUTED_VALUE"""),"IMA X-Sector")</f>
        <v>IMA X-Sector</v>
      </c>
      <c r="I172" s="3" t="str">
        <f>IFERROR(__xludf.DUMMYFUNCTION("""COMPUTED_VALUE"""),"Ops - Sourcing &amp; Procurement (S&amp;P)")</f>
        <v>Ops - Sourcing &amp; Procurement (S&amp;P)</v>
      </c>
      <c r="J172" s="3" t="str">
        <f>IFERROR(__xludf.DUMMYFUNCTION("""COMPUTED_VALUE"""),"Partner")</f>
        <v>Partner</v>
      </c>
      <c r="K172" s="12">
        <f>IFERROR(__xludf.DUMMYFUNCTION("""COMPUTED_VALUE"""),44627.0)</f>
        <v>44627</v>
      </c>
      <c r="L172" s="3" t="str">
        <f>IFERROR(__xludf.DUMMYFUNCTION("""COMPUTED_VALUE"""),"Dallas")</f>
        <v>Dallas</v>
      </c>
      <c r="M172" s="3" t="str">
        <f>IFERROR(__xludf.DUMMYFUNCTION("""COMPUTED_VALUE"""),"Dallas - 2121 North Pearl Street")</f>
        <v>Dallas - 2121 North Pearl Street</v>
      </c>
      <c r="N172" s="3" t="b">
        <f>IFERROR(__xludf.DUMMYFUNCTION("""COMPUTED_VALUE"""),FALSE)</f>
        <v>0</v>
      </c>
      <c r="O172" s="3" t="str">
        <f>IFERROR(__xludf.DUMMYFUNCTION("""COMPUTED_VALUE"""),"matthew.r.comte@pwc.com")</f>
        <v>matthew.r.comte@pwc.com</v>
      </c>
      <c r="P172" s="3" t="str">
        <f>IFERROR(__xludf.DUMMYFUNCTION("""COMPUTED_VALUE"""),"FY22")</f>
        <v>FY22</v>
      </c>
      <c r="Q172" s="3" t="b">
        <f>IFERROR(__xludf.DUMMYFUNCTION("""COMPUTED_VALUE"""),FALSE)</f>
        <v>0</v>
      </c>
      <c r="R172" s="3"/>
      <c r="S172" s="3"/>
      <c r="T172" s="3" t="b">
        <f>IFERROR(__xludf.DUMMYFUNCTION("""COMPUTED_VALUE"""),FALSE)</f>
        <v>0</v>
      </c>
      <c r="U172" s="3" t="b">
        <f>IFERROR(__xludf.DUMMYFUNCTION("""COMPUTED_VALUE"""),TRUE)</f>
        <v>1</v>
      </c>
      <c r="V172" s="3" t="b">
        <f>IFERROR(__xludf.DUMMYFUNCTION("""COMPUTED_VALUE"""),FALSE)</f>
        <v>0</v>
      </c>
      <c r="W172" s="3" t="str">
        <f>IFERROR(__xludf.DUMMYFUNCTION("""COMPUTED_VALUE"""),"Catalyst")</f>
        <v>Catalyst</v>
      </c>
      <c r="X172" s="3"/>
      <c r="Y172" s="3" t="str">
        <f>IFERROR(__xludf.DUMMYFUNCTION("""COMPUTED_VALUE"""),"FY22")</f>
        <v>FY22</v>
      </c>
      <c r="Z172" s="3" t="str">
        <f>IFERROR(__xludf.DUMMYFUNCTION("""COMPUTED_VALUE"""),"")</f>
        <v/>
      </c>
      <c r="AA172" s="3" t="b">
        <f>IFERROR(__xludf.DUMMYFUNCTION("""COMPUTED_VALUE"""),FALSE)</f>
        <v>0</v>
      </c>
    </row>
    <row r="173">
      <c r="A173" s="11">
        <f>IFERROR(__xludf.DUMMYFUNCTION("""COMPUTED_VALUE"""),1.00623914E8)</f>
        <v>100623914</v>
      </c>
      <c r="B173" s="3" t="str">
        <f>IFERROR(__xludf.DUMMYFUNCTION("""COMPUTED_VALUE"""),"David Shebay")</f>
        <v>David Shebay</v>
      </c>
      <c r="C173" s="3" t="str">
        <f>IFERROR(__xludf.DUMMYFUNCTION("""COMPUTED_VALUE"""),"David  Shebay")</f>
        <v>David  Shebay</v>
      </c>
      <c r="D173" s="3" t="str">
        <f>IFERROR(__xludf.DUMMYFUNCTION("""COMPUTED_VALUE"""),"Shebay, David")</f>
        <v>Shebay, David</v>
      </c>
      <c r="E173" s="3" t="str">
        <f>IFERROR(__xludf.DUMMYFUNCTION("""COMPUTED_VALUE"""),"Active")</f>
        <v>Active</v>
      </c>
      <c r="F173" s="3" t="str">
        <f>IFERROR(__xludf.DUMMYFUNCTION("""COMPUTED_VALUE"""),"david.m.shebay@pwc.com")</f>
        <v>david.m.shebay@pwc.com</v>
      </c>
      <c r="G173" s="3" t="str">
        <f>IFERROR(__xludf.DUMMYFUNCTION("""COMPUTED_VALUE"""),"Finance")</f>
        <v>Finance</v>
      </c>
      <c r="H173" s="3" t="str">
        <f>IFERROR(__xludf.DUMMYFUNCTION("""COMPUTED_VALUE"""),"Energy")</f>
        <v>Energy</v>
      </c>
      <c r="I173" s="3" t="str">
        <f>IFERROR(__xludf.DUMMYFUNCTION("""COMPUTED_VALUE"""),"Finance - Financial Operations")</f>
        <v>Finance - Financial Operations</v>
      </c>
      <c r="J173" s="3" t="str">
        <f>IFERROR(__xludf.DUMMYFUNCTION("""COMPUTED_VALUE"""),"Partner")</f>
        <v>Partner</v>
      </c>
      <c r="K173" s="12">
        <f>IFERROR(__xludf.DUMMYFUNCTION("""COMPUTED_VALUE"""),38907.0)</f>
        <v>38907</v>
      </c>
      <c r="L173" s="3" t="str">
        <f>IFERROR(__xludf.DUMMYFUNCTION("""COMPUTED_VALUE"""),"Houston")</f>
        <v>Houston</v>
      </c>
      <c r="M173" s="3" t="str">
        <f>IFERROR(__xludf.DUMMYFUNCTION("""COMPUTED_VALUE"""),"Houston - 1000 Louisiana Street")</f>
        <v>Houston - 1000 Louisiana Street</v>
      </c>
      <c r="N173" s="3" t="b">
        <f>IFERROR(__xludf.DUMMYFUNCTION("""COMPUTED_VALUE"""),FALSE)</f>
        <v>0</v>
      </c>
      <c r="O173" s="3" t="str">
        <f>IFERROR(__xludf.DUMMYFUNCTION("""COMPUTED_VALUE"""),"kurtis.babczenko@pwc.com")</f>
        <v>kurtis.babczenko@pwc.com</v>
      </c>
      <c r="P173" s="3" t="str">
        <f>IFERROR(__xludf.DUMMYFUNCTION("""COMPUTED_VALUE"""),"No")</f>
        <v>No</v>
      </c>
      <c r="Q173" s="3" t="b">
        <f>IFERROR(__xludf.DUMMYFUNCTION("""COMPUTED_VALUE"""),FALSE)</f>
        <v>0</v>
      </c>
      <c r="R173" s="3"/>
      <c r="S173" s="3"/>
      <c r="T173" s="3" t="b">
        <f>IFERROR(__xludf.DUMMYFUNCTION("""COMPUTED_VALUE"""),FALSE)</f>
        <v>0</v>
      </c>
      <c r="U173" s="3" t="b">
        <f>IFERROR(__xludf.DUMMYFUNCTION("""COMPUTED_VALUE"""),TRUE)</f>
        <v>1</v>
      </c>
      <c r="V173" s="3" t="b">
        <f>IFERROR(__xludf.DUMMYFUNCTION("""COMPUTED_VALUE"""),FALSE)</f>
        <v>0</v>
      </c>
      <c r="W173" s="3" t="str">
        <f>IFERROR(__xludf.DUMMYFUNCTION("""COMPUTED_VALUE"""),"Delivery")</f>
        <v>Delivery</v>
      </c>
      <c r="X173" s="3"/>
      <c r="Y173" s="3"/>
      <c r="Z173" s="3" t="str">
        <f>IFERROR(__xludf.DUMMYFUNCTION("""COMPUTED_VALUE"""),"Finance Transformation IPS - EUM / PU")</f>
        <v>Finance Transformation IPS - EUM / PU</v>
      </c>
      <c r="AA173" s="3" t="b">
        <f>IFERROR(__xludf.DUMMYFUNCTION("""COMPUTED_VALUE"""),FALSE)</f>
        <v>0</v>
      </c>
    </row>
    <row r="174">
      <c r="A174" s="11">
        <f>IFERROR(__xludf.DUMMYFUNCTION("""COMPUTED_VALUE"""),1.00647262E8)</f>
        <v>100647262</v>
      </c>
      <c r="B174" s="3" t="str">
        <f>IFERROR(__xludf.DUMMYFUNCTION("""COMPUTED_VALUE"""),"David Sisko")</f>
        <v>David Sisko</v>
      </c>
      <c r="C174" s="3" t="str">
        <f>IFERROR(__xludf.DUMMYFUNCTION("""COMPUTED_VALUE"""),"David E Sisko")</f>
        <v>David E Sisko</v>
      </c>
      <c r="D174" s="3" t="str">
        <f>IFERROR(__xludf.DUMMYFUNCTION("""COMPUTED_VALUE"""),"Sisko, David E")</f>
        <v>Sisko, David E</v>
      </c>
      <c r="E174" s="3" t="str">
        <f>IFERROR(__xludf.DUMMYFUNCTION("""COMPUTED_VALUE"""),"Active")</f>
        <v>Active</v>
      </c>
      <c r="F174" s="3" t="str">
        <f>IFERROR(__xludf.DUMMYFUNCTION("""COMPUTED_VALUE"""),"david.sisko@pwc.com")</f>
        <v>david.sisko@pwc.com</v>
      </c>
      <c r="G174" s="3" t="str">
        <f>IFERROR(__xludf.DUMMYFUNCTION("""COMPUTED_VALUE"""),"FS")</f>
        <v>FS</v>
      </c>
      <c r="H174" s="3" t="str">
        <f>IFERROR(__xludf.DUMMYFUNCTION("""COMPUTED_VALUE"""),"Banking and Capital Markets")</f>
        <v>Banking and Capital Markets</v>
      </c>
      <c r="I174" s="3" t="str">
        <f>IFERROR(__xludf.DUMMYFUNCTION("""COMPUTED_VALUE"""),"FS - Banking and Capital Markets")</f>
        <v>FS - Banking and Capital Markets</v>
      </c>
      <c r="J174" s="3" t="str">
        <f>IFERROR(__xludf.DUMMYFUNCTION("""COMPUTED_VALUE"""),"Partner")</f>
        <v>Partner</v>
      </c>
      <c r="K174" s="12">
        <f>IFERROR(__xludf.DUMMYFUNCTION("""COMPUTED_VALUE"""),40462.0)</f>
        <v>40462</v>
      </c>
      <c r="L174" s="3" t="str">
        <f>IFERROR(__xludf.DUMMYFUNCTION("""COMPUTED_VALUE"""),"Charlotte")</f>
        <v>Charlotte</v>
      </c>
      <c r="M174" s="3" t="str">
        <f>IFERROR(__xludf.DUMMYFUNCTION("""COMPUTED_VALUE"""),"Charlotte - 214 North Tryon Street")</f>
        <v>Charlotte - 214 North Tryon Street</v>
      </c>
      <c r="N174" s="3" t="b">
        <f>IFERROR(__xludf.DUMMYFUNCTION("""COMPUTED_VALUE"""),TRUE)</f>
        <v>1</v>
      </c>
      <c r="O174" s="3" t="str">
        <f>IFERROR(__xludf.DUMMYFUNCTION("""COMPUTED_VALUE"""),"alison.hoover@pwc.com")</f>
        <v>alison.hoover@pwc.com</v>
      </c>
      <c r="P174" s="3" t="str">
        <f>IFERROR(__xludf.DUMMYFUNCTION("""COMPUTED_VALUE"""),"No")</f>
        <v>No</v>
      </c>
      <c r="Q174" s="3" t="b">
        <f>IFERROR(__xludf.DUMMYFUNCTION("""COMPUTED_VALUE"""),FALSE)</f>
        <v>0</v>
      </c>
      <c r="R174" s="3"/>
      <c r="S174" s="3"/>
      <c r="T174" s="3" t="b">
        <f>IFERROR(__xludf.DUMMYFUNCTION("""COMPUTED_VALUE"""),FALSE)</f>
        <v>0</v>
      </c>
      <c r="U174" s="3" t="b">
        <f>IFERROR(__xludf.DUMMYFUNCTION("""COMPUTED_VALUE"""),TRUE)</f>
        <v>1</v>
      </c>
      <c r="V174" s="3" t="b">
        <f>IFERROR(__xludf.DUMMYFUNCTION("""COMPUTED_VALUE"""),FALSE)</f>
        <v>0</v>
      </c>
      <c r="W174" s="3" t="str">
        <f>IFERROR(__xludf.DUMMYFUNCTION("""COMPUTED_VALUE"""),"Delivery")</f>
        <v>Delivery</v>
      </c>
      <c r="X174" s="3" t="str">
        <f>IFERROR(__xludf.DUMMYFUNCTION("""COMPUTED_VALUE"""),"Investment")</f>
        <v>Investment</v>
      </c>
      <c r="Y174" s="3"/>
      <c r="Z174" s="3" t="str">
        <f>IFERROR(__xludf.DUMMYFUNCTION("""COMPUTED_VALUE"""),"Banking Transformation")</f>
        <v>Banking Transformation</v>
      </c>
      <c r="AA174" s="3" t="b">
        <f>IFERROR(__xludf.DUMMYFUNCTION("""COMPUTED_VALUE"""),FALSE)</f>
        <v>0</v>
      </c>
    </row>
    <row r="175">
      <c r="A175" s="11">
        <f>IFERROR(__xludf.DUMMYFUNCTION("""COMPUTED_VALUE"""),1.00652798E8)</f>
        <v>100652798</v>
      </c>
      <c r="B175" s="3" t="str">
        <f>IFERROR(__xludf.DUMMYFUNCTION("""COMPUTED_VALUE"""),"Davin MacKenzie")</f>
        <v>Davin MacKenzie</v>
      </c>
      <c r="C175" s="3" t="str">
        <f>IFERROR(__xludf.DUMMYFUNCTION("""COMPUTED_VALUE"""),"Davin  MacKenzie")</f>
        <v>Davin  MacKenzie</v>
      </c>
      <c r="D175" s="3" t="str">
        <f>IFERROR(__xludf.DUMMYFUNCTION("""COMPUTED_VALUE"""),"MacKenzie, Davin")</f>
        <v>MacKenzie, Davin</v>
      </c>
      <c r="E175" s="3" t="str">
        <f>IFERROR(__xludf.DUMMYFUNCTION("""COMPUTED_VALUE"""),"Active")</f>
        <v>Active</v>
      </c>
      <c r="F175" s="3" t="str">
        <f>IFERROR(__xludf.DUMMYFUNCTION("""COMPUTED_VALUE"""),"davin.mackenzie@pwc.com")</f>
        <v>davin.mackenzie@pwc.com</v>
      </c>
      <c r="G175" s="3" t="str">
        <f>IFERROR(__xludf.DUMMYFUNCTION("""COMPUTED_VALUE"""),"Workforce")</f>
        <v>Workforce</v>
      </c>
      <c r="H175" s="3" t="str">
        <f>IFERROR(__xludf.DUMMYFUNCTION("""COMPUTED_VALUE"""),"IMA X-Sector")</f>
        <v>IMA X-Sector</v>
      </c>
      <c r="I175" s="3" t="str">
        <f>IFERROR(__xludf.DUMMYFUNCTION("""COMPUTED_VALUE"""),"Workforce - Deals")</f>
        <v>Workforce - Deals</v>
      </c>
      <c r="J175" s="3" t="str">
        <f>IFERROR(__xludf.DUMMYFUNCTION("""COMPUTED_VALUE"""),"Partner")</f>
        <v>Partner</v>
      </c>
      <c r="K175" s="12">
        <f>IFERROR(__xludf.DUMMYFUNCTION("""COMPUTED_VALUE"""),40518.0)</f>
        <v>40518</v>
      </c>
      <c r="L175" s="3" t="str">
        <f>IFERROR(__xludf.DUMMYFUNCTION("""COMPUTED_VALUE"""),"Boston")</f>
        <v>Boston</v>
      </c>
      <c r="M175" s="3" t="str">
        <f>IFERROR(__xludf.DUMMYFUNCTION("""COMPUTED_VALUE"""),"Boston - 101 Seaport Boulevard")</f>
        <v>Boston - 101 Seaport Boulevard</v>
      </c>
      <c r="N175" s="3" t="b">
        <f>IFERROR(__xludf.DUMMYFUNCTION("""COMPUTED_VALUE"""),FALSE)</f>
        <v>0</v>
      </c>
      <c r="O175" s="3" t="str">
        <f>IFERROR(__xludf.DUMMYFUNCTION("""COMPUTED_VALUE"""),"craig.odonnell@pwc.com")</f>
        <v>craig.odonnell@pwc.com</v>
      </c>
      <c r="P175" s="3" t="str">
        <f>IFERROR(__xludf.DUMMYFUNCTION("""COMPUTED_VALUE"""),"No")</f>
        <v>No</v>
      </c>
      <c r="Q175" s="3" t="b">
        <f>IFERROR(__xludf.DUMMYFUNCTION("""COMPUTED_VALUE"""),FALSE)</f>
        <v>0</v>
      </c>
      <c r="R175" s="3"/>
      <c r="S175" s="3"/>
      <c r="T175" s="3" t="b">
        <f>IFERROR(__xludf.DUMMYFUNCTION("""COMPUTED_VALUE"""),FALSE)</f>
        <v>0</v>
      </c>
      <c r="U175" s="3" t="b">
        <f>IFERROR(__xludf.DUMMYFUNCTION("""COMPUTED_VALUE"""),FALSE)</f>
        <v>0</v>
      </c>
      <c r="V175" s="3" t="b">
        <f>IFERROR(__xludf.DUMMYFUNCTION("""COMPUTED_VALUE"""),FALSE)</f>
        <v>0</v>
      </c>
      <c r="W175" s="3" t="str">
        <f>IFERROR(__xludf.DUMMYFUNCTION("""COMPUTED_VALUE"""),"#N/A")</f>
        <v>#N/A</v>
      </c>
      <c r="X175" s="3" t="str">
        <f>IFERROR(__xludf.DUMMYFUNCTION("""COMPUTED_VALUE"""),"#N/A")</f>
        <v>#N/A</v>
      </c>
      <c r="Y175" s="3" t="str">
        <f>IFERROR(__xludf.DUMMYFUNCTION("""COMPUTED_VALUE"""),"#N/A")</f>
        <v>#N/A</v>
      </c>
      <c r="Z175" s="3" t="str">
        <f>IFERROR(__xludf.DUMMYFUNCTION("""COMPUTED_VALUE"""),"Unknown")</f>
        <v>Unknown</v>
      </c>
      <c r="AA175" s="3" t="b">
        <f>IFERROR(__xludf.DUMMYFUNCTION("""COMPUTED_VALUE"""),FALSE)</f>
        <v>0</v>
      </c>
    </row>
    <row r="176">
      <c r="A176" s="11">
        <f>IFERROR(__xludf.DUMMYFUNCTION("""COMPUTED_VALUE"""),1.00609073E8)</f>
        <v>100609073</v>
      </c>
      <c r="B176" s="3" t="str">
        <f>IFERROR(__xludf.DUMMYFUNCTION("""COMPUTED_VALUE"""),"Dean Nicolacakis")</f>
        <v>Dean Nicolacakis</v>
      </c>
      <c r="C176" s="3" t="str">
        <f>IFERROR(__xludf.DUMMYFUNCTION("""COMPUTED_VALUE"""),"Konstantinos V Nicolacakis")</f>
        <v>Konstantinos V Nicolacakis</v>
      </c>
      <c r="D176" s="3" t="str">
        <f>IFERROR(__xludf.DUMMYFUNCTION("""COMPUTED_VALUE"""),"Nicolacakis, Konstantinos V")</f>
        <v>Nicolacakis, Konstantinos V</v>
      </c>
      <c r="E176" s="3" t="str">
        <f>IFERROR(__xludf.DUMMYFUNCTION("""COMPUTED_VALUE"""),"Active")</f>
        <v>Active</v>
      </c>
      <c r="F176" s="3" t="str">
        <f>IFERROR(__xludf.DUMMYFUNCTION("""COMPUTED_VALUE"""),"dean.nicolacakis@pwc.com")</f>
        <v>dean.nicolacakis@pwc.com</v>
      </c>
      <c r="G176" s="3" t="str">
        <f>IFERROR(__xludf.DUMMYFUNCTION("""COMPUTED_VALUE"""),"FS")</f>
        <v>FS</v>
      </c>
      <c r="H176" s="3" t="str">
        <f>IFERROR(__xludf.DUMMYFUNCTION("""COMPUTED_VALUE"""),"Banking and Capital Markets")</f>
        <v>Banking and Capital Markets</v>
      </c>
      <c r="I176" s="3" t="str">
        <f>IFERROR(__xludf.DUMMYFUNCTION("""COMPUTED_VALUE"""),"FS - Banking and Capital Markets")</f>
        <v>FS - Banking and Capital Markets</v>
      </c>
      <c r="J176" s="3" t="str">
        <f>IFERROR(__xludf.DUMMYFUNCTION("""COMPUTED_VALUE"""),"Partner")</f>
        <v>Partner</v>
      </c>
      <c r="K176" s="12">
        <f>IFERROR(__xludf.DUMMYFUNCTION("""COMPUTED_VALUE"""),40485.0)</f>
        <v>40485</v>
      </c>
      <c r="L176" s="3" t="str">
        <f>IFERROR(__xludf.DUMMYFUNCTION("""COMPUTED_VALUE"""),"San Francisco")</f>
        <v>San Francisco</v>
      </c>
      <c r="M176" s="3" t="str">
        <f>IFERROR(__xludf.DUMMYFUNCTION("""COMPUTED_VALUE"""),"San Francisco - 405 Howard St")</f>
        <v>San Francisco - 405 Howard St</v>
      </c>
      <c r="N176" s="3" t="b">
        <f>IFERROR(__xludf.DUMMYFUNCTION("""COMPUTED_VALUE"""),FALSE)</f>
        <v>0</v>
      </c>
      <c r="O176" s="3" t="str">
        <f>IFERROR(__xludf.DUMMYFUNCTION("""COMPUTED_VALUE"""),"alison.hoover@pwc.com")</f>
        <v>alison.hoover@pwc.com</v>
      </c>
      <c r="P176" s="3" t="str">
        <f>IFERROR(__xludf.DUMMYFUNCTION("""COMPUTED_VALUE"""),"No")</f>
        <v>No</v>
      </c>
      <c r="Q176" s="3" t="b">
        <f>IFERROR(__xludf.DUMMYFUNCTION("""COMPUTED_VALUE"""),FALSE)</f>
        <v>0</v>
      </c>
      <c r="R176" s="3"/>
      <c r="S176" s="3"/>
      <c r="T176" s="3" t="b">
        <f>IFERROR(__xludf.DUMMYFUNCTION("""COMPUTED_VALUE"""),FALSE)</f>
        <v>0</v>
      </c>
      <c r="U176" s="3" t="b">
        <f>IFERROR(__xludf.DUMMYFUNCTION("""COMPUTED_VALUE"""),FALSE)</f>
        <v>0</v>
      </c>
      <c r="V176" s="3" t="b">
        <f>IFERROR(__xludf.DUMMYFUNCTION("""COMPUTED_VALUE"""),FALSE)</f>
        <v>0</v>
      </c>
      <c r="W176" s="3" t="str">
        <f>IFERROR(__xludf.DUMMYFUNCTION("""COMPUTED_VALUE"""),"Delivery")</f>
        <v>Delivery</v>
      </c>
      <c r="X176" s="3"/>
      <c r="Y176" s="3" t="str">
        <f>IFERROR(__xludf.DUMMYFUNCTION("""COMPUTED_VALUE"""),"Point Partner")</f>
        <v>Point Partner</v>
      </c>
      <c r="Z176" s="3" t="str">
        <f>IFERROR(__xludf.DUMMYFUNCTION("""COMPUTED_VALUE"""),"Banking Transformation")</f>
        <v>Banking Transformation</v>
      </c>
      <c r="AA176" s="3" t="b">
        <f>IFERROR(__xludf.DUMMYFUNCTION("""COMPUTED_VALUE"""),FALSE)</f>
        <v>0</v>
      </c>
    </row>
    <row r="177">
      <c r="A177" s="11">
        <f>IFERROR(__xludf.DUMMYFUNCTION("""COMPUTED_VALUE"""),1.00645538E8)</f>
        <v>100645538</v>
      </c>
      <c r="B177" s="3" t="str">
        <f>IFERROR(__xludf.DUMMYFUNCTION("""COMPUTED_VALUE"""),"Debasis Sahu")</f>
        <v>Debasis Sahu</v>
      </c>
      <c r="C177" s="3" t="str">
        <f>IFERROR(__xludf.DUMMYFUNCTION("""COMPUTED_VALUE"""),"Debasis  Sahu")</f>
        <v>Debasis  Sahu</v>
      </c>
      <c r="D177" s="3" t="str">
        <f>IFERROR(__xludf.DUMMYFUNCTION("""COMPUTED_VALUE"""),"Sahu, Debasis")</f>
        <v>Sahu, Debasis</v>
      </c>
      <c r="E177" s="3" t="str">
        <f>IFERROR(__xludf.DUMMYFUNCTION("""COMPUTED_VALUE"""),"Active")</f>
        <v>Active</v>
      </c>
      <c r="F177" s="3" t="str">
        <f>IFERROR(__xludf.DUMMYFUNCTION("""COMPUTED_VALUE"""),"debasis.sahu@pwc.com")</f>
        <v>debasis.sahu@pwc.com</v>
      </c>
      <c r="G177" s="3" t="str">
        <f>IFERROR(__xludf.DUMMYFUNCTION("""COMPUTED_VALUE"""),"Deals Transformation")</f>
        <v>Deals Transformation</v>
      </c>
      <c r="H177" s="3" t="str">
        <f>IFERROR(__xludf.DUMMYFUNCTION("""COMPUTED_VALUE"""),"Asset and Wealth Management")</f>
        <v>Asset and Wealth Management</v>
      </c>
      <c r="I177" s="3" t="str">
        <f>IFERROR(__xludf.DUMMYFUNCTION("""COMPUTED_VALUE"""),"DDV - ISD (Integration, Separation, Divestitures)")</f>
        <v>DDV - ISD (Integration, Separation, Divestitures)</v>
      </c>
      <c r="J177" s="3" t="str">
        <f>IFERROR(__xludf.DUMMYFUNCTION("""COMPUTED_VALUE"""),"Partner")</f>
        <v>Partner</v>
      </c>
      <c r="K177" s="12">
        <f>IFERROR(__xludf.DUMMYFUNCTION("""COMPUTED_VALUE"""),40413.0)</f>
        <v>40413</v>
      </c>
      <c r="L177" s="3" t="str">
        <f>IFERROR(__xludf.DUMMYFUNCTION("""COMPUTED_VALUE"""),"New York")</f>
        <v>New York</v>
      </c>
      <c r="M177" s="3" t="str">
        <f>IFERROR(__xludf.DUMMYFUNCTION("""COMPUTED_VALUE"""),"New York - 300 Madison Avenue")</f>
        <v>New York - 300 Madison Avenue</v>
      </c>
      <c r="N177" s="3" t="b">
        <f>IFERROR(__xludf.DUMMYFUNCTION("""COMPUTED_VALUE"""),FALSE)</f>
        <v>0</v>
      </c>
      <c r="O177" s="3" t="str">
        <f>IFERROR(__xludf.DUMMYFUNCTION("""COMPUTED_VALUE"""),"derek.b.townsend@pwc.com")</f>
        <v>derek.b.townsend@pwc.com</v>
      </c>
      <c r="P177" s="3" t="str">
        <f>IFERROR(__xludf.DUMMYFUNCTION("""COMPUTED_VALUE"""),"No")</f>
        <v>No</v>
      </c>
      <c r="Q177" s="3" t="b">
        <f>IFERROR(__xludf.DUMMYFUNCTION("""COMPUTED_VALUE"""),FALSE)</f>
        <v>0</v>
      </c>
      <c r="R177" s="3"/>
      <c r="S177" s="3"/>
      <c r="T177" s="3" t="b">
        <f>IFERROR(__xludf.DUMMYFUNCTION("""COMPUTED_VALUE"""),FALSE)</f>
        <v>0</v>
      </c>
      <c r="U177" s="3" t="b">
        <f>IFERROR(__xludf.DUMMYFUNCTION("""COMPUTED_VALUE"""),FALSE)</f>
        <v>0</v>
      </c>
      <c r="V177" s="3" t="b">
        <f>IFERROR(__xludf.DUMMYFUNCTION("""COMPUTED_VALUE"""),FALSE)</f>
        <v>0</v>
      </c>
      <c r="W177" s="3" t="str">
        <f>IFERROR(__xludf.DUMMYFUNCTION("""COMPUTED_VALUE"""),"Delivery")</f>
        <v>Delivery</v>
      </c>
      <c r="X177" s="3"/>
      <c r="Y177" s="3" t="str">
        <f>IFERROR(__xludf.DUMMYFUNCTION("""COMPUTED_VALUE"""),"Point Partner")</f>
        <v>Point Partner</v>
      </c>
      <c r="Z177" s="3" t="str">
        <f>IFERROR(__xludf.DUMMYFUNCTION("""COMPUTED_VALUE"""),"Corporate M&amp;A Transformation - FS")</f>
        <v>Corporate M&amp;A Transformation - FS</v>
      </c>
      <c r="AA177" s="3" t="b">
        <f>IFERROR(__xludf.DUMMYFUNCTION("""COMPUTED_VALUE"""),FALSE)</f>
        <v>0</v>
      </c>
    </row>
    <row r="178">
      <c r="A178" s="11">
        <f>IFERROR(__xludf.DUMMYFUNCTION("""COMPUTED_VALUE"""),1.01056431E8)</f>
        <v>101056431</v>
      </c>
      <c r="B178" s="3" t="str">
        <f>IFERROR(__xludf.DUMMYFUNCTION("""COMPUTED_VALUE"""),"Debjit Banerjee")</f>
        <v>Debjit Banerjee</v>
      </c>
      <c r="C178" s="3" t="str">
        <f>IFERROR(__xludf.DUMMYFUNCTION("""COMPUTED_VALUE"""),"Debjit  Banerjee")</f>
        <v>Debjit  Banerjee</v>
      </c>
      <c r="D178" s="3" t="str">
        <f>IFERROR(__xludf.DUMMYFUNCTION("""COMPUTED_VALUE"""),"Banerjee, Debjit")</f>
        <v>Banerjee, Debjit</v>
      </c>
      <c r="E178" s="3" t="str">
        <f>IFERROR(__xludf.DUMMYFUNCTION("""COMPUTED_VALUE"""),"Active")</f>
        <v>Active</v>
      </c>
      <c r="F178" s="3" t="str">
        <f>IFERROR(__xludf.DUMMYFUNCTION("""COMPUTED_VALUE"""),"debjit.banerjee@pwc.com")</f>
        <v>debjit.banerjee@pwc.com</v>
      </c>
      <c r="G178" s="3" t="str">
        <f>IFERROR(__xludf.DUMMYFUNCTION("""COMPUTED_VALUE"""),"Ops")</f>
        <v>Ops</v>
      </c>
      <c r="H178" s="3" t="str">
        <f>IFERROR(__xludf.DUMMYFUNCTION("""COMPUTED_VALUE"""),"Manufacturing")</f>
        <v>Manufacturing</v>
      </c>
      <c r="I178" s="3" t="str">
        <f>IFERROR(__xludf.DUMMYFUNCTION("""COMPUTED_VALUE"""),"Ops - Connected Supply Chain (CSC)")</f>
        <v>Ops - Connected Supply Chain (CSC)</v>
      </c>
      <c r="J178" s="3" t="str">
        <f>IFERROR(__xludf.DUMMYFUNCTION("""COMPUTED_VALUE"""),"Partner")</f>
        <v>Partner</v>
      </c>
      <c r="K178" s="12">
        <f>IFERROR(__xludf.DUMMYFUNCTION("""COMPUTED_VALUE"""),44256.0)</f>
        <v>44256</v>
      </c>
      <c r="L178" s="3" t="str">
        <f>IFERROR(__xludf.DUMMYFUNCTION("""COMPUTED_VALUE"""),"New York")</f>
        <v>New York</v>
      </c>
      <c r="M178" s="3" t="str">
        <f>IFERROR(__xludf.DUMMYFUNCTION("""COMPUTED_VALUE"""),"New York - 300 Madison Avenue")</f>
        <v>New York - 300 Madison Avenue</v>
      </c>
      <c r="N178" s="3" t="b">
        <f>IFERROR(__xludf.DUMMYFUNCTION("""COMPUTED_VALUE"""),FALSE)</f>
        <v>0</v>
      </c>
      <c r="O178" s="3" t="str">
        <f>IFERROR(__xludf.DUMMYFUNCTION("""COMPUTED_VALUE"""),"matthew.r.comte@pwc.com")</f>
        <v>matthew.r.comte@pwc.com</v>
      </c>
      <c r="P178" s="3" t="str">
        <f>IFERROR(__xludf.DUMMYFUNCTION("""COMPUTED_VALUE"""),"FY21 2nd Half")</f>
        <v>FY21 2nd Half</v>
      </c>
      <c r="Q178" s="3" t="b">
        <f>IFERROR(__xludf.DUMMYFUNCTION("""COMPUTED_VALUE"""),FALSE)</f>
        <v>0</v>
      </c>
      <c r="R178" s="3"/>
      <c r="S178" s="3"/>
      <c r="T178" s="3" t="b">
        <f>IFERROR(__xludf.DUMMYFUNCTION("""COMPUTED_VALUE"""),FALSE)</f>
        <v>0</v>
      </c>
      <c r="U178" s="3" t="b">
        <f>IFERROR(__xludf.DUMMYFUNCTION("""COMPUTED_VALUE"""),TRUE)</f>
        <v>1</v>
      </c>
      <c r="V178" s="3" t="b">
        <f>IFERROR(__xludf.DUMMYFUNCTION("""COMPUTED_VALUE"""),FALSE)</f>
        <v>0</v>
      </c>
      <c r="W178" s="3" t="str">
        <f>IFERROR(__xludf.DUMMYFUNCTION("""COMPUTED_VALUE"""),"Catalyst")</f>
        <v>Catalyst</v>
      </c>
      <c r="X178" s="3"/>
      <c r="Y178" s="3" t="str">
        <f>IFERROR(__xludf.DUMMYFUNCTION("""COMPUTED_VALUE"""),"FY21 2nd Half")</f>
        <v>FY21 2nd Half</v>
      </c>
      <c r="Z178" s="3" t="str">
        <f>IFERROR(__xludf.DUMMYFUNCTION("""COMPUTED_VALUE"""),"IP + Technology Ops Transformation")</f>
        <v>IP + Technology Ops Transformation</v>
      </c>
      <c r="AA178" s="3" t="b">
        <f>IFERROR(__xludf.DUMMYFUNCTION("""COMPUTED_VALUE"""),FALSE)</f>
        <v>0</v>
      </c>
    </row>
    <row r="179">
      <c r="A179" s="11">
        <f>IFERROR(__xludf.DUMMYFUNCTION("""COMPUTED_VALUE"""),1.00585718E8)</f>
        <v>100585718</v>
      </c>
      <c r="B179" s="3" t="str">
        <f>IFERROR(__xludf.DUMMYFUNCTION("""COMPUTED_VALUE"""),"Debra Skorupka")</f>
        <v>Debra Skorupka</v>
      </c>
      <c r="C179" s="3" t="str">
        <f>IFERROR(__xludf.DUMMYFUNCTION("""COMPUTED_VALUE"""),"Debra N Skorupka")</f>
        <v>Debra N Skorupka</v>
      </c>
      <c r="D179" s="3" t="str">
        <f>IFERROR(__xludf.DUMMYFUNCTION("""COMPUTED_VALUE"""),"Skorupka, Debra N")</f>
        <v>Skorupka, Debra N</v>
      </c>
      <c r="E179" s="3" t="str">
        <f>IFERROR(__xludf.DUMMYFUNCTION("""COMPUTED_VALUE"""),"Active")</f>
        <v>Active</v>
      </c>
      <c r="F179" s="3" t="str">
        <f>IFERROR(__xludf.DUMMYFUNCTION("""COMPUTED_VALUE"""),"debra.skorupka@pwc.com")</f>
        <v>debra.skorupka@pwc.com</v>
      </c>
      <c r="G179" s="3" t="str">
        <f>IFERROR(__xludf.DUMMYFUNCTION("""COMPUTED_VALUE"""),"Finance")</f>
        <v>Finance</v>
      </c>
      <c r="H179" s="3" t="str">
        <f>IFERROR(__xludf.DUMMYFUNCTION("""COMPUTED_VALUE"""),"TMT X-Sector")</f>
        <v>TMT X-Sector</v>
      </c>
      <c r="I179" s="3" t="str">
        <f>IFERROR(__xludf.DUMMYFUNCTION("""COMPUTED_VALUE"""),"Finance - Finance Strategy / Op Model / Global Business Services / Talent")</f>
        <v>Finance - Finance Strategy / Op Model / Global Business Services / Talent</v>
      </c>
      <c r="J179" s="3" t="str">
        <f>IFERROR(__xludf.DUMMYFUNCTION("""COMPUTED_VALUE"""),"Partner")</f>
        <v>Partner</v>
      </c>
      <c r="K179" s="12">
        <f>IFERROR(__xludf.DUMMYFUNCTION("""COMPUTED_VALUE"""),36010.0)</f>
        <v>36010</v>
      </c>
      <c r="L179" s="3" t="str">
        <f>IFERROR(__xludf.DUMMYFUNCTION("""COMPUTED_VALUE"""),"San Jose")</f>
        <v>San Jose</v>
      </c>
      <c r="M179" s="3" t="str">
        <f>IFERROR(__xludf.DUMMYFUNCTION("""COMPUTED_VALUE"""),"San Jose - 488 Almaden Boulevard")</f>
        <v>San Jose - 488 Almaden Boulevard</v>
      </c>
      <c r="N179" s="3" t="b">
        <f>IFERROR(__xludf.DUMMYFUNCTION("""COMPUTED_VALUE"""),FALSE)</f>
        <v>0</v>
      </c>
      <c r="O179" s="3" t="str">
        <f>IFERROR(__xludf.DUMMYFUNCTION("""COMPUTED_VALUE"""),"kurtis.babczenko@pwc.com")</f>
        <v>kurtis.babczenko@pwc.com</v>
      </c>
      <c r="P179" s="3" t="str">
        <f>IFERROR(__xludf.DUMMYFUNCTION("""COMPUTED_VALUE"""),"No")</f>
        <v>No</v>
      </c>
      <c r="Q179" s="3" t="b">
        <f>IFERROR(__xludf.DUMMYFUNCTION("""COMPUTED_VALUE"""),TRUE)</f>
        <v>1</v>
      </c>
      <c r="R179" s="3" t="str">
        <f>IFERROR(__xludf.DUMMYFUNCTION("""COMPUTED_VALUE"""),"LCP Low")</f>
        <v>LCP Low</v>
      </c>
      <c r="S179" s="3" t="str">
        <f>IFERROR(__xludf.DUMMYFUNCTION("""COMPUTED_VALUE"""),"Diversity &amp; Inclusion Champions")</f>
        <v>Diversity &amp; Inclusion Champions</v>
      </c>
      <c r="T179" s="3" t="b">
        <f>IFERROR(__xludf.DUMMYFUNCTION("""COMPUTED_VALUE"""),FALSE)</f>
        <v>0</v>
      </c>
      <c r="U179" s="3" t="b">
        <f>IFERROR(__xludf.DUMMYFUNCTION("""COMPUTED_VALUE"""),FALSE)</f>
        <v>0</v>
      </c>
      <c r="V179" s="3" t="b">
        <f>IFERROR(__xludf.DUMMYFUNCTION("""COMPUTED_VALUE"""),FALSE)</f>
        <v>0</v>
      </c>
      <c r="W179" s="3" t="str">
        <f>IFERROR(__xludf.DUMMYFUNCTION("""COMPUTED_VALUE"""),"LCP")</f>
        <v>LCP</v>
      </c>
      <c r="X179" s="3" t="str">
        <f>IFERROR(__xludf.DUMMYFUNCTION("""COMPUTED_VALUE"""),"Investment")</f>
        <v>Investment</v>
      </c>
      <c r="Y179" s="3" t="str">
        <f>IFERROR(__xludf.DUMMYFUNCTION("""COMPUTED_VALUE"""),"GEP - Low")</f>
        <v>GEP - Low</v>
      </c>
      <c r="Z179" s="3" t="str">
        <f>IFERROR(__xludf.DUMMYFUNCTION("""COMPUTED_VALUE"""),"Finance Transformation - TMT")</f>
        <v>Finance Transformation - TMT</v>
      </c>
      <c r="AA179" s="3" t="b">
        <f>IFERROR(__xludf.DUMMYFUNCTION("""COMPUTED_VALUE"""),FALSE)</f>
        <v>0</v>
      </c>
    </row>
    <row r="180">
      <c r="A180" s="11">
        <f>IFERROR(__xludf.DUMMYFUNCTION("""COMPUTED_VALUE"""),1.00654085E8)</f>
        <v>100654085</v>
      </c>
      <c r="B180" s="3" t="str">
        <f>IFERROR(__xludf.DUMMYFUNCTION("""COMPUTED_VALUE"""),"Deepak Goyal")</f>
        <v>Deepak Goyal</v>
      </c>
      <c r="C180" s="3" t="str">
        <f>IFERROR(__xludf.DUMMYFUNCTION("""COMPUTED_VALUE"""),"Deepak K Goyal")</f>
        <v>Deepak K Goyal</v>
      </c>
      <c r="D180" s="3" t="str">
        <f>IFERROR(__xludf.DUMMYFUNCTION("""COMPUTED_VALUE"""),"Goyal, Deepak K")</f>
        <v>Goyal, Deepak K</v>
      </c>
      <c r="E180" s="3" t="str">
        <f>IFERROR(__xludf.DUMMYFUNCTION("""COMPUTED_VALUE"""),"Active")</f>
        <v>Active</v>
      </c>
      <c r="F180" s="3" t="str">
        <f>IFERROR(__xludf.DUMMYFUNCTION("""COMPUTED_VALUE"""),"deepak.goyal@pwc.com")</f>
        <v>deepak.goyal@pwc.com</v>
      </c>
      <c r="G180" s="3" t="str">
        <f>IFERROR(__xludf.DUMMYFUNCTION("""COMPUTED_VALUE"""),"Customer")</f>
        <v>Customer</v>
      </c>
      <c r="H180" s="3" t="str">
        <f>IFERROR(__xludf.DUMMYFUNCTION("""COMPUTED_VALUE"""),"CM X-Sector")</f>
        <v>CM X-Sector</v>
      </c>
      <c r="I180" s="3" t="str">
        <f>IFERROR(__xludf.DUMMYFUNCTION("""COMPUTED_VALUE"""),"Customer - Service")</f>
        <v>Customer - Service</v>
      </c>
      <c r="J180" s="3" t="str">
        <f>IFERROR(__xludf.DUMMYFUNCTION("""COMPUTED_VALUE"""),"Partner")</f>
        <v>Partner</v>
      </c>
      <c r="K180" s="12">
        <f>IFERROR(__xludf.DUMMYFUNCTION("""COMPUTED_VALUE"""),42186.0)</f>
        <v>42186</v>
      </c>
      <c r="L180" s="3" t="str">
        <f>IFERROR(__xludf.DUMMYFUNCTION("""COMPUTED_VALUE"""),"San Francisco")</f>
        <v>San Francisco</v>
      </c>
      <c r="M180" s="3" t="str">
        <f>IFERROR(__xludf.DUMMYFUNCTION("""COMPUTED_VALUE"""),"San Francisco - 405 Howard St")</f>
        <v>San Francisco - 405 Howard St</v>
      </c>
      <c r="N180" s="3" t="b">
        <f>IFERROR(__xludf.DUMMYFUNCTION("""COMPUTED_VALUE"""),FALSE)</f>
        <v>0</v>
      </c>
      <c r="O180" s="3" t="str">
        <f>IFERROR(__xludf.DUMMYFUNCTION("""COMPUTED_VALUE"""),"george.korizis@pwc.com")</f>
        <v>george.korizis@pwc.com</v>
      </c>
      <c r="P180" s="3" t="str">
        <f>IFERROR(__xludf.DUMMYFUNCTION("""COMPUTED_VALUE"""),"No")</f>
        <v>No</v>
      </c>
      <c r="Q180" s="3" t="b">
        <f>IFERROR(__xludf.DUMMYFUNCTION("""COMPUTED_VALUE"""),FALSE)</f>
        <v>0</v>
      </c>
      <c r="R180" s="3"/>
      <c r="S180" s="3"/>
      <c r="T180" s="3" t="b">
        <f>IFERROR(__xludf.DUMMYFUNCTION("""COMPUTED_VALUE"""),FALSE)</f>
        <v>0</v>
      </c>
      <c r="U180" s="3" t="b">
        <f>IFERROR(__xludf.DUMMYFUNCTION("""COMPUTED_VALUE"""),TRUE)</f>
        <v>1</v>
      </c>
      <c r="V180" s="3" t="b">
        <f>IFERROR(__xludf.DUMMYFUNCTION("""COMPUTED_VALUE"""),FALSE)</f>
        <v>0</v>
      </c>
      <c r="W180" s="3" t="str">
        <f>IFERROR(__xludf.DUMMYFUNCTION("""COMPUTED_VALUE"""),"Delivery")</f>
        <v>Delivery</v>
      </c>
      <c r="X180" s="3" t="str">
        <f>IFERROR(__xludf.DUMMYFUNCTION("""COMPUTED_VALUE"""),"Investment")</f>
        <v>Investment</v>
      </c>
      <c r="Y180" s="3"/>
      <c r="Z180" s="3" t="str">
        <f>IFERROR(__xludf.DUMMYFUNCTION("""COMPUTED_VALUE"""),"Commercial / CRM Transformation - CM &amp; IPS &amp; HIA")</f>
        <v>Commercial / CRM Transformation - CM &amp; IPS &amp; HIA</v>
      </c>
      <c r="AA180" s="3" t="b">
        <f>IFERROR(__xludf.DUMMYFUNCTION("""COMPUTED_VALUE"""),FALSE)</f>
        <v>0</v>
      </c>
    </row>
    <row r="181">
      <c r="A181" s="11">
        <f>IFERROR(__xludf.DUMMYFUNCTION("""COMPUTED_VALUE"""),1.00646652E8)</f>
        <v>100646652</v>
      </c>
      <c r="B181" s="3" t="str">
        <f>IFERROR(__xludf.DUMMYFUNCTION("""COMPUTED_VALUE"""),"Deepak Tilani")</f>
        <v>Deepak Tilani</v>
      </c>
      <c r="C181" s="3" t="str">
        <f>IFERROR(__xludf.DUMMYFUNCTION("""COMPUTED_VALUE"""),"Deepak  Tilani")</f>
        <v>Deepak  Tilani</v>
      </c>
      <c r="D181" s="3" t="str">
        <f>IFERROR(__xludf.DUMMYFUNCTION("""COMPUTED_VALUE"""),"Tilani, Deepak")</f>
        <v>Tilani, Deepak</v>
      </c>
      <c r="E181" s="3" t="str">
        <f>IFERROR(__xludf.DUMMYFUNCTION("""COMPUTED_VALUE"""),"Active")</f>
        <v>Active</v>
      </c>
      <c r="F181" s="3" t="str">
        <f>IFERROR(__xludf.DUMMYFUNCTION("""COMPUTED_VALUE"""),"deepak.tilani@pwc.com")</f>
        <v>deepak.tilani@pwc.com</v>
      </c>
      <c r="G181" s="3" t="str">
        <f>IFERROR(__xludf.DUMMYFUNCTION("""COMPUTED_VALUE"""),"ESV")</f>
        <v>ESV</v>
      </c>
      <c r="H181" s="3" t="str">
        <f>IFERROR(__xludf.DUMMYFUNCTION("""COMPUTED_VALUE"""),"Health Services")</f>
        <v>Health Services</v>
      </c>
      <c r="I181" s="3" t="str">
        <f>IFERROR(__xludf.DUMMYFUNCTION("""COMPUTED_VALUE"""),"ESV - Health Services")</f>
        <v>ESV - Health Services</v>
      </c>
      <c r="J181" s="3" t="str">
        <f>IFERROR(__xludf.DUMMYFUNCTION("""COMPUTED_VALUE"""),"Partner")</f>
        <v>Partner</v>
      </c>
      <c r="K181" s="12">
        <f>IFERROR(__xludf.DUMMYFUNCTION("""COMPUTED_VALUE"""),42186.0)</f>
        <v>42186</v>
      </c>
      <c r="L181" s="3" t="str">
        <f>IFERROR(__xludf.DUMMYFUNCTION("""COMPUTED_VALUE"""),"New York")</f>
        <v>New York</v>
      </c>
      <c r="M181" s="3" t="str">
        <f>IFERROR(__xludf.DUMMYFUNCTION("""COMPUTED_VALUE"""),"New York - 300 Madison Avenue")</f>
        <v>New York - 300 Madison Avenue</v>
      </c>
      <c r="N181" s="3" t="b">
        <f>IFERROR(__xludf.DUMMYFUNCTION("""COMPUTED_VALUE"""),FALSE)</f>
        <v>0</v>
      </c>
      <c r="O181" s="3" t="str">
        <f>IFERROR(__xludf.DUMMYFUNCTION("""COMPUTED_VALUE"""),"sundar.subramanian@pwc.com")</f>
        <v>sundar.subramanian@pwc.com</v>
      </c>
      <c r="P181" s="3" t="str">
        <f>IFERROR(__xludf.DUMMYFUNCTION("""COMPUTED_VALUE"""),"No")</f>
        <v>No</v>
      </c>
      <c r="Q181" s="3" t="b">
        <f>IFERROR(__xludf.DUMMYFUNCTION("""COMPUTED_VALUE"""),FALSE)</f>
        <v>0</v>
      </c>
      <c r="R181" s="3"/>
      <c r="S181" s="3"/>
      <c r="T181" s="3" t="b">
        <f>IFERROR(__xludf.DUMMYFUNCTION("""COMPUTED_VALUE"""),FALSE)</f>
        <v>0</v>
      </c>
      <c r="U181" s="3" t="b">
        <f>IFERROR(__xludf.DUMMYFUNCTION("""COMPUTED_VALUE"""),TRUE)</f>
        <v>1</v>
      </c>
      <c r="V181" s="3" t="b">
        <f>IFERROR(__xludf.DUMMYFUNCTION("""COMPUTED_VALUE"""),FALSE)</f>
        <v>0</v>
      </c>
      <c r="W181" s="3" t="str">
        <f>IFERROR(__xludf.DUMMYFUNCTION("""COMPUTED_VALUE"""),"Delivery")</f>
        <v>Delivery</v>
      </c>
      <c r="X181" s="3"/>
      <c r="Y181" s="3"/>
      <c r="Z181" s="3" t="str">
        <f>IFERROR(__xludf.DUMMYFUNCTION("""COMPUTED_VALUE"""),"Corporate M&amp;A Transformation Payer/Provider/Digital Health")</f>
        <v>Corporate M&amp;A Transformation Payer/Provider/Digital Health</v>
      </c>
      <c r="AA181" s="3" t="b">
        <f>IFERROR(__xludf.DUMMYFUNCTION("""COMPUTED_VALUE"""),FALSE)</f>
        <v>0</v>
      </c>
    </row>
    <row r="182">
      <c r="A182" s="11">
        <f>IFERROR(__xludf.DUMMYFUNCTION("""COMPUTED_VALUE"""),1.00650186E8)</f>
        <v>100650186</v>
      </c>
      <c r="B182" s="3" t="str">
        <f>IFERROR(__xludf.DUMMYFUNCTION("""COMPUTED_VALUE"""),"Deniz Caglar")</f>
        <v>Deniz Caglar</v>
      </c>
      <c r="C182" s="3" t="str">
        <f>IFERROR(__xludf.DUMMYFUNCTION("""COMPUTED_VALUE"""),"Deniz  Caglar")</f>
        <v>Deniz  Caglar</v>
      </c>
      <c r="D182" s="3" t="str">
        <f>IFERROR(__xludf.DUMMYFUNCTION("""COMPUTED_VALUE"""),"Caglar, Deniz")</f>
        <v>Caglar, Deniz</v>
      </c>
      <c r="E182" s="3" t="str">
        <f>IFERROR(__xludf.DUMMYFUNCTION("""COMPUTED_VALUE"""),"Active")</f>
        <v>Active</v>
      </c>
      <c r="F182" s="3" t="str">
        <f>IFERROR(__xludf.DUMMYFUNCTION("""COMPUTED_VALUE"""),"deniz.caglar@pwc.com")</f>
        <v>deniz.caglar@pwc.com</v>
      </c>
      <c r="G182" s="3" t="str">
        <f>IFERROR(__xludf.DUMMYFUNCTION("""COMPUTED_VALUE"""),"ESV")</f>
        <v>ESV</v>
      </c>
      <c r="H182" s="3" t="str">
        <f>IFERROR(__xludf.DUMMYFUNCTION("""COMPUTED_VALUE"""),"CM X-Sector")</f>
        <v>CM X-Sector</v>
      </c>
      <c r="I182" s="3" t="str">
        <f>IFERROR(__xludf.DUMMYFUNCTION("""COMPUTED_VALUE"""),"ESV - CM")</f>
        <v>ESV - CM</v>
      </c>
      <c r="J182" s="3" t="str">
        <f>IFERROR(__xludf.DUMMYFUNCTION("""COMPUTED_VALUE"""),"Partner")</f>
        <v>Partner</v>
      </c>
      <c r="K182" s="12">
        <f>IFERROR(__xludf.DUMMYFUNCTION("""COMPUTED_VALUE"""),42186.0)</f>
        <v>42186</v>
      </c>
      <c r="L182" s="3" t="str">
        <f>IFERROR(__xludf.DUMMYFUNCTION("""COMPUTED_VALUE"""),"Chicago")</f>
        <v>Chicago</v>
      </c>
      <c r="M182" s="3" t="str">
        <f>IFERROR(__xludf.DUMMYFUNCTION("""COMPUTED_VALUE"""),"Chicago - One North Wacker Drive")</f>
        <v>Chicago - One North Wacker Drive</v>
      </c>
      <c r="N182" s="3" t="b">
        <f>IFERROR(__xludf.DUMMYFUNCTION("""COMPUTED_VALUE"""),FALSE)</f>
        <v>0</v>
      </c>
      <c r="O182" s="3" t="str">
        <f>IFERROR(__xludf.DUMMYFUNCTION("""COMPUTED_VALUE"""),"sundar.subramanian@pwc.com")</f>
        <v>sundar.subramanian@pwc.com</v>
      </c>
      <c r="P182" s="3" t="str">
        <f>IFERROR(__xludf.DUMMYFUNCTION("""COMPUTED_VALUE"""),"No")</f>
        <v>No</v>
      </c>
      <c r="Q182" s="3" t="b">
        <f>IFERROR(__xludf.DUMMYFUNCTION("""COMPUTED_VALUE"""),TRUE)</f>
        <v>1</v>
      </c>
      <c r="R182" s="3" t="str">
        <f>IFERROR(__xludf.DUMMYFUNCTION("""COMPUTED_VALUE"""),"LCP High")</f>
        <v>LCP High</v>
      </c>
      <c r="S182" s="3"/>
      <c r="T182" s="3" t="b">
        <f>IFERROR(__xludf.DUMMYFUNCTION("""COMPUTED_VALUE"""),FALSE)</f>
        <v>0</v>
      </c>
      <c r="U182" s="3" t="b">
        <f>IFERROR(__xludf.DUMMYFUNCTION("""COMPUTED_VALUE"""),TRUE)</f>
        <v>1</v>
      </c>
      <c r="V182" s="3" t="b">
        <f>IFERROR(__xludf.DUMMYFUNCTION("""COMPUTED_VALUE"""),FALSE)</f>
        <v>0</v>
      </c>
      <c r="W182" s="3" t="str">
        <f>IFERROR(__xludf.DUMMYFUNCTION("""COMPUTED_VALUE"""),"LCP")</f>
        <v>LCP</v>
      </c>
      <c r="X182" s="3" t="str">
        <f>IFERROR(__xludf.DUMMYFUNCTION("""COMPUTED_VALUE"""),"Investment")</f>
        <v>Investment</v>
      </c>
      <c r="Y182" s="3" t="str">
        <f>IFERROR(__xludf.DUMMYFUNCTION("""COMPUTED_VALUE"""),"GEP - High")</f>
        <v>GEP - High</v>
      </c>
      <c r="Z182" s="3" t="str">
        <f>IFERROR(__xludf.DUMMYFUNCTION("""COMPUTED_VALUE"""),"Enterprise Digital Transformation - CM &amp; IPS")</f>
        <v>Enterprise Digital Transformation - CM &amp; IPS</v>
      </c>
      <c r="AA182" s="3" t="b">
        <f>IFERROR(__xludf.DUMMYFUNCTION("""COMPUTED_VALUE"""),FALSE)</f>
        <v>0</v>
      </c>
    </row>
    <row r="183">
      <c r="A183" s="11">
        <f>IFERROR(__xludf.DUMMYFUNCTION("""COMPUTED_VALUE"""),1.00708984E8)</f>
        <v>100708984</v>
      </c>
      <c r="B183" s="3" t="str">
        <f>IFERROR(__xludf.DUMMYFUNCTION("""COMPUTED_VALUE"""),"Derek Baker")</f>
        <v>Derek Baker</v>
      </c>
      <c r="C183" s="3" t="str">
        <f>IFERROR(__xludf.DUMMYFUNCTION("""COMPUTED_VALUE"""),"Derek Justin Baker")</f>
        <v>Derek Justin Baker</v>
      </c>
      <c r="D183" s="3" t="str">
        <f>IFERROR(__xludf.DUMMYFUNCTION("""COMPUTED_VALUE"""),"Baker, Derek Justin")</f>
        <v>Baker, Derek Justin</v>
      </c>
      <c r="E183" s="3" t="str">
        <f>IFERROR(__xludf.DUMMYFUNCTION("""COMPUTED_VALUE"""),"Active")</f>
        <v>Active</v>
      </c>
      <c r="F183" s="3" t="str">
        <f>IFERROR(__xludf.DUMMYFUNCTION("""COMPUTED_VALUE"""),"derek.baker@pwc.com")</f>
        <v>derek.baker@pwc.com</v>
      </c>
      <c r="G183" s="3" t="str">
        <f>IFERROR(__xludf.DUMMYFUNCTION("""COMPUTED_VALUE"""),"Customer")</f>
        <v>Customer</v>
      </c>
      <c r="H183" s="3" t="str">
        <f>IFERROR(__xludf.DUMMYFUNCTION("""COMPUTED_VALUE"""),"CM X-Sector")</f>
        <v>CM X-Sector</v>
      </c>
      <c r="I183" s="3" t="str">
        <f>IFERROR(__xludf.DUMMYFUNCTION("""COMPUTED_VALUE"""),"Customer - Marketing")</f>
        <v>Customer - Marketing</v>
      </c>
      <c r="J183" s="3" t="str">
        <f>IFERROR(__xludf.DUMMYFUNCTION("""COMPUTED_VALUE"""),"Partner")</f>
        <v>Partner</v>
      </c>
      <c r="K183" s="12">
        <f>IFERROR(__xludf.DUMMYFUNCTION("""COMPUTED_VALUE"""),43409.0)</f>
        <v>43409</v>
      </c>
      <c r="L183" s="3" t="str">
        <f>IFERROR(__xludf.DUMMYFUNCTION("""COMPUTED_VALUE"""),"Denver")</f>
        <v>Denver</v>
      </c>
      <c r="M183" s="3" t="str">
        <f>IFERROR(__xludf.DUMMYFUNCTION("""COMPUTED_VALUE"""),"Denver - 1900 Sixteenth Street")</f>
        <v>Denver - 1900 Sixteenth Street</v>
      </c>
      <c r="N183" s="3" t="b">
        <f>IFERROR(__xludf.DUMMYFUNCTION("""COMPUTED_VALUE"""),FALSE)</f>
        <v>0</v>
      </c>
      <c r="O183" s="3" t="str">
        <f>IFERROR(__xludf.DUMMYFUNCTION("""COMPUTED_VALUE"""),"george.korizis@pwc.com")</f>
        <v>george.korizis@pwc.com</v>
      </c>
      <c r="P183" s="3" t="str">
        <f>IFERROR(__xludf.DUMMYFUNCTION("""COMPUTED_VALUE"""),"No")</f>
        <v>No</v>
      </c>
      <c r="Q183" s="3" t="b">
        <f>IFERROR(__xludf.DUMMYFUNCTION("""COMPUTED_VALUE"""),FALSE)</f>
        <v>0</v>
      </c>
      <c r="R183" s="3"/>
      <c r="S183" s="3"/>
      <c r="T183" s="3" t="b">
        <f>IFERROR(__xludf.DUMMYFUNCTION("""COMPUTED_VALUE"""),FALSE)</f>
        <v>0</v>
      </c>
      <c r="U183" s="3" t="b">
        <f>IFERROR(__xludf.DUMMYFUNCTION("""COMPUTED_VALUE"""),TRUE)</f>
        <v>1</v>
      </c>
      <c r="V183" s="3" t="b">
        <f>IFERROR(__xludf.DUMMYFUNCTION("""COMPUTED_VALUE"""),FALSE)</f>
        <v>0</v>
      </c>
      <c r="W183" s="3" t="str">
        <f>IFERROR(__xludf.DUMMYFUNCTION("""COMPUTED_VALUE"""),"Delivery")</f>
        <v>Delivery</v>
      </c>
      <c r="X183" s="3"/>
      <c r="Y183" s="3"/>
      <c r="Z183" s="3" t="str">
        <f>IFERROR(__xludf.DUMMYFUNCTION("""COMPUTED_VALUE"""),"Marketing Transformation")</f>
        <v>Marketing Transformation</v>
      </c>
      <c r="AA183" s="3" t="b">
        <f>IFERROR(__xludf.DUMMYFUNCTION("""COMPUTED_VALUE"""),FALSE)</f>
        <v>0</v>
      </c>
    </row>
    <row r="184">
      <c r="A184" s="11">
        <f>IFERROR(__xludf.DUMMYFUNCTION("""COMPUTED_VALUE"""),1.0064746E8)</f>
        <v>100647460</v>
      </c>
      <c r="B184" s="3" t="str">
        <f>IFERROR(__xludf.DUMMYFUNCTION("""COMPUTED_VALUE"""),"Derek Gaasch")</f>
        <v>Derek Gaasch</v>
      </c>
      <c r="C184" s="3" t="str">
        <f>IFERROR(__xludf.DUMMYFUNCTION("""COMPUTED_VALUE"""),"Derek H Gaasch")</f>
        <v>Derek H Gaasch</v>
      </c>
      <c r="D184" s="3" t="str">
        <f>IFERROR(__xludf.DUMMYFUNCTION("""COMPUTED_VALUE"""),"Gaasch, Derek H")</f>
        <v>Gaasch, Derek H</v>
      </c>
      <c r="E184" s="3" t="str">
        <f>IFERROR(__xludf.DUMMYFUNCTION("""COMPUTED_VALUE"""),"Active")</f>
        <v>Active</v>
      </c>
      <c r="F184" s="3" t="str">
        <f>IFERROR(__xludf.DUMMYFUNCTION("""COMPUTED_VALUE"""),"derek.gaasch@pwc.com")</f>
        <v>derek.gaasch@pwc.com</v>
      </c>
      <c r="G184" s="3" t="str">
        <f>IFERROR(__xludf.DUMMYFUNCTION("""COMPUTED_VALUE"""),"Customer")</f>
        <v>Customer</v>
      </c>
      <c r="H184" s="3" t="str">
        <f>IFERROR(__xludf.DUMMYFUNCTION("""COMPUTED_VALUE"""),"Health Services")</f>
        <v>Health Services</v>
      </c>
      <c r="I184" s="3" t="str">
        <f>IFERROR(__xludf.DUMMYFUNCTION("""COMPUTED_VALUE"""),"Customer - Service")</f>
        <v>Customer - Service</v>
      </c>
      <c r="J184" s="3" t="str">
        <f>IFERROR(__xludf.DUMMYFUNCTION("""COMPUTED_VALUE"""),"Partner")</f>
        <v>Partner</v>
      </c>
      <c r="K184" s="12">
        <f>IFERROR(__xludf.DUMMYFUNCTION("""COMPUTED_VALUE"""),40485.0)</f>
        <v>40485</v>
      </c>
      <c r="L184" s="3" t="str">
        <f>IFERROR(__xludf.DUMMYFUNCTION("""COMPUTED_VALUE"""),"Salt Lake City")</f>
        <v>Salt Lake City</v>
      </c>
      <c r="M184" s="3" t="str">
        <f>IFERROR(__xludf.DUMMYFUNCTION("""COMPUTED_VALUE"""),"Salt Lake City - 201 South Main")</f>
        <v>Salt Lake City - 201 South Main</v>
      </c>
      <c r="N184" s="3" t="b">
        <f>IFERROR(__xludf.DUMMYFUNCTION("""COMPUTED_VALUE"""),FALSE)</f>
        <v>0</v>
      </c>
      <c r="O184" s="3" t="str">
        <f>IFERROR(__xludf.DUMMYFUNCTION("""COMPUTED_VALUE"""),"george.korizis@pwc.com")</f>
        <v>george.korizis@pwc.com</v>
      </c>
      <c r="P184" s="3" t="str">
        <f>IFERROR(__xludf.DUMMYFUNCTION("""COMPUTED_VALUE"""),"No")</f>
        <v>No</v>
      </c>
      <c r="Q184" s="3" t="b">
        <f>IFERROR(__xludf.DUMMYFUNCTION("""COMPUTED_VALUE"""),FALSE)</f>
        <v>0</v>
      </c>
      <c r="R184" s="3"/>
      <c r="S184" s="3"/>
      <c r="T184" s="3" t="b">
        <f>IFERROR(__xludf.DUMMYFUNCTION("""COMPUTED_VALUE"""),FALSE)</f>
        <v>0</v>
      </c>
      <c r="U184" s="3" t="b">
        <f>IFERROR(__xludf.DUMMYFUNCTION("""COMPUTED_VALUE"""),TRUE)</f>
        <v>1</v>
      </c>
      <c r="V184" s="3" t="b">
        <f>IFERROR(__xludf.DUMMYFUNCTION("""COMPUTED_VALUE"""),FALSE)</f>
        <v>0</v>
      </c>
      <c r="W184" s="3" t="str">
        <f>IFERROR(__xludf.DUMMYFUNCTION("""COMPUTED_VALUE"""),"Delivery")</f>
        <v>Delivery</v>
      </c>
      <c r="X184" s="3"/>
      <c r="Y184" s="3"/>
      <c r="Z184" s="3" t="str">
        <f>IFERROR(__xludf.DUMMYFUNCTION("""COMPUTED_VALUE"""),"Commercial / CRM Transformation - CM &amp; IPS &amp; HIA")</f>
        <v>Commercial / CRM Transformation - CM &amp; IPS &amp; HIA</v>
      </c>
      <c r="AA184" s="3" t="b">
        <f>IFERROR(__xludf.DUMMYFUNCTION("""COMPUTED_VALUE"""),FALSE)</f>
        <v>0</v>
      </c>
    </row>
    <row r="185">
      <c r="A185" s="3">
        <f>IFERROR(__xludf.DUMMYFUNCTION("""COMPUTED_VALUE"""),1.01026035E8)</f>
        <v>101026035</v>
      </c>
      <c r="B185" s="3" t="str">
        <f>IFERROR(__xludf.DUMMYFUNCTION("""COMPUTED_VALUE"""),"Derek Hayes")</f>
        <v>Derek Hayes</v>
      </c>
      <c r="C185" s="3" t="str">
        <f>IFERROR(__xludf.DUMMYFUNCTION("""COMPUTED_VALUE"""),"Derek  Hayes")</f>
        <v>Derek  Hayes</v>
      </c>
      <c r="D185" s="3" t="str">
        <f>IFERROR(__xludf.DUMMYFUNCTION("""COMPUTED_VALUE"""),"Hayes, Derek")</f>
        <v>Hayes, Derek</v>
      </c>
      <c r="E185" s="3" t="str">
        <f>IFERROR(__xludf.DUMMYFUNCTION("""COMPUTED_VALUE"""),"Active")</f>
        <v>Active</v>
      </c>
      <c r="F185" s="3" t="str">
        <f>IFERROR(__xludf.DUMMYFUNCTION("""COMPUTED_VALUE"""),"derek.hayes@pwc.com")</f>
        <v>derek.hayes@pwc.com</v>
      </c>
      <c r="G185" s="3" t="str">
        <f>IFERROR(__xludf.DUMMYFUNCTION("""COMPUTED_VALUE"""),"ESV")</f>
        <v>ESV</v>
      </c>
      <c r="H185" s="3" t="str">
        <f>IFERROR(__xludf.DUMMYFUNCTION("""COMPUTED_VALUE"""),"Banking and Capital Markets")</f>
        <v>Banking and Capital Markets</v>
      </c>
      <c r="I185" s="3" t="str">
        <f>IFERROR(__xludf.DUMMYFUNCTION("""COMPUTED_VALUE"""),"ESV - BCM")</f>
        <v>ESV - BCM</v>
      </c>
      <c r="J185" s="3" t="str">
        <f>IFERROR(__xludf.DUMMYFUNCTION("""COMPUTED_VALUE"""),"Partner")</f>
        <v>Partner</v>
      </c>
      <c r="K185" s="12">
        <f>IFERROR(__xludf.DUMMYFUNCTION("""COMPUTED_VALUE"""),44136.0)</f>
        <v>44136</v>
      </c>
      <c r="L185" s="3" t="str">
        <f>IFERROR(__xludf.DUMMYFUNCTION("""COMPUTED_VALUE"""),"Minneapolis")</f>
        <v>Minneapolis</v>
      </c>
      <c r="M185" s="3" t="str">
        <f>IFERROR(__xludf.DUMMYFUNCTION("""COMPUTED_VALUE"""),"Minneapolis - 45 South 7th Street")</f>
        <v>Minneapolis - 45 South 7th Street</v>
      </c>
      <c r="N185" s="3" t="b">
        <f>IFERROR(__xludf.DUMMYFUNCTION("""COMPUTED_VALUE"""),FALSE)</f>
        <v>0</v>
      </c>
      <c r="O185" s="3" t="str">
        <f>IFERROR(__xludf.DUMMYFUNCTION("""COMPUTED_VALUE"""),"sundar.subramanian@pwc.com")</f>
        <v>sundar.subramanian@pwc.com</v>
      </c>
      <c r="P185" s="3" t="str">
        <f>IFERROR(__xludf.DUMMYFUNCTION("""COMPUTED_VALUE"""),"FY21 1st Half")</f>
        <v>FY21 1st Half</v>
      </c>
      <c r="Q185" s="3" t="b">
        <f>IFERROR(__xludf.DUMMYFUNCTION("""COMPUTED_VALUE"""),FALSE)</f>
        <v>0</v>
      </c>
      <c r="R185" s="3"/>
      <c r="S185" s="3"/>
      <c r="T185" s="3" t="b">
        <f>IFERROR(__xludf.DUMMYFUNCTION("""COMPUTED_VALUE"""),FALSE)</f>
        <v>0</v>
      </c>
      <c r="U185" s="3" t="b">
        <f>IFERROR(__xludf.DUMMYFUNCTION("""COMPUTED_VALUE"""),TRUE)</f>
        <v>1</v>
      </c>
      <c r="V185" s="3" t="b">
        <f>IFERROR(__xludf.DUMMYFUNCTION("""COMPUTED_VALUE"""),FALSE)</f>
        <v>0</v>
      </c>
      <c r="W185" s="3" t="str">
        <f>IFERROR(__xludf.DUMMYFUNCTION("""COMPUTED_VALUE"""),"Catalyst")</f>
        <v>Catalyst</v>
      </c>
      <c r="X185" s="3" t="str">
        <f>IFERROR(__xludf.DUMMYFUNCTION("""COMPUTED_VALUE"""),"Investment")</f>
        <v>Investment</v>
      </c>
      <c r="Y185" s="3" t="str">
        <f>IFERROR(__xludf.DUMMYFUNCTION("""COMPUTED_VALUE"""),"FY21 1st Half")</f>
        <v>FY21 1st Half</v>
      </c>
      <c r="Z185" s="3" t="str">
        <f>IFERROR(__xludf.DUMMYFUNCTION("""COMPUTED_VALUE"""),"Enterprise Digital Transformation - BCM &amp; AWM")</f>
        <v>Enterprise Digital Transformation - BCM &amp; AWM</v>
      </c>
      <c r="AA185" s="3" t="b">
        <f>IFERROR(__xludf.DUMMYFUNCTION("""COMPUTED_VALUE"""),FALSE)</f>
        <v>0</v>
      </c>
    </row>
    <row r="186">
      <c r="A186" s="11">
        <f>IFERROR(__xludf.DUMMYFUNCTION("""COMPUTED_VALUE"""),1.00633579E8)</f>
        <v>100633579</v>
      </c>
      <c r="B186" s="3" t="str">
        <f>IFERROR(__xludf.DUMMYFUNCTION("""COMPUTED_VALUE"""),"Derek Manville")</f>
        <v>Derek Manville</v>
      </c>
      <c r="C186" s="3" t="str">
        <f>IFERROR(__xludf.DUMMYFUNCTION("""COMPUTED_VALUE"""),"Derek Lee Manville")</f>
        <v>Derek Lee Manville</v>
      </c>
      <c r="D186" s="3" t="str">
        <f>IFERROR(__xludf.DUMMYFUNCTION("""COMPUTED_VALUE"""),"Manville, Derek Lee")</f>
        <v>Manville, Derek Lee</v>
      </c>
      <c r="E186" s="3" t="str">
        <f>IFERROR(__xludf.DUMMYFUNCTION("""COMPUTED_VALUE"""),"Active")</f>
        <v>Active</v>
      </c>
      <c r="F186" s="3" t="str">
        <f>IFERROR(__xludf.DUMMYFUNCTION("""COMPUTED_VALUE"""),"derek.l.manville@pwc.com")</f>
        <v>derek.l.manville@pwc.com</v>
      </c>
      <c r="G186" s="3" t="str">
        <f>IFERROR(__xludf.DUMMYFUNCTION("""COMPUTED_VALUE"""),"Finance")</f>
        <v>Finance</v>
      </c>
      <c r="H186" s="3" t="str">
        <f>IFERROR(__xludf.DUMMYFUNCTION("""COMPUTED_VALUE"""),"Power and Utilities")</f>
        <v>Power and Utilities</v>
      </c>
      <c r="I186" s="3" t="str">
        <f>IFERROR(__xludf.DUMMYFUNCTION("""COMPUTED_VALUE"""),"Finance - Financial Operations")</f>
        <v>Finance - Financial Operations</v>
      </c>
      <c r="J186" s="3" t="str">
        <f>IFERROR(__xludf.DUMMYFUNCTION("""COMPUTED_VALUE"""),"Partner")</f>
        <v>Partner</v>
      </c>
      <c r="K186" s="12">
        <f>IFERROR(__xludf.DUMMYFUNCTION("""COMPUTED_VALUE"""),42037.0)</f>
        <v>42037</v>
      </c>
      <c r="L186" s="3" t="str">
        <f>IFERROR(__xludf.DUMMYFUNCTION("""COMPUTED_VALUE"""),"Atlanta")</f>
        <v>Atlanta</v>
      </c>
      <c r="M186" s="3" t="str">
        <f>IFERROR(__xludf.DUMMYFUNCTION("""COMPUTED_VALUE"""),"Atlanta - 1075 Peachtree Street NE")</f>
        <v>Atlanta - 1075 Peachtree Street NE</v>
      </c>
      <c r="N186" s="3" t="b">
        <f>IFERROR(__xludf.DUMMYFUNCTION("""COMPUTED_VALUE"""),FALSE)</f>
        <v>0</v>
      </c>
      <c r="O186" s="3" t="str">
        <f>IFERROR(__xludf.DUMMYFUNCTION("""COMPUTED_VALUE"""),"kurtis.babczenko@pwc.com")</f>
        <v>kurtis.babczenko@pwc.com</v>
      </c>
      <c r="P186" s="3" t="str">
        <f>IFERROR(__xludf.DUMMYFUNCTION("""COMPUTED_VALUE"""),"No")</f>
        <v>No</v>
      </c>
      <c r="Q186" s="3" t="b">
        <f>IFERROR(__xludf.DUMMYFUNCTION("""COMPUTED_VALUE"""),FALSE)</f>
        <v>0</v>
      </c>
      <c r="R186" s="3"/>
      <c r="S186" s="3"/>
      <c r="T186" s="3" t="b">
        <f>IFERROR(__xludf.DUMMYFUNCTION("""COMPUTED_VALUE"""),FALSE)</f>
        <v>0</v>
      </c>
      <c r="U186" s="3" t="b">
        <f>IFERROR(__xludf.DUMMYFUNCTION("""COMPUTED_VALUE"""),FALSE)</f>
        <v>0</v>
      </c>
      <c r="V186" s="3" t="b">
        <f>IFERROR(__xludf.DUMMYFUNCTION("""COMPUTED_VALUE"""),FALSE)</f>
        <v>0</v>
      </c>
      <c r="W186" s="3" t="str">
        <f>IFERROR(__xludf.DUMMYFUNCTION("""COMPUTED_VALUE"""),"Delivery")</f>
        <v>Delivery</v>
      </c>
      <c r="X186" s="3"/>
      <c r="Y186" s="3" t="str">
        <f>IFERROR(__xludf.DUMMYFUNCTION("""COMPUTED_VALUE"""),"Point Partner")</f>
        <v>Point Partner</v>
      </c>
      <c r="Z186" s="3" t="str">
        <f>IFERROR(__xludf.DUMMYFUNCTION("""COMPUTED_VALUE"""),"Finance Transformation IPS - EUM / PU")</f>
        <v>Finance Transformation IPS - EUM / PU</v>
      </c>
      <c r="AA186" s="3" t="b">
        <f>IFERROR(__xludf.DUMMYFUNCTION("""COMPUTED_VALUE"""),FALSE)</f>
        <v>0</v>
      </c>
    </row>
    <row r="187">
      <c r="A187" s="11">
        <f>IFERROR(__xludf.DUMMYFUNCTION("""COMPUTED_VALUE"""),1.00614969E8)</f>
        <v>100614969</v>
      </c>
      <c r="B187" s="3" t="str">
        <f>IFERROR(__xludf.DUMMYFUNCTION("""COMPUTED_VALUE"""),"Derek Skoog")</f>
        <v>Derek Skoog</v>
      </c>
      <c r="C187" s="3" t="str">
        <f>IFERROR(__xludf.DUMMYFUNCTION("""COMPUTED_VALUE"""),"Derek Gary Skoog")</f>
        <v>Derek Gary Skoog</v>
      </c>
      <c r="D187" s="3" t="str">
        <f>IFERROR(__xludf.DUMMYFUNCTION("""COMPUTED_VALUE"""),"Skoog, Derek Gary")</f>
        <v>Skoog, Derek Gary</v>
      </c>
      <c r="E187" s="3" t="str">
        <f>IFERROR(__xludf.DUMMYFUNCTION("""COMPUTED_VALUE"""),"Active")</f>
        <v>Active</v>
      </c>
      <c r="F187" s="3" t="str">
        <f>IFERROR(__xludf.DUMMYFUNCTION("""COMPUTED_VALUE"""),"derek.g.skoog@pwc.com")</f>
        <v>derek.g.skoog@pwc.com</v>
      </c>
      <c r="G187" s="3" t="str">
        <f>IFERROR(__xludf.DUMMYFUNCTION("""COMPUTED_VALUE"""),"Workforce")</f>
        <v>Workforce</v>
      </c>
      <c r="H187" s="3" t="str">
        <f>IFERROR(__xludf.DUMMYFUNCTION("""COMPUTED_VALUE"""),"Health Services")</f>
        <v>Health Services</v>
      </c>
      <c r="I187" s="3" t="str">
        <f>IFERROR(__xludf.DUMMYFUNCTION("""COMPUTED_VALUE"""),"Workforce - Rewards &amp; Well Being")</f>
        <v>Workforce - Rewards &amp; Well Being</v>
      </c>
      <c r="J187" s="3" t="str">
        <f>IFERROR(__xludf.DUMMYFUNCTION("""COMPUTED_VALUE"""),"Partner")</f>
        <v>Partner</v>
      </c>
      <c r="K187" s="12">
        <f>IFERROR(__xludf.DUMMYFUNCTION("""COMPUTED_VALUE"""),41624.0)</f>
        <v>41624</v>
      </c>
      <c r="L187" s="3" t="str">
        <f>IFERROR(__xludf.DUMMYFUNCTION("""COMPUTED_VALUE"""),"Chicago")</f>
        <v>Chicago</v>
      </c>
      <c r="M187" s="3" t="str">
        <f>IFERROR(__xludf.DUMMYFUNCTION("""COMPUTED_VALUE"""),"Chicago - One North Wacker Drive")</f>
        <v>Chicago - One North Wacker Drive</v>
      </c>
      <c r="N187" s="3" t="b">
        <f>IFERROR(__xludf.DUMMYFUNCTION("""COMPUTED_VALUE"""),FALSE)</f>
        <v>0</v>
      </c>
      <c r="O187" s="3" t="str">
        <f>IFERROR(__xludf.DUMMYFUNCTION("""COMPUTED_VALUE"""),"craig.odonnell@pwc.com")</f>
        <v>craig.odonnell@pwc.com</v>
      </c>
      <c r="P187" s="3" t="str">
        <f>IFERROR(__xludf.DUMMYFUNCTION("""COMPUTED_VALUE"""),"No")</f>
        <v>No</v>
      </c>
      <c r="Q187" s="3" t="b">
        <f>IFERROR(__xludf.DUMMYFUNCTION("""COMPUTED_VALUE"""),FALSE)</f>
        <v>0</v>
      </c>
      <c r="R187" s="3"/>
      <c r="S187" s="3"/>
      <c r="T187" s="3" t="b">
        <f>IFERROR(__xludf.DUMMYFUNCTION("""COMPUTED_VALUE"""),FALSE)</f>
        <v>0</v>
      </c>
      <c r="U187" s="3" t="b">
        <f>IFERROR(__xludf.DUMMYFUNCTION("""COMPUTED_VALUE"""),FALSE)</f>
        <v>0</v>
      </c>
      <c r="V187" s="3" t="b">
        <f>IFERROR(__xludf.DUMMYFUNCTION("""COMPUTED_VALUE"""),FALSE)</f>
        <v>0</v>
      </c>
      <c r="W187" s="3" t="str">
        <f>IFERROR(__xludf.DUMMYFUNCTION("""COMPUTED_VALUE"""),"#N/A")</f>
        <v>#N/A</v>
      </c>
      <c r="X187" s="3" t="str">
        <f>IFERROR(__xludf.DUMMYFUNCTION("""COMPUTED_VALUE"""),"#N/A")</f>
        <v>#N/A</v>
      </c>
      <c r="Y187" s="3" t="str">
        <f>IFERROR(__xludf.DUMMYFUNCTION("""COMPUTED_VALUE"""),"#N/A")</f>
        <v>#N/A</v>
      </c>
      <c r="Z187" s="3" t="str">
        <f>IFERROR(__xludf.DUMMYFUNCTION("""COMPUTED_VALUE"""),"Unknown")</f>
        <v>Unknown</v>
      </c>
      <c r="AA187" s="3" t="b">
        <f>IFERROR(__xludf.DUMMYFUNCTION("""COMPUTED_VALUE"""),FALSE)</f>
        <v>0</v>
      </c>
    </row>
    <row r="188">
      <c r="A188" s="11">
        <f>IFERROR(__xludf.DUMMYFUNCTION("""COMPUTED_VALUE"""),1.00658626E8)</f>
        <v>100658626</v>
      </c>
      <c r="B188" s="3" t="str">
        <f>IFERROR(__xludf.DUMMYFUNCTION("""COMPUTED_VALUE"""),"Derek Townsend")</f>
        <v>Derek Townsend</v>
      </c>
      <c r="C188" s="3" t="str">
        <f>IFERROR(__xludf.DUMMYFUNCTION("""COMPUTED_VALUE"""),"Derek B Townsend")</f>
        <v>Derek B Townsend</v>
      </c>
      <c r="D188" s="3" t="str">
        <f>IFERROR(__xludf.DUMMYFUNCTION("""COMPUTED_VALUE"""),"Townsend, Derek B")</f>
        <v>Townsend, Derek B</v>
      </c>
      <c r="E188" s="3" t="str">
        <f>IFERROR(__xludf.DUMMYFUNCTION("""COMPUTED_VALUE"""),"Active")</f>
        <v>Active</v>
      </c>
      <c r="F188" s="3" t="str">
        <f>IFERROR(__xludf.DUMMYFUNCTION("""COMPUTED_VALUE"""),"derek.b.townsend@pwc.com")</f>
        <v>derek.b.townsend@pwc.com</v>
      </c>
      <c r="G188" s="3" t="str">
        <f>IFERROR(__xludf.DUMMYFUNCTION("""COMPUTED_VALUE"""),"Deals Transformation")</f>
        <v>Deals Transformation</v>
      </c>
      <c r="H188" s="3" t="str">
        <f>IFERROR(__xludf.DUMMYFUNCTION("""COMPUTED_VALUE"""),"CM X-Sector")</f>
        <v>CM X-Sector</v>
      </c>
      <c r="I188" s="3" t="str">
        <f>IFERROR(__xludf.DUMMYFUNCTION("""COMPUTED_VALUE"""),"DDV - ISD (Integration, Separation, Divestitures)")</f>
        <v>DDV - ISD (Integration, Separation, Divestitures)</v>
      </c>
      <c r="J188" s="3" t="str">
        <f>IFERROR(__xludf.DUMMYFUNCTION("""COMPUTED_VALUE"""),"Partner")</f>
        <v>Partner</v>
      </c>
      <c r="K188" s="12">
        <f>IFERROR(__xludf.DUMMYFUNCTION("""COMPUTED_VALUE"""),36009.0)</f>
        <v>36009</v>
      </c>
      <c r="L188" s="3" t="str">
        <f>IFERROR(__xludf.DUMMYFUNCTION("""COMPUTED_VALUE"""),"Boston")</f>
        <v>Boston</v>
      </c>
      <c r="M188" s="3" t="str">
        <f>IFERROR(__xludf.DUMMYFUNCTION("""COMPUTED_VALUE"""),"Boston - 101 Seaport Boulevard")</f>
        <v>Boston - 101 Seaport Boulevard</v>
      </c>
      <c r="N188" s="3" t="b">
        <f>IFERROR(__xludf.DUMMYFUNCTION("""COMPUTED_VALUE"""),TRUE)</f>
        <v>1</v>
      </c>
      <c r="O188" s="3" t="str">
        <f>IFERROR(__xludf.DUMMYFUNCTION("""COMPUTED_VALUE"""),"mike.connolly@pwc.com")</f>
        <v>mike.connolly@pwc.com</v>
      </c>
      <c r="P188" s="3" t="str">
        <f>IFERROR(__xludf.DUMMYFUNCTION("""COMPUTED_VALUE"""),"No")</f>
        <v>No</v>
      </c>
      <c r="Q188" s="3" t="b">
        <f>IFERROR(__xludf.DUMMYFUNCTION("""COMPUTED_VALUE"""),FALSE)</f>
        <v>0</v>
      </c>
      <c r="R188" s="3"/>
      <c r="S188" s="3"/>
      <c r="T188" s="3" t="b">
        <f>IFERROR(__xludf.DUMMYFUNCTION("""COMPUTED_VALUE"""),FALSE)</f>
        <v>0</v>
      </c>
      <c r="U188" s="3" t="b">
        <f>IFERROR(__xludf.DUMMYFUNCTION("""COMPUTED_VALUE"""),FALSE)</f>
        <v>0</v>
      </c>
      <c r="V188" s="3" t="b">
        <f>IFERROR(__xludf.DUMMYFUNCTION("""COMPUTED_VALUE"""),FALSE)</f>
        <v>0</v>
      </c>
      <c r="W188" s="3" t="str">
        <f>IFERROR(__xludf.DUMMYFUNCTION("""COMPUTED_VALUE"""),"Delivery")</f>
        <v>Delivery</v>
      </c>
      <c r="X188" s="3"/>
      <c r="Y188" s="3" t="str">
        <f>IFERROR(__xludf.DUMMYFUNCTION("""COMPUTED_VALUE"""),"PTL")</f>
        <v>PTL</v>
      </c>
      <c r="Z188" s="3" t="str">
        <f>IFERROR(__xludf.DUMMYFUNCTION("""COMPUTED_VALUE"""),"PE M&amp;A Transformation")</f>
        <v>PE M&amp;A Transformation</v>
      </c>
      <c r="AA188" s="3" t="b">
        <f>IFERROR(__xludf.DUMMYFUNCTION("""COMPUTED_VALUE"""),FALSE)</f>
        <v>0</v>
      </c>
    </row>
    <row r="189">
      <c r="A189" s="11">
        <f>IFERROR(__xludf.DUMMYFUNCTION("""COMPUTED_VALUE"""),1.00609871E8)</f>
        <v>100609871</v>
      </c>
      <c r="B189" s="3" t="str">
        <f>IFERROR(__xludf.DUMMYFUNCTION("""COMPUTED_VALUE"""),"Diane Youden")</f>
        <v>Diane Youden</v>
      </c>
      <c r="C189" s="3" t="str">
        <f>IFERROR(__xludf.DUMMYFUNCTION("""COMPUTED_VALUE"""),"Diane M Youden")</f>
        <v>Diane M Youden</v>
      </c>
      <c r="D189" s="3" t="str">
        <f>IFERROR(__xludf.DUMMYFUNCTION("""COMPUTED_VALUE"""),"Youden, Diane M")</f>
        <v>Youden, Diane M</v>
      </c>
      <c r="E189" s="3" t="str">
        <f>IFERROR(__xludf.DUMMYFUNCTION("""COMPUTED_VALUE"""),"Active")</f>
        <v>Active</v>
      </c>
      <c r="F189" s="3" t="str">
        <f>IFERROR(__xludf.DUMMYFUNCTION("""COMPUTED_VALUE"""),"diane.m.youden@pwc.com")</f>
        <v>diane.m.youden@pwc.com</v>
      </c>
      <c r="G189" s="3" t="str">
        <f>IFERROR(__xludf.DUMMYFUNCTION("""COMPUTED_VALUE"""),"Workforce")</f>
        <v>Workforce</v>
      </c>
      <c r="H189" s="3" t="str">
        <f>IFERROR(__xludf.DUMMYFUNCTION("""COMPUTED_VALUE"""),"Manufacturing")</f>
        <v>Manufacturing</v>
      </c>
      <c r="I189" s="3" t="str">
        <f>IFERROR(__xludf.DUMMYFUNCTION("""COMPUTED_VALUE"""),"Workforce - HRT")</f>
        <v>Workforce - HRT</v>
      </c>
      <c r="J189" s="3" t="str">
        <f>IFERROR(__xludf.DUMMYFUNCTION("""COMPUTED_VALUE"""),"Partner")</f>
        <v>Partner</v>
      </c>
      <c r="K189" s="12">
        <f>IFERROR(__xludf.DUMMYFUNCTION("""COMPUTED_VALUE"""),37398.0)</f>
        <v>37398</v>
      </c>
      <c r="L189" s="3" t="str">
        <f>IFERROR(__xludf.DUMMYFUNCTION("""COMPUTED_VALUE"""),"Dallas")</f>
        <v>Dallas</v>
      </c>
      <c r="M189" s="3" t="str">
        <f>IFERROR(__xludf.DUMMYFUNCTION("""COMPUTED_VALUE"""),"Dallas - 2121 North Pearl Street")</f>
        <v>Dallas - 2121 North Pearl Street</v>
      </c>
      <c r="N189" s="3" t="b">
        <f>IFERROR(__xludf.DUMMYFUNCTION("""COMPUTED_VALUE"""),TRUE)</f>
        <v>1</v>
      </c>
      <c r="O189" s="3" t="str">
        <f>IFERROR(__xludf.DUMMYFUNCTION("""COMPUTED_VALUE"""),"craig.odonnell@pwc.com")</f>
        <v>craig.odonnell@pwc.com</v>
      </c>
      <c r="P189" s="3" t="str">
        <f>IFERROR(__xludf.DUMMYFUNCTION("""COMPUTED_VALUE"""),"No")</f>
        <v>No</v>
      </c>
      <c r="Q189" s="3" t="b">
        <f>IFERROR(__xludf.DUMMYFUNCTION("""COMPUTED_VALUE"""),FALSE)</f>
        <v>0</v>
      </c>
      <c r="R189" s="3"/>
      <c r="S189" s="3"/>
      <c r="T189" s="3" t="b">
        <f>IFERROR(__xludf.DUMMYFUNCTION("""COMPUTED_VALUE"""),FALSE)</f>
        <v>0</v>
      </c>
      <c r="U189" s="3" t="b">
        <f>IFERROR(__xludf.DUMMYFUNCTION("""COMPUTED_VALUE"""),FALSE)</f>
        <v>0</v>
      </c>
      <c r="V189" s="3" t="b">
        <f>IFERROR(__xludf.DUMMYFUNCTION("""COMPUTED_VALUE"""),FALSE)</f>
        <v>0</v>
      </c>
      <c r="W189" s="3" t="str">
        <f>IFERROR(__xludf.DUMMYFUNCTION("""COMPUTED_VALUE"""),"#N/A")</f>
        <v>#N/A</v>
      </c>
      <c r="X189" s="3" t="str">
        <f>IFERROR(__xludf.DUMMYFUNCTION("""COMPUTED_VALUE"""),"#N/A")</f>
        <v>#N/A</v>
      </c>
      <c r="Y189" s="3" t="str">
        <f>IFERROR(__xludf.DUMMYFUNCTION("""COMPUTED_VALUE"""),"#N/A")</f>
        <v>#N/A</v>
      </c>
      <c r="Z189" s="3" t="str">
        <f>IFERROR(__xludf.DUMMYFUNCTION("""COMPUTED_VALUE"""),"Unknown")</f>
        <v>Unknown</v>
      </c>
      <c r="AA189" s="3" t="b">
        <f>IFERROR(__xludf.DUMMYFUNCTION("""COMPUTED_VALUE"""),TRUE)</f>
        <v>1</v>
      </c>
    </row>
    <row r="190">
      <c r="A190" s="11">
        <f>IFERROR(__xludf.DUMMYFUNCTION("""COMPUTED_VALUE"""),1.00608155E8)</f>
        <v>100608155</v>
      </c>
      <c r="B190" s="3" t="str">
        <f>IFERROR(__xludf.DUMMYFUNCTION("""COMPUTED_VALUE"""),"Dietmar Ostermann")</f>
        <v>Dietmar Ostermann</v>
      </c>
      <c r="C190" s="3" t="str">
        <f>IFERROR(__xludf.DUMMYFUNCTION("""COMPUTED_VALUE"""),"Dietmar  Ostermann")</f>
        <v>Dietmar  Ostermann</v>
      </c>
      <c r="D190" s="3" t="str">
        <f>IFERROR(__xludf.DUMMYFUNCTION("""COMPUTED_VALUE"""),"Ostermann, Dietmar")</f>
        <v>Ostermann, Dietmar</v>
      </c>
      <c r="E190" s="3" t="str">
        <f>IFERROR(__xludf.DUMMYFUNCTION("""COMPUTED_VALUE"""),"Active")</f>
        <v>Active</v>
      </c>
      <c r="F190" s="3" t="str">
        <f>IFERROR(__xludf.DUMMYFUNCTION("""COMPUTED_VALUE"""),"dietmar.ostermann@pwc.com")</f>
        <v>dietmar.ostermann@pwc.com</v>
      </c>
      <c r="G190" s="3" t="str">
        <f>IFERROR(__xludf.DUMMYFUNCTION("""COMPUTED_VALUE"""),"Ops")</f>
        <v>Ops</v>
      </c>
      <c r="H190" s="3" t="str">
        <f>IFERROR(__xludf.DUMMYFUNCTION("""COMPUTED_VALUE"""),"Automotive")</f>
        <v>Automotive</v>
      </c>
      <c r="I190" s="3" t="str">
        <f>IFERROR(__xludf.DUMMYFUNCTION("""COMPUTED_VALUE"""),"Ops - Product Development &amp; Manufacturing (PDM)")</f>
        <v>Ops - Product Development &amp; Manufacturing (PDM)</v>
      </c>
      <c r="J190" s="3" t="str">
        <f>IFERROR(__xludf.DUMMYFUNCTION("""COMPUTED_VALUE"""),"Partner (Position Vacate:06/30/2022)")</f>
        <v>Partner (Position Vacate:06/30/2022)</v>
      </c>
      <c r="K190" s="12">
        <f>IFERROR(__xludf.DUMMYFUNCTION("""COMPUTED_VALUE"""),40777.0)</f>
        <v>40777</v>
      </c>
      <c r="L190" s="3" t="str">
        <f>IFERROR(__xludf.DUMMYFUNCTION("""COMPUTED_VALUE"""),"Detroit")</f>
        <v>Detroit</v>
      </c>
      <c r="M190" s="3" t="str">
        <f>IFERROR(__xludf.DUMMYFUNCTION("""COMPUTED_VALUE"""),"Detroit - 500 Woodward Avenue")</f>
        <v>Detroit - 500 Woodward Avenue</v>
      </c>
      <c r="N190" s="3" t="b">
        <f>IFERROR(__xludf.DUMMYFUNCTION("""COMPUTED_VALUE"""),FALSE)</f>
        <v>0</v>
      </c>
      <c r="O190" s="3" t="str">
        <f>IFERROR(__xludf.DUMMYFUNCTION("""COMPUTED_VALUE"""),"matthew.r.comte@pwc.com")</f>
        <v>matthew.r.comte@pwc.com</v>
      </c>
      <c r="P190" s="3" t="str">
        <f>IFERROR(__xludf.DUMMYFUNCTION("""COMPUTED_VALUE"""),"No")</f>
        <v>No</v>
      </c>
      <c r="Q190" s="3" t="b">
        <f>IFERROR(__xludf.DUMMYFUNCTION("""COMPUTED_VALUE"""),FALSE)</f>
        <v>0</v>
      </c>
      <c r="R190" s="3"/>
      <c r="S190" s="3"/>
      <c r="T190" s="3" t="b">
        <f>IFERROR(__xludf.DUMMYFUNCTION("""COMPUTED_VALUE"""),FALSE)</f>
        <v>0</v>
      </c>
      <c r="U190" s="3" t="b">
        <f>IFERROR(__xludf.DUMMYFUNCTION("""COMPUTED_VALUE"""),TRUE)</f>
        <v>1</v>
      </c>
      <c r="V190" s="3" t="b">
        <f>IFERROR(__xludf.DUMMYFUNCTION("""COMPUTED_VALUE"""),FALSE)</f>
        <v>0</v>
      </c>
      <c r="W190" s="3" t="str">
        <f>IFERROR(__xludf.DUMMYFUNCTION("""COMPUTED_VALUE"""),"Delivery")</f>
        <v>Delivery</v>
      </c>
      <c r="X190" s="3"/>
      <c r="Y190" s="3"/>
      <c r="Z190" s="3" t="str">
        <f>IFERROR(__xludf.DUMMYFUNCTION("""COMPUTED_VALUE"""),"IP + Technology Ops Transformation")</f>
        <v>IP + Technology Ops Transformation</v>
      </c>
      <c r="AA190" s="3" t="b">
        <f>IFERROR(__xludf.DUMMYFUNCTION("""COMPUTED_VALUE"""),TRUE)</f>
        <v>1</v>
      </c>
    </row>
    <row r="191">
      <c r="A191" s="11">
        <f>IFERROR(__xludf.DUMMYFUNCTION("""COMPUTED_VALUE"""),1.00610242E8)</f>
        <v>100610242</v>
      </c>
      <c r="B191" s="3" t="str">
        <f>IFERROR(__xludf.DUMMYFUNCTION("""COMPUTED_VALUE"""),"Dinkar Saran")</f>
        <v>Dinkar Saran</v>
      </c>
      <c r="C191" s="3" t="str">
        <f>IFERROR(__xludf.DUMMYFUNCTION("""COMPUTED_VALUE"""),"Dinkar  Saran")</f>
        <v>Dinkar  Saran</v>
      </c>
      <c r="D191" s="3" t="str">
        <f>IFERROR(__xludf.DUMMYFUNCTION("""COMPUTED_VALUE"""),"Saran, Dinkar")</f>
        <v>Saran, Dinkar</v>
      </c>
      <c r="E191" s="3" t="str">
        <f>IFERROR(__xludf.DUMMYFUNCTION("""COMPUTED_VALUE"""),"Active")</f>
        <v>Active</v>
      </c>
      <c r="F191" s="3" t="str">
        <f>IFERROR(__xludf.DUMMYFUNCTION("""COMPUTED_VALUE"""),"dinkar.saran@pwc.com")</f>
        <v>dinkar.saran@pwc.com</v>
      </c>
      <c r="G191" s="3" t="str">
        <f>IFERROR(__xludf.DUMMYFUNCTION("""COMPUTED_VALUE"""),"Ops")</f>
        <v>Ops</v>
      </c>
      <c r="H191" s="3" t="str">
        <f>IFERROR(__xludf.DUMMYFUNCTION("""COMPUTED_VALUE"""),"Pharma and Life Sciences")</f>
        <v>Pharma and Life Sciences</v>
      </c>
      <c r="I191" s="3" t="str">
        <f>IFERROR(__xludf.DUMMYFUNCTION("""COMPUTED_VALUE"""),"Ops - Product Development &amp; Manufacturing (PDM)")</f>
        <v>Ops - Product Development &amp; Manufacturing (PDM)</v>
      </c>
      <c r="J191" s="3" t="str">
        <f>IFERROR(__xludf.DUMMYFUNCTION("""COMPUTED_VALUE"""),"Partner")</f>
        <v>Partner</v>
      </c>
      <c r="K191" s="12">
        <f>IFERROR(__xludf.DUMMYFUNCTION("""COMPUTED_VALUE"""),40777.0)</f>
        <v>40777</v>
      </c>
      <c r="L191" s="3" t="str">
        <f>IFERROR(__xludf.DUMMYFUNCTION("""COMPUTED_VALUE"""),"Boston")</f>
        <v>Boston</v>
      </c>
      <c r="M191" s="3" t="str">
        <f>IFERROR(__xludf.DUMMYFUNCTION("""COMPUTED_VALUE"""),"Boston - 101 Seaport Boulevard")</f>
        <v>Boston - 101 Seaport Boulevard</v>
      </c>
      <c r="N191" s="3" t="b">
        <f>IFERROR(__xludf.DUMMYFUNCTION("""COMPUTED_VALUE"""),FALSE)</f>
        <v>0</v>
      </c>
      <c r="O191" s="3" t="str">
        <f>IFERROR(__xludf.DUMMYFUNCTION("""COMPUTED_VALUE"""),"matthew.r.comte@pwc.com")</f>
        <v>matthew.r.comte@pwc.com</v>
      </c>
      <c r="P191" s="3" t="str">
        <f>IFERROR(__xludf.DUMMYFUNCTION("""COMPUTED_VALUE"""),"No")</f>
        <v>No</v>
      </c>
      <c r="Q191" s="3" t="b">
        <f>IFERROR(__xludf.DUMMYFUNCTION("""COMPUTED_VALUE"""),TRUE)</f>
        <v>1</v>
      </c>
      <c r="R191" s="3" t="str">
        <f>IFERROR(__xludf.DUMMYFUNCTION("""COMPUTED_VALUE"""),"LCP High")</f>
        <v>LCP High</v>
      </c>
      <c r="S191" s="3"/>
      <c r="T191" s="3" t="b">
        <f>IFERROR(__xludf.DUMMYFUNCTION("""COMPUTED_VALUE"""),FALSE)</f>
        <v>0</v>
      </c>
      <c r="U191" s="3" t="b">
        <f>IFERROR(__xludf.DUMMYFUNCTION("""COMPUTED_VALUE"""),FALSE)</f>
        <v>0</v>
      </c>
      <c r="V191" s="3" t="b">
        <f>IFERROR(__xludf.DUMMYFUNCTION("""COMPUTED_VALUE"""),FALSE)</f>
        <v>0</v>
      </c>
      <c r="W191" s="3" t="str">
        <f>IFERROR(__xludf.DUMMYFUNCTION("""COMPUTED_VALUE"""),"LCP")</f>
        <v>LCP</v>
      </c>
      <c r="X191" s="3"/>
      <c r="Y191" s="3" t="str">
        <f>IFERROR(__xludf.DUMMYFUNCTION("""COMPUTED_VALUE"""),"GEP - High")</f>
        <v>GEP - High</v>
      </c>
      <c r="Z191" s="3" t="str">
        <f>IFERROR(__xludf.DUMMYFUNCTION("""COMPUTED_VALUE"""),"PLS Ops Transformation")</f>
        <v>PLS Ops Transformation</v>
      </c>
      <c r="AA191" s="3" t="b">
        <f>IFERROR(__xludf.DUMMYFUNCTION("""COMPUTED_VALUE"""),TRUE)</f>
        <v>1</v>
      </c>
    </row>
    <row r="192">
      <c r="A192" s="11">
        <f>IFERROR(__xludf.DUMMYFUNCTION("""COMPUTED_VALUE"""),1.0060553E8)</f>
        <v>100605530</v>
      </c>
      <c r="B192" s="3" t="str">
        <f>IFERROR(__xludf.DUMMYFUNCTION("""COMPUTED_VALUE"""),"Don Christian")</f>
        <v>Don Christian</v>
      </c>
      <c r="C192" s="3" t="str">
        <f>IFERROR(__xludf.DUMMYFUNCTION("""COMPUTED_VALUE"""),"Donald Bryan Christian")</f>
        <v>Donald Bryan Christian</v>
      </c>
      <c r="D192" s="3" t="str">
        <f>IFERROR(__xludf.DUMMYFUNCTION("""COMPUTED_VALUE"""),"Christian, Donald Bryan")</f>
        <v>Christian, Donald Bryan</v>
      </c>
      <c r="E192" s="3" t="str">
        <f>IFERROR(__xludf.DUMMYFUNCTION("""COMPUTED_VALUE"""),"Active")</f>
        <v>Active</v>
      </c>
      <c r="F192" s="3" t="str">
        <f>IFERROR(__xludf.DUMMYFUNCTION("""COMPUTED_VALUE"""),"donald.b.christian@pwc.com")</f>
        <v>donald.b.christian@pwc.com</v>
      </c>
      <c r="G192" s="3" t="str">
        <f>IFERROR(__xludf.DUMMYFUNCTION("""COMPUTED_VALUE"""),"Finance")</f>
        <v>Finance</v>
      </c>
      <c r="H192" s="3" t="str">
        <f>IFERROR(__xludf.DUMMYFUNCTION("""COMPUTED_VALUE"""),"TMT X-Sector")</f>
        <v>TMT X-Sector</v>
      </c>
      <c r="I192" s="3" t="str">
        <f>IFERROR(__xludf.DUMMYFUNCTION("""COMPUTED_VALUE"""),"Finance - Finance Strategy / Op Model / Global Business Services / Talent")</f>
        <v>Finance - Finance Strategy / Op Model / Global Business Services / Talent</v>
      </c>
      <c r="J192" s="3" t="str">
        <f>IFERROR(__xludf.DUMMYFUNCTION("""COMPUTED_VALUE"""),"Partner")</f>
        <v>Partner</v>
      </c>
      <c r="K192" s="12">
        <f>IFERROR(__xludf.DUMMYFUNCTION("""COMPUTED_VALUE"""),32526.0)</f>
        <v>32526</v>
      </c>
      <c r="L192" s="3" t="str">
        <f>IFERROR(__xludf.DUMMYFUNCTION("""COMPUTED_VALUE"""),"Washington")</f>
        <v>Washington</v>
      </c>
      <c r="M192" s="3" t="str">
        <f>IFERROR(__xludf.DUMMYFUNCTION("""COMPUTED_VALUE"""),"Washington DC - 655 New York Avenue")</f>
        <v>Washington DC - 655 New York Avenue</v>
      </c>
      <c r="N192" s="3" t="b">
        <f>IFERROR(__xludf.DUMMYFUNCTION("""COMPUTED_VALUE"""),FALSE)</f>
        <v>0</v>
      </c>
      <c r="O192" s="3" t="str">
        <f>IFERROR(__xludf.DUMMYFUNCTION("""COMPUTED_VALUE"""),"kurtis.babczenko@pwc.com")</f>
        <v>kurtis.babczenko@pwc.com</v>
      </c>
      <c r="P192" s="3" t="str">
        <f>IFERROR(__xludf.DUMMYFUNCTION("""COMPUTED_VALUE"""),"No")</f>
        <v>No</v>
      </c>
      <c r="Q192" s="3" t="b">
        <f>IFERROR(__xludf.DUMMYFUNCTION("""COMPUTED_VALUE"""),FALSE)</f>
        <v>0</v>
      </c>
      <c r="R192" s="3"/>
      <c r="S192" s="3"/>
      <c r="T192" s="3" t="b">
        <f>IFERROR(__xludf.DUMMYFUNCTION("""COMPUTED_VALUE"""),FALSE)</f>
        <v>0</v>
      </c>
      <c r="U192" s="3" t="b">
        <f>IFERROR(__xludf.DUMMYFUNCTION("""COMPUTED_VALUE"""),TRUE)</f>
        <v>1</v>
      </c>
      <c r="V192" s="3" t="b">
        <f>IFERROR(__xludf.DUMMYFUNCTION("""COMPUTED_VALUE"""),FALSE)</f>
        <v>0</v>
      </c>
      <c r="W192" s="3" t="str">
        <f>IFERROR(__xludf.DUMMYFUNCTION("""COMPUTED_VALUE"""),"Delivery")</f>
        <v>Delivery</v>
      </c>
      <c r="X192" s="3"/>
      <c r="Y192" s="3"/>
      <c r="Z192" s="3" t="str">
        <f>IFERROR(__xludf.DUMMYFUNCTION("""COMPUTED_VALUE"""),"Finance Transformation - TMT")</f>
        <v>Finance Transformation - TMT</v>
      </c>
      <c r="AA192" s="3" t="b">
        <f>IFERROR(__xludf.DUMMYFUNCTION("""COMPUTED_VALUE"""),TRUE)</f>
        <v>1</v>
      </c>
    </row>
    <row r="193">
      <c r="A193" s="11">
        <f>IFERROR(__xludf.DUMMYFUNCTION("""COMPUTED_VALUE"""),1.00638639E8)</f>
        <v>100638639</v>
      </c>
      <c r="B193" s="3" t="str">
        <f>IFERROR(__xludf.DUMMYFUNCTION("""COMPUTED_VALUE"""),"Donald Reed")</f>
        <v>Donald Reed</v>
      </c>
      <c r="C193" s="3" t="str">
        <f>IFERROR(__xludf.DUMMYFUNCTION("""COMPUTED_VALUE"""),"Donald J. Reed")</f>
        <v>Donald J. Reed</v>
      </c>
      <c r="D193" s="3" t="str">
        <f>IFERROR(__xludf.DUMMYFUNCTION("""COMPUTED_VALUE"""),"Reed, Donald J.")</f>
        <v>Reed, Donald J.</v>
      </c>
      <c r="E193" s="3" t="str">
        <f>IFERROR(__xludf.DUMMYFUNCTION("""COMPUTED_VALUE"""),"Active")</f>
        <v>Active</v>
      </c>
      <c r="F193" s="3" t="str">
        <f>IFERROR(__xludf.DUMMYFUNCTION("""COMPUTED_VALUE"""),"don.j.reed@pwc.com")</f>
        <v>don.j.reed@pwc.com</v>
      </c>
      <c r="G193" s="3" t="str">
        <f>IFERROR(__xludf.DUMMYFUNCTION("""COMPUTED_VALUE"""),"Finance")</f>
        <v>Finance</v>
      </c>
      <c r="H193" s="3" t="str">
        <f>IFERROR(__xludf.DUMMYFUNCTION("""COMPUTED_VALUE"""),"Banking and Capital Markets")</f>
        <v>Banking and Capital Markets</v>
      </c>
      <c r="I193" s="3" t="str">
        <f>IFERROR(__xludf.DUMMYFUNCTION("""COMPUTED_VALUE"""),"Finance - Finance Strategy / Op Model / Global Business Services / Talent")</f>
        <v>Finance - Finance Strategy / Op Model / Global Business Services / Talent</v>
      </c>
      <c r="J193" s="3" t="str">
        <f>IFERROR(__xludf.DUMMYFUNCTION("""COMPUTED_VALUE"""),"Managing Director")</f>
        <v>Managing Director</v>
      </c>
      <c r="K193" s="12">
        <f>IFERROR(__xludf.DUMMYFUNCTION("""COMPUTED_VALUE"""),44315.0)</f>
        <v>44315</v>
      </c>
      <c r="L193" s="3" t="str">
        <f>IFERROR(__xludf.DUMMYFUNCTION("""COMPUTED_VALUE"""),"Boston")</f>
        <v>Boston</v>
      </c>
      <c r="M193" s="3" t="str">
        <f>IFERROR(__xludf.DUMMYFUNCTION("""COMPUTED_VALUE"""),"Boston - 101 Seaport Boulevard")</f>
        <v>Boston - 101 Seaport Boulevard</v>
      </c>
      <c r="N193" s="3" t="b">
        <f>IFERROR(__xludf.DUMMYFUNCTION("""COMPUTED_VALUE"""),FALSE)</f>
        <v>0</v>
      </c>
      <c r="O193" s="3" t="str">
        <f>IFERROR(__xludf.DUMMYFUNCTION("""COMPUTED_VALUE"""),"kurtis.babczenko@pwc.com")</f>
        <v>kurtis.babczenko@pwc.com</v>
      </c>
      <c r="P193" s="3" t="str">
        <f>IFERROR(__xludf.DUMMYFUNCTION("""COMPUTED_VALUE"""),"FY21 2nd Half")</f>
        <v>FY21 2nd Half</v>
      </c>
      <c r="Q193" s="3" t="b">
        <f>IFERROR(__xludf.DUMMYFUNCTION("""COMPUTED_VALUE"""),FALSE)</f>
        <v>0</v>
      </c>
      <c r="R193" s="3"/>
      <c r="S193" s="3"/>
      <c r="T193" s="3" t="b">
        <f>IFERROR(__xludf.DUMMYFUNCTION("""COMPUTED_VALUE"""),FALSE)</f>
        <v>0</v>
      </c>
      <c r="U193" s="3" t="b">
        <f>IFERROR(__xludf.DUMMYFUNCTION("""COMPUTED_VALUE"""),TRUE)</f>
        <v>1</v>
      </c>
      <c r="V193" s="3" t="b">
        <f>IFERROR(__xludf.DUMMYFUNCTION("""COMPUTED_VALUE"""),FALSE)</f>
        <v>0</v>
      </c>
      <c r="W193" s="3" t="str">
        <f>IFERROR(__xludf.DUMMYFUNCTION("""COMPUTED_VALUE"""),"Catalyst")</f>
        <v>Catalyst</v>
      </c>
      <c r="X193" s="3"/>
      <c r="Y193" s="3" t="str">
        <f>IFERROR(__xludf.DUMMYFUNCTION("""COMPUTED_VALUE"""),"FY21 2nd Half")</f>
        <v>FY21 2nd Half</v>
      </c>
      <c r="Z193" s="3" t="str">
        <f>IFERROR(__xludf.DUMMYFUNCTION("""COMPUTED_VALUE"""),"ESG")</f>
        <v>ESG</v>
      </c>
      <c r="AA193" s="3" t="b">
        <f>IFERROR(__xludf.DUMMYFUNCTION("""COMPUTED_VALUE"""),FALSE)</f>
        <v>0</v>
      </c>
    </row>
    <row r="194">
      <c r="A194" s="11">
        <f>IFERROR(__xludf.DUMMYFUNCTION("""COMPUTED_VALUE"""),1.00585872E8)</f>
        <v>100585872</v>
      </c>
      <c r="B194" s="3" t="str">
        <f>IFERROR(__xludf.DUMMYFUNCTION("""COMPUTED_VALUE"""),"Doug Anderson")</f>
        <v>Doug Anderson</v>
      </c>
      <c r="C194" s="3" t="str">
        <f>IFERROR(__xludf.DUMMYFUNCTION("""COMPUTED_VALUE"""),"Douglas D Anderson")</f>
        <v>Douglas D Anderson</v>
      </c>
      <c r="D194" s="3" t="str">
        <f>IFERROR(__xludf.DUMMYFUNCTION("""COMPUTED_VALUE"""),"Anderson, Douglas D")</f>
        <v>Anderson, Douglas D</v>
      </c>
      <c r="E194" s="3" t="str">
        <f>IFERROR(__xludf.DUMMYFUNCTION("""COMPUTED_VALUE"""),"Active")</f>
        <v>Active</v>
      </c>
      <c r="F194" s="3" t="str">
        <f>IFERROR(__xludf.DUMMYFUNCTION("""COMPUTED_VALUE"""),"doug.anderson@pwc.com")</f>
        <v>doug.anderson@pwc.com</v>
      </c>
      <c r="G194" s="3" t="str">
        <f>IFERROR(__xludf.DUMMYFUNCTION("""COMPUTED_VALUE"""),"Ops")</f>
        <v>Ops</v>
      </c>
      <c r="H194" s="3" t="str">
        <f>IFERROR(__xludf.DUMMYFUNCTION("""COMPUTED_VALUE"""),"Manufacturing")</f>
        <v>Manufacturing</v>
      </c>
      <c r="I194" s="3" t="str">
        <f>IFERROR(__xludf.DUMMYFUNCTION("""COMPUTED_VALUE"""),"Ops - Sourcing &amp; Procurement (S&amp;P)")</f>
        <v>Ops - Sourcing &amp; Procurement (S&amp;P)</v>
      </c>
      <c r="J194" s="3" t="str">
        <f>IFERROR(__xludf.DUMMYFUNCTION("""COMPUTED_VALUE"""),"Partner")</f>
        <v>Partner</v>
      </c>
      <c r="K194" s="12">
        <f>IFERROR(__xludf.DUMMYFUNCTION("""COMPUTED_VALUE"""),40798.0)</f>
        <v>40798</v>
      </c>
      <c r="L194" s="3" t="str">
        <f>IFERROR(__xludf.DUMMYFUNCTION("""COMPUTED_VALUE"""),"Los Angeles")</f>
        <v>Los Angeles</v>
      </c>
      <c r="M194" s="3" t="str">
        <f>IFERROR(__xludf.DUMMYFUNCTION("""COMPUTED_VALUE"""),"Los Angeles - 601 South Figueroa Street")</f>
        <v>Los Angeles - 601 South Figueroa Street</v>
      </c>
      <c r="N194" s="3" t="b">
        <f>IFERROR(__xludf.DUMMYFUNCTION("""COMPUTED_VALUE"""),FALSE)</f>
        <v>0</v>
      </c>
      <c r="O194" s="3" t="str">
        <f>IFERROR(__xludf.DUMMYFUNCTION("""COMPUTED_VALUE"""),"matthew.r.comte@pwc.com")</f>
        <v>matthew.r.comte@pwc.com</v>
      </c>
      <c r="P194" s="3" t="str">
        <f>IFERROR(__xludf.DUMMYFUNCTION("""COMPUTED_VALUE"""),"No")</f>
        <v>No</v>
      </c>
      <c r="Q194" s="3" t="b">
        <f>IFERROR(__xludf.DUMMYFUNCTION("""COMPUTED_VALUE"""),FALSE)</f>
        <v>0</v>
      </c>
      <c r="R194" s="3"/>
      <c r="S194" s="3"/>
      <c r="T194" s="3" t="b">
        <f>IFERROR(__xludf.DUMMYFUNCTION("""COMPUTED_VALUE"""),FALSE)</f>
        <v>0</v>
      </c>
      <c r="U194" s="3" t="b">
        <f>IFERROR(__xludf.DUMMYFUNCTION("""COMPUTED_VALUE"""),TRUE)</f>
        <v>1</v>
      </c>
      <c r="V194" s="3" t="b">
        <f>IFERROR(__xludf.DUMMYFUNCTION("""COMPUTED_VALUE"""),FALSE)</f>
        <v>0</v>
      </c>
      <c r="W194" s="3" t="str">
        <f>IFERROR(__xludf.DUMMYFUNCTION("""COMPUTED_VALUE"""),"Delivery")</f>
        <v>Delivery</v>
      </c>
      <c r="X194" s="3" t="str">
        <f>IFERROR(__xludf.DUMMYFUNCTION("""COMPUTED_VALUE"""),"Investment")</f>
        <v>Investment</v>
      </c>
      <c r="Y194" s="3" t="str">
        <f>IFERROR(__xludf.DUMMYFUNCTION("""COMPUTED_VALUE"""),"Investment")</f>
        <v>Investment</v>
      </c>
      <c r="Z194" s="3" t="str">
        <f>IFERROR(__xludf.DUMMYFUNCTION("""COMPUTED_VALUE"""),"IP + Technology Ops Transformation")</f>
        <v>IP + Technology Ops Transformation</v>
      </c>
      <c r="AA194" s="3" t="b">
        <f>IFERROR(__xludf.DUMMYFUNCTION("""COMPUTED_VALUE"""),FALSE)</f>
        <v>0</v>
      </c>
    </row>
    <row r="195">
      <c r="A195" s="11">
        <f>IFERROR(__xludf.DUMMYFUNCTION("""COMPUTED_VALUE"""),1.00637651E8)</f>
        <v>100637651</v>
      </c>
      <c r="B195" s="3" t="str">
        <f>IFERROR(__xludf.DUMMYFUNCTION("""COMPUTED_VALUE"""),"Douglas Dwyre")</f>
        <v>Douglas Dwyre</v>
      </c>
      <c r="C195" s="3" t="str">
        <f>IFERROR(__xludf.DUMMYFUNCTION("""COMPUTED_VALUE"""),"Douglas Peter Dwyre")</f>
        <v>Douglas Peter Dwyre</v>
      </c>
      <c r="D195" s="3" t="str">
        <f>IFERROR(__xludf.DUMMYFUNCTION("""COMPUTED_VALUE"""),"Dwyre, Douglas Peter")</f>
        <v>Dwyre, Douglas Peter</v>
      </c>
      <c r="E195" s="3" t="str">
        <f>IFERROR(__xludf.DUMMYFUNCTION("""COMPUTED_VALUE"""),"Active")</f>
        <v>Active</v>
      </c>
      <c r="F195" s="3" t="str">
        <f>IFERROR(__xludf.DUMMYFUNCTION("""COMPUTED_VALUE"""),"douglas.dwyre@pwc.com")</f>
        <v>douglas.dwyre@pwc.com</v>
      </c>
      <c r="G195" s="3" t="str">
        <f>IFERROR(__xludf.DUMMYFUNCTION("""COMPUTED_VALUE"""),"FS")</f>
        <v>FS</v>
      </c>
      <c r="H195" s="3" t="str">
        <f>IFERROR(__xludf.DUMMYFUNCTION("""COMPUTED_VALUE"""),"Banking and Capital Markets")</f>
        <v>Banking and Capital Markets</v>
      </c>
      <c r="I195" s="3" t="str">
        <f>IFERROR(__xludf.DUMMYFUNCTION("""COMPUTED_VALUE"""),"FS - Banking and Capital Markets")</f>
        <v>FS - Banking and Capital Markets</v>
      </c>
      <c r="J195" s="3" t="str">
        <f>IFERROR(__xludf.DUMMYFUNCTION("""COMPUTED_VALUE"""),"Managing Director")</f>
        <v>Managing Director</v>
      </c>
      <c r="K195" s="12">
        <f>IFERROR(__xludf.DUMMYFUNCTION("""COMPUTED_VALUE"""),44151.0)</f>
        <v>44151</v>
      </c>
      <c r="L195" s="3" t="str">
        <f>IFERROR(__xludf.DUMMYFUNCTION("""COMPUTED_VALUE"""),"Denver")</f>
        <v>Denver</v>
      </c>
      <c r="M195" s="3" t="str">
        <f>IFERROR(__xludf.DUMMYFUNCTION("""COMPUTED_VALUE"""),"Denver - 1900 Sixteenth Street")</f>
        <v>Denver - 1900 Sixteenth Street</v>
      </c>
      <c r="N195" s="3" t="b">
        <f>IFERROR(__xludf.DUMMYFUNCTION("""COMPUTED_VALUE"""),FALSE)</f>
        <v>0</v>
      </c>
      <c r="O195" s="3" t="str">
        <f>IFERROR(__xludf.DUMMYFUNCTION("""COMPUTED_VALUE"""),"james.s.russell@pwc.com")</f>
        <v>james.s.russell@pwc.com</v>
      </c>
      <c r="P195" s="3" t="str">
        <f>IFERROR(__xludf.DUMMYFUNCTION("""COMPUTED_VALUE"""),"FY21 1st Half")</f>
        <v>FY21 1st Half</v>
      </c>
      <c r="Q195" s="3" t="b">
        <f>IFERROR(__xludf.DUMMYFUNCTION("""COMPUTED_VALUE"""),FALSE)</f>
        <v>0</v>
      </c>
      <c r="R195" s="3"/>
      <c r="S195" s="3"/>
      <c r="T195" s="3" t="b">
        <f>IFERROR(__xludf.DUMMYFUNCTION("""COMPUTED_VALUE"""),FALSE)</f>
        <v>0</v>
      </c>
      <c r="U195" s="3" t="b">
        <f>IFERROR(__xludf.DUMMYFUNCTION("""COMPUTED_VALUE"""),TRUE)</f>
        <v>1</v>
      </c>
      <c r="V195" s="3" t="b">
        <f>IFERROR(__xludf.DUMMYFUNCTION("""COMPUTED_VALUE"""),FALSE)</f>
        <v>0</v>
      </c>
      <c r="W195" s="3" t="str">
        <f>IFERROR(__xludf.DUMMYFUNCTION("""COMPUTED_VALUE"""),"Catalyst")</f>
        <v>Catalyst</v>
      </c>
      <c r="X195" s="3"/>
      <c r="Y195" s="3"/>
      <c r="Z195" s="3" t="str">
        <f>IFERROR(__xludf.DUMMYFUNCTION("""COMPUTED_VALUE"""),"Banking Transformation")</f>
        <v>Banking Transformation</v>
      </c>
      <c r="AA195" s="3" t="b">
        <f>IFERROR(__xludf.DUMMYFUNCTION("""COMPUTED_VALUE"""),FALSE)</f>
        <v>0</v>
      </c>
    </row>
    <row r="196">
      <c r="A196" s="11">
        <f>IFERROR(__xludf.DUMMYFUNCTION("""COMPUTED_VALUE"""),1.00641736E8)</f>
        <v>100641736</v>
      </c>
      <c r="B196" s="3" t="str">
        <f>IFERROR(__xludf.DUMMYFUNCTION("""COMPUTED_VALUE"""),"Douglas Harper")</f>
        <v>Douglas Harper</v>
      </c>
      <c r="C196" s="3" t="str">
        <f>IFERROR(__xludf.DUMMYFUNCTION("""COMPUTED_VALUE"""),"Douglas Alan Harper")</f>
        <v>Douglas Alan Harper</v>
      </c>
      <c r="D196" s="3" t="str">
        <f>IFERROR(__xludf.DUMMYFUNCTION("""COMPUTED_VALUE"""),"Harper, Douglas Alan")</f>
        <v>Harper, Douglas Alan</v>
      </c>
      <c r="E196" s="3" t="str">
        <f>IFERROR(__xludf.DUMMYFUNCTION("""COMPUTED_VALUE"""),"Active")</f>
        <v>Active</v>
      </c>
      <c r="F196" s="3" t="str">
        <f>IFERROR(__xludf.DUMMYFUNCTION("""COMPUTED_VALUE"""),"douglas.a.harper@pwc.com")</f>
        <v>douglas.a.harper@pwc.com</v>
      </c>
      <c r="G196" s="3" t="str">
        <f>IFERROR(__xludf.DUMMYFUNCTION("""COMPUTED_VALUE"""),"Workforce")</f>
        <v>Workforce</v>
      </c>
      <c r="H196" s="3" t="str">
        <f>IFERROR(__xludf.DUMMYFUNCTION("""COMPUTED_VALUE"""),"HI X-Sector")</f>
        <v>HI X-Sector</v>
      </c>
      <c r="I196" s="3" t="str">
        <f>IFERROR(__xludf.DUMMYFUNCTION("""COMPUTED_VALUE"""),"Workforce - Deals")</f>
        <v>Workforce - Deals</v>
      </c>
      <c r="J196" s="3" t="str">
        <f>IFERROR(__xludf.DUMMYFUNCTION("""COMPUTED_VALUE"""),"Managing Director")</f>
        <v>Managing Director</v>
      </c>
      <c r="K196" s="12">
        <f>IFERROR(__xludf.DUMMYFUNCTION("""COMPUTED_VALUE"""),43128.0)</f>
        <v>43128</v>
      </c>
      <c r="L196" s="3" t="str">
        <f>IFERROR(__xludf.DUMMYFUNCTION("""COMPUTED_VALUE"""),"Indianapolis")</f>
        <v>Indianapolis</v>
      </c>
      <c r="M196" s="3" t="str">
        <f>IFERROR(__xludf.DUMMYFUNCTION("""COMPUTED_VALUE"""),"Indianapolis - 101 West Washington Street")</f>
        <v>Indianapolis - 101 West Washington Street</v>
      </c>
      <c r="N196" s="3" t="b">
        <f>IFERROR(__xludf.DUMMYFUNCTION("""COMPUTED_VALUE"""),FALSE)</f>
        <v>0</v>
      </c>
      <c r="O196" s="3" t="str">
        <f>IFERROR(__xludf.DUMMYFUNCTION("""COMPUTED_VALUE"""),"steve.rimmer@pwc.com")</f>
        <v>steve.rimmer@pwc.com</v>
      </c>
      <c r="P196" s="3" t="str">
        <f>IFERROR(__xludf.DUMMYFUNCTION("""COMPUTED_VALUE"""),"No")</f>
        <v>No</v>
      </c>
      <c r="Q196" s="3" t="b">
        <f>IFERROR(__xludf.DUMMYFUNCTION("""COMPUTED_VALUE"""),FALSE)</f>
        <v>0</v>
      </c>
      <c r="R196" s="3"/>
      <c r="S196" s="3"/>
      <c r="T196" s="3" t="b">
        <f>IFERROR(__xludf.DUMMYFUNCTION("""COMPUTED_VALUE"""),FALSE)</f>
        <v>0</v>
      </c>
      <c r="U196" s="3" t="b">
        <f>IFERROR(__xludf.DUMMYFUNCTION("""COMPUTED_VALUE"""),FALSE)</f>
        <v>0</v>
      </c>
      <c r="V196" s="3" t="b">
        <f>IFERROR(__xludf.DUMMYFUNCTION("""COMPUTED_VALUE"""),FALSE)</f>
        <v>0</v>
      </c>
      <c r="W196" s="3" t="str">
        <f>IFERROR(__xludf.DUMMYFUNCTION("""COMPUTED_VALUE"""),"#N/A")</f>
        <v>#N/A</v>
      </c>
      <c r="X196" s="3" t="str">
        <f>IFERROR(__xludf.DUMMYFUNCTION("""COMPUTED_VALUE"""),"#N/A")</f>
        <v>#N/A</v>
      </c>
      <c r="Y196" s="3" t="str">
        <f>IFERROR(__xludf.DUMMYFUNCTION("""COMPUTED_VALUE"""),"#N/A")</f>
        <v>#N/A</v>
      </c>
      <c r="Z196" s="3" t="str">
        <f>IFERROR(__xludf.DUMMYFUNCTION("""COMPUTED_VALUE"""),"Unknown")</f>
        <v>Unknown</v>
      </c>
      <c r="AA196" s="3" t="b">
        <f>IFERROR(__xludf.DUMMYFUNCTION("""COMPUTED_VALUE"""),FALSE)</f>
        <v>0</v>
      </c>
    </row>
    <row r="197">
      <c r="A197" s="11">
        <f>IFERROR(__xludf.DUMMYFUNCTION("""COMPUTED_VALUE"""),1.00627622E8)</f>
        <v>100627622</v>
      </c>
      <c r="B197" s="3" t="str">
        <f>IFERROR(__xludf.DUMMYFUNCTION("""COMPUTED_VALUE"""),"Douglas Harvey (On Leave)")</f>
        <v>Douglas Harvey (On Leave)</v>
      </c>
      <c r="C197" s="3" t="str">
        <f>IFERROR(__xludf.DUMMYFUNCTION("""COMPUTED_VALUE"""),"Douglas Scott Harvey")</f>
        <v>Douglas Scott Harvey</v>
      </c>
      <c r="D197" s="3" t="str">
        <f>IFERROR(__xludf.DUMMYFUNCTION("""COMPUTED_VALUE"""),"Harvey, Douglas Scott")</f>
        <v>Harvey, Douglas Scott</v>
      </c>
      <c r="E197" s="3" t="str">
        <f>IFERROR(__xludf.DUMMYFUNCTION("""COMPUTED_VALUE"""),"Disability Leave")</f>
        <v>Disability Leave</v>
      </c>
      <c r="F197" s="3" t="str">
        <f>IFERROR(__xludf.DUMMYFUNCTION("""COMPUTED_VALUE"""),"douglas.s.harvey@pwc.com")</f>
        <v>douglas.s.harvey@pwc.com</v>
      </c>
      <c r="G197" s="3" t="str">
        <f>IFERROR(__xludf.DUMMYFUNCTION("""COMPUTED_VALUE"""),"Ops")</f>
        <v>Ops</v>
      </c>
      <c r="H197" s="3" t="str">
        <f>IFERROR(__xludf.DUMMYFUNCTION("""COMPUTED_VALUE"""),"Automotive")</f>
        <v>Automotive</v>
      </c>
      <c r="I197" s="3" t="str">
        <f>IFERROR(__xludf.DUMMYFUNCTION("""COMPUTED_VALUE"""),"Ops - Product Development &amp; Manufacturing (PDM)")</f>
        <v>Ops - Product Development &amp; Manufacturing (PDM)</v>
      </c>
      <c r="J197" s="3" t="str">
        <f>IFERROR(__xludf.DUMMYFUNCTION("""COMPUTED_VALUE"""),"Managing Director (On Leave)")</f>
        <v>Managing Director (On Leave)</v>
      </c>
      <c r="K197" s="12">
        <f>IFERROR(__xludf.DUMMYFUNCTION("""COMPUTED_VALUE"""),41806.0)</f>
        <v>41806</v>
      </c>
      <c r="L197" s="3" t="str">
        <f>IFERROR(__xludf.DUMMYFUNCTION("""COMPUTED_VALUE"""),"Detroit")</f>
        <v>Detroit</v>
      </c>
      <c r="M197" s="3" t="str">
        <f>IFERROR(__xludf.DUMMYFUNCTION("""COMPUTED_VALUE"""),"#N/A")</f>
        <v>#N/A</v>
      </c>
      <c r="N197" s="3" t="b">
        <f>IFERROR(__xludf.DUMMYFUNCTION("""COMPUTED_VALUE"""),FALSE)</f>
        <v>0</v>
      </c>
      <c r="O197" s="3" t="str">
        <f>IFERROR(__xludf.DUMMYFUNCTION("""COMPUTED_VALUE"""),"")</f>
        <v/>
      </c>
      <c r="P197" s="3" t="str">
        <f>IFERROR(__xludf.DUMMYFUNCTION("""COMPUTED_VALUE"""),"No")</f>
        <v>No</v>
      </c>
      <c r="Q197" s="3" t="b">
        <f>IFERROR(__xludf.DUMMYFUNCTION("""COMPUTED_VALUE"""),FALSE)</f>
        <v>0</v>
      </c>
      <c r="R197" s="3"/>
      <c r="S197" s="3"/>
      <c r="T197" s="3" t="b">
        <f>IFERROR(__xludf.DUMMYFUNCTION("""COMPUTED_VALUE"""),FALSE)</f>
        <v>0</v>
      </c>
      <c r="U197" s="3" t="b">
        <f>IFERROR(__xludf.DUMMYFUNCTION("""COMPUTED_VALUE"""),FALSE)</f>
        <v>0</v>
      </c>
      <c r="V197" s="3" t="b">
        <f>IFERROR(__xludf.DUMMYFUNCTION("""COMPUTED_VALUE"""),FALSE)</f>
        <v>0</v>
      </c>
      <c r="W197" s="3" t="str">
        <f>IFERROR(__xludf.DUMMYFUNCTION("""COMPUTED_VALUE"""),"#N/A")</f>
        <v>#N/A</v>
      </c>
      <c r="X197" s="3" t="str">
        <f>IFERROR(__xludf.DUMMYFUNCTION("""COMPUTED_VALUE"""),"#N/A")</f>
        <v>#N/A</v>
      </c>
      <c r="Y197" s="3" t="str">
        <f>IFERROR(__xludf.DUMMYFUNCTION("""COMPUTED_VALUE"""),"#N/A")</f>
        <v>#N/A</v>
      </c>
      <c r="Z197" s="3" t="str">
        <f>IFERROR(__xludf.DUMMYFUNCTION("""COMPUTED_VALUE"""),"Unknown")</f>
        <v>Unknown</v>
      </c>
      <c r="AA197" s="3" t="b">
        <f>IFERROR(__xludf.DUMMYFUNCTION("""COMPUTED_VALUE"""),FALSE)</f>
        <v>0</v>
      </c>
    </row>
    <row r="198">
      <c r="A198" s="11">
        <f>IFERROR(__xludf.DUMMYFUNCTION("""COMPUTED_VALUE"""),1.00585036E8)</f>
        <v>100585036</v>
      </c>
      <c r="B198" s="3" t="str">
        <f>IFERROR(__xludf.DUMMYFUNCTION("""COMPUTED_VALUE"""),"Dries Bredenkamp")</f>
        <v>Dries Bredenkamp</v>
      </c>
      <c r="C198" s="3" t="str">
        <f>IFERROR(__xludf.DUMMYFUNCTION("""COMPUTED_VALUE"""),"Andries Petrus Bredenkamp")</f>
        <v>Andries Petrus Bredenkamp</v>
      </c>
      <c r="D198" s="3" t="str">
        <f>IFERROR(__xludf.DUMMYFUNCTION("""COMPUTED_VALUE"""),"Bredenkamp, Andries Petrus")</f>
        <v>Bredenkamp, Andries Petrus</v>
      </c>
      <c r="E198" s="3" t="str">
        <f>IFERROR(__xludf.DUMMYFUNCTION("""COMPUTED_VALUE"""),"Active")</f>
        <v>Active</v>
      </c>
      <c r="F198" s="3" t="str">
        <f>IFERROR(__xludf.DUMMYFUNCTION("""COMPUTED_VALUE"""),"dries.bredenkamp@pwc.com")</f>
        <v>dries.bredenkamp@pwc.com</v>
      </c>
      <c r="G198" s="3" t="str">
        <f>IFERROR(__xludf.DUMMYFUNCTION("""COMPUTED_VALUE"""),"Deals Transformation")</f>
        <v>Deals Transformation</v>
      </c>
      <c r="H198" s="3" t="str">
        <f>IFERROR(__xludf.DUMMYFUNCTION("""COMPUTED_VALUE"""),"TMT X-Sector")</f>
        <v>TMT X-Sector</v>
      </c>
      <c r="I198" s="3" t="str">
        <f>IFERROR(__xludf.DUMMYFUNCTION("""COMPUTED_VALUE"""),"DDV - IT")</f>
        <v>DDV - IT</v>
      </c>
      <c r="J198" s="3" t="str">
        <f>IFERROR(__xludf.DUMMYFUNCTION("""COMPUTED_VALUE"""),"Partner")</f>
        <v>Partner</v>
      </c>
      <c r="K198" s="12">
        <f>IFERROR(__xludf.DUMMYFUNCTION("""COMPUTED_VALUE"""),42064.0)</f>
        <v>42064</v>
      </c>
      <c r="L198" s="3" t="str">
        <f>IFERROR(__xludf.DUMMYFUNCTION("""COMPUTED_VALUE"""),"Los Angeles")</f>
        <v>Los Angeles</v>
      </c>
      <c r="M198" s="3" t="str">
        <f>IFERROR(__xludf.DUMMYFUNCTION("""COMPUTED_VALUE"""),"Los Angeles - 601 South Figueroa Street")</f>
        <v>Los Angeles - 601 South Figueroa Street</v>
      </c>
      <c r="N198" s="3" t="b">
        <f>IFERROR(__xludf.DUMMYFUNCTION("""COMPUTED_VALUE"""),FALSE)</f>
        <v>0</v>
      </c>
      <c r="O198" s="3" t="str">
        <f>IFERROR(__xludf.DUMMYFUNCTION("""COMPUTED_VALUE"""),"derek.b.townsend@pwc.com")</f>
        <v>derek.b.townsend@pwc.com</v>
      </c>
      <c r="P198" s="3" t="str">
        <f>IFERROR(__xludf.DUMMYFUNCTION("""COMPUTED_VALUE"""),"No")</f>
        <v>No</v>
      </c>
      <c r="Q198" s="3" t="b">
        <f>IFERROR(__xludf.DUMMYFUNCTION("""COMPUTED_VALUE"""),FALSE)</f>
        <v>0</v>
      </c>
      <c r="R198" s="3"/>
      <c r="S198" s="3"/>
      <c r="T198" s="3" t="b">
        <f>IFERROR(__xludf.DUMMYFUNCTION("""COMPUTED_VALUE"""),FALSE)</f>
        <v>0</v>
      </c>
      <c r="U198" s="3" t="b">
        <f>IFERROR(__xludf.DUMMYFUNCTION("""COMPUTED_VALUE"""),TRUE)</f>
        <v>1</v>
      </c>
      <c r="V198" s="3" t="b">
        <f>IFERROR(__xludf.DUMMYFUNCTION("""COMPUTED_VALUE"""),FALSE)</f>
        <v>0</v>
      </c>
      <c r="W198" s="3" t="str">
        <f>IFERROR(__xludf.DUMMYFUNCTION("""COMPUTED_VALUE"""),"Delivery")</f>
        <v>Delivery</v>
      </c>
      <c r="X198" s="3"/>
      <c r="Y198" s="3"/>
      <c r="Z198" s="3" t="str">
        <f>IFERROR(__xludf.DUMMYFUNCTION("""COMPUTED_VALUE"""),"Corporate M&amp;A Transformation - TMT")</f>
        <v>Corporate M&amp;A Transformation - TMT</v>
      </c>
      <c r="AA198" s="3" t="b">
        <f>IFERROR(__xludf.DUMMYFUNCTION("""COMPUTED_VALUE"""),FALSE)</f>
        <v>0</v>
      </c>
    </row>
    <row r="199">
      <c r="A199" s="11">
        <f>IFERROR(__xludf.DUMMYFUNCTION("""COMPUTED_VALUE"""),1.00633488E8)</f>
        <v>100633488</v>
      </c>
      <c r="B199" s="3" t="str">
        <f>IFERROR(__xludf.DUMMYFUNCTION("""COMPUTED_VALUE"""),"Dwight Blackman")</f>
        <v>Dwight Blackman</v>
      </c>
      <c r="C199" s="3" t="str">
        <f>IFERROR(__xludf.DUMMYFUNCTION("""COMPUTED_VALUE"""),"Dwight  Blackman")</f>
        <v>Dwight  Blackman</v>
      </c>
      <c r="D199" s="3" t="str">
        <f>IFERROR(__xludf.DUMMYFUNCTION("""COMPUTED_VALUE"""),"Blackman, Dwight")</f>
        <v>Blackman, Dwight</v>
      </c>
      <c r="E199" s="3" t="str">
        <f>IFERROR(__xludf.DUMMYFUNCTION("""COMPUTED_VALUE"""),"Active")</f>
        <v>Active</v>
      </c>
      <c r="F199" s="3" t="str">
        <f>IFERROR(__xludf.DUMMYFUNCTION("""COMPUTED_VALUE"""),"dwight.blackman@pwc.com")</f>
        <v>dwight.blackman@pwc.com</v>
      </c>
      <c r="G199" s="3" t="str">
        <f>IFERROR(__xludf.DUMMYFUNCTION("""COMPUTED_VALUE"""),"Workforce")</f>
        <v>Workforce</v>
      </c>
      <c r="H199" s="3" t="str">
        <f>IFERROR(__xludf.DUMMYFUNCTION("""COMPUTED_VALUE"""),"EUR X-Sector")</f>
        <v>EUR X-Sector</v>
      </c>
      <c r="I199" s="3" t="str">
        <f>IFERROR(__xludf.DUMMYFUNCTION("""COMPUTED_VALUE"""),"Workforce - Deals")</f>
        <v>Workforce - Deals</v>
      </c>
      <c r="J199" s="3" t="str">
        <f>IFERROR(__xludf.DUMMYFUNCTION("""COMPUTED_VALUE"""),"Partner")</f>
        <v>Partner</v>
      </c>
      <c r="K199" s="12">
        <f>IFERROR(__xludf.DUMMYFUNCTION("""COMPUTED_VALUE"""),41099.0)</f>
        <v>41099</v>
      </c>
      <c r="L199" s="3" t="str">
        <f>IFERROR(__xludf.DUMMYFUNCTION("""COMPUTED_VALUE"""),"Chicago")</f>
        <v>Chicago</v>
      </c>
      <c r="M199" s="3" t="str">
        <f>IFERROR(__xludf.DUMMYFUNCTION("""COMPUTED_VALUE"""),"Chicago - One North Wacker Drive")</f>
        <v>Chicago - One North Wacker Drive</v>
      </c>
      <c r="N199" s="3" t="b">
        <f>IFERROR(__xludf.DUMMYFUNCTION("""COMPUTED_VALUE"""),TRUE)</f>
        <v>1</v>
      </c>
      <c r="O199" s="3" t="str">
        <f>IFERROR(__xludf.DUMMYFUNCTION("""COMPUTED_VALUE"""),"craig.odonnell@pwc.com")</f>
        <v>craig.odonnell@pwc.com</v>
      </c>
      <c r="P199" s="3" t="str">
        <f>IFERROR(__xludf.DUMMYFUNCTION("""COMPUTED_VALUE"""),"No")</f>
        <v>No</v>
      </c>
      <c r="Q199" s="3" t="b">
        <f>IFERROR(__xludf.DUMMYFUNCTION("""COMPUTED_VALUE"""),FALSE)</f>
        <v>0</v>
      </c>
      <c r="R199" s="3"/>
      <c r="S199" s="3" t="str">
        <f>IFERROR(__xludf.DUMMYFUNCTION("""COMPUTED_VALUE"""),"Diversity &amp; Inclusion Champions")</f>
        <v>Diversity &amp; Inclusion Champions</v>
      </c>
      <c r="T199" s="3" t="b">
        <f>IFERROR(__xludf.DUMMYFUNCTION("""COMPUTED_VALUE"""),FALSE)</f>
        <v>0</v>
      </c>
      <c r="U199" s="3" t="b">
        <f>IFERROR(__xludf.DUMMYFUNCTION("""COMPUTED_VALUE"""),FALSE)</f>
        <v>0</v>
      </c>
      <c r="V199" s="3" t="b">
        <f>IFERROR(__xludf.DUMMYFUNCTION("""COMPUTED_VALUE"""),FALSE)</f>
        <v>0</v>
      </c>
      <c r="W199" s="3" t="str">
        <f>IFERROR(__xludf.DUMMYFUNCTION("""COMPUTED_VALUE"""),"#N/A")</f>
        <v>#N/A</v>
      </c>
      <c r="X199" s="3" t="str">
        <f>IFERROR(__xludf.DUMMYFUNCTION("""COMPUTED_VALUE"""),"#N/A")</f>
        <v>#N/A</v>
      </c>
      <c r="Y199" s="3" t="str">
        <f>IFERROR(__xludf.DUMMYFUNCTION("""COMPUTED_VALUE"""),"#N/A")</f>
        <v>#N/A</v>
      </c>
      <c r="Z199" s="3" t="str">
        <f>IFERROR(__xludf.DUMMYFUNCTION("""COMPUTED_VALUE"""),"Unknown")</f>
        <v>Unknown</v>
      </c>
      <c r="AA199" s="3" t="b">
        <f>IFERROR(__xludf.DUMMYFUNCTION("""COMPUTED_VALUE"""),FALSE)</f>
        <v>0</v>
      </c>
    </row>
    <row r="200">
      <c r="A200" s="11">
        <f>IFERROR(__xludf.DUMMYFUNCTION("""COMPUTED_VALUE"""),1.00653785E8)</f>
        <v>100653785</v>
      </c>
      <c r="B200" s="3" t="str">
        <f>IFERROR(__xludf.DUMMYFUNCTION("""COMPUTED_VALUE"""),"Earl Simpkins")</f>
        <v>Earl Simpkins</v>
      </c>
      <c r="C200" s="3" t="str">
        <f>IFERROR(__xludf.DUMMYFUNCTION("""COMPUTED_VALUE"""),"Earl M Simpkins")</f>
        <v>Earl M Simpkins</v>
      </c>
      <c r="D200" s="3" t="str">
        <f>IFERROR(__xludf.DUMMYFUNCTION("""COMPUTED_VALUE"""),"Simpkins, Earl M")</f>
        <v>Simpkins, Earl M</v>
      </c>
      <c r="E200" s="3" t="str">
        <f>IFERROR(__xludf.DUMMYFUNCTION("""COMPUTED_VALUE"""),"Active")</f>
        <v>Active</v>
      </c>
      <c r="F200" s="3" t="str">
        <f>IFERROR(__xludf.DUMMYFUNCTION("""COMPUTED_VALUE"""),"earl.simpkins@pwc.com")</f>
        <v>earl.simpkins@pwc.com</v>
      </c>
      <c r="G200" s="3" t="str">
        <f>IFERROR(__xludf.DUMMYFUNCTION("""COMPUTED_VALUE"""),"ESV")</f>
        <v>ESV</v>
      </c>
      <c r="H200" s="3" t="str">
        <f>IFERROR(__xludf.DUMMYFUNCTION("""COMPUTED_VALUE"""),"Power and Utilities")</f>
        <v>Power and Utilities</v>
      </c>
      <c r="I200" s="3" t="str">
        <f>IFERROR(__xludf.DUMMYFUNCTION("""COMPUTED_VALUE"""),"ESV - IPS")</f>
        <v>ESV - IPS</v>
      </c>
      <c r="J200" s="3" t="str">
        <f>IFERROR(__xludf.DUMMYFUNCTION("""COMPUTED_VALUE"""),"Partner")</f>
        <v>Partner</v>
      </c>
      <c r="K200" s="12">
        <f>IFERROR(__xludf.DUMMYFUNCTION("""COMPUTED_VALUE"""),42186.0)</f>
        <v>42186</v>
      </c>
      <c r="L200" s="3" t="str">
        <f>IFERROR(__xludf.DUMMYFUNCTION("""COMPUTED_VALUE"""),"Dallas")</f>
        <v>Dallas</v>
      </c>
      <c r="M200" s="3" t="str">
        <f>IFERROR(__xludf.DUMMYFUNCTION("""COMPUTED_VALUE"""),"Dallas - 2121 North Pearl Street")</f>
        <v>Dallas - 2121 North Pearl Street</v>
      </c>
      <c r="N200" s="3" t="b">
        <f>IFERROR(__xludf.DUMMYFUNCTION("""COMPUTED_VALUE"""),FALSE)</f>
        <v>0</v>
      </c>
      <c r="O200" s="3" t="str">
        <f>IFERROR(__xludf.DUMMYFUNCTION("""COMPUTED_VALUE"""),"sundar.subramanian@pwc.com")</f>
        <v>sundar.subramanian@pwc.com</v>
      </c>
      <c r="P200" s="3" t="str">
        <f>IFERROR(__xludf.DUMMYFUNCTION("""COMPUTED_VALUE"""),"No")</f>
        <v>No</v>
      </c>
      <c r="Q200" s="3" t="b">
        <f>IFERROR(__xludf.DUMMYFUNCTION("""COMPUTED_VALUE"""),TRUE)</f>
        <v>1</v>
      </c>
      <c r="R200" s="3" t="str">
        <f>IFERROR(__xludf.DUMMYFUNCTION("""COMPUTED_VALUE"""),"LCP High")</f>
        <v>LCP High</v>
      </c>
      <c r="S200" s="3"/>
      <c r="T200" s="3" t="b">
        <f>IFERROR(__xludf.DUMMYFUNCTION("""COMPUTED_VALUE"""),FALSE)</f>
        <v>0</v>
      </c>
      <c r="U200" s="3" t="b">
        <f>IFERROR(__xludf.DUMMYFUNCTION("""COMPUTED_VALUE"""),FALSE)</f>
        <v>0</v>
      </c>
      <c r="V200" s="3" t="b">
        <f>IFERROR(__xludf.DUMMYFUNCTION("""COMPUTED_VALUE"""),FALSE)</f>
        <v>0</v>
      </c>
      <c r="W200" s="3" t="str">
        <f>IFERROR(__xludf.DUMMYFUNCTION("""COMPUTED_VALUE"""),"LCP")</f>
        <v>LCP</v>
      </c>
      <c r="X200" s="3" t="str">
        <f>IFERROR(__xludf.DUMMYFUNCTION("""COMPUTED_VALUE"""),"Investment")</f>
        <v>Investment</v>
      </c>
      <c r="Y200" s="3" t="str">
        <f>IFERROR(__xludf.DUMMYFUNCTION("""COMPUTED_VALUE"""),"GEP - High")</f>
        <v>GEP - High</v>
      </c>
      <c r="Z200" s="3" t="str">
        <f>IFERROR(__xludf.DUMMYFUNCTION("""COMPUTED_VALUE"""),"Enterprise Digital Transformation - CM &amp; IPS")</f>
        <v>Enterprise Digital Transformation - CM &amp; IPS</v>
      </c>
      <c r="AA200" s="3" t="b">
        <f>IFERROR(__xludf.DUMMYFUNCTION("""COMPUTED_VALUE"""),FALSE)</f>
        <v>0</v>
      </c>
    </row>
    <row r="201">
      <c r="A201" s="11">
        <f>IFERROR(__xludf.DUMMYFUNCTION("""COMPUTED_VALUE"""),1.00655465E8)</f>
        <v>100655465</v>
      </c>
      <c r="B201" s="3" t="str">
        <f>IFERROR(__xludf.DUMMYFUNCTION("""COMPUTED_VALUE"""),"Ed Jasaitis")</f>
        <v>Ed Jasaitis</v>
      </c>
      <c r="C201" s="3" t="str">
        <f>IFERROR(__xludf.DUMMYFUNCTION("""COMPUTED_VALUE"""),"Edward George Jasaitis")</f>
        <v>Edward George Jasaitis</v>
      </c>
      <c r="D201" s="3" t="str">
        <f>IFERROR(__xludf.DUMMYFUNCTION("""COMPUTED_VALUE"""),"Jasaitis, Edward George")</f>
        <v>Jasaitis, Edward George</v>
      </c>
      <c r="E201" s="3" t="str">
        <f>IFERROR(__xludf.DUMMYFUNCTION("""COMPUTED_VALUE"""),"Active")</f>
        <v>Active</v>
      </c>
      <c r="F201" s="3" t="str">
        <f>IFERROR(__xludf.DUMMYFUNCTION("""COMPUTED_VALUE"""),"ed.jasaitis@pwc.com")</f>
        <v>ed.jasaitis@pwc.com</v>
      </c>
      <c r="G201" s="3" t="str">
        <f>IFERROR(__xludf.DUMMYFUNCTION("""COMPUTED_VALUE"""),"Deals Transformation")</f>
        <v>Deals Transformation</v>
      </c>
      <c r="H201" s="3" t="str">
        <f>IFERROR(__xludf.DUMMYFUNCTION("""COMPUTED_VALUE"""),"TMT X-Sector")</f>
        <v>TMT X-Sector</v>
      </c>
      <c r="I201" s="3" t="str">
        <f>IFERROR(__xludf.DUMMYFUNCTION("""COMPUTED_VALUE"""),"DDV - Finance")</f>
        <v>DDV - Finance</v>
      </c>
      <c r="J201" s="3" t="str">
        <f>IFERROR(__xludf.DUMMYFUNCTION("""COMPUTED_VALUE"""),"Partner")</f>
        <v>Partner</v>
      </c>
      <c r="K201" s="12">
        <f>IFERROR(__xludf.DUMMYFUNCTION("""COMPUTED_VALUE"""),34127.0)</f>
        <v>34127</v>
      </c>
      <c r="L201" s="3" t="str">
        <f>IFERROR(__xludf.DUMMYFUNCTION("""COMPUTED_VALUE"""),"Boston")</f>
        <v>Boston</v>
      </c>
      <c r="M201" s="3" t="str">
        <f>IFERROR(__xludf.DUMMYFUNCTION("""COMPUTED_VALUE"""),"Boston - 101 Seaport Boulevard")</f>
        <v>Boston - 101 Seaport Boulevard</v>
      </c>
      <c r="N201" s="3" t="b">
        <f>IFERROR(__xludf.DUMMYFUNCTION("""COMPUTED_VALUE"""),FALSE)</f>
        <v>0</v>
      </c>
      <c r="O201" s="3" t="str">
        <f>IFERROR(__xludf.DUMMYFUNCTION("""COMPUTED_VALUE"""),"derek.b.townsend@pwc.com")</f>
        <v>derek.b.townsend@pwc.com</v>
      </c>
      <c r="P201" s="3" t="str">
        <f>IFERROR(__xludf.DUMMYFUNCTION("""COMPUTED_VALUE"""),"No")</f>
        <v>No</v>
      </c>
      <c r="Q201" s="3" t="b">
        <f>IFERROR(__xludf.DUMMYFUNCTION("""COMPUTED_VALUE"""),FALSE)</f>
        <v>0</v>
      </c>
      <c r="R201" s="3"/>
      <c r="S201" s="3"/>
      <c r="T201" s="3" t="b">
        <f>IFERROR(__xludf.DUMMYFUNCTION("""COMPUTED_VALUE"""),FALSE)</f>
        <v>0</v>
      </c>
      <c r="U201" s="3" t="b">
        <f>IFERROR(__xludf.DUMMYFUNCTION("""COMPUTED_VALUE"""),TRUE)</f>
        <v>1</v>
      </c>
      <c r="V201" s="3" t="b">
        <f>IFERROR(__xludf.DUMMYFUNCTION("""COMPUTED_VALUE"""),FALSE)</f>
        <v>0</v>
      </c>
      <c r="W201" s="3" t="str">
        <f>IFERROR(__xludf.DUMMYFUNCTION("""COMPUTED_VALUE"""),"Delivery")</f>
        <v>Delivery</v>
      </c>
      <c r="X201" s="3"/>
      <c r="Y201" s="3"/>
      <c r="Z201" s="3" t="str">
        <f>IFERROR(__xludf.DUMMYFUNCTION("""COMPUTED_VALUE"""),"Corporate M&amp;A Transformation - TMT")</f>
        <v>Corporate M&amp;A Transformation - TMT</v>
      </c>
      <c r="AA201" s="3" t="b">
        <f>IFERROR(__xludf.DUMMYFUNCTION("""COMPUTED_VALUE"""),FALSE)</f>
        <v>0</v>
      </c>
    </row>
    <row r="202">
      <c r="A202" s="11">
        <f>IFERROR(__xludf.DUMMYFUNCTION("""COMPUTED_VALUE"""),1.00609615E8)</f>
        <v>100609615</v>
      </c>
      <c r="B202" s="3" t="str">
        <f>IFERROR(__xludf.DUMMYFUNCTION("""COMPUTED_VALUE"""),"Edmund Kowalski")</f>
        <v>Edmund Kowalski</v>
      </c>
      <c r="C202" s="3" t="str">
        <f>IFERROR(__xludf.DUMMYFUNCTION("""COMPUTED_VALUE"""),"Edmund J Kowalski")</f>
        <v>Edmund J Kowalski</v>
      </c>
      <c r="D202" s="3" t="str">
        <f>IFERROR(__xludf.DUMMYFUNCTION("""COMPUTED_VALUE"""),"Kowalski, Edmund J")</f>
        <v>Kowalski, Edmund J</v>
      </c>
      <c r="E202" s="3" t="str">
        <f>IFERROR(__xludf.DUMMYFUNCTION("""COMPUTED_VALUE"""),"Active")</f>
        <v>Active</v>
      </c>
      <c r="F202" s="3" t="str">
        <f>IFERROR(__xludf.DUMMYFUNCTION("""COMPUTED_VALUE"""),"edmund.j.kowalski@pwc.com")</f>
        <v>edmund.j.kowalski@pwc.com</v>
      </c>
      <c r="G202" s="3" t="str">
        <f>IFERROR(__xludf.DUMMYFUNCTION("""COMPUTED_VALUE"""),"Health")</f>
        <v>Health</v>
      </c>
      <c r="H202" s="3" t="str">
        <f>IFERROR(__xludf.DUMMYFUNCTION("""COMPUTED_VALUE"""),"Health Services")</f>
        <v>Health Services</v>
      </c>
      <c r="I202" s="3" t="str">
        <f>IFERROR(__xludf.DUMMYFUNCTION("""COMPUTED_VALUE"""),"Health - Provider Revenue Cycle")</f>
        <v>Health - Provider Revenue Cycle</v>
      </c>
      <c r="J202" s="3" t="str">
        <f>IFERROR(__xludf.DUMMYFUNCTION("""COMPUTED_VALUE"""),"Managing Director")</f>
        <v>Managing Director</v>
      </c>
      <c r="K202" s="12">
        <f>IFERROR(__xludf.DUMMYFUNCTION("""COMPUTED_VALUE"""),37277.0)</f>
        <v>37277</v>
      </c>
      <c r="L202" s="3" t="str">
        <f>IFERROR(__xludf.DUMMYFUNCTION("""COMPUTED_VALUE"""),"Philadelphia")</f>
        <v>Philadelphia</v>
      </c>
      <c r="M202" s="3" t="str">
        <f>IFERROR(__xludf.DUMMYFUNCTION("""COMPUTED_VALUE"""),"Philadelphia - Two Commerce Square, Suite 1800")</f>
        <v>Philadelphia - Two Commerce Square, Suite 1800</v>
      </c>
      <c r="N202" s="3" t="b">
        <f>IFERROR(__xludf.DUMMYFUNCTION("""COMPUTED_VALUE"""),FALSE)</f>
        <v>0</v>
      </c>
      <c r="O202" s="3" t="str">
        <f>IFERROR(__xludf.DUMMYFUNCTION("""COMPUTED_VALUE"""),"kathryn.burg.plaza@pwc.com")</f>
        <v>kathryn.burg.plaza@pwc.com</v>
      </c>
      <c r="P202" s="3" t="str">
        <f>IFERROR(__xludf.DUMMYFUNCTION("""COMPUTED_VALUE"""),"No")</f>
        <v>No</v>
      </c>
      <c r="Q202" s="3" t="b">
        <f>IFERROR(__xludf.DUMMYFUNCTION("""COMPUTED_VALUE"""),FALSE)</f>
        <v>0</v>
      </c>
      <c r="R202" s="3"/>
      <c r="S202" s="3"/>
      <c r="T202" s="3" t="b">
        <f>IFERROR(__xludf.DUMMYFUNCTION("""COMPUTED_VALUE"""),FALSE)</f>
        <v>0</v>
      </c>
      <c r="U202" s="3" t="b">
        <f>IFERROR(__xludf.DUMMYFUNCTION("""COMPUTED_VALUE"""),TRUE)</f>
        <v>1</v>
      </c>
      <c r="V202" s="3" t="b">
        <f>IFERROR(__xludf.DUMMYFUNCTION("""COMPUTED_VALUE"""),FALSE)</f>
        <v>0</v>
      </c>
      <c r="W202" s="3" t="str">
        <f>IFERROR(__xludf.DUMMYFUNCTION("""COMPUTED_VALUE"""),"Delivery")</f>
        <v>Delivery</v>
      </c>
      <c r="X202" s="3"/>
      <c r="Y202" s="3"/>
      <c r="Z202" s="3" t="str">
        <f>IFERROR(__xludf.DUMMYFUNCTION("""COMPUTED_VALUE"""),"Provider Transformation")</f>
        <v>Provider Transformation</v>
      </c>
      <c r="AA202" s="3" t="b">
        <f>IFERROR(__xludf.DUMMYFUNCTION("""COMPUTED_VALUE"""),FALSE)</f>
        <v>0</v>
      </c>
    </row>
    <row r="203">
      <c r="A203" s="11">
        <f>IFERROR(__xludf.DUMMYFUNCTION("""COMPUTED_VALUE"""),1.00649928E8)</f>
        <v>100649928</v>
      </c>
      <c r="B203" s="3" t="str">
        <f>IFERROR(__xludf.DUMMYFUNCTION("""COMPUTED_VALUE"""),"Edward Landry")</f>
        <v>Edward Landry</v>
      </c>
      <c r="C203" s="3" t="str">
        <f>IFERROR(__xludf.DUMMYFUNCTION("""COMPUTED_VALUE"""),"Edward  Landry")</f>
        <v>Edward  Landry</v>
      </c>
      <c r="D203" s="3" t="str">
        <f>IFERROR(__xludf.DUMMYFUNCTION("""COMPUTED_VALUE"""),"Landry, Edward")</f>
        <v>Landry, Edward</v>
      </c>
      <c r="E203" s="3" t="str">
        <f>IFERROR(__xludf.DUMMYFUNCTION("""COMPUTED_VALUE"""),"Active")</f>
        <v>Active</v>
      </c>
      <c r="F203" s="3" t="str">
        <f>IFERROR(__xludf.DUMMYFUNCTION("""COMPUTED_VALUE"""),"edward.landry@pwc.com")</f>
        <v>edward.landry@pwc.com</v>
      </c>
      <c r="G203" s="3" t="str">
        <f>IFERROR(__xludf.DUMMYFUNCTION("""COMPUTED_VALUE"""),"Customer")</f>
        <v>Customer</v>
      </c>
      <c r="H203" s="3" t="str">
        <f>IFERROR(__xludf.DUMMYFUNCTION("""COMPUTED_VALUE"""),"CM X-Sector")</f>
        <v>CM X-Sector</v>
      </c>
      <c r="I203" s="3" t="str">
        <f>IFERROR(__xludf.DUMMYFUNCTION("""COMPUTED_VALUE"""),"Customer - Marketing")</f>
        <v>Customer - Marketing</v>
      </c>
      <c r="J203" s="3" t="str">
        <f>IFERROR(__xludf.DUMMYFUNCTION("""COMPUTED_VALUE"""),"Partner")</f>
        <v>Partner</v>
      </c>
      <c r="K203" s="12">
        <f>IFERROR(__xludf.DUMMYFUNCTION("""COMPUTED_VALUE"""),42186.0)</f>
        <v>42186</v>
      </c>
      <c r="L203" s="3" t="str">
        <f>IFERROR(__xludf.DUMMYFUNCTION("""COMPUTED_VALUE"""),"Washington")</f>
        <v>Washington</v>
      </c>
      <c r="M203" s="3" t="str">
        <f>IFERROR(__xludf.DUMMYFUNCTION("""COMPUTED_VALUE"""),"Washington DC - 655 New York Avenue")</f>
        <v>Washington DC - 655 New York Avenue</v>
      </c>
      <c r="N203" s="3" t="b">
        <f>IFERROR(__xludf.DUMMYFUNCTION("""COMPUTED_VALUE"""),TRUE)</f>
        <v>1</v>
      </c>
      <c r="O203" s="3" t="str">
        <f>IFERROR(__xludf.DUMMYFUNCTION("""COMPUTED_VALUE"""),"george.korizis@pwc.com")</f>
        <v>george.korizis@pwc.com</v>
      </c>
      <c r="P203" s="3" t="str">
        <f>IFERROR(__xludf.DUMMYFUNCTION("""COMPUTED_VALUE"""),"No")</f>
        <v>No</v>
      </c>
      <c r="Q203" s="3" t="b">
        <f>IFERROR(__xludf.DUMMYFUNCTION("""COMPUTED_VALUE"""),FALSE)</f>
        <v>0</v>
      </c>
      <c r="R203" s="3"/>
      <c r="S203" s="3"/>
      <c r="T203" s="3" t="b">
        <f>IFERROR(__xludf.DUMMYFUNCTION("""COMPUTED_VALUE"""),FALSE)</f>
        <v>0</v>
      </c>
      <c r="U203" s="3" t="b">
        <f>IFERROR(__xludf.DUMMYFUNCTION("""COMPUTED_VALUE"""),FALSE)</f>
        <v>0</v>
      </c>
      <c r="V203" s="3" t="b">
        <f>IFERROR(__xludf.DUMMYFUNCTION("""COMPUTED_VALUE"""),FALSE)</f>
        <v>0</v>
      </c>
      <c r="W203" s="3" t="str">
        <f>IFERROR(__xludf.DUMMYFUNCTION("""COMPUTED_VALUE"""),"Delivery")</f>
        <v>Delivery</v>
      </c>
      <c r="X203" s="3"/>
      <c r="Y203" s="3" t="str">
        <f>IFERROR(__xludf.DUMMYFUNCTION("""COMPUTED_VALUE"""),"Point Partner")</f>
        <v>Point Partner</v>
      </c>
      <c r="Z203" s="3" t="str">
        <f>IFERROR(__xludf.DUMMYFUNCTION("""COMPUTED_VALUE"""),"Marketing Transformation")</f>
        <v>Marketing Transformation</v>
      </c>
      <c r="AA203" s="3" t="b">
        <f>IFERROR(__xludf.DUMMYFUNCTION("""COMPUTED_VALUE"""),TRUE)</f>
        <v>1</v>
      </c>
    </row>
    <row r="204">
      <c r="A204" s="11">
        <f>IFERROR(__xludf.DUMMYFUNCTION("""COMPUTED_VALUE"""),1.00605857E8)</f>
        <v>100605857</v>
      </c>
      <c r="B204" s="3" t="str">
        <f>IFERROR(__xludf.DUMMYFUNCTION("""COMPUTED_VALUE"""),"Edward Ponagai")</f>
        <v>Edward Ponagai</v>
      </c>
      <c r="C204" s="3" t="str">
        <f>IFERROR(__xludf.DUMMYFUNCTION("""COMPUTED_VALUE"""),"Edward  Ponagai")</f>
        <v>Edward  Ponagai</v>
      </c>
      <c r="D204" s="3" t="str">
        <f>IFERROR(__xludf.DUMMYFUNCTION("""COMPUTED_VALUE"""),"Ponagai, Edward")</f>
        <v>Ponagai, Edward</v>
      </c>
      <c r="E204" s="3" t="str">
        <f>IFERROR(__xludf.DUMMYFUNCTION("""COMPUTED_VALUE"""),"Active")</f>
        <v>Active</v>
      </c>
      <c r="F204" s="3" t="str">
        <f>IFERROR(__xludf.DUMMYFUNCTION("""COMPUTED_VALUE"""),"edward.ponagai@pwc.com")</f>
        <v>edward.ponagai@pwc.com</v>
      </c>
      <c r="G204" s="3" t="str">
        <f>IFERROR(__xludf.DUMMYFUNCTION("""COMPUTED_VALUE"""),"Finance")</f>
        <v>Finance</v>
      </c>
      <c r="H204" s="3" t="str">
        <f>IFERROR(__xludf.DUMMYFUNCTION("""COMPUTED_VALUE"""),"Manufacturing")</f>
        <v>Manufacturing</v>
      </c>
      <c r="I204" s="3" t="str">
        <f>IFERROR(__xludf.DUMMYFUNCTION("""COMPUTED_VALUE"""),"Finance - Finance Strategy / Op Model / Global Business Services / Talent")</f>
        <v>Finance - Finance Strategy / Op Model / Global Business Services / Talent</v>
      </c>
      <c r="J204" s="3" t="str">
        <f>IFERROR(__xludf.DUMMYFUNCTION("""COMPUTED_VALUE"""),"Partner")</f>
        <v>Partner</v>
      </c>
      <c r="K204" s="12">
        <f>IFERROR(__xludf.DUMMYFUNCTION("""COMPUTED_VALUE"""),38838.0)</f>
        <v>38838</v>
      </c>
      <c r="L204" s="3" t="str">
        <f>IFERROR(__xludf.DUMMYFUNCTION("""COMPUTED_VALUE"""),"New York")</f>
        <v>New York</v>
      </c>
      <c r="M204" s="3" t="str">
        <f>IFERROR(__xludf.DUMMYFUNCTION("""COMPUTED_VALUE"""),"New York - 300 Madison Avenue")</f>
        <v>New York - 300 Madison Avenue</v>
      </c>
      <c r="N204" s="3" t="b">
        <f>IFERROR(__xludf.DUMMYFUNCTION("""COMPUTED_VALUE"""),TRUE)</f>
        <v>1</v>
      </c>
      <c r="O204" s="3" t="str">
        <f>IFERROR(__xludf.DUMMYFUNCTION("""COMPUTED_VALUE"""),"kurtis.babczenko@pwc.com")</f>
        <v>kurtis.babczenko@pwc.com</v>
      </c>
      <c r="P204" s="3" t="str">
        <f>IFERROR(__xludf.DUMMYFUNCTION("""COMPUTED_VALUE"""),"No")</f>
        <v>No</v>
      </c>
      <c r="Q204" s="3" t="b">
        <f>IFERROR(__xludf.DUMMYFUNCTION("""COMPUTED_VALUE"""),TRUE)</f>
        <v>1</v>
      </c>
      <c r="R204" s="3" t="str">
        <f>IFERROR(__xludf.DUMMYFUNCTION("""COMPUTED_VALUE"""),"LCP High")</f>
        <v>LCP High</v>
      </c>
      <c r="S204" s="3"/>
      <c r="T204" s="3" t="b">
        <f>IFERROR(__xludf.DUMMYFUNCTION("""COMPUTED_VALUE"""),FALSE)</f>
        <v>0</v>
      </c>
      <c r="U204" s="3" t="b">
        <f>IFERROR(__xludf.DUMMYFUNCTION("""COMPUTED_VALUE"""),FALSE)</f>
        <v>0</v>
      </c>
      <c r="V204" s="3" t="b">
        <f>IFERROR(__xludf.DUMMYFUNCTION("""COMPUTED_VALUE"""),FALSE)</f>
        <v>0</v>
      </c>
      <c r="W204" s="3" t="str">
        <f>IFERROR(__xludf.DUMMYFUNCTION("""COMPUTED_VALUE"""),"LCP")</f>
        <v>LCP</v>
      </c>
      <c r="X204" s="3"/>
      <c r="Y204" s="3" t="str">
        <f>IFERROR(__xludf.DUMMYFUNCTION("""COMPUTED_VALUE"""),"GEP - High")</f>
        <v>GEP - High</v>
      </c>
      <c r="Z204" s="3" t="str">
        <f>IFERROR(__xludf.DUMMYFUNCTION("""COMPUTED_VALUE"""),"Finance Transformation IPS - IP")</f>
        <v>Finance Transformation IPS - IP</v>
      </c>
      <c r="AA204" s="3" t="b">
        <f>IFERROR(__xludf.DUMMYFUNCTION("""COMPUTED_VALUE"""),FALSE)</f>
        <v>0</v>
      </c>
    </row>
    <row r="205">
      <c r="A205" s="11">
        <f>IFERROR(__xludf.DUMMYFUNCTION("""COMPUTED_VALUE"""),1.00609393E8)</f>
        <v>100609393</v>
      </c>
      <c r="B205" s="3" t="str">
        <f>IFERROR(__xludf.DUMMYFUNCTION("""COMPUTED_VALUE"""),"Elissa Arkinstall")</f>
        <v>Elissa Arkinstall</v>
      </c>
      <c r="C205" s="3" t="str">
        <f>IFERROR(__xludf.DUMMYFUNCTION("""COMPUTED_VALUE"""),"Elissa  Arkinstall")</f>
        <v>Elissa  Arkinstall</v>
      </c>
      <c r="D205" s="3" t="str">
        <f>IFERROR(__xludf.DUMMYFUNCTION("""COMPUTED_VALUE"""),"Arkinstall, Elissa")</f>
        <v>Arkinstall, Elissa</v>
      </c>
      <c r="E205" s="3" t="str">
        <f>IFERROR(__xludf.DUMMYFUNCTION("""COMPUTED_VALUE"""),"Active")</f>
        <v>Active</v>
      </c>
      <c r="F205" s="3" t="str">
        <f>IFERROR(__xludf.DUMMYFUNCTION("""COMPUTED_VALUE"""),"elissa.arkinstall@pwc.com")</f>
        <v>elissa.arkinstall@pwc.com</v>
      </c>
      <c r="G205" s="3" t="str">
        <f>IFERROR(__xludf.DUMMYFUNCTION("""COMPUTED_VALUE"""),"Customer")</f>
        <v>Customer</v>
      </c>
      <c r="H205" s="3" t="str">
        <f>IFERROR(__xludf.DUMMYFUNCTION("""COMPUTED_VALUE"""),"FS X-Sector")</f>
        <v>FS X-Sector</v>
      </c>
      <c r="I205" s="3" t="str">
        <f>IFERROR(__xludf.DUMMYFUNCTION("""COMPUTED_VALUE"""),"Customer - Customer Strategy &amp; Experience")</f>
        <v>Customer - Customer Strategy &amp; Experience</v>
      </c>
      <c r="J205" s="3" t="str">
        <f>IFERROR(__xludf.DUMMYFUNCTION("""COMPUTED_VALUE"""),"Partner")</f>
        <v>Partner</v>
      </c>
      <c r="K205" s="12">
        <f>IFERROR(__xludf.DUMMYFUNCTION("""COMPUTED_VALUE"""),41505.0)</f>
        <v>41505</v>
      </c>
      <c r="L205" s="3" t="str">
        <f>IFERROR(__xludf.DUMMYFUNCTION("""COMPUTED_VALUE"""),"Melville")</f>
        <v>Melville</v>
      </c>
      <c r="M205" s="3" t="str">
        <f>IFERROR(__xludf.DUMMYFUNCTION("""COMPUTED_VALUE"""),"Melville - 401 Broadhollow Road")</f>
        <v>Melville - 401 Broadhollow Road</v>
      </c>
      <c r="N205" s="3" t="b">
        <f>IFERROR(__xludf.DUMMYFUNCTION("""COMPUTED_VALUE"""),FALSE)</f>
        <v>0</v>
      </c>
      <c r="O205" s="3" t="str">
        <f>IFERROR(__xludf.DUMMYFUNCTION("""COMPUTED_VALUE"""),"george.korizis@pwc.com")</f>
        <v>george.korizis@pwc.com</v>
      </c>
      <c r="P205" s="3" t="str">
        <f>IFERROR(__xludf.DUMMYFUNCTION("""COMPUTED_VALUE"""),"No")</f>
        <v>No</v>
      </c>
      <c r="Q205" s="3" t="b">
        <f>IFERROR(__xludf.DUMMYFUNCTION("""COMPUTED_VALUE"""),FALSE)</f>
        <v>0</v>
      </c>
      <c r="R205" s="3"/>
      <c r="S205" s="3"/>
      <c r="T205" s="3" t="b">
        <f>IFERROR(__xludf.DUMMYFUNCTION("""COMPUTED_VALUE"""),FALSE)</f>
        <v>0</v>
      </c>
      <c r="U205" s="3" t="b">
        <f>IFERROR(__xludf.DUMMYFUNCTION("""COMPUTED_VALUE"""),TRUE)</f>
        <v>1</v>
      </c>
      <c r="V205" s="3" t="b">
        <f>IFERROR(__xludf.DUMMYFUNCTION("""COMPUTED_VALUE"""),FALSE)</f>
        <v>0</v>
      </c>
      <c r="W205" s="3" t="str">
        <f>IFERROR(__xludf.DUMMYFUNCTION("""COMPUTED_VALUE"""),"Delivery")</f>
        <v>Delivery</v>
      </c>
      <c r="X205" s="3"/>
      <c r="Y205" s="3"/>
      <c r="Z205" s="3" t="str">
        <f>IFERROR(__xludf.DUMMYFUNCTION("""COMPUTED_VALUE"""),"Commercial / CRM Transformation - FS &amp; TMT")</f>
        <v>Commercial / CRM Transformation - FS &amp; TMT</v>
      </c>
      <c r="AA205" s="3" t="b">
        <f>IFERROR(__xludf.DUMMYFUNCTION("""COMPUTED_VALUE"""),FALSE)</f>
        <v>0</v>
      </c>
    </row>
    <row r="206">
      <c r="A206" s="11">
        <f>IFERROR(__xludf.DUMMYFUNCTION("""COMPUTED_VALUE"""),1.01240927E8)</f>
        <v>101240927</v>
      </c>
      <c r="B206" s="3" t="str">
        <f>IFERROR(__xludf.DUMMYFUNCTION("""COMPUTED_VALUE"""),"Elizabeth Otterman")</f>
        <v>Elizabeth Otterman</v>
      </c>
      <c r="C206" s="3" t="str">
        <f>IFERROR(__xludf.DUMMYFUNCTION("""COMPUTED_VALUE"""),"Unknown")</f>
        <v>Unknown</v>
      </c>
      <c r="D206" s="3" t="str">
        <f>IFERROR(__xludf.DUMMYFUNCTION("""COMPUTED_VALUE"""),"Unknown")</f>
        <v>Unknown</v>
      </c>
      <c r="E206" s="3" t="str">
        <f>IFERROR(__xludf.DUMMYFUNCTION("""COMPUTED_VALUE"""),"Active")</f>
        <v>Active</v>
      </c>
      <c r="F206" s="3" t="str">
        <f>IFERROR(__xludf.DUMMYFUNCTION("""COMPUTED_VALUE"""),"elizabeth.otterman@pwc.com")</f>
        <v>elizabeth.otterman@pwc.com</v>
      </c>
      <c r="G206" s="3" t="str">
        <f>IFERROR(__xludf.DUMMYFUNCTION("""COMPUTED_VALUE"""),"Customer")</f>
        <v>Customer</v>
      </c>
      <c r="H206" s="3" t="str">
        <f>IFERROR(__xludf.DUMMYFUNCTION("""COMPUTED_VALUE"""),"Pharma and Life Sciences")</f>
        <v>Pharma and Life Sciences</v>
      </c>
      <c r="I206" s="3" t="str">
        <f>IFERROR(__xludf.DUMMYFUNCTION("""COMPUTED_VALUE"""),"Customer - Customer Strategy &amp; Experience")</f>
        <v>Customer - Customer Strategy &amp; Experience</v>
      </c>
      <c r="J206" s="3" t="str">
        <f>IFERROR(__xludf.DUMMYFUNCTION("""COMPUTED_VALUE"""),"Partner")</f>
        <v>Partner</v>
      </c>
      <c r="K206" s="12">
        <f>IFERROR(__xludf.DUMMYFUNCTION("""COMPUTED_VALUE"""),44682.0)</f>
        <v>44682</v>
      </c>
      <c r="L206" s="3" t="str">
        <f>IFERROR(__xludf.DUMMYFUNCTION("""COMPUTED_VALUE"""),"Los Angeles")</f>
        <v>Los Angeles</v>
      </c>
      <c r="M206" s="3" t="str">
        <f>IFERROR(__xludf.DUMMYFUNCTION("""COMPUTED_VALUE"""),"#N/A")</f>
        <v>#N/A</v>
      </c>
      <c r="N206" s="3" t="str">
        <f>IFERROR(__xludf.DUMMYFUNCTION("""COMPUTED_VALUE"""),"Unknown")</f>
        <v>Unknown</v>
      </c>
      <c r="O206" s="3" t="str">
        <f>IFERROR(__xludf.DUMMYFUNCTION("""COMPUTED_VALUE"""),"Unknown")</f>
        <v>Unknown</v>
      </c>
      <c r="P206" s="3" t="str">
        <f>IFERROR(__xludf.DUMMYFUNCTION("""COMPUTED_VALUE"""),"FY22")</f>
        <v>FY22</v>
      </c>
      <c r="Q206" s="3" t="str">
        <f>IFERROR(__xludf.DUMMYFUNCTION("""COMPUTED_VALUE"""),"Unknown")</f>
        <v>Unknown</v>
      </c>
      <c r="R206" s="3" t="str">
        <f>IFERROR(__xludf.DUMMYFUNCTION("""COMPUTED_VALUE"""),"Unknown")</f>
        <v>Unknown</v>
      </c>
      <c r="S206" s="3" t="str">
        <f>IFERROR(__xludf.DUMMYFUNCTION("""COMPUTED_VALUE"""),"Unknown")</f>
        <v>Unknown</v>
      </c>
      <c r="T206" s="3" t="str">
        <f>IFERROR(__xludf.DUMMYFUNCTION("""COMPUTED_VALUE"""),"Unknown")</f>
        <v>Unknown</v>
      </c>
      <c r="U206" s="3" t="b">
        <f>IFERROR(__xludf.DUMMYFUNCTION("""COMPUTED_VALUE"""),TRUE)</f>
        <v>1</v>
      </c>
      <c r="V206" s="3" t="str">
        <f>IFERROR(__xludf.DUMMYFUNCTION("""COMPUTED_VALUE"""),"Unknown")</f>
        <v>Unknown</v>
      </c>
      <c r="W206" s="3" t="str">
        <f>IFERROR(__xludf.DUMMYFUNCTION("""COMPUTED_VALUE"""),"Catalyst")</f>
        <v>Catalyst</v>
      </c>
      <c r="X206" s="3" t="str">
        <f>IFERROR(__xludf.DUMMYFUNCTION("""COMPUTED_VALUE"""),"Unknown")</f>
        <v>Unknown</v>
      </c>
      <c r="Y206" s="3" t="str">
        <f>IFERROR(__xludf.DUMMYFUNCTION("""COMPUTED_VALUE"""),"FY22")</f>
        <v>FY22</v>
      </c>
      <c r="Z206" s="3" t="str">
        <f>IFERROR(__xludf.DUMMYFUNCTION("""COMPUTED_VALUE"""),"#N/A")</f>
        <v>#N/A</v>
      </c>
      <c r="AA206" s="3" t="b">
        <f>IFERROR(__xludf.DUMMYFUNCTION("""COMPUTED_VALUE"""),FALSE)</f>
        <v>0</v>
      </c>
    </row>
    <row r="207">
      <c r="A207" s="11">
        <f>IFERROR(__xludf.DUMMYFUNCTION("""COMPUTED_VALUE"""),1.00640439E8)</f>
        <v>100640439</v>
      </c>
      <c r="B207" s="3" t="str">
        <f>IFERROR(__xludf.DUMMYFUNCTION("""COMPUTED_VALUE"""),"Elizabeth Payne")</f>
        <v>Elizabeth Payne</v>
      </c>
      <c r="C207" s="3" t="str">
        <f>IFERROR(__xludf.DUMMYFUNCTION("""COMPUTED_VALUE"""),"Elizabeth  Payne")</f>
        <v>Elizabeth  Payne</v>
      </c>
      <c r="D207" s="3" t="str">
        <f>IFERROR(__xludf.DUMMYFUNCTION("""COMPUTED_VALUE"""),"Payne, Elizabeth")</f>
        <v>Payne, Elizabeth</v>
      </c>
      <c r="E207" s="3" t="str">
        <f>IFERROR(__xludf.DUMMYFUNCTION("""COMPUTED_VALUE"""),"Active")</f>
        <v>Active</v>
      </c>
      <c r="F207" s="3" t="str">
        <f>IFERROR(__xludf.DUMMYFUNCTION("""COMPUTED_VALUE"""),"elizabeth.payne@pwc.com")</f>
        <v>elizabeth.payne@pwc.com</v>
      </c>
      <c r="G207" s="3" t="str">
        <f>IFERROR(__xludf.DUMMYFUNCTION("""COMPUTED_VALUE"""),"Finance")</f>
        <v>Finance</v>
      </c>
      <c r="H207" s="3" t="str">
        <f>IFERROR(__xludf.DUMMYFUNCTION("""COMPUTED_VALUE"""),"Banking and Capital Markets")</f>
        <v>Banking and Capital Markets</v>
      </c>
      <c r="I207" s="3" t="str">
        <f>IFERROR(__xludf.DUMMYFUNCTION("""COMPUTED_VALUE"""),"Finance - Finance Strategy / Op Model / Global Business Services / Talent")</f>
        <v>Finance - Finance Strategy / Op Model / Global Business Services / Talent</v>
      </c>
      <c r="J207" s="3" t="str">
        <f>IFERROR(__xludf.DUMMYFUNCTION("""COMPUTED_VALUE"""),"Partner")</f>
        <v>Partner</v>
      </c>
      <c r="K207" s="12">
        <f>IFERROR(__xludf.DUMMYFUNCTION("""COMPUTED_VALUE"""),39980.0)</f>
        <v>39980</v>
      </c>
      <c r="L207" s="3" t="str">
        <f>IFERROR(__xludf.DUMMYFUNCTION("""COMPUTED_VALUE"""),"Greensboro")</f>
        <v>Greensboro</v>
      </c>
      <c r="M207" s="3" t="str">
        <f>IFERROR(__xludf.DUMMYFUNCTION("""COMPUTED_VALUE"""),"Greensboro - 400 Bellemeade")</f>
        <v>Greensboro - 400 Bellemeade</v>
      </c>
      <c r="N207" s="3" t="b">
        <f>IFERROR(__xludf.DUMMYFUNCTION("""COMPUTED_VALUE"""),FALSE)</f>
        <v>0</v>
      </c>
      <c r="O207" s="3" t="str">
        <f>IFERROR(__xludf.DUMMYFUNCTION("""COMPUTED_VALUE"""),"kurtis.babczenko@pwc.com")</f>
        <v>kurtis.babczenko@pwc.com</v>
      </c>
      <c r="P207" s="3" t="str">
        <f>IFERROR(__xludf.DUMMYFUNCTION("""COMPUTED_VALUE"""),"No")</f>
        <v>No</v>
      </c>
      <c r="Q207" s="3" t="b">
        <f>IFERROR(__xludf.DUMMYFUNCTION("""COMPUTED_VALUE"""),FALSE)</f>
        <v>0</v>
      </c>
      <c r="R207" s="3"/>
      <c r="S207" s="3"/>
      <c r="T207" s="3" t="b">
        <f>IFERROR(__xludf.DUMMYFUNCTION("""COMPUTED_VALUE"""),FALSE)</f>
        <v>0</v>
      </c>
      <c r="U207" s="3" t="b">
        <f>IFERROR(__xludf.DUMMYFUNCTION("""COMPUTED_VALUE"""),TRUE)</f>
        <v>1</v>
      </c>
      <c r="V207" s="3" t="b">
        <f>IFERROR(__xludf.DUMMYFUNCTION("""COMPUTED_VALUE"""),FALSE)</f>
        <v>0</v>
      </c>
      <c r="W207" s="3" t="str">
        <f>IFERROR(__xludf.DUMMYFUNCTION("""COMPUTED_VALUE"""),"Delivery")</f>
        <v>Delivery</v>
      </c>
      <c r="X207" s="3"/>
      <c r="Y207" s="3"/>
      <c r="Z207" s="3" t="str">
        <f>IFERROR(__xludf.DUMMYFUNCTION("""COMPUTED_VALUE"""),"Finance Transformation - Banking")</f>
        <v>Finance Transformation - Banking</v>
      </c>
      <c r="AA207" s="3" t="b">
        <f>IFERROR(__xludf.DUMMYFUNCTION("""COMPUTED_VALUE"""),TRUE)</f>
        <v>1</v>
      </c>
    </row>
    <row r="208">
      <c r="A208" s="11">
        <f>IFERROR(__xludf.DUMMYFUNCTION("""COMPUTED_VALUE"""),1.00609118E8)</f>
        <v>100609118</v>
      </c>
      <c r="B208" s="3" t="str">
        <f>IFERROR(__xludf.DUMMYFUNCTION("""COMPUTED_VALUE"""),"Elizabeth Yates")</f>
        <v>Elizabeth Yates</v>
      </c>
      <c r="C208" s="3" t="str">
        <f>IFERROR(__xludf.DUMMYFUNCTION("""COMPUTED_VALUE"""),"Elizabeth C Yates")</f>
        <v>Elizabeth C Yates</v>
      </c>
      <c r="D208" s="3" t="str">
        <f>IFERROR(__xludf.DUMMYFUNCTION("""COMPUTED_VALUE"""),"Yates, Elizabeth C")</f>
        <v>Yates, Elizabeth C</v>
      </c>
      <c r="E208" s="3" t="str">
        <f>IFERROR(__xludf.DUMMYFUNCTION("""COMPUTED_VALUE"""),"Active")</f>
        <v>Active</v>
      </c>
      <c r="F208" s="3" t="str">
        <f>IFERROR(__xludf.DUMMYFUNCTION("""COMPUTED_VALUE"""),"elizabeth.yates@pwc.com")</f>
        <v>elizabeth.yates@pwc.com</v>
      </c>
      <c r="G208" s="3" t="str">
        <f>IFERROR(__xludf.DUMMYFUNCTION("""COMPUTED_VALUE"""),"Workforce")</f>
        <v>Workforce</v>
      </c>
      <c r="H208" s="3" t="str">
        <f>IFERROR(__xludf.DUMMYFUNCTION("""COMPUTED_VALUE"""),"CM X-Sector")</f>
        <v>CM X-Sector</v>
      </c>
      <c r="I208" s="3" t="str">
        <f>IFERROR(__xludf.DUMMYFUNCTION("""COMPUTED_VALUE"""),"Workforce - HRT")</f>
        <v>Workforce - HRT</v>
      </c>
      <c r="J208" s="3" t="str">
        <f>IFERROR(__xludf.DUMMYFUNCTION("""COMPUTED_VALUE"""),"Partner")</f>
        <v>Partner</v>
      </c>
      <c r="K208" s="12">
        <f>IFERROR(__xludf.DUMMYFUNCTION("""COMPUTED_VALUE"""),42009.0)</f>
        <v>42009</v>
      </c>
      <c r="L208" s="3" t="str">
        <f>IFERROR(__xludf.DUMMYFUNCTION("""COMPUTED_VALUE"""),"Washington")</f>
        <v>Washington</v>
      </c>
      <c r="M208" s="3" t="str">
        <f>IFERROR(__xludf.DUMMYFUNCTION("""COMPUTED_VALUE"""),"Washington DC - 655 New York Avenue")</f>
        <v>Washington DC - 655 New York Avenue</v>
      </c>
      <c r="N208" s="3" t="b">
        <f>IFERROR(__xludf.DUMMYFUNCTION("""COMPUTED_VALUE"""),FALSE)</f>
        <v>0</v>
      </c>
      <c r="O208" s="3" t="str">
        <f>IFERROR(__xludf.DUMMYFUNCTION("""COMPUTED_VALUE"""),"craig.odonnell@pwc.com")</f>
        <v>craig.odonnell@pwc.com</v>
      </c>
      <c r="P208" s="3" t="str">
        <f>IFERROR(__xludf.DUMMYFUNCTION("""COMPUTED_VALUE"""),"No")</f>
        <v>No</v>
      </c>
      <c r="Q208" s="3" t="b">
        <f>IFERROR(__xludf.DUMMYFUNCTION("""COMPUTED_VALUE"""),FALSE)</f>
        <v>0</v>
      </c>
      <c r="R208" s="3"/>
      <c r="S208" s="3"/>
      <c r="T208" s="3" t="b">
        <f>IFERROR(__xludf.DUMMYFUNCTION("""COMPUTED_VALUE"""),FALSE)</f>
        <v>0</v>
      </c>
      <c r="U208" s="3" t="b">
        <f>IFERROR(__xludf.DUMMYFUNCTION("""COMPUTED_VALUE"""),FALSE)</f>
        <v>0</v>
      </c>
      <c r="V208" s="3" t="b">
        <f>IFERROR(__xludf.DUMMYFUNCTION("""COMPUTED_VALUE"""),FALSE)</f>
        <v>0</v>
      </c>
      <c r="W208" s="3" t="str">
        <f>IFERROR(__xludf.DUMMYFUNCTION("""COMPUTED_VALUE"""),"#N/A")</f>
        <v>#N/A</v>
      </c>
      <c r="X208" s="3" t="str">
        <f>IFERROR(__xludf.DUMMYFUNCTION("""COMPUTED_VALUE"""),"#N/A")</f>
        <v>#N/A</v>
      </c>
      <c r="Y208" s="3" t="str">
        <f>IFERROR(__xludf.DUMMYFUNCTION("""COMPUTED_VALUE"""),"#N/A")</f>
        <v>#N/A</v>
      </c>
      <c r="Z208" s="3" t="str">
        <f>IFERROR(__xludf.DUMMYFUNCTION("""COMPUTED_VALUE"""),"Unknown")</f>
        <v>Unknown</v>
      </c>
      <c r="AA208" s="3" t="b">
        <f>IFERROR(__xludf.DUMMYFUNCTION("""COMPUTED_VALUE"""),FALSE)</f>
        <v>0</v>
      </c>
    </row>
    <row r="209">
      <c r="A209" s="11">
        <f>IFERROR(__xludf.DUMMYFUNCTION("""COMPUTED_VALUE"""),1.00658997E8)</f>
        <v>100658997</v>
      </c>
      <c r="B209" s="3" t="str">
        <f>IFERROR(__xludf.DUMMYFUNCTION("""COMPUTED_VALUE"""),"Ellen Walsh")</f>
        <v>Ellen Walsh</v>
      </c>
      <c r="C209" s="3" t="str">
        <f>IFERROR(__xludf.DUMMYFUNCTION("""COMPUTED_VALUE"""),"Ellen C Walsh")</f>
        <v>Ellen C Walsh</v>
      </c>
      <c r="D209" s="3" t="str">
        <f>IFERROR(__xludf.DUMMYFUNCTION("""COMPUTED_VALUE"""),"Walsh, Ellen C")</f>
        <v>Walsh, Ellen C</v>
      </c>
      <c r="E209" s="3" t="str">
        <f>IFERROR(__xludf.DUMMYFUNCTION("""COMPUTED_VALUE"""),"Active")</f>
        <v>Active</v>
      </c>
      <c r="F209" s="3" t="str">
        <f>IFERROR(__xludf.DUMMYFUNCTION("""COMPUTED_VALUE"""),"ellen.walsh@pwc.com")</f>
        <v>ellen.walsh@pwc.com</v>
      </c>
      <c r="G209" s="3" t="str">
        <f>IFERROR(__xludf.DUMMYFUNCTION("""COMPUTED_VALUE"""),"FS")</f>
        <v>FS</v>
      </c>
      <c r="H209" s="3" t="str">
        <f>IFERROR(__xludf.DUMMYFUNCTION("""COMPUTED_VALUE"""),"Insurance")</f>
        <v>Insurance</v>
      </c>
      <c r="I209" s="3" t="str">
        <f>IFERROR(__xludf.DUMMYFUNCTION("""COMPUTED_VALUE"""),"FS - Insurance")</f>
        <v>FS - Insurance</v>
      </c>
      <c r="J209" s="3" t="str">
        <f>IFERROR(__xludf.DUMMYFUNCTION("""COMPUTED_VALUE"""),"Partner")</f>
        <v>Partner</v>
      </c>
      <c r="K209" s="12">
        <f>IFERROR(__xludf.DUMMYFUNCTION("""COMPUTED_VALUE"""),34281.0)</f>
        <v>34281</v>
      </c>
      <c r="L209" s="3" t="str">
        <f>IFERROR(__xludf.DUMMYFUNCTION("""COMPUTED_VALUE"""),"New York")</f>
        <v>New York</v>
      </c>
      <c r="M209" s="3" t="str">
        <f>IFERROR(__xludf.DUMMYFUNCTION("""COMPUTED_VALUE"""),"New York - 300 Madison Avenue")</f>
        <v>New York - 300 Madison Avenue</v>
      </c>
      <c r="N209" s="3" t="b">
        <f>IFERROR(__xludf.DUMMYFUNCTION("""COMPUTED_VALUE"""),TRUE)</f>
        <v>1</v>
      </c>
      <c r="O209" s="3" t="str">
        <f>IFERROR(__xludf.DUMMYFUNCTION("""COMPUTED_VALUE"""),"alison.hoover@pwc.com")</f>
        <v>alison.hoover@pwc.com</v>
      </c>
      <c r="P209" s="3" t="str">
        <f>IFERROR(__xludf.DUMMYFUNCTION("""COMPUTED_VALUE"""),"No")</f>
        <v>No</v>
      </c>
      <c r="Q209" s="3" t="b">
        <f>IFERROR(__xludf.DUMMYFUNCTION("""COMPUTED_VALUE"""),TRUE)</f>
        <v>1</v>
      </c>
      <c r="R209" s="3" t="str">
        <f>IFERROR(__xludf.DUMMYFUNCTION("""COMPUTED_VALUE"""),"LCP High")</f>
        <v>LCP High</v>
      </c>
      <c r="S209" s="3"/>
      <c r="T209" s="3" t="b">
        <f>IFERROR(__xludf.DUMMYFUNCTION("""COMPUTED_VALUE"""),FALSE)</f>
        <v>0</v>
      </c>
      <c r="U209" s="3" t="b">
        <f>IFERROR(__xludf.DUMMYFUNCTION("""COMPUTED_VALUE"""),FALSE)</f>
        <v>0</v>
      </c>
      <c r="V209" s="3" t="b">
        <f>IFERROR(__xludf.DUMMYFUNCTION("""COMPUTED_VALUE"""),FALSE)</f>
        <v>0</v>
      </c>
      <c r="W209" s="3" t="str">
        <f>IFERROR(__xludf.DUMMYFUNCTION("""COMPUTED_VALUE"""),"LCP")</f>
        <v>LCP</v>
      </c>
      <c r="X209" s="3"/>
      <c r="Y209" s="3" t="str">
        <f>IFERROR(__xludf.DUMMYFUNCTION("""COMPUTED_VALUE"""),"GEP - High")</f>
        <v>GEP - High</v>
      </c>
      <c r="Z209" s="3" t="str">
        <f>IFERROR(__xludf.DUMMYFUNCTION("""COMPUTED_VALUE"""),"Insurance Transformation")</f>
        <v>Insurance Transformation</v>
      </c>
      <c r="AA209" s="3" t="b">
        <f>IFERROR(__xludf.DUMMYFUNCTION("""COMPUTED_VALUE"""),FALSE)</f>
        <v>0</v>
      </c>
    </row>
    <row r="210">
      <c r="A210" s="11">
        <f>IFERROR(__xludf.DUMMYFUNCTION("""COMPUTED_VALUE"""),1.00648716E8)</f>
        <v>100648716</v>
      </c>
      <c r="B210" s="3" t="str">
        <f>IFERROR(__xludf.DUMMYFUNCTION("""COMPUTED_VALUE"""),"Emre Sucu")</f>
        <v>Emre Sucu</v>
      </c>
      <c r="C210" s="3" t="str">
        <f>IFERROR(__xludf.DUMMYFUNCTION("""COMPUTED_VALUE"""),"Emre  Sucu")</f>
        <v>Emre  Sucu</v>
      </c>
      <c r="D210" s="3" t="str">
        <f>IFERROR(__xludf.DUMMYFUNCTION("""COMPUTED_VALUE"""),"Sucu, Emre")</f>
        <v>Sucu, Emre</v>
      </c>
      <c r="E210" s="3" t="str">
        <f>IFERROR(__xludf.DUMMYFUNCTION("""COMPUTED_VALUE"""),"Active")</f>
        <v>Active</v>
      </c>
      <c r="F210" s="3" t="str">
        <f>IFERROR(__xludf.DUMMYFUNCTION("""COMPUTED_VALUE"""),"emre.sucu@pwc.com")</f>
        <v>emre.sucu@pwc.com</v>
      </c>
      <c r="G210" s="3" t="str">
        <f>IFERROR(__xludf.DUMMYFUNCTION("""COMPUTED_VALUE"""),"Customer")</f>
        <v>Customer</v>
      </c>
      <c r="H210" s="3" t="str">
        <f>IFERROR(__xludf.DUMMYFUNCTION("""COMPUTED_VALUE"""),"CM X-Sector")</f>
        <v>CM X-Sector</v>
      </c>
      <c r="I210" s="3" t="str">
        <f>IFERROR(__xludf.DUMMYFUNCTION("""COMPUTED_VALUE"""),"Customer - Marketing")</f>
        <v>Customer - Marketing</v>
      </c>
      <c r="J210" s="3" t="str">
        <f>IFERROR(__xludf.DUMMYFUNCTION("""COMPUTED_VALUE"""),"Partner")</f>
        <v>Partner</v>
      </c>
      <c r="K210" s="12">
        <f>IFERROR(__xludf.DUMMYFUNCTION("""COMPUTED_VALUE"""),42156.0)</f>
        <v>42156</v>
      </c>
      <c r="L210" s="3" t="str">
        <f>IFERROR(__xludf.DUMMYFUNCTION("""COMPUTED_VALUE"""),"Chicago")</f>
        <v>Chicago</v>
      </c>
      <c r="M210" s="3" t="str">
        <f>IFERROR(__xludf.DUMMYFUNCTION("""COMPUTED_VALUE"""),"Chicago - One North Wacker Drive")</f>
        <v>Chicago - One North Wacker Drive</v>
      </c>
      <c r="N210" s="3" t="b">
        <f>IFERROR(__xludf.DUMMYFUNCTION("""COMPUTED_VALUE"""),FALSE)</f>
        <v>0</v>
      </c>
      <c r="O210" s="3" t="str">
        <f>IFERROR(__xludf.DUMMYFUNCTION("""COMPUTED_VALUE"""),"george.korizis@pwc.com")</f>
        <v>george.korizis@pwc.com</v>
      </c>
      <c r="P210" s="3" t="str">
        <f>IFERROR(__xludf.DUMMYFUNCTION("""COMPUTED_VALUE"""),"No")</f>
        <v>No</v>
      </c>
      <c r="Q210" s="3" t="b">
        <f>IFERROR(__xludf.DUMMYFUNCTION("""COMPUTED_VALUE"""),FALSE)</f>
        <v>0</v>
      </c>
      <c r="R210" s="3"/>
      <c r="S210" s="3"/>
      <c r="T210" s="3" t="b">
        <f>IFERROR(__xludf.DUMMYFUNCTION("""COMPUTED_VALUE"""),FALSE)</f>
        <v>0</v>
      </c>
      <c r="U210" s="3" t="b">
        <f>IFERROR(__xludf.DUMMYFUNCTION("""COMPUTED_VALUE"""),TRUE)</f>
        <v>1</v>
      </c>
      <c r="V210" s="3" t="b">
        <f>IFERROR(__xludf.DUMMYFUNCTION("""COMPUTED_VALUE"""),FALSE)</f>
        <v>0</v>
      </c>
      <c r="W210" s="3" t="str">
        <f>IFERROR(__xludf.DUMMYFUNCTION("""COMPUTED_VALUE"""),"Delivery")</f>
        <v>Delivery</v>
      </c>
      <c r="X210" s="3"/>
      <c r="Y210" s="3"/>
      <c r="Z210" s="3" t="str">
        <f>IFERROR(__xludf.DUMMYFUNCTION("""COMPUTED_VALUE"""),"Commercial / CRM Transformation - CM &amp; IPS &amp; HIA")</f>
        <v>Commercial / CRM Transformation - CM &amp; IPS &amp; HIA</v>
      </c>
      <c r="AA210" s="3" t="b">
        <f>IFERROR(__xludf.DUMMYFUNCTION("""COMPUTED_VALUE"""),FALSE)</f>
        <v>0</v>
      </c>
    </row>
    <row r="211">
      <c r="A211" s="11">
        <f>IFERROR(__xludf.DUMMYFUNCTION("""COMPUTED_VALUE"""),1.00589357E8)</f>
        <v>100589357</v>
      </c>
      <c r="B211" s="3" t="str">
        <f>IFERROR(__xludf.DUMMYFUNCTION("""COMPUTED_VALUE"""),"Ephraim Sudwerts")</f>
        <v>Ephraim Sudwerts</v>
      </c>
      <c r="C211" s="3" t="str">
        <f>IFERROR(__xludf.DUMMYFUNCTION("""COMPUTED_VALUE"""),"Ephraim  Sudwerts")</f>
        <v>Ephraim  Sudwerts</v>
      </c>
      <c r="D211" s="3" t="str">
        <f>IFERROR(__xludf.DUMMYFUNCTION("""COMPUTED_VALUE"""),"Sudwerts, Ephraim")</f>
        <v>Sudwerts, Ephraim</v>
      </c>
      <c r="E211" s="3" t="str">
        <f>IFERROR(__xludf.DUMMYFUNCTION("""COMPUTED_VALUE"""),"Active")</f>
        <v>Active</v>
      </c>
      <c r="F211" s="3" t="str">
        <f>IFERROR(__xludf.DUMMYFUNCTION("""COMPUTED_VALUE"""),"ephraim.sudwerts@pwc.com")</f>
        <v>ephraim.sudwerts@pwc.com</v>
      </c>
      <c r="G211" s="3" t="str">
        <f>IFERROR(__xludf.DUMMYFUNCTION("""COMPUTED_VALUE"""),"Workforce")</f>
        <v>Workforce</v>
      </c>
      <c r="H211" s="3" t="str">
        <f>IFERROR(__xludf.DUMMYFUNCTION("""COMPUTED_VALUE"""),"FS X-Sector")</f>
        <v>FS X-Sector</v>
      </c>
      <c r="I211" s="3" t="str">
        <f>IFERROR(__xludf.DUMMYFUNCTION("""COMPUTED_VALUE"""),"Workforce - Rewards &amp; Well Being")</f>
        <v>Workforce - Rewards &amp; Well Being</v>
      </c>
      <c r="J211" s="3" t="str">
        <f>IFERROR(__xludf.DUMMYFUNCTION("""COMPUTED_VALUE"""),"Partner")</f>
        <v>Partner</v>
      </c>
      <c r="K211" s="12">
        <f>IFERROR(__xludf.DUMMYFUNCTION("""COMPUTED_VALUE"""),36353.0)</f>
        <v>36353</v>
      </c>
      <c r="L211" s="3" t="str">
        <f>IFERROR(__xludf.DUMMYFUNCTION("""COMPUTED_VALUE"""),"New York")</f>
        <v>New York</v>
      </c>
      <c r="M211" s="3" t="str">
        <f>IFERROR(__xludf.DUMMYFUNCTION("""COMPUTED_VALUE"""),"New York - 300 Madison Avenue")</f>
        <v>New York - 300 Madison Avenue</v>
      </c>
      <c r="N211" s="3" t="b">
        <f>IFERROR(__xludf.DUMMYFUNCTION("""COMPUTED_VALUE"""),FALSE)</f>
        <v>0</v>
      </c>
      <c r="O211" s="3" t="str">
        <f>IFERROR(__xludf.DUMMYFUNCTION("""COMPUTED_VALUE"""),"craig.odonnell@pwc.com")</f>
        <v>craig.odonnell@pwc.com</v>
      </c>
      <c r="P211" s="3" t="str">
        <f>IFERROR(__xludf.DUMMYFUNCTION("""COMPUTED_VALUE"""),"No")</f>
        <v>No</v>
      </c>
      <c r="Q211" s="3" t="b">
        <f>IFERROR(__xludf.DUMMYFUNCTION("""COMPUTED_VALUE"""),FALSE)</f>
        <v>0</v>
      </c>
      <c r="R211" s="3"/>
      <c r="S211" s="3"/>
      <c r="T211" s="3" t="b">
        <f>IFERROR(__xludf.DUMMYFUNCTION("""COMPUTED_VALUE"""),FALSE)</f>
        <v>0</v>
      </c>
      <c r="U211" s="3" t="b">
        <f>IFERROR(__xludf.DUMMYFUNCTION("""COMPUTED_VALUE"""),FALSE)</f>
        <v>0</v>
      </c>
      <c r="V211" s="3" t="b">
        <f>IFERROR(__xludf.DUMMYFUNCTION("""COMPUTED_VALUE"""),FALSE)</f>
        <v>0</v>
      </c>
      <c r="W211" s="3" t="str">
        <f>IFERROR(__xludf.DUMMYFUNCTION("""COMPUTED_VALUE"""),"#N/A")</f>
        <v>#N/A</v>
      </c>
      <c r="X211" s="3" t="str">
        <f>IFERROR(__xludf.DUMMYFUNCTION("""COMPUTED_VALUE"""),"#N/A")</f>
        <v>#N/A</v>
      </c>
      <c r="Y211" s="3" t="str">
        <f>IFERROR(__xludf.DUMMYFUNCTION("""COMPUTED_VALUE"""),"#N/A")</f>
        <v>#N/A</v>
      </c>
      <c r="Z211" s="3" t="str">
        <f>IFERROR(__xludf.DUMMYFUNCTION("""COMPUTED_VALUE"""),"Unknown")</f>
        <v>Unknown</v>
      </c>
      <c r="AA211" s="3" t="b">
        <f>IFERROR(__xludf.DUMMYFUNCTION("""COMPUTED_VALUE"""),FALSE)</f>
        <v>0</v>
      </c>
    </row>
    <row r="212">
      <c r="A212" s="11">
        <f>IFERROR(__xludf.DUMMYFUNCTION("""COMPUTED_VALUE"""),1.00607644E8)</f>
        <v>100607644</v>
      </c>
      <c r="B212" s="3" t="str">
        <f>IFERROR(__xludf.DUMMYFUNCTION("""COMPUTED_VALUE"""),"Eric Cohen")</f>
        <v>Eric Cohen</v>
      </c>
      <c r="C212" s="3" t="str">
        <f>IFERROR(__xludf.DUMMYFUNCTION("""COMPUTED_VALUE"""),"Eric  Cohen")</f>
        <v>Eric  Cohen</v>
      </c>
      <c r="D212" s="3" t="str">
        <f>IFERROR(__xludf.DUMMYFUNCTION("""COMPUTED_VALUE"""),"Cohen, Eric")</f>
        <v>Cohen, Eric</v>
      </c>
      <c r="E212" s="3" t="str">
        <f>IFERROR(__xludf.DUMMYFUNCTION("""COMPUTED_VALUE"""),"Active")</f>
        <v>Active</v>
      </c>
      <c r="F212" s="3" t="str">
        <f>IFERROR(__xludf.DUMMYFUNCTION("""COMPUTED_VALUE"""),"eric.cohen@pwc.com")</f>
        <v>eric.cohen@pwc.com</v>
      </c>
      <c r="G212" s="3" t="str">
        <f>IFERROR(__xludf.DUMMYFUNCTION("""COMPUTED_VALUE"""),"Finance")</f>
        <v>Finance</v>
      </c>
      <c r="H212" s="3" t="str">
        <f>IFERROR(__xludf.DUMMYFUNCTION("""COMPUTED_VALUE"""),"Manufacturing")</f>
        <v>Manufacturing</v>
      </c>
      <c r="I212" s="3" t="str">
        <f>IFERROR(__xludf.DUMMYFUNCTION("""COMPUTED_VALUE"""),"Finance - Treasury / Working Capital / Cash Management")</f>
        <v>Finance - Treasury / Working Capital / Cash Management</v>
      </c>
      <c r="J212" s="3" t="str">
        <f>IFERROR(__xludf.DUMMYFUNCTION("""COMPUTED_VALUE"""),"Partner")</f>
        <v>Partner</v>
      </c>
      <c r="K212" s="12">
        <f>IFERROR(__xludf.DUMMYFUNCTION("""COMPUTED_VALUE"""),36780.0)</f>
        <v>36780</v>
      </c>
      <c r="L212" s="3" t="str">
        <f>IFERROR(__xludf.DUMMYFUNCTION("""COMPUTED_VALUE"""),"New York")</f>
        <v>New York</v>
      </c>
      <c r="M212" s="3" t="str">
        <f>IFERROR(__xludf.DUMMYFUNCTION("""COMPUTED_VALUE"""),"New York - 300 Madison Avenue")</f>
        <v>New York - 300 Madison Avenue</v>
      </c>
      <c r="N212" s="3" t="b">
        <f>IFERROR(__xludf.DUMMYFUNCTION("""COMPUTED_VALUE"""),FALSE)</f>
        <v>0</v>
      </c>
      <c r="O212" s="3" t="str">
        <f>IFERROR(__xludf.DUMMYFUNCTION("""COMPUTED_VALUE"""),"kurtis.babczenko@pwc.com")</f>
        <v>kurtis.babczenko@pwc.com</v>
      </c>
      <c r="P212" s="3" t="str">
        <f>IFERROR(__xludf.DUMMYFUNCTION("""COMPUTED_VALUE"""),"No")</f>
        <v>No</v>
      </c>
      <c r="Q212" s="3" t="b">
        <f>IFERROR(__xludf.DUMMYFUNCTION("""COMPUTED_VALUE"""),FALSE)</f>
        <v>0</v>
      </c>
      <c r="R212" s="3"/>
      <c r="S212" s="3"/>
      <c r="T212" s="3" t="b">
        <f>IFERROR(__xludf.DUMMYFUNCTION("""COMPUTED_VALUE"""),FALSE)</f>
        <v>0</v>
      </c>
      <c r="U212" s="3" t="b">
        <f>IFERROR(__xludf.DUMMYFUNCTION("""COMPUTED_VALUE"""),TRUE)</f>
        <v>1</v>
      </c>
      <c r="V212" s="3" t="b">
        <f>IFERROR(__xludf.DUMMYFUNCTION("""COMPUTED_VALUE"""),FALSE)</f>
        <v>0</v>
      </c>
      <c r="W212" s="3" t="str">
        <f>IFERROR(__xludf.DUMMYFUNCTION("""COMPUTED_VALUE"""),"Delivery")</f>
        <v>Delivery</v>
      </c>
      <c r="X212" s="3"/>
      <c r="Y212" s="3"/>
      <c r="Z212" s="3" t="str">
        <f>IFERROR(__xludf.DUMMYFUNCTION("""COMPUTED_VALUE"""),"Finance Transformation IPS - IP")</f>
        <v>Finance Transformation IPS - IP</v>
      </c>
      <c r="AA212" s="3" t="b">
        <f>IFERROR(__xludf.DUMMYFUNCTION("""COMPUTED_VALUE"""),FALSE)</f>
        <v>0</v>
      </c>
    </row>
    <row r="213">
      <c r="A213" s="11">
        <f>IFERROR(__xludf.DUMMYFUNCTION("""COMPUTED_VALUE"""),1.00628059E8)</f>
        <v>100628059</v>
      </c>
      <c r="B213" s="3" t="str">
        <f>IFERROR(__xludf.DUMMYFUNCTION("""COMPUTED_VALUE"""),"Eric Goldsborough")</f>
        <v>Eric Goldsborough</v>
      </c>
      <c r="C213" s="3" t="str">
        <f>IFERROR(__xludf.DUMMYFUNCTION("""COMPUTED_VALUE"""),"Eric Sean Goldsborough")</f>
        <v>Eric Sean Goldsborough</v>
      </c>
      <c r="D213" s="3" t="str">
        <f>IFERROR(__xludf.DUMMYFUNCTION("""COMPUTED_VALUE"""),"Goldsborough, Eric Sean")</f>
        <v>Goldsborough, Eric Sean</v>
      </c>
      <c r="E213" s="3" t="str">
        <f>IFERROR(__xludf.DUMMYFUNCTION("""COMPUTED_VALUE"""),"Active")</f>
        <v>Active</v>
      </c>
      <c r="F213" s="3" t="str">
        <f>IFERROR(__xludf.DUMMYFUNCTION("""COMPUTED_VALUE"""),"eric.s.goldsborough@pwc.com")</f>
        <v>eric.s.goldsborough@pwc.com</v>
      </c>
      <c r="G213" s="3" t="str">
        <f>IFERROR(__xludf.DUMMYFUNCTION("""COMPUTED_VALUE"""),"Customer")</f>
        <v>Customer</v>
      </c>
      <c r="H213" s="3" t="str">
        <f>IFERROR(__xludf.DUMMYFUNCTION("""COMPUTED_VALUE"""),"TMT X-Sector")</f>
        <v>TMT X-Sector</v>
      </c>
      <c r="I213" s="3" t="str">
        <f>IFERROR(__xludf.DUMMYFUNCTION("""COMPUTED_VALUE"""),"Customer - Sales")</f>
        <v>Customer - Sales</v>
      </c>
      <c r="J213" s="3" t="str">
        <f>IFERROR(__xludf.DUMMYFUNCTION("""COMPUTED_VALUE"""),"Partner")</f>
        <v>Partner</v>
      </c>
      <c r="K213" s="12">
        <f>IFERROR(__xludf.DUMMYFUNCTION("""COMPUTED_VALUE"""),39195.0)</f>
        <v>39195</v>
      </c>
      <c r="L213" s="3" t="str">
        <f>IFERROR(__xludf.DUMMYFUNCTION("""COMPUTED_VALUE"""),"Seattle")</f>
        <v>Seattle</v>
      </c>
      <c r="M213" s="3" t="str">
        <f>IFERROR(__xludf.DUMMYFUNCTION("""COMPUTED_VALUE"""),"Seattle - 1420 Fifth Avenue")</f>
        <v>Seattle - 1420 Fifth Avenue</v>
      </c>
      <c r="N213" s="3" t="b">
        <f>IFERROR(__xludf.DUMMYFUNCTION("""COMPUTED_VALUE"""),FALSE)</f>
        <v>0</v>
      </c>
      <c r="O213" s="3" t="str">
        <f>IFERROR(__xludf.DUMMYFUNCTION("""COMPUTED_VALUE"""),"george.korizis@pwc.com")</f>
        <v>george.korizis@pwc.com</v>
      </c>
      <c r="P213" s="3" t="str">
        <f>IFERROR(__xludf.DUMMYFUNCTION("""COMPUTED_VALUE"""),"No")</f>
        <v>No</v>
      </c>
      <c r="Q213" s="3" t="b">
        <f>IFERROR(__xludf.DUMMYFUNCTION("""COMPUTED_VALUE"""),FALSE)</f>
        <v>0</v>
      </c>
      <c r="R213" s="3"/>
      <c r="S213" s="3"/>
      <c r="T213" s="3" t="b">
        <f>IFERROR(__xludf.DUMMYFUNCTION("""COMPUTED_VALUE"""),FALSE)</f>
        <v>0</v>
      </c>
      <c r="U213" s="3" t="b">
        <f>IFERROR(__xludf.DUMMYFUNCTION("""COMPUTED_VALUE"""),TRUE)</f>
        <v>1</v>
      </c>
      <c r="V213" s="3" t="b">
        <f>IFERROR(__xludf.DUMMYFUNCTION("""COMPUTED_VALUE"""),FALSE)</f>
        <v>0</v>
      </c>
      <c r="W213" s="3" t="str">
        <f>IFERROR(__xludf.DUMMYFUNCTION("""COMPUTED_VALUE"""),"Delivery")</f>
        <v>Delivery</v>
      </c>
      <c r="X213" s="3"/>
      <c r="Y213" s="3"/>
      <c r="Z213" s="3" t="str">
        <f>IFERROR(__xludf.DUMMYFUNCTION("""COMPUTED_VALUE"""),"Commercial / CRM Transformation - FS &amp; TMT")</f>
        <v>Commercial / CRM Transformation - FS &amp; TMT</v>
      </c>
      <c r="AA213" s="3" t="b">
        <f>IFERROR(__xludf.DUMMYFUNCTION("""COMPUTED_VALUE"""),FALSE)</f>
        <v>0</v>
      </c>
    </row>
    <row r="214">
      <c r="A214" s="11">
        <f>IFERROR(__xludf.DUMMYFUNCTION("""COMPUTED_VALUE"""),1.00640945E8)</f>
        <v>100640945</v>
      </c>
      <c r="B214" s="3" t="str">
        <f>IFERROR(__xludf.DUMMYFUNCTION("""COMPUTED_VALUE"""),"Eric Michael")</f>
        <v>Eric Michael</v>
      </c>
      <c r="C214" s="3" t="str">
        <f>IFERROR(__xludf.DUMMYFUNCTION("""COMPUTED_VALUE"""),"Eric T Michael")</f>
        <v>Eric T Michael</v>
      </c>
      <c r="D214" s="3" t="str">
        <f>IFERROR(__xludf.DUMMYFUNCTION("""COMPUTED_VALUE"""),"Michael, Eric T")</f>
        <v>Michael, Eric T</v>
      </c>
      <c r="E214" s="3" t="str">
        <f>IFERROR(__xludf.DUMMYFUNCTION("""COMPUTED_VALUE"""),"Active")</f>
        <v>Active</v>
      </c>
      <c r="F214" s="3" t="str">
        <f>IFERROR(__xludf.DUMMYFUNCTION("""COMPUTED_VALUE"""),"eric.t.michael@pwc.com")</f>
        <v>eric.t.michael@pwc.com</v>
      </c>
      <c r="G214" s="3" t="str">
        <f>IFERROR(__xludf.DUMMYFUNCTION("""COMPUTED_VALUE"""),"Workforce")</f>
        <v>Workforce</v>
      </c>
      <c r="H214" s="3" t="str">
        <f>IFERROR(__xludf.DUMMYFUNCTION("""COMPUTED_VALUE"""),"Pharma and Life Sciences")</f>
        <v>Pharma and Life Sciences</v>
      </c>
      <c r="I214" s="3" t="str">
        <f>IFERROR(__xludf.DUMMYFUNCTION("""COMPUTED_VALUE"""),"Workforce - Rewards &amp; Well Being")</f>
        <v>Workforce - Rewards &amp; Well Being</v>
      </c>
      <c r="J214" s="3" t="str">
        <f>IFERROR(__xludf.DUMMYFUNCTION("""COMPUTED_VALUE"""),"Partner")</f>
        <v>Partner</v>
      </c>
      <c r="K214" s="12">
        <f>IFERROR(__xludf.DUMMYFUNCTION("""COMPUTED_VALUE"""),43031.0)</f>
        <v>43031</v>
      </c>
      <c r="L214" s="3" t="str">
        <f>IFERROR(__xludf.DUMMYFUNCTION("""COMPUTED_VALUE"""),"Minneapolis")</f>
        <v>Minneapolis</v>
      </c>
      <c r="M214" s="3" t="str">
        <f>IFERROR(__xludf.DUMMYFUNCTION("""COMPUTED_VALUE"""),"Minneapolis - 45 South 7th Street")</f>
        <v>Minneapolis - 45 South 7th Street</v>
      </c>
      <c r="N214" s="3" t="b">
        <f>IFERROR(__xludf.DUMMYFUNCTION("""COMPUTED_VALUE"""),FALSE)</f>
        <v>0</v>
      </c>
      <c r="O214" s="3" t="str">
        <f>IFERROR(__xludf.DUMMYFUNCTION("""COMPUTED_VALUE"""),"craig.odonnell@pwc.com")</f>
        <v>craig.odonnell@pwc.com</v>
      </c>
      <c r="P214" s="3" t="str">
        <f>IFERROR(__xludf.DUMMYFUNCTION("""COMPUTED_VALUE"""),"No")</f>
        <v>No</v>
      </c>
      <c r="Q214" s="3" t="b">
        <f>IFERROR(__xludf.DUMMYFUNCTION("""COMPUTED_VALUE"""),FALSE)</f>
        <v>0</v>
      </c>
      <c r="R214" s="3"/>
      <c r="S214" s="3"/>
      <c r="T214" s="3" t="b">
        <f>IFERROR(__xludf.DUMMYFUNCTION("""COMPUTED_VALUE"""),FALSE)</f>
        <v>0</v>
      </c>
      <c r="U214" s="3" t="b">
        <f>IFERROR(__xludf.DUMMYFUNCTION("""COMPUTED_VALUE"""),FALSE)</f>
        <v>0</v>
      </c>
      <c r="V214" s="3" t="b">
        <f>IFERROR(__xludf.DUMMYFUNCTION("""COMPUTED_VALUE"""),FALSE)</f>
        <v>0</v>
      </c>
      <c r="W214" s="3" t="str">
        <f>IFERROR(__xludf.DUMMYFUNCTION("""COMPUTED_VALUE"""),"#N/A")</f>
        <v>#N/A</v>
      </c>
      <c r="X214" s="3" t="str">
        <f>IFERROR(__xludf.DUMMYFUNCTION("""COMPUTED_VALUE"""),"#N/A")</f>
        <v>#N/A</v>
      </c>
      <c r="Y214" s="3" t="str">
        <f>IFERROR(__xludf.DUMMYFUNCTION("""COMPUTED_VALUE"""),"#N/A")</f>
        <v>#N/A</v>
      </c>
      <c r="Z214" s="3" t="str">
        <f>IFERROR(__xludf.DUMMYFUNCTION("""COMPUTED_VALUE"""),"Unknown")</f>
        <v>Unknown</v>
      </c>
      <c r="AA214" s="3" t="b">
        <f>IFERROR(__xludf.DUMMYFUNCTION("""COMPUTED_VALUE"""),FALSE)</f>
        <v>0</v>
      </c>
    </row>
    <row r="215">
      <c r="A215" s="11">
        <f>IFERROR(__xludf.DUMMYFUNCTION("""COMPUTED_VALUE"""),1.01215108E8)</f>
        <v>101215108</v>
      </c>
      <c r="B215" s="3" t="str">
        <f>IFERROR(__xludf.DUMMYFUNCTION("""COMPUTED_VALUE"""),"Eric Shea")</f>
        <v>Eric Shea</v>
      </c>
      <c r="C215" s="3" t="str">
        <f>IFERROR(__xludf.DUMMYFUNCTION("""COMPUTED_VALUE"""),"Eric Paul Shea")</f>
        <v>Eric Paul Shea</v>
      </c>
      <c r="D215" s="3" t="str">
        <f>IFERROR(__xludf.DUMMYFUNCTION("""COMPUTED_VALUE"""),"Shea, Eric Paul")</f>
        <v>Shea, Eric Paul</v>
      </c>
      <c r="E215" s="3" t="str">
        <f>IFERROR(__xludf.DUMMYFUNCTION("""COMPUTED_VALUE"""),"Active")</f>
        <v>Active</v>
      </c>
      <c r="F215" s="3" t="str">
        <f>IFERROR(__xludf.DUMMYFUNCTION("""COMPUTED_VALUE"""),"eric.shea@pwc.com")</f>
        <v>eric.shea@pwc.com</v>
      </c>
      <c r="G215" s="3" t="str">
        <f>IFERROR(__xludf.DUMMYFUNCTION("""COMPUTED_VALUE"""),"ESV")</f>
        <v>ESV</v>
      </c>
      <c r="H215" s="3" t="str">
        <f>IFERROR(__xludf.DUMMYFUNCTION("""COMPUTED_VALUE"""),"CM X-Sector")</f>
        <v>CM X-Sector</v>
      </c>
      <c r="I215" s="3" t="str">
        <f>IFERROR(__xludf.DUMMYFUNCTION("""COMPUTED_VALUE"""),"ESV - CM")</f>
        <v>ESV - CM</v>
      </c>
      <c r="J215" s="3" t="str">
        <f>IFERROR(__xludf.DUMMYFUNCTION("""COMPUTED_VALUE"""),"Partner")</f>
        <v>Partner</v>
      </c>
      <c r="K215" s="12">
        <f>IFERROR(__xludf.DUMMYFUNCTION("""COMPUTED_VALUE"""),44627.0)</f>
        <v>44627</v>
      </c>
      <c r="L215" s="3" t="str">
        <f>IFERROR(__xludf.DUMMYFUNCTION("""COMPUTED_VALUE"""),"San Francisco")</f>
        <v>San Francisco</v>
      </c>
      <c r="M215" s="3" t="str">
        <f>IFERROR(__xludf.DUMMYFUNCTION("""COMPUTED_VALUE"""),"San Francisco - 405 Howard St")</f>
        <v>San Francisco - 405 Howard St</v>
      </c>
      <c r="N215" s="3" t="b">
        <f>IFERROR(__xludf.DUMMYFUNCTION("""COMPUTED_VALUE"""),FALSE)</f>
        <v>0</v>
      </c>
      <c r="O215" s="3" t="str">
        <f>IFERROR(__xludf.DUMMYFUNCTION("""COMPUTED_VALUE"""),"sundar.subramanian@pwc.com")</f>
        <v>sundar.subramanian@pwc.com</v>
      </c>
      <c r="P215" s="3" t="str">
        <f>IFERROR(__xludf.DUMMYFUNCTION("""COMPUTED_VALUE"""),"FY22")</f>
        <v>FY22</v>
      </c>
      <c r="Q215" s="3" t="b">
        <f>IFERROR(__xludf.DUMMYFUNCTION("""COMPUTED_VALUE"""),FALSE)</f>
        <v>0</v>
      </c>
      <c r="R215" s="3"/>
      <c r="S215" s="3"/>
      <c r="T215" s="3" t="b">
        <f>IFERROR(__xludf.DUMMYFUNCTION("""COMPUTED_VALUE"""),FALSE)</f>
        <v>0</v>
      </c>
      <c r="U215" s="3" t="b">
        <f>IFERROR(__xludf.DUMMYFUNCTION("""COMPUTED_VALUE"""),TRUE)</f>
        <v>1</v>
      </c>
      <c r="V215" s="3" t="b">
        <f>IFERROR(__xludf.DUMMYFUNCTION("""COMPUTED_VALUE"""),TRUE)</f>
        <v>1</v>
      </c>
      <c r="W215" s="3" t="str">
        <f>IFERROR(__xludf.DUMMYFUNCTION("""COMPUTED_VALUE"""),"Catalyst")</f>
        <v>Catalyst</v>
      </c>
      <c r="X215" s="3"/>
      <c r="Y215" s="3" t="str">
        <f>IFERROR(__xludf.DUMMYFUNCTION("""COMPUTED_VALUE"""),"FY22")</f>
        <v>FY22</v>
      </c>
      <c r="Z215" s="3" t="str">
        <f>IFERROR(__xludf.DUMMYFUNCTION("""COMPUTED_VALUE"""),"")</f>
        <v/>
      </c>
      <c r="AA215" s="3" t="b">
        <f>IFERROR(__xludf.DUMMYFUNCTION("""COMPUTED_VALUE"""),FALSE)</f>
        <v>0</v>
      </c>
    </row>
    <row r="216">
      <c r="A216" s="11">
        <f>IFERROR(__xludf.DUMMYFUNCTION("""COMPUTED_VALUE"""),1.00615796E8)</f>
        <v>100615796</v>
      </c>
      <c r="B216" s="3" t="str">
        <f>IFERROR(__xludf.DUMMYFUNCTION("""COMPUTED_VALUE"""),"Eric Wheeler")</f>
        <v>Eric Wheeler</v>
      </c>
      <c r="C216" s="3" t="str">
        <f>IFERROR(__xludf.DUMMYFUNCTION("""COMPUTED_VALUE"""),"Eric  Wheeler")</f>
        <v>Eric  Wheeler</v>
      </c>
      <c r="D216" s="3" t="str">
        <f>IFERROR(__xludf.DUMMYFUNCTION("""COMPUTED_VALUE"""),"Wheeler, Eric")</f>
        <v>Wheeler, Eric</v>
      </c>
      <c r="E216" s="3" t="str">
        <f>IFERROR(__xludf.DUMMYFUNCTION("""COMPUTED_VALUE"""),"Active")</f>
        <v>Active</v>
      </c>
      <c r="F216" s="3" t="str">
        <f>IFERROR(__xludf.DUMMYFUNCTION("""COMPUTED_VALUE"""),"eric.wheeler@pwc.com")</f>
        <v>eric.wheeler@pwc.com</v>
      </c>
      <c r="G216" s="3" t="str">
        <f>IFERROR(__xludf.DUMMYFUNCTION("""COMPUTED_VALUE"""),"Workforce")</f>
        <v>Workforce</v>
      </c>
      <c r="H216" s="3" t="str">
        <f>IFERROR(__xludf.DUMMYFUNCTION("""COMPUTED_VALUE"""),"EUR X-Sector")</f>
        <v>EUR X-Sector</v>
      </c>
      <c r="I216" s="3" t="str">
        <f>IFERROR(__xludf.DUMMYFUNCTION("""COMPUTED_VALUE"""),"Workforce - Deals")</f>
        <v>Workforce - Deals</v>
      </c>
      <c r="J216" s="3" t="str">
        <f>IFERROR(__xludf.DUMMYFUNCTION("""COMPUTED_VALUE"""),"Managing Director")</f>
        <v>Managing Director</v>
      </c>
      <c r="K216" s="12">
        <f>IFERROR(__xludf.DUMMYFUNCTION("""COMPUTED_VALUE"""),42989.0)</f>
        <v>42989</v>
      </c>
      <c r="L216" s="3" t="str">
        <f>IFERROR(__xludf.DUMMYFUNCTION("""COMPUTED_VALUE"""),"Nashville")</f>
        <v>Nashville</v>
      </c>
      <c r="M216" s="3" t="str">
        <f>IFERROR(__xludf.DUMMYFUNCTION("""COMPUTED_VALUE"""),"Nashville - 150 3rd Avenue South")</f>
        <v>Nashville - 150 3rd Avenue South</v>
      </c>
      <c r="N216" s="3" t="b">
        <f>IFERROR(__xludf.DUMMYFUNCTION("""COMPUTED_VALUE"""),FALSE)</f>
        <v>0</v>
      </c>
      <c r="O216" s="3" t="str">
        <f>IFERROR(__xludf.DUMMYFUNCTION("""COMPUTED_VALUE"""),"steve.rimmer@pwc.com")</f>
        <v>steve.rimmer@pwc.com</v>
      </c>
      <c r="P216" s="3" t="str">
        <f>IFERROR(__xludf.DUMMYFUNCTION("""COMPUTED_VALUE"""),"No")</f>
        <v>No</v>
      </c>
      <c r="Q216" s="3" t="b">
        <f>IFERROR(__xludf.DUMMYFUNCTION("""COMPUTED_VALUE"""),FALSE)</f>
        <v>0</v>
      </c>
      <c r="R216" s="3"/>
      <c r="S216" s="3"/>
      <c r="T216" s="3" t="b">
        <f>IFERROR(__xludf.DUMMYFUNCTION("""COMPUTED_VALUE"""),FALSE)</f>
        <v>0</v>
      </c>
      <c r="U216" s="3" t="b">
        <f>IFERROR(__xludf.DUMMYFUNCTION("""COMPUTED_VALUE"""),FALSE)</f>
        <v>0</v>
      </c>
      <c r="V216" s="3" t="b">
        <f>IFERROR(__xludf.DUMMYFUNCTION("""COMPUTED_VALUE"""),FALSE)</f>
        <v>0</v>
      </c>
      <c r="W216" s="3" t="str">
        <f>IFERROR(__xludf.DUMMYFUNCTION("""COMPUTED_VALUE"""),"#N/A")</f>
        <v>#N/A</v>
      </c>
      <c r="X216" s="3" t="str">
        <f>IFERROR(__xludf.DUMMYFUNCTION("""COMPUTED_VALUE"""),"#N/A")</f>
        <v>#N/A</v>
      </c>
      <c r="Y216" s="3" t="str">
        <f>IFERROR(__xludf.DUMMYFUNCTION("""COMPUTED_VALUE"""),"#N/A")</f>
        <v>#N/A</v>
      </c>
      <c r="Z216" s="3" t="str">
        <f>IFERROR(__xludf.DUMMYFUNCTION("""COMPUTED_VALUE"""),"Unknown")</f>
        <v>Unknown</v>
      </c>
      <c r="AA216" s="3" t="b">
        <f>IFERROR(__xludf.DUMMYFUNCTION("""COMPUTED_VALUE"""),FALSE)</f>
        <v>0</v>
      </c>
    </row>
    <row r="217">
      <c r="A217" s="11">
        <f>IFERROR(__xludf.DUMMYFUNCTION("""COMPUTED_VALUE"""),1.00637587E8)</f>
        <v>100637587</v>
      </c>
      <c r="B217" s="3" t="str">
        <f>IFERROR(__xludf.DUMMYFUNCTION("""COMPUTED_VALUE"""),"Erich Butters")</f>
        <v>Erich Butters</v>
      </c>
      <c r="C217" s="3" t="str">
        <f>IFERROR(__xludf.DUMMYFUNCTION("""COMPUTED_VALUE"""),"Erich  Butters")</f>
        <v>Erich  Butters</v>
      </c>
      <c r="D217" s="3" t="str">
        <f>IFERROR(__xludf.DUMMYFUNCTION("""COMPUTED_VALUE"""),"Butters, Erich")</f>
        <v>Butters, Erich</v>
      </c>
      <c r="E217" s="3" t="str">
        <f>IFERROR(__xludf.DUMMYFUNCTION("""COMPUTED_VALUE"""),"Active")</f>
        <v>Active</v>
      </c>
      <c r="F217" s="3" t="str">
        <f>IFERROR(__xludf.DUMMYFUNCTION("""COMPUTED_VALUE"""),"erich.butters@pwc.com")</f>
        <v>erich.butters@pwc.com</v>
      </c>
      <c r="G217" s="3" t="str">
        <f>IFERROR(__xludf.DUMMYFUNCTION("""COMPUTED_VALUE"""),"FS")</f>
        <v>FS</v>
      </c>
      <c r="H217" s="3" t="str">
        <f>IFERROR(__xludf.DUMMYFUNCTION("""COMPUTED_VALUE"""),"Asset and Wealth Management")</f>
        <v>Asset and Wealth Management</v>
      </c>
      <c r="I217" s="3" t="str">
        <f>IFERROR(__xludf.DUMMYFUNCTION("""COMPUTED_VALUE"""),"FS - Asset Wealth Management")</f>
        <v>FS - Asset Wealth Management</v>
      </c>
      <c r="J217" s="3" t="str">
        <f>IFERROR(__xludf.DUMMYFUNCTION("""COMPUTED_VALUE"""),"Partner")</f>
        <v>Partner</v>
      </c>
      <c r="K217" s="12">
        <f>IFERROR(__xludf.DUMMYFUNCTION("""COMPUTED_VALUE"""),39615.0)</f>
        <v>39615</v>
      </c>
      <c r="L217" s="3" t="str">
        <f>IFERROR(__xludf.DUMMYFUNCTION("""COMPUTED_VALUE"""),"New York")</f>
        <v>New York</v>
      </c>
      <c r="M217" s="3" t="str">
        <f>IFERROR(__xludf.DUMMYFUNCTION("""COMPUTED_VALUE"""),"New York - 300 Madison Avenue")</f>
        <v>New York - 300 Madison Avenue</v>
      </c>
      <c r="N217" s="3" t="b">
        <f>IFERROR(__xludf.DUMMYFUNCTION("""COMPUTED_VALUE"""),FALSE)</f>
        <v>0</v>
      </c>
      <c r="O217" s="3" t="str">
        <f>IFERROR(__xludf.DUMMYFUNCTION("""COMPUTED_VALUE"""),"alison.hoover@pwc.com")</f>
        <v>alison.hoover@pwc.com</v>
      </c>
      <c r="P217" s="3" t="str">
        <f>IFERROR(__xludf.DUMMYFUNCTION("""COMPUTED_VALUE"""),"No")</f>
        <v>No</v>
      </c>
      <c r="Q217" s="3" t="b">
        <f>IFERROR(__xludf.DUMMYFUNCTION("""COMPUTED_VALUE"""),TRUE)</f>
        <v>1</v>
      </c>
      <c r="R217" s="3" t="str">
        <f>IFERROR(__xludf.DUMMYFUNCTION("""COMPUTED_VALUE"""),"LCP Low")</f>
        <v>LCP Low</v>
      </c>
      <c r="S217" s="3"/>
      <c r="T217" s="3" t="b">
        <f>IFERROR(__xludf.DUMMYFUNCTION("""COMPUTED_VALUE"""),FALSE)</f>
        <v>0</v>
      </c>
      <c r="U217" s="3" t="b">
        <f>IFERROR(__xludf.DUMMYFUNCTION("""COMPUTED_VALUE"""),FALSE)</f>
        <v>0</v>
      </c>
      <c r="V217" s="3" t="b">
        <f>IFERROR(__xludf.DUMMYFUNCTION("""COMPUTED_VALUE"""),FALSE)</f>
        <v>0</v>
      </c>
      <c r="W217" s="3" t="str">
        <f>IFERROR(__xludf.DUMMYFUNCTION("""COMPUTED_VALUE"""),"LCP")</f>
        <v>LCP</v>
      </c>
      <c r="X217" s="3"/>
      <c r="Y217" s="3" t="str">
        <f>IFERROR(__xludf.DUMMYFUNCTION("""COMPUTED_VALUE"""),"GEP - Low")</f>
        <v>GEP - Low</v>
      </c>
      <c r="Z217" s="3" t="str">
        <f>IFERROR(__xludf.DUMMYFUNCTION("""COMPUTED_VALUE"""),"AWM Transformation")</f>
        <v>AWM Transformation</v>
      </c>
      <c r="AA217" s="3" t="b">
        <f>IFERROR(__xludf.DUMMYFUNCTION("""COMPUTED_VALUE"""),FALSE)</f>
        <v>0</v>
      </c>
    </row>
    <row r="218">
      <c r="A218" s="11">
        <f>IFERROR(__xludf.DUMMYFUNCTION("""COMPUTED_VALUE"""),1.00581784E8)</f>
        <v>100581784</v>
      </c>
      <c r="B218" s="3" t="str">
        <f>IFERROR(__xludf.DUMMYFUNCTION("""COMPUTED_VALUE"""),"Ethan Dameron")</f>
        <v>Ethan Dameron</v>
      </c>
      <c r="C218" s="3" t="str">
        <f>IFERROR(__xludf.DUMMYFUNCTION("""COMPUTED_VALUE"""),"Ethan  Dameron")</f>
        <v>Ethan  Dameron</v>
      </c>
      <c r="D218" s="3" t="str">
        <f>IFERROR(__xludf.DUMMYFUNCTION("""COMPUTED_VALUE"""),"Dameron, Ethan")</f>
        <v>Dameron, Ethan</v>
      </c>
      <c r="E218" s="3" t="str">
        <f>IFERROR(__xludf.DUMMYFUNCTION("""COMPUTED_VALUE"""),"Active")</f>
        <v>Active</v>
      </c>
      <c r="F218" s="3" t="str">
        <f>IFERROR(__xludf.DUMMYFUNCTION("""COMPUTED_VALUE"""),"ethan.dameron@pwc.com")</f>
        <v>ethan.dameron@pwc.com</v>
      </c>
      <c r="G218" s="3" t="str">
        <f>IFERROR(__xludf.DUMMYFUNCTION("""COMPUTED_VALUE"""),"Customer")</f>
        <v>Customer</v>
      </c>
      <c r="H218" s="3" t="str">
        <f>IFERROR(__xludf.DUMMYFUNCTION("""COMPUTED_VALUE"""),"CM X-Sector")</f>
        <v>CM X-Sector</v>
      </c>
      <c r="I218" s="3" t="str">
        <f>IFERROR(__xludf.DUMMYFUNCTION("""COMPUTED_VALUE"""),"Customer - Pricing &amp; Profitability")</f>
        <v>Customer - Pricing &amp; Profitability</v>
      </c>
      <c r="J218" s="3" t="str">
        <f>IFERROR(__xludf.DUMMYFUNCTION("""COMPUTED_VALUE"""),"Partner")</f>
        <v>Partner</v>
      </c>
      <c r="K218" s="12">
        <f>IFERROR(__xludf.DUMMYFUNCTION("""COMPUTED_VALUE"""),42429.0)</f>
        <v>42429</v>
      </c>
      <c r="L218" s="3" t="str">
        <f>IFERROR(__xludf.DUMMYFUNCTION("""COMPUTED_VALUE"""),"Raleigh")</f>
        <v>Raleigh</v>
      </c>
      <c r="M218" s="3" t="str">
        <f>IFERROR(__xludf.DUMMYFUNCTION("""COMPUTED_VALUE"""),"Raleigh - 4208 Six Forks Road")</f>
        <v>Raleigh - 4208 Six Forks Road</v>
      </c>
      <c r="N218" s="3" t="b">
        <f>IFERROR(__xludf.DUMMYFUNCTION("""COMPUTED_VALUE"""),FALSE)</f>
        <v>0</v>
      </c>
      <c r="O218" s="3" t="str">
        <f>IFERROR(__xludf.DUMMYFUNCTION("""COMPUTED_VALUE"""),"george.korizis@pwc.com")</f>
        <v>george.korizis@pwc.com</v>
      </c>
      <c r="P218" s="3" t="str">
        <f>IFERROR(__xludf.DUMMYFUNCTION("""COMPUTED_VALUE"""),"No")</f>
        <v>No</v>
      </c>
      <c r="Q218" s="3" t="b">
        <f>IFERROR(__xludf.DUMMYFUNCTION("""COMPUTED_VALUE"""),FALSE)</f>
        <v>0</v>
      </c>
      <c r="R218" s="3"/>
      <c r="S218" s="3"/>
      <c r="T218" s="3" t="b">
        <f>IFERROR(__xludf.DUMMYFUNCTION("""COMPUTED_VALUE"""),FALSE)</f>
        <v>0</v>
      </c>
      <c r="U218" s="3" t="b">
        <f>IFERROR(__xludf.DUMMYFUNCTION("""COMPUTED_VALUE"""),TRUE)</f>
        <v>1</v>
      </c>
      <c r="V218" s="3" t="b">
        <f>IFERROR(__xludf.DUMMYFUNCTION("""COMPUTED_VALUE"""),FALSE)</f>
        <v>0</v>
      </c>
      <c r="W218" s="3" t="str">
        <f>IFERROR(__xludf.DUMMYFUNCTION("""COMPUTED_VALUE"""),"Delivery")</f>
        <v>Delivery</v>
      </c>
      <c r="X218" s="3" t="str">
        <f>IFERROR(__xludf.DUMMYFUNCTION("""COMPUTED_VALUE"""),"Investment")</f>
        <v>Investment</v>
      </c>
      <c r="Y218" s="3"/>
      <c r="Z218" s="3" t="str">
        <f>IFERROR(__xludf.DUMMYFUNCTION("""COMPUTED_VALUE"""),"Marketing Transformation")</f>
        <v>Marketing Transformation</v>
      </c>
      <c r="AA218" s="3" t="b">
        <f>IFERROR(__xludf.DUMMYFUNCTION("""COMPUTED_VALUE"""),FALSE)</f>
        <v>0</v>
      </c>
    </row>
    <row r="219">
      <c r="A219" s="11">
        <f>IFERROR(__xludf.DUMMYFUNCTION("""COMPUTED_VALUE"""),1.00660049E8)</f>
        <v>100660049</v>
      </c>
      <c r="B219" s="3" t="str">
        <f>IFERROR(__xludf.DUMMYFUNCTION("""COMPUTED_VALUE"""),"Evan Siegal")</f>
        <v>Evan Siegal</v>
      </c>
      <c r="C219" s="3" t="str">
        <f>IFERROR(__xludf.DUMMYFUNCTION("""COMPUTED_VALUE"""),"Evan C Siegal")</f>
        <v>Evan C Siegal</v>
      </c>
      <c r="D219" s="3" t="str">
        <f>IFERROR(__xludf.DUMMYFUNCTION("""COMPUTED_VALUE"""),"Siegal, Evan C")</f>
        <v>Siegal, Evan C</v>
      </c>
      <c r="E219" s="3" t="str">
        <f>IFERROR(__xludf.DUMMYFUNCTION("""COMPUTED_VALUE"""),"Active")</f>
        <v>Active</v>
      </c>
      <c r="F219" s="3" t="str">
        <f>IFERROR(__xludf.DUMMYFUNCTION("""COMPUTED_VALUE"""),"evan.c.siegal@pwc.com")</f>
        <v>evan.c.siegal@pwc.com</v>
      </c>
      <c r="G219" s="3" t="str">
        <f>IFERROR(__xludf.DUMMYFUNCTION("""COMPUTED_VALUE"""),"ESV")</f>
        <v>ESV</v>
      </c>
      <c r="H219" s="3" t="str">
        <f>IFERROR(__xludf.DUMMYFUNCTION("""COMPUTED_VALUE"""),"Asset and Wealth Management")</f>
        <v>Asset and Wealth Management</v>
      </c>
      <c r="I219" s="3" t="str">
        <f>IFERROR(__xludf.DUMMYFUNCTION("""COMPUTED_VALUE"""),"ESV - AWM")</f>
        <v>ESV - AWM</v>
      </c>
      <c r="J219" s="3" t="str">
        <f>IFERROR(__xludf.DUMMYFUNCTION("""COMPUTED_VALUE"""),"Partner")</f>
        <v>Partner</v>
      </c>
      <c r="K219" s="12">
        <f>IFERROR(__xludf.DUMMYFUNCTION("""COMPUTED_VALUE"""),42338.0)</f>
        <v>42338</v>
      </c>
      <c r="L219" s="3" t="str">
        <f>IFERROR(__xludf.DUMMYFUNCTION("""COMPUTED_VALUE"""),"New York")</f>
        <v>New York</v>
      </c>
      <c r="M219" s="3" t="str">
        <f>IFERROR(__xludf.DUMMYFUNCTION("""COMPUTED_VALUE"""),"New York - 300 Madison Avenue")</f>
        <v>New York - 300 Madison Avenue</v>
      </c>
      <c r="N219" s="3" t="b">
        <f>IFERROR(__xludf.DUMMYFUNCTION("""COMPUTED_VALUE"""),FALSE)</f>
        <v>0</v>
      </c>
      <c r="O219" s="3" t="str">
        <f>IFERROR(__xludf.DUMMYFUNCTION("""COMPUTED_VALUE"""),"sundar.subramanian@pwc.com")</f>
        <v>sundar.subramanian@pwc.com</v>
      </c>
      <c r="P219" s="3" t="str">
        <f>IFERROR(__xludf.DUMMYFUNCTION("""COMPUTED_VALUE"""),"No")</f>
        <v>No</v>
      </c>
      <c r="Q219" s="3" t="b">
        <f>IFERROR(__xludf.DUMMYFUNCTION("""COMPUTED_VALUE"""),TRUE)</f>
        <v>1</v>
      </c>
      <c r="R219" s="3" t="str">
        <f>IFERROR(__xludf.DUMMYFUNCTION("""COMPUTED_VALUE"""),"LCP Low")</f>
        <v>LCP Low</v>
      </c>
      <c r="S219" s="3"/>
      <c r="T219" s="3" t="b">
        <f>IFERROR(__xludf.DUMMYFUNCTION("""COMPUTED_VALUE"""),FALSE)</f>
        <v>0</v>
      </c>
      <c r="U219" s="3" t="b">
        <f>IFERROR(__xludf.DUMMYFUNCTION("""COMPUTED_VALUE"""),TRUE)</f>
        <v>1</v>
      </c>
      <c r="V219" s="3" t="b">
        <f>IFERROR(__xludf.DUMMYFUNCTION("""COMPUTED_VALUE"""),FALSE)</f>
        <v>0</v>
      </c>
      <c r="W219" s="3" t="str">
        <f>IFERROR(__xludf.DUMMYFUNCTION("""COMPUTED_VALUE"""),"LCP")</f>
        <v>LCP</v>
      </c>
      <c r="X219" s="3"/>
      <c r="Y219" s="3" t="str">
        <f>IFERROR(__xludf.DUMMYFUNCTION("""COMPUTED_VALUE"""),"GEP - Low")</f>
        <v>GEP - Low</v>
      </c>
      <c r="Z219" s="3" t="str">
        <f>IFERROR(__xludf.DUMMYFUNCTION("""COMPUTED_VALUE"""),"Enterprise Digital Transformation - BCM &amp; AWM")</f>
        <v>Enterprise Digital Transformation - BCM &amp; AWM</v>
      </c>
      <c r="AA219" s="3" t="b">
        <f>IFERROR(__xludf.DUMMYFUNCTION("""COMPUTED_VALUE"""),FALSE)</f>
        <v>0</v>
      </c>
    </row>
    <row r="220">
      <c r="A220" s="11">
        <f>IFERROR(__xludf.DUMMYFUNCTION("""COMPUTED_VALUE"""),1.00643454E8)</f>
        <v>100643454</v>
      </c>
      <c r="B220" s="3" t="str">
        <f>IFERROR(__xludf.DUMMYFUNCTION("""COMPUTED_VALUE"""),"Francis Ruffy")</f>
        <v>Francis Ruffy</v>
      </c>
      <c r="C220" s="3" t="str">
        <f>IFERROR(__xludf.DUMMYFUNCTION("""COMPUTED_VALUE"""),"Francis  Ruffy")</f>
        <v>Francis  Ruffy</v>
      </c>
      <c r="D220" s="3" t="str">
        <f>IFERROR(__xludf.DUMMYFUNCTION("""COMPUTED_VALUE"""),"Ruffy, Francis")</f>
        <v>Ruffy, Francis</v>
      </c>
      <c r="E220" s="3" t="str">
        <f>IFERROR(__xludf.DUMMYFUNCTION("""COMPUTED_VALUE"""),"Active")</f>
        <v>Active</v>
      </c>
      <c r="F220" s="3" t="str">
        <f>IFERROR(__xludf.DUMMYFUNCTION("""COMPUTED_VALUE"""),"francis.ruffy@pwc.com")</f>
        <v>francis.ruffy@pwc.com</v>
      </c>
      <c r="G220" s="3" t="str">
        <f>IFERROR(__xludf.DUMMYFUNCTION("""COMPUTED_VALUE"""),"Customer")</f>
        <v>Customer</v>
      </c>
      <c r="H220" s="3" t="str">
        <f>IFERROR(__xludf.DUMMYFUNCTION("""COMPUTED_VALUE"""),"CM X-Sector")</f>
        <v>CM X-Sector</v>
      </c>
      <c r="I220" s="3" t="str">
        <f>IFERROR(__xludf.DUMMYFUNCTION("""COMPUTED_VALUE"""),"Customer - Pricing &amp; Profitability")</f>
        <v>Customer - Pricing &amp; Profitability</v>
      </c>
      <c r="J220" s="3" t="str">
        <f>IFERROR(__xludf.DUMMYFUNCTION("""COMPUTED_VALUE"""),"Partner")</f>
        <v>Partner</v>
      </c>
      <c r="K220" s="12">
        <f>IFERROR(__xludf.DUMMYFUNCTION("""COMPUTED_VALUE"""),40371.0)</f>
        <v>40371</v>
      </c>
      <c r="L220" s="3" t="str">
        <f>IFERROR(__xludf.DUMMYFUNCTION("""COMPUTED_VALUE"""),"San Diego")</f>
        <v>San Diego</v>
      </c>
      <c r="M220" s="3" t="str">
        <f>IFERROR(__xludf.DUMMYFUNCTION("""COMPUTED_VALUE"""),"San Diego - 12860 El Camino")</f>
        <v>San Diego - 12860 El Camino</v>
      </c>
      <c r="N220" s="3" t="b">
        <f>IFERROR(__xludf.DUMMYFUNCTION("""COMPUTED_VALUE"""),FALSE)</f>
        <v>0</v>
      </c>
      <c r="O220" s="3" t="str">
        <f>IFERROR(__xludf.DUMMYFUNCTION("""COMPUTED_VALUE"""),"george.korizis@pwc.com")</f>
        <v>george.korizis@pwc.com</v>
      </c>
      <c r="P220" s="3" t="str">
        <f>IFERROR(__xludf.DUMMYFUNCTION("""COMPUTED_VALUE"""),"No")</f>
        <v>No</v>
      </c>
      <c r="Q220" s="3" t="b">
        <f>IFERROR(__xludf.DUMMYFUNCTION("""COMPUTED_VALUE"""),FALSE)</f>
        <v>0</v>
      </c>
      <c r="R220" s="3"/>
      <c r="S220" s="3"/>
      <c r="T220" s="3" t="b">
        <f>IFERROR(__xludf.DUMMYFUNCTION("""COMPUTED_VALUE"""),FALSE)</f>
        <v>0</v>
      </c>
      <c r="U220" s="3" t="b">
        <f>IFERROR(__xludf.DUMMYFUNCTION("""COMPUTED_VALUE"""),TRUE)</f>
        <v>1</v>
      </c>
      <c r="V220" s="3" t="b">
        <f>IFERROR(__xludf.DUMMYFUNCTION("""COMPUTED_VALUE"""),FALSE)</f>
        <v>0</v>
      </c>
      <c r="W220" s="3" t="str">
        <f>IFERROR(__xludf.DUMMYFUNCTION("""COMPUTED_VALUE"""),"Delivery")</f>
        <v>Delivery</v>
      </c>
      <c r="X220" s="3"/>
      <c r="Y220" s="3"/>
      <c r="Z220" s="3" t="str">
        <f>IFERROR(__xludf.DUMMYFUNCTION("""COMPUTED_VALUE"""),"Commercial / CRM Transformation - CM &amp; IPS &amp; HIA")</f>
        <v>Commercial / CRM Transformation - CM &amp; IPS &amp; HIA</v>
      </c>
      <c r="AA220" s="3" t="b">
        <f>IFERROR(__xludf.DUMMYFUNCTION("""COMPUTED_VALUE"""),FALSE)</f>
        <v>0</v>
      </c>
    </row>
    <row r="221">
      <c r="A221" s="11">
        <f>IFERROR(__xludf.DUMMYFUNCTION("""COMPUTED_VALUE"""),1.00649936E8)</f>
        <v>100649936</v>
      </c>
      <c r="B221" s="3" t="str">
        <f>IFERROR(__xludf.DUMMYFUNCTION("""COMPUTED_VALUE"""),"Francois Ramette")</f>
        <v>Francois Ramette</v>
      </c>
      <c r="C221" s="3" t="str">
        <f>IFERROR(__xludf.DUMMYFUNCTION("""COMPUTED_VALUE"""),"Francois  Ramette")</f>
        <v>Francois  Ramette</v>
      </c>
      <c r="D221" s="3" t="str">
        <f>IFERROR(__xludf.DUMMYFUNCTION("""COMPUTED_VALUE"""),"Ramette, Francois")</f>
        <v>Ramette, Francois</v>
      </c>
      <c r="E221" s="3" t="str">
        <f>IFERROR(__xludf.DUMMYFUNCTION("""COMPUTED_VALUE"""),"Active")</f>
        <v>Active</v>
      </c>
      <c r="F221" s="3" t="str">
        <f>IFERROR(__xludf.DUMMYFUNCTION("""COMPUTED_VALUE"""),"francois.ramette@pwc.com")</f>
        <v>francois.ramette@pwc.com</v>
      </c>
      <c r="G221" s="3" t="str">
        <f>IFERROR(__xludf.DUMMYFUNCTION("""COMPUTED_VALUE"""),"ESV")</f>
        <v>ESV</v>
      </c>
      <c r="H221" s="3" t="str">
        <f>IFERROR(__xludf.DUMMYFUNCTION("""COMPUTED_VALUE"""),"Insurance")</f>
        <v>Insurance</v>
      </c>
      <c r="I221" s="3" t="str">
        <f>IFERROR(__xludf.DUMMYFUNCTION("""COMPUTED_VALUE"""),"ESV - Insurance")</f>
        <v>ESV - Insurance</v>
      </c>
      <c r="J221" s="3" t="str">
        <f>IFERROR(__xludf.DUMMYFUNCTION("""COMPUTED_VALUE"""),"Partner")</f>
        <v>Partner</v>
      </c>
      <c r="K221" s="12">
        <f>IFERROR(__xludf.DUMMYFUNCTION("""COMPUTED_VALUE"""),40485.0)</f>
        <v>40485</v>
      </c>
      <c r="L221" s="3" t="str">
        <f>IFERROR(__xludf.DUMMYFUNCTION("""COMPUTED_VALUE"""),"Chicago")</f>
        <v>Chicago</v>
      </c>
      <c r="M221" s="3" t="str">
        <f>IFERROR(__xludf.DUMMYFUNCTION("""COMPUTED_VALUE"""),"Chicago - One North Wacker Drive")</f>
        <v>Chicago - One North Wacker Drive</v>
      </c>
      <c r="N221" s="3" t="b">
        <f>IFERROR(__xludf.DUMMYFUNCTION("""COMPUTED_VALUE"""),TRUE)</f>
        <v>1</v>
      </c>
      <c r="O221" s="3" t="str">
        <f>IFERROR(__xludf.DUMMYFUNCTION("""COMPUTED_VALUE"""),"sundar.subramanian@pwc.com")</f>
        <v>sundar.subramanian@pwc.com</v>
      </c>
      <c r="P221" s="3" t="str">
        <f>IFERROR(__xludf.DUMMYFUNCTION("""COMPUTED_VALUE"""),"No")</f>
        <v>No</v>
      </c>
      <c r="Q221" s="3" t="b">
        <f>IFERROR(__xludf.DUMMYFUNCTION("""COMPUTED_VALUE"""),TRUE)</f>
        <v>1</v>
      </c>
      <c r="R221" s="3" t="str">
        <f>IFERROR(__xludf.DUMMYFUNCTION("""COMPUTED_VALUE"""),"LCP Low")</f>
        <v>LCP Low</v>
      </c>
      <c r="S221" s="3"/>
      <c r="T221" s="3" t="b">
        <f>IFERROR(__xludf.DUMMYFUNCTION("""COMPUTED_VALUE"""),FALSE)</f>
        <v>0</v>
      </c>
      <c r="U221" s="3" t="b">
        <f>IFERROR(__xludf.DUMMYFUNCTION("""COMPUTED_VALUE"""),FALSE)</f>
        <v>0</v>
      </c>
      <c r="V221" s="3" t="b">
        <f>IFERROR(__xludf.DUMMYFUNCTION("""COMPUTED_VALUE"""),FALSE)</f>
        <v>0</v>
      </c>
      <c r="W221" s="3" t="str">
        <f>IFERROR(__xludf.DUMMYFUNCTION("""COMPUTED_VALUE"""),"LCP")</f>
        <v>LCP</v>
      </c>
      <c r="X221" s="3"/>
      <c r="Y221" s="3" t="str">
        <f>IFERROR(__xludf.DUMMYFUNCTION("""COMPUTED_VALUE"""),"GEP - Low")</f>
        <v>GEP - Low</v>
      </c>
      <c r="Z221" s="3" t="str">
        <f>IFERROR(__xludf.DUMMYFUNCTION("""COMPUTED_VALUE"""),"Enterprise Digital Transformation - Insurance")</f>
        <v>Enterprise Digital Transformation - Insurance</v>
      </c>
      <c r="AA221" s="3" t="b">
        <f>IFERROR(__xludf.DUMMYFUNCTION("""COMPUTED_VALUE"""),TRUE)</f>
        <v>1</v>
      </c>
    </row>
    <row r="222">
      <c r="A222" s="11">
        <f>IFERROR(__xludf.DUMMYFUNCTION("""COMPUTED_VALUE"""),1.0062347E8)</f>
        <v>100623470</v>
      </c>
      <c r="B222" s="3" t="str">
        <f>IFERROR(__xludf.DUMMYFUNCTION("""COMPUTED_VALUE"""),"Frank Kobyluch")</f>
        <v>Frank Kobyluch</v>
      </c>
      <c r="C222" s="3" t="str">
        <f>IFERROR(__xludf.DUMMYFUNCTION("""COMPUTED_VALUE"""),"Francis Michael Kobyluch")</f>
        <v>Francis Michael Kobyluch</v>
      </c>
      <c r="D222" s="3" t="str">
        <f>IFERROR(__xludf.DUMMYFUNCTION("""COMPUTED_VALUE"""),"Kobyluch, Francis Michael")</f>
        <v>Kobyluch, Francis Michael</v>
      </c>
      <c r="E222" s="3" t="str">
        <f>IFERROR(__xludf.DUMMYFUNCTION("""COMPUTED_VALUE"""),"Active")</f>
        <v>Active</v>
      </c>
      <c r="F222" s="3" t="str">
        <f>IFERROR(__xludf.DUMMYFUNCTION("""COMPUTED_VALUE"""),"francis.m.kobyluch@pwc.com")</f>
        <v>francis.m.kobyluch@pwc.com</v>
      </c>
      <c r="G222" s="3" t="str">
        <f>IFERROR(__xludf.DUMMYFUNCTION("""COMPUTED_VALUE"""),"Finance")</f>
        <v>Finance</v>
      </c>
      <c r="H222" s="3" t="str">
        <f>IFERROR(__xludf.DUMMYFUNCTION("""COMPUTED_VALUE"""),"Manufacturing")</f>
        <v>Manufacturing</v>
      </c>
      <c r="I222" s="3" t="str">
        <f>IFERROR(__xludf.DUMMYFUNCTION("""COMPUTED_VALUE"""),"Finance - Enterprise Performance Management")</f>
        <v>Finance - Enterprise Performance Management</v>
      </c>
      <c r="J222" s="3" t="str">
        <f>IFERROR(__xludf.DUMMYFUNCTION("""COMPUTED_VALUE"""),"Partner")</f>
        <v>Partner</v>
      </c>
      <c r="K222" s="12">
        <f>IFERROR(__xludf.DUMMYFUNCTION("""COMPUTED_VALUE"""),41757.0)</f>
        <v>41757</v>
      </c>
      <c r="L222" s="3" t="str">
        <f>IFERROR(__xludf.DUMMYFUNCTION("""COMPUTED_VALUE"""),"Dallas")</f>
        <v>Dallas</v>
      </c>
      <c r="M222" s="3" t="str">
        <f>IFERROR(__xludf.DUMMYFUNCTION("""COMPUTED_VALUE"""),"Dallas - 2121 North Pearl Street")</f>
        <v>Dallas - 2121 North Pearl Street</v>
      </c>
      <c r="N222" s="3" t="b">
        <f>IFERROR(__xludf.DUMMYFUNCTION("""COMPUTED_VALUE"""),FALSE)</f>
        <v>0</v>
      </c>
      <c r="O222" s="3" t="str">
        <f>IFERROR(__xludf.DUMMYFUNCTION("""COMPUTED_VALUE"""),"kurtis.babczenko@pwc.com")</f>
        <v>kurtis.babczenko@pwc.com</v>
      </c>
      <c r="P222" s="3" t="str">
        <f>IFERROR(__xludf.DUMMYFUNCTION("""COMPUTED_VALUE"""),"No")</f>
        <v>No</v>
      </c>
      <c r="Q222" s="3" t="b">
        <f>IFERROR(__xludf.DUMMYFUNCTION("""COMPUTED_VALUE"""),TRUE)</f>
        <v>1</v>
      </c>
      <c r="R222" s="3" t="str">
        <f>IFERROR(__xludf.DUMMYFUNCTION("""COMPUTED_VALUE"""),"LCP Low")</f>
        <v>LCP Low</v>
      </c>
      <c r="S222" s="3"/>
      <c r="T222" s="3" t="b">
        <f>IFERROR(__xludf.DUMMYFUNCTION("""COMPUTED_VALUE"""),FALSE)</f>
        <v>0</v>
      </c>
      <c r="U222" s="3" t="b">
        <f>IFERROR(__xludf.DUMMYFUNCTION("""COMPUTED_VALUE"""),FALSE)</f>
        <v>0</v>
      </c>
      <c r="V222" s="3" t="b">
        <f>IFERROR(__xludf.DUMMYFUNCTION("""COMPUTED_VALUE"""),FALSE)</f>
        <v>0</v>
      </c>
      <c r="W222" s="3" t="str">
        <f>IFERROR(__xludf.DUMMYFUNCTION("""COMPUTED_VALUE"""),"LCP")</f>
        <v>LCP</v>
      </c>
      <c r="X222" s="3" t="str">
        <f>IFERROR(__xludf.DUMMYFUNCTION("""COMPUTED_VALUE"""),"Investment")</f>
        <v>Investment</v>
      </c>
      <c r="Y222" s="3" t="str">
        <f>IFERROR(__xludf.DUMMYFUNCTION("""COMPUTED_VALUE"""),"GEP - Low")</f>
        <v>GEP - Low</v>
      </c>
      <c r="Z222" s="3" t="str">
        <f>IFERROR(__xludf.DUMMYFUNCTION("""COMPUTED_VALUE"""),"Finance Transformation IPS - IP")</f>
        <v>Finance Transformation IPS - IP</v>
      </c>
      <c r="AA222" s="3" t="b">
        <f>IFERROR(__xludf.DUMMYFUNCTION("""COMPUTED_VALUE"""),FALSE)</f>
        <v>0</v>
      </c>
    </row>
    <row r="223">
      <c r="A223" s="11">
        <f>IFERROR(__xludf.DUMMYFUNCTION("""COMPUTED_VALUE"""),1.00619899E8)</f>
        <v>100619899</v>
      </c>
      <c r="B223" s="3" t="str">
        <f>IFERROR(__xludf.DUMMYFUNCTION("""COMPUTED_VALUE"""),"Frank Lemmon")</f>
        <v>Frank Lemmon</v>
      </c>
      <c r="C223" s="3" t="str">
        <f>IFERROR(__xludf.DUMMYFUNCTION("""COMPUTED_VALUE"""),"Frank Sebastian Lemmon")</f>
        <v>Frank Sebastian Lemmon</v>
      </c>
      <c r="D223" s="3" t="str">
        <f>IFERROR(__xludf.DUMMYFUNCTION("""COMPUTED_VALUE"""),"Lemmon, Frank Sebastian")</f>
        <v>Lemmon, Frank Sebastian</v>
      </c>
      <c r="E223" s="3" t="str">
        <f>IFERROR(__xludf.DUMMYFUNCTION("""COMPUTED_VALUE"""),"Active")</f>
        <v>Active</v>
      </c>
      <c r="F223" s="3" t="str">
        <f>IFERROR(__xludf.DUMMYFUNCTION("""COMPUTED_VALUE"""),"frank.s.lemmon@pwc.com")</f>
        <v>frank.s.lemmon@pwc.com</v>
      </c>
      <c r="G223" s="3" t="str">
        <f>IFERROR(__xludf.DUMMYFUNCTION("""COMPUTED_VALUE"""),"Health")</f>
        <v>Health</v>
      </c>
      <c r="H223" s="3" t="str">
        <f>IFERROR(__xludf.DUMMYFUNCTION("""COMPUTED_VALUE"""),"Health Services")</f>
        <v>Health Services</v>
      </c>
      <c r="I223" s="3" t="str">
        <f>IFERROR(__xludf.DUMMYFUNCTION("""COMPUTED_VALUE"""),"Health - Payer Government Programs")</f>
        <v>Health - Payer Government Programs</v>
      </c>
      <c r="J223" s="3" t="str">
        <f>IFERROR(__xludf.DUMMYFUNCTION("""COMPUTED_VALUE"""),"Partner")</f>
        <v>Partner</v>
      </c>
      <c r="K223" s="12">
        <f>IFERROR(__xludf.DUMMYFUNCTION("""COMPUTED_VALUE"""),38257.0)</f>
        <v>38257</v>
      </c>
      <c r="L223" s="3" t="str">
        <f>IFERROR(__xludf.DUMMYFUNCTION("""COMPUTED_VALUE"""),"Los Angeles")</f>
        <v>Los Angeles</v>
      </c>
      <c r="M223" s="3" t="str">
        <f>IFERROR(__xludf.DUMMYFUNCTION("""COMPUTED_VALUE"""),"Los Angeles - 601 South Figueroa Street")</f>
        <v>Los Angeles - 601 South Figueroa Street</v>
      </c>
      <c r="N223" s="3" t="b">
        <f>IFERROR(__xludf.DUMMYFUNCTION("""COMPUTED_VALUE"""),TRUE)</f>
        <v>1</v>
      </c>
      <c r="O223" s="3" t="str">
        <f>IFERROR(__xludf.DUMMYFUNCTION("""COMPUTED_VALUE"""),"craig.e.gooch@pwc.com")</f>
        <v>craig.e.gooch@pwc.com</v>
      </c>
      <c r="P223" s="3" t="str">
        <f>IFERROR(__xludf.DUMMYFUNCTION("""COMPUTED_VALUE"""),"No")</f>
        <v>No</v>
      </c>
      <c r="Q223" s="3" t="b">
        <f>IFERROR(__xludf.DUMMYFUNCTION("""COMPUTED_VALUE"""),TRUE)</f>
        <v>1</v>
      </c>
      <c r="R223" s="3" t="str">
        <f>IFERROR(__xludf.DUMMYFUNCTION("""COMPUTED_VALUE"""),"LCP High")</f>
        <v>LCP High</v>
      </c>
      <c r="S223" s="3"/>
      <c r="T223" s="3" t="b">
        <f>IFERROR(__xludf.DUMMYFUNCTION("""COMPUTED_VALUE"""),FALSE)</f>
        <v>0</v>
      </c>
      <c r="U223" s="3" t="b">
        <f>IFERROR(__xludf.DUMMYFUNCTION("""COMPUTED_VALUE"""),FALSE)</f>
        <v>0</v>
      </c>
      <c r="V223" s="3" t="b">
        <f>IFERROR(__xludf.DUMMYFUNCTION("""COMPUTED_VALUE"""),FALSE)</f>
        <v>0</v>
      </c>
      <c r="W223" s="3" t="str">
        <f>IFERROR(__xludf.DUMMYFUNCTION("""COMPUTED_VALUE"""),"LCP")</f>
        <v>LCP</v>
      </c>
      <c r="X223" s="3"/>
      <c r="Y223" s="3" t="str">
        <f>IFERROR(__xludf.DUMMYFUNCTION("""COMPUTED_VALUE"""),"GEP High")</f>
        <v>GEP High</v>
      </c>
      <c r="Z223" s="3" t="str">
        <f>IFERROR(__xludf.DUMMYFUNCTION("""COMPUTED_VALUE"""),"Payer Transformation")</f>
        <v>Payer Transformation</v>
      </c>
      <c r="AA223" s="3" t="b">
        <f>IFERROR(__xludf.DUMMYFUNCTION("""COMPUTED_VALUE"""),FALSE)</f>
        <v>0</v>
      </c>
    </row>
    <row r="224">
      <c r="A224" s="11">
        <f>IFERROR(__xludf.DUMMYFUNCTION("""COMPUTED_VALUE"""),1.00597983E8)</f>
        <v>100597983</v>
      </c>
      <c r="B224" s="3" t="str">
        <f>IFERROR(__xludf.DUMMYFUNCTION("""COMPUTED_VALUE"""),"Frank Mackris")</f>
        <v>Frank Mackris</v>
      </c>
      <c r="C224" s="3" t="str">
        <f>IFERROR(__xludf.DUMMYFUNCTION("""COMPUTED_VALUE"""),"Frank S Mackris")</f>
        <v>Frank S Mackris</v>
      </c>
      <c r="D224" s="3" t="str">
        <f>IFERROR(__xludf.DUMMYFUNCTION("""COMPUTED_VALUE"""),"Mackris, Frank S")</f>
        <v>Mackris, Frank S</v>
      </c>
      <c r="E224" s="3" t="str">
        <f>IFERROR(__xludf.DUMMYFUNCTION("""COMPUTED_VALUE"""),"Active")</f>
        <v>Active</v>
      </c>
      <c r="F224" s="3" t="str">
        <f>IFERROR(__xludf.DUMMYFUNCTION("""COMPUTED_VALUE"""),"frank.mackris@pwc.com")</f>
        <v>frank.mackris@pwc.com</v>
      </c>
      <c r="G224" s="3" t="str">
        <f>IFERROR(__xludf.DUMMYFUNCTION("""COMPUTED_VALUE"""),"Finance")</f>
        <v>Finance</v>
      </c>
      <c r="H224" s="3" t="str">
        <f>IFERROR(__xludf.DUMMYFUNCTION("""COMPUTED_VALUE"""),"Banking and Capital Markets")</f>
        <v>Banking and Capital Markets</v>
      </c>
      <c r="I224" s="3" t="str">
        <f>IFERROR(__xludf.DUMMYFUNCTION("""COMPUTED_VALUE"""),"Finance - Enterprise Performance Management")</f>
        <v>Finance - Enterprise Performance Management</v>
      </c>
      <c r="J224" s="3" t="str">
        <f>IFERROR(__xludf.DUMMYFUNCTION("""COMPUTED_VALUE"""),"Managing Director")</f>
        <v>Managing Director</v>
      </c>
      <c r="K224" s="12">
        <f>IFERROR(__xludf.DUMMYFUNCTION("""COMPUTED_VALUE"""),42477.0)</f>
        <v>42477</v>
      </c>
      <c r="L224" s="3" t="str">
        <f>IFERROR(__xludf.DUMMYFUNCTION("""COMPUTED_VALUE"""),"Irvine")</f>
        <v>Irvine</v>
      </c>
      <c r="M224" s="3" t="str">
        <f>IFERROR(__xludf.DUMMYFUNCTION("""COMPUTED_VALUE"""),"Irvine - 2020 Main Street")</f>
        <v>Irvine - 2020 Main Street</v>
      </c>
      <c r="N224" s="3" t="b">
        <f>IFERROR(__xludf.DUMMYFUNCTION("""COMPUTED_VALUE"""),FALSE)</f>
        <v>0</v>
      </c>
      <c r="O224" s="3" t="str">
        <f>IFERROR(__xludf.DUMMYFUNCTION("""COMPUTED_VALUE"""),"harold.s.houser@pwc.com")</f>
        <v>harold.s.houser@pwc.com</v>
      </c>
      <c r="P224" s="3" t="str">
        <f>IFERROR(__xludf.DUMMYFUNCTION("""COMPUTED_VALUE"""),"No")</f>
        <v>No</v>
      </c>
      <c r="Q224" s="3" t="b">
        <f>IFERROR(__xludf.DUMMYFUNCTION("""COMPUTED_VALUE"""),FALSE)</f>
        <v>0</v>
      </c>
      <c r="R224" s="3"/>
      <c r="S224" s="3"/>
      <c r="T224" s="3" t="b">
        <f>IFERROR(__xludf.DUMMYFUNCTION("""COMPUTED_VALUE"""),FALSE)</f>
        <v>0</v>
      </c>
      <c r="U224" s="3" t="b">
        <f>IFERROR(__xludf.DUMMYFUNCTION("""COMPUTED_VALUE"""),TRUE)</f>
        <v>1</v>
      </c>
      <c r="V224" s="3" t="b">
        <f>IFERROR(__xludf.DUMMYFUNCTION("""COMPUTED_VALUE"""),FALSE)</f>
        <v>0</v>
      </c>
      <c r="W224" s="3" t="str">
        <f>IFERROR(__xludf.DUMMYFUNCTION("""COMPUTED_VALUE"""),"Delivery")</f>
        <v>Delivery</v>
      </c>
      <c r="X224" s="3"/>
      <c r="Y224" s="3"/>
      <c r="Z224" s="3" t="str">
        <f>IFERROR(__xludf.DUMMYFUNCTION("""COMPUTED_VALUE"""),"Finance Transformation - Banking")</f>
        <v>Finance Transformation - Banking</v>
      </c>
      <c r="AA224" s="3" t="b">
        <f>IFERROR(__xludf.DUMMYFUNCTION("""COMPUTED_VALUE"""),FALSE)</f>
        <v>0</v>
      </c>
    </row>
    <row r="225">
      <c r="A225" s="11">
        <f>IFERROR(__xludf.DUMMYFUNCTION("""COMPUTED_VALUE"""),1.00641346E8)</f>
        <v>100641346</v>
      </c>
      <c r="B225" s="3" t="str">
        <f>IFERROR(__xludf.DUMMYFUNCTION("""COMPUTED_VALUE"""),"Fred Brown")</f>
        <v>Fred Brown</v>
      </c>
      <c r="C225" s="3" t="str">
        <f>IFERROR(__xludf.DUMMYFUNCTION("""COMPUTED_VALUE"""),"Fred William Brown")</f>
        <v>Fred William Brown</v>
      </c>
      <c r="D225" s="3" t="str">
        <f>IFERROR(__xludf.DUMMYFUNCTION("""COMPUTED_VALUE"""),"Brown, Fred William")</f>
        <v>Brown, Fred William</v>
      </c>
      <c r="E225" s="3" t="str">
        <f>IFERROR(__xludf.DUMMYFUNCTION("""COMPUTED_VALUE"""),"Active")</f>
        <v>Active</v>
      </c>
      <c r="F225" s="3" t="str">
        <f>IFERROR(__xludf.DUMMYFUNCTION("""COMPUTED_VALUE"""),"fred.w.brown@pwc.com")</f>
        <v>fred.w.brown@pwc.com</v>
      </c>
      <c r="G225" s="3" t="str">
        <f>IFERROR(__xludf.DUMMYFUNCTION("""COMPUTED_VALUE"""),"Customer")</f>
        <v>Customer</v>
      </c>
      <c r="H225" s="3" t="str">
        <f>IFERROR(__xludf.DUMMYFUNCTION("""COMPUTED_VALUE"""),"TMT X-Sector")</f>
        <v>TMT X-Sector</v>
      </c>
      <c r="I225" s="3" t="str">
        <f>IFERROR(__xludf.DUMMYFUNCTION("""COMPUTED_VALUE"""),"Customer - Sales")</f>
        <v>Customer - Sales</v>
      </c>
      <c r="J225" s="3" t="str">
        <f>IFERROR(__xludf.DUMMYFUNCTION("""COMPUTED_VALUE"""),"Managing Director")</f>
        <v>Managing Director</v>
      </c>
      <c r="K225" s="12">
        <f>IFERROR(__xludf.DUMMYFUNCTION("""COMPUTED_VALUE"""),43108.0)</f>
        <v>43108</v>
      </c>
      <c r="L225" s="3" t="str">
        <f>IFERROR(__xludf.DUMMYFUNCTION("""COMPUTED_VALUE"""),"San Antonio")</f>
        <v>San Antonio</v>
      </c>
      <c r="M225" s="3" t="str">
        <f>IFERROR(__xludf.DUMMYFUNCTION("""COMPUTED_VALUE"""),"San Antonio - 106 Jefferson Street")</f>
        <v>San Antonio - 106 Jefferson Street</v>
      </c>
      <c r="N225" s="3" t="b">
        <f>IFERROR(__xludf.DUMMYFUNCTION("""COMPUTED_VALUE"""),FALSE)</f>
        <v>0</v>
      </c>
      <c r="O225" s="3" t="str">
        <f>IFERROR(__xludf.DUMMYFUNCTION("""COMPUTED_VALUE"""),"matthew.s.duffey@pwc.com")</f>
        <v>matthew.s.duffey@pwc.com</v>
      </c>
      <c r="P225" s="3" t="str">
        <f>IFERROR(__xludf.DUMMYFUNCTION("""COMPUTED_VALUE"""),"No")</f>
        <v>No</v>
      </c>
      <c r="Q225" s="3" t="b">
        <f>IFERROR(__xludf.DUMMYFUNCTION("""COMPUTED_VALUE"""),FALSE)</f>
        <v>0</v>
      </c>
      <c r="R225" s="3"/>
      <c r="S225" s="3"/>
      <c r="T225" s="3" t="b">
        <f>IFERROR(__xludf.DUMMYFUNCTION("""COMPUTED_VALUE"""),TRUE)</f>
        <v>1</v>
      </c>
      <c r="U225" s="3" t="b">
        <f>IFERROR(__xludf.DUMMYFUNCTION("""COMPUTED_VALUE"""),FALSE)</f>
        <v>0</v>
      </c>
      <c r="V225" s="3" t="b">
        <f>IFERROR(__xludf.DUMMYFUNCTION("""COMPUTED_VALUE"""),FALSE)</f>
        <v>0</v>
      </c>
      <c r="W225" s="3" t="str">
        <f>IFERROR(__xludf.DUMMYFUNCTION("""COMPUTED_VALUE"""),"Delivery - exclude from perf view")</f>
        <v>Delivery - exclude from perf view</v>
      </c>
      <c r="X225" s="3"/>
      <c r="Y225" s="3" t="str">
        <f>IFERROR(__xludf.DUMMYFUNCTION("""COMPUTED_VALUE"""),"Rainmaker")</f>
        <v>Rainmaker</v>
      </c>
      <c r="Z225" s="3" t="str">
        <f>IFERROR(__xludf.DUMMYFUNCTION("""COMPUTED_VALUE"""),"Commercial / CRM Transformation - FS &amp; TMT")</f>
        <v>Commercial / CRM Transformation - FS &amp; TMT</v>
      </c>
      <c r="AA225" s="3" t="b">
        <f>IFERROR(__xludf.DUMMYFUNCTION("""COMPUTED_VALUE"""),FALSE)</f>
        <v>0</v>
      </c>
    </row>
    <row r="226">
      <c r="A226" s="11">
        <f>IFERROR(__xludf.DUMMYFUNCTION("""COMPUTED_VALUE"""),1.00886112E8)</f>
        <v>100886112</v>
      </c>
      <c r="B226" s="3" t="str">
        <f>IFERROR(__xludf.DUMMYFUNCTION("""COMPUTED_VALUE"""),"Fuad Abdelhadi")</f>
        <v>Fuad Abdelhadi</v>
      </c>
      <c r="C226" s="3" t="str">
        <f>IFERROR(__xludf.DUMMYFUNCTION("""COMPUTED_VALUE"""),"Fuad Bassam Abdelhadi")</f>
        <v>Fuad Bassam Abdelhadi</v>
      </c>
      <c r="D226" s="3" t="str">
        <f>IFERROR(__xludf.DUMMYFUNCTION("""COMPUTED_VALUE"""),"Abdelhadi, Fuad Bassam")</f>
        <v>Abdelhadi, Fuad Bassam</v>
      </c>
      <c r="E226" s="3" t="str">
        <f>IFERROR(__xludf.DUMMYFUNCTION("""COMPUTED_VALUE"""),"Active")</f>
        <v>Active</v>
      </c>
      <c r="F226" s="3" t="str">
        <f>IFERROR(__xludf.DUMMYFUNCTION("""COMPUTED_VALUE"""),"fuad.abdelhadi@pwc.com")</f>
        <v>fuad.abdelhadi@pwc.com</v>
      </c>
      <c r="G226" s="3" t="str">
        <f>IFERROR(__xludf.DUMMYFUNCTION("""COMPUTED_VALUE"""),"ESV")</f>
        <v>ESV</v>
      </c>
      <c r="H226" s="3" t="str">
        <f>IFERROR(__xludf.DUMMYFUNCTION("""COMPUTED_VALUE"""),"Aerospace and Defence")</f>
        <v>Aerospace and Defence</v>
      </c>
      <c r="I226" s="3" t="str">
        <f>IFERROR(__xludf.DUMMYFUNCTION("""COMPUTED_VALUE"""),"ESV - IPS")</f>
        <v>ESV - IPS</v>
      </c>
      <c r="J226" s="3" t="str">
        <f>IFERROR(__xludf.DUMMYFUNCTION("""COMPUTED_VALUE"""),"Partner")</f>
        <v>Partner</v>
      </c>
      <c r="K226" s="12">
        <f>IFERROR(__xludf.DUMMYFUNCTION("""COMPUTED_VALUE"""),43542.0)</f>
        <v>43542</v>
      </c>
      <c r="L226" s="3" t="str">
        <f>IFERROR(__xludf.DUMMYFUNCTION("""COMPUTED_VALUE"""),"Washington")</f>
        <v>Washington</v>
      </c>
      <c r="M226" s="3" t="str">
        <f>IFERROR(__xludf.DUMMYFUNCTION("""COMPUTED_VALUE"""),"Washington DC - 655 New York Avenue")</f>
        <v>Washington DC - 655 New York Avenue</v>
      </c>
      <c r="N226" s="3" t="b">
        <f>IFERROR(__xludf.DUMMYFUNCTION("""COMPUTED_VALUE"""),FALSE)</f>
        <v>0</v>
      </c>
      <c r="O226" s="3" t="str">
        <f>IFERROR(__xludf.DUMMYFUNCTION("""COMPUTED_VALUE"""),"sundar.subramanian@pwc.com")</f>
        <v>sundar.subramanian@pwc.com</v>
      </c>
      <c r="P226" s="3" t="str">
        <f>IFERROR(__xludf.DUMMYFUNCTION("""COMPUTED_VALUE"""),"No")</f>
        <v>No</v>
      </c>
      <c r="Q226" s="3" t="b">
        <f>IFERROR(__xludf.DUMMYFUNCTION("""COMPUTED_VALUE"""),FALSE)</f>
        <v>0</v>
      </c>
      <c r="R226" s="3"/>
      <c r="S226" s="3"/>
      <c r="T226" s="3" t="b">
        <f>IFERROR(__xludf.DUMMYFUNCTION("""COMPUTED_VALUE"""),FALSE)</f>
        <v>0</v>
      </c>
      <c r="U226" s="3" t="b">
        <f>IFERROR(__xludf.DUMMYFUNCTION("""COMPUTED_VALUE"""),TRUE)</f>
        <v>1</v>
      </c>
      <c r="V226" s="3" t="b">
        <f>IFERROR(__xludf.DUMMYFUNCTION("""COMPUTED_VALUE"""),FALSE)</f>
        <v>0</v>
      </c>
      <c r="W226" s="3" t="str">
        <f>IFERROR(__xludf.DUMMYFUNCTION("""COMPUTED_VALUE"""),"Delivery")</f>
        <v>Delivery</v>
      </c>
      <c r="X226" s="3"/>
      <c r="Y226" s="3"/>
      <c r="Z226" s="3" t="str">
        <f>IFERROR(__xludf.DUMMYFUNCTION("""COMPUTED_VALUE"""),"Enterprise Digital Transformation - CM &amp; IPS")</f>
        <v>Enterprise Digital Transformation - CM &amp; IPS</v>
      </c>
      <c r="AA226" s="3" t="b">
        <f>IFERROR(__xludf.DUMMYFUNCTION("""COMPUTED_VALUE"""),FALSE)</f>
        <v>0</v>
      </c>
    </row>
    <row r="227">
      <c r="A227" s="11">
        <f>IFERROR(__xludf.DUMMYFUNCTION("""COMPUTED_VALUE"""),1.00655543E8)</f>
        <v>100655543</v>
      </c>
      <c r="B227" s="3" t="str">
        <f>IFERROR(__xludf.DUMMYFUNCTION("""COMPUTED_VALUE"""),"Gail Vennitti")</f>
        <v>Gail Vennitti</v>
      </c>
      <c r="C227" s="3" t="str">
        <f>IFERROR(__xludf.DUMMYFUNCTION("""COMPUTED_VALUE"""),"Gail  Vennitti")</f>
        <v>Gail  Vennitti</v>
      </c>
      <c r="D227" s="3" t="str">
        <f>IFERROR(__xludf.DUMMYFUNCTION("""COMPUTED_VALUE"""),"Vennitti, Gail")</f>
        <v>Vennitti, Gail</v>
      </c>
      <c r="E227" s="3" t="str">
        <f>IFERROR(__xludf.DUMMYFUNCTION("""COMPUTED_VALUE"""),"Active")</f>
        <v>Active</v>
      </c>
      <c r="F227" s="3" t="str">
        <f>IFERROR(__xludf.DUMMYFUNCTION("""COMPUTED_VALUE"""),"gail.vennitti@pwc.com")</f>
        <v>gail.vennitti@pwc.com</v>
      </c>
      <c r="G227" s="3" t="str">
        <f>IFERROR(__xludf.DUMMYFUNCTION("""COMPUTED_VALUE"""),"FS")</f>
        <v>FS</v>
      </c>
      <c r="H227" s="3" t="str">
        <f>IFERROR(__xludf.DUMMYFUNCTION("""COMPUTED_VALUE"""),"Banking and Capital Markets")</f>
        <v>Banking and Capital Markets</v>
      </c>
      <c r="I227" s="3" t="str">
        <f>IFERROR(__xludf.DUMMYFUNCTION("""COMPUTED_VALUE"""),"FS - Banking and Capital Markets")</f>
        <v>FS - Banking and Capital Markets</v>
      </c>
      <c r="J227" s="3" t="str">
        <f>IFERROR(__xludf.DUMMYFUNCTION("""COMPUTED_VALUE"""),"Partner")</f>
        <v>Partner</v>
      </c>
      <c r="K227" s="12">
        <f>IFERROR(__xludf.DUMMYFUNCTION("""COMPUTED_VALUE"""),34379.0)</f>
        <v>34379</v>
      </c>
      <c r="L227" s="3" t="str">
        <f>IFERROR(__xludf.DUMMYFUNCTION("""COMPUTED_VALUE"""),"New York")</f>
        <v>New York</v>
      </c>
      <c r="M227" s="3" t="str">
        <f>IFERROR(__xludf.DUMMYFUNCTION("""COMPUTED_VALUE"""),"New York - 300 Madison Avenue")</f>
        <v>New York - 300 Madison Avenue</v>
      </c>
      <c r="N227" s="3" t="b">
        <f>IFERROR(__xludf.DUMMYFUNCTION("""COMPUTED_VALUE"""),FALSE)</f>
        <v>0</v>
      </c>
      <c r="O227" s="3" t="str">
        <f>IFERROR(__xludf.DUMMYFUNCTION("""COMPUTED_VALUE"""),"alison.hoover@pwc.com")</f>
        <v>alison.hoover@pwc.com</v>
      </c>
      <c r="P227" s="3" t="str">
        <f>IFERROR(__xludf.DUMMYFUNCTION("""COMPUTED_VALUE"""),"No")</f>
        <v>No</v>
      </c>
      <c r="Q227" s="3" t="b">
        <f>IFERROR(__xludf.DUMMYFUNCTION("""COMPUTED_VALUE"""),TRUE)</f>
        <v>1</v>
      </c>
      <c r="R227" s="3" t="str">
        <f>IFERROR(__xludf.DUMMYFUNCTION("""COMPUTED_VALUE"""),"LCP High")</f>
        <v>LCP High</v>
      </c>
      <c r="S227" s="3"/>
      <c r="T227" s="3" t="b">
        <f>IFERROR(__xludf.DUMMYFUNCTION("""COMPUTED_VALUE"""),FALSE)</f>
        <v>0</v>
      </c>
      <c r="U227" s="3" t="b">
        <f>IFERROR(__xludf.DUMMYFUNCTION("""COMPUTED_VALUE"""),FALSE)</f>
        <v>0</v>
      </c>
      <c r="V227" s="3" t="b">
        <f>IFERROR(__xludf.DUMMYFUNCTION("""COMPUTED_VALUE"""),FALSE)</f>
        <v>0</v>
      </c>
      <c r="W227" s="3" t="str">
        <f>IFERROR(__xludf.DUMMYFUNCTION("""COMPUTED_VALUE"""),"LCP")</f>
        <v>LCP</v>
      </c>
      <c r="X227" s="3"/>
      <c r="Y227" s="3" t="str">
        <f>IFERROR(__xludf.DUMMYFUNCTION("""COMPUTED_VALUE"""),"GEP - High")</f>
        <v>GEP - High</v>
      </c>
      <c r="Z227" s="3" t="str">
        <f>IFERROR(__xludf.DUMMYFUNCTION("""COMPUTED_VALUE"""),"Capital Markets Transformation")</f>
        <v>Capital Markets Transformation</v>
      </c>
      <c r="AA227" s="3" t="b">
        <f>IFERROR(__xludf.DUMMYFUNCTION("""COMPUTED_VALUE"""),FALSE)</f>
        <v>0</v>
      </c>
    </row>
    <row r="228">
      <c r="A228" s="11">
        <f>IFERROR(__xludf.DUMMYFUNCTION("""COMPUTED_VALUE"""),1.00660934E8)</f>
        <v>100660934</v>
      </c>
      <c r="B228" s="3" t="str">
        <f>IFERROR(__xludf.DUMMYFUNCTION("""COMPUTED_VALUE"""),"Gary Shub")</f>
        <v>Gary Shub</v>
      </c>
      <c r="C228" s="3" t="str">
        <f>IFERROR(__xludf.DUMMYFUNCTION("""COMPUTED_VALUE"""),"Gary N Shub")</f>
        <v>Gary N Shub</v>
      </c>
      <c r="D228" s="3" t="str">
        <f>IFERROR(__xludf.DUMMYFUNCTION("""COMPUTED_VALUE"""),"Shub, Gary N")</f>
        <v>Shub, Gary N</v>
      </c>
      <c r="E228" s="3" t="str">
        <f>IFERROR(__xludf.DUMMYFUNCTION("""COMPUTED_VALUE"""),"Active")</f>
        <v>Active</v>
      </c>
      <c r="F228" s="3" t="str">
        <f>IFERROR(__xludf.DUMMYFUNCTION("""COMPUTED_VALUE"""),"gary.shub@pwc.com")</f>
        <v>gary.shub@pwc.com</v>
      </c>
      <c r="G228" s="3" t="str">
        <f>IFERROR(__xludf.DUMMYFUNCTION("""COMPUTED_VALUE"""),"ESV")</f>
        <v>ESV</v>
      </c>
      <c r="H228" s="3" t="str">
        <f>IFERROR(__xludf.DUMMYFUNCTION("""COMPUTED_VALUE"""),"Banking and Capital Markets")</f>
        <v>Banking and Capital Markets</v>
      </c>
      <c r="I228" s="3" t="str">
        <f>IFERROR(__xludf.DUMMYFUNCTION("""COMPUTED_VALUE"""),"ESV - BCM")</f>
        <v>ESV - BCM</v>
      </c>
      <c r="J228" s="3" t="str">
        <f>IFERROR(__xludf.DUMMYFUNCTION("""COMPUTED_VALUE"""),"Partner")</f>
        <v>Partner</v>
      </c>
      <c r="K228" s="12">
        <f>IFERROR(__xludf.DUMMYFUNCTION("""COMPUTED_VALUE"""),42709.0)</f>
        <v>42709</v>
      </c>
      <c r="L228" s="3" t="str">
        <f>IFERROR(__xludf.DUMMYFUNCTION("""COMPUTED_VALUE"""),"Boston")</f>
        <v>Boston</v>
      </c>
      <c r="M228" s="3" t="str">
        <f>IFERROR(__xludf.DUMMYFUNCTION("""COMPUTED_VALUE"""),"Boston - 101 Seaport Boulevard")</f>
        <v>Boston - 101 Seaport Boulevard</v>
      </c>
      <c r="N228" s="3" t="b">
        <f>IFERROR(__xludf.DUMMYFUNCTION("""COMPUTED_VALUE"""),FALSE)</f>
        <v>0</v>
      </c>
      <c r="O228" s="3" t="str">
        <f>IFERROR(__xludf.DUMMYFUNCTION("""COMPUTED_VALUE"""),"sundar.subramanian@pwc.com")</f>
        <v>sundar.subramanian@pwc.com</v>
      </c>
      <c r="P228" s="3" t="str">
        <f>IFERROR(__xludf.DUMMYFUNCTION("""COMPUTED_VALUE"""),"No")</f>
        <v>No</v>
      </c>
      <c r="Q228" s="3" t="b">
        <f>IFERROR(__xludf.DUMMYFUNCTION("""COMPUTED_VALUE"""),TRUE)</f>
        <v>1</v>
      </c>
      <c r="R228" s="3" t="str">
        <f>IFERROR(__xludf.DUMMYFUNCTION("""COMPUTED_VALUE"""),"LCP Low")</f>
        <v>LCP Low</v>
      </c>
      <c r="S228" s="3"/>
      <c r="T228" s="3" t="b">
        <f>IFERROR(__xludf.DUMMYFUNCTION("""COMPUTED_VALUE"""),FALSE)</f>
        <v>0</v>
      </c>
      <c r="U228" s="3" t="b">
        <f>IFERROR(__xludf.DUMMYFUNCTION("""COMPUTED_VALUE"""),TRUE)</f>
        <v>1</v>
      </c>
      <c r="V228" s="3" t="b">
        <f>IFERROR(__xludf.DUMMYFUNCTION("""COMPUTED_VALUE"""),FALSE)</f>
        <v>0</v>
      </c>
      <c r="W228" s="3" t="str">
        <f>IFERROR(__xludf.DUMMYFUNCTION("""COMPUTED_VALUE"""),"LCP")</f>
        <v>LCP</v>
      </c>
      <c r="X228" s="3"/>
      <c r="Y228" s="3" t="str">
        <f>IFERROR(__xludf.DUMMYFUNCTION("""COMPUTED_VALUE"""),"GEP - Low")</f>
        <v>GEP - Low</v>
      </c>
      <c r="Z228" s="3" t="str">
        <f>IFERROR(__xludf.DUMMYFUNCTION("""COMPUTED_VALUE"""),"Enterprise Digital Transformation - BCM &amp; AWM")</f>
        <v>Enterprise Digital Transformation - BCM &amp; AWM</v>
      </c>
      <c r="AA228" s="3" t="b">
        <f>IFERROR(__xludf.DUMMYFUNCTION("""COMPUTED_VALUE"""),FALSE)</f>
        <v>0</v>
      </c>
    </row>
    <row r="229">
      <c r="A229" s="11">
        <f>IFERROR(__xludf.DUMMYFUNCTION("""COMPUTED_VALUE"""),1.01251018E8)</f>
        <v>101251018</v>
      </c>
      <c r="B229" s="3" t="str">
        <f>IFERROR(__xludf.DUMMYFUNCTION("""COMPUTED_VALUE"""),"Gaurav Mehta")</f>
        <v>Gaurav Mehta</v>
      </c>
      <c r="C229" s="3" t="str">
        <f>IFERROR(__xludf.DUMMYFUNCTION("""COMPUTED_VALUE"""),"Gaurav Mehta")</f>
        <v>Gaurav Mehta</v>
      </c>
      <c r="D229" s="3" t="str">
        <f>IFERROR(__xludf.DUMMYFUNCTION("""COMPUTED_VALUE"""),"Mehta, Gaurav")</f>
        <v>Mehta, Gaurav</v>
      </c>
      <c r="E229" s="3" t="str">
        <f>IFERROR(__xludf.DUMMYFUNCTION("""COMPUTED_VALUE"""),"Active")</f>
        <v>Active</v>
      </c>
      <c r="F229" s="3" t="str">
        <f>IFERROR(__xludf.DUMMYFUNCTION("""COMPUTED_VALUE"""),"g.mehta@pwc.com")</f>
        <v>g.mehta@pwc.com</v>
      </c>
      <c r="G229" s="3" t="str">
        <f>IFERROR(__xludf.DUMMYFUNCTION("""COMPUTED_VALUE"""),"Health")</f>
        <v>Health</v>
      </c>
      <c r="H229" s="3" t="str">
        <f>IFERROR(__xludf.DUMMYFUNCTION("""COMPUTED_VALUE"""),"Health Services")</f>
        <v>Health Services</v>
      </c>
      <c r="I229" s="3" t="str">
        <f>IFERROR(__xludf.DUMMYFUNCTION("""COMPUTED_VALUE"""),"Unknown")</f>
        <v>Unknown</v>
      </c>
      <c r="J229" s="3" t="str">
        <f>IFERROR(__xludf.DUMMYFUNCTION("""COMPUTED_VALUE"""),"Partner")</f>
        <v>Partner</v>
      </c>
      <c r="K229" s="12">
        <f>IFERROR(__xludf.DUMMYFUNCTION("""COMPUTED_VALUE"""),44718.0)</f>
        <v>44718</v>
      </c>
      <c r="L229" s="3" t="str">
        <f>IFERROR(__xludf.DUMMYFUNCTION("""COMPUTED_VALUE"""),"San Francisco")</f>
        <v>San Francisco</v>
      </c>
      <c r="M229" s="3" t="str">
        <f>IFERROR(__xludf.DUMMYFUNCTION("""COMPUTED_VALUE"""),"Unknown")</f>
        <v>Unknown</v>
      </c>
      <c r="N229" s="3" t="str">
        <f>IFERROR(__xludf.DUMMYFUNCTION("""COMPUTED_VALUE"""),"Unknown")</f>
        <v>Unknown</v>
      </c>
      <c r="O229" s="3" t="str">
        <f>IFERROR(__xludf.DUMMYFUNCTION("""COMPUTED_VALUE"""),"Unknown")</f>
        <v>Unknown</v>
      </c>
      <c r="P229" s="3" t="str">
        <f>IFERROR(__xludf.DUMMYFUNCTION("""COMPUTED_VALUE"""),"FY22")</f>
        <v>FY22</v>
      </c>
      <c r="Q229" s="3" t="str">
        <f>IFERROR(__xludf.DUMMYFUNCTION("""COMPUTED_VALUE"""),"Unknown")</f>
        <v>Unknown</v>
      </c>
      <c r="R229" s="3" t="str">
        <f>IFERROR(__xludf.DUMMYFUNCTION("""COMPUTED_VALUE"""),"Unknown")</f>
        <v>Unknown</v>
      </c>
      <c r="S229" s="3"/>
      <c r="T229" s="3" t="str">
        <f>IFERROR(__xludf.DUMMYFUNCTION("""COMPUTED_VALUE"""),"Unknown")</f>
        <v>Unknown</v>
      </c>
      <c r="U229" s="3" t="str">
        <f>IFERROR(__xludf.DUMMYFUNCTION("""COMPUTED_VALUE"""),"Unknown")</f>
        <v>Unknown</v>
      </c>
      <c r="V229" s="3" t="str">
        <f>IFERROR(__xludf.DUMMYFUNCTION("""COMPUTED_VALUE"""),"Unknown")</f>
        <v>Unknown</v>
      </c>
      <c r="W229" s="3" t="str">
        <f>IFERROR(__xludf.DUMMYFUNCTION("""COMPUTED_VALUE"""),"Catalyst")</f>
        <v>Catalyst</v>
      </c>
      <c r="X229" s="3" t="str">
        <f>IFERROR(__xludf.DUMMYFUNCTION("""COMPUTED_VALUE"""),"Unknown")</f>
        <v>Unknown</v>
      </c>
      <c r="Y229" s="3" t="str">
        <f>IFERROR(__xludf.DUMMYFUNCTION("""COMPUTED_VALUE"""),"Unknown")</f>
        <v>Unknown</v>
      </c>
      <c r="Z229" s="3" t="str">
        <f>IFERROR(__xludf.DUMMYFUNCTION("""COMPUTED_VALUE"""),"Unknown")</f>
        <v>Unknown</v>
      </c>
      <c r="AA229" s="3" t="str">
        <f>IFERROR(__xludf.DUMMYFUNCTION("""COMPUTED_VALUE"""),"Unknown")</f>
        <v>Unknown</v>
      </c>
    </row>
    <row r="230">
      <c r="A230" s="11">
        <f>IFERROR(__xludf.DUMMYFUNCTION("""COMPUTED_VALUE"""),1.00980598E8)</f>
        <v>100980598</v>
      </c>
      <c r="B230" s="3" t="str">
        <f>IFERROR(__xludf.DUMMYFUNCTION("""COMPUTED_VALUE"""),"Gaurav Shukla")</f>
        <v>Gaurav Shukla</v>
      </c>
      <c r="C230" s="3" t="str">
        <f>IFERROR(__xludf.DUMMYFUNCTION("""COMPUTED_VALUE"""),"Gaurav  Shukla")</f>
        <v>Gaurav  Shukla</v>
      </c>
      <c r="D230" s="3" t="str">
        <f>IFERROR(__xludf.DUMMYFUNCTION("""COMPUTED_VALUE"""),"Shukla, Gaurav")</f>
        <v>Shukla, Gaurav</v>
      </c>
      <c r="E230" s="3" t="str">
        <f>IFERROR(__xludf.DUMMYFUNCTION("""COMPUTED_VALUE"""),"Active")</f>
        <v>Active</v>
      </c>
      <c r="F230" s="3" t="str">
        <f>IFERROR(__xludf.DUMMYFUNCTION("""COMPUTED_VALUE"""),"gaurav.shukla@pwc.com")</f>
        <v>gaurav.shukla@pwc.com</v>
      </c>
      <c r="G230" s="3" t="str">
        <f>IFERROR(__xludf.DUMMYFUNCTION("""COMPUTED_VALUE"""),"FS")</f>
        <v>FS</v>
      </c>
      <c r="H230" s="3" t="str">
        <f>IFERROR(__xludf.DUMMYFUNCTION("""COMPUTED_VALUE"""),"Banking and Capital Markets")</f>
        <v>Banking and Capital Markets</v>
      </c>
      <c r="I230" s="3" t="str">
        <f>IFERROR(__xludf.DUMMYFUNCTION("""COMPUTED_VALUE"""),"FS - Banking and Capital Markets")</f>
        <v>FS - Banking and Capital Markets</v>
      </c>
      <c r="J230" s="3" t="str">
        <f>IFERROR(__xludf.DUMMYFUNCTION("""COMPUTED_VALUE"""),"Partner")</f>
        <v>Partner</v>
      </c>
      <c r="K230" s="12">
        <f>IFERROR(__xludf.DUMMYFUNCTION("""COMPUTED_VALUE"""),43879.0)</f>
        <v>43879</v>
      </c>
      <c r="L230" s="3" t="str">
        <f>IFERROR(__xludf.DUMMYFUNCTION("""COMPUTED_VALUE"""),"New York")</f>
        <v>New York</v>
      </c>
      <c r="M230" s="3" t="str">
        <f>IFERROR(__xludf.DUMMYFUNCTION("""COMPUTED_VALUE"""),"New York - 300 Madison Avenue")</f>
        <v>New York - 300 Madison Avenue</v>
      </c>
      <c r="N230" s="3" t="b">
        <f>IFERROR(__xludf.DUMMYFUNCTION("""COMPUTED_VALUE"""),FALSE)</f>
        <v>0</v>
      </c>
      <c r="O230" s="3" t="str">
        <f>IFERROR(__xludf.DUMMYFUNCTION("""COMPUTED_VALUE"""),"alison.hoover@pwc.com")</f>
        <v>alison.hoover@pwc.com</v>
      </c>
      <c r="P230" s="3" t="str">
        <f>IFERROR(__xludf.DUMMYFUNCTION("""COMPUTED_VALUE"""),"No")</f>
        <v>No</v>
      </c>
      <c r="Q230" s="3" t="b">
        <f>IFERROR(__xludf.DUMMYFUNCTION("""COMPUTED_VALUE"""),FALSE)</f>
        <v>0</v>
      </c>
      <c r="R230" s="3"/>
      <c r="S230" s="3"/>
      <c r="T230" s="3" t="b">
        <f>IFERROR(__xludf.DUMMYFUNCTION("""COMPUTED_VALUE"""),FALSE)</f>
        <v>0</v>
      </c>
      <c r="U230" s="3" t="b">
        <f>IFERROR(__xludf.DUMMYFUNCTION("""COMPUTED_VALUE"""),TRUE)</f>
        <v>1</v>
      </c>
      <c r="V230" s="3" t="b">
        <f>IFERROR(__xludf.DUMMYFUNCTION("""COMPUTED_VALUE"""),FALSE)</f>
        <v>0</v>
      </c>
      <c r="W230" s="3" t="str">
        <f>IFERROR(__xludf.DUMMYFUNCTION("""COMPUTED_VALUE"""),"Delivery")</f>
        <v>Delivery</v>
      </c>
      <c r="X230" s="3"/>
      <c r="Y230" s="3"/>
      <c r="Z230" s="3" t="str">
        <f>IFERROR(__xludf.DUMMYFUNCTION("""COMPUTED_VALUE"""),"Capital Markets Transformation")</f>
        <v>Capital Markets Transformation</v>
      </c>
      <c r="AA230" s="3" t="b">
        <f>IFERROR(__xludf.DUMMYFUNCTION("""COMPUTED_VALUE"""),FALSE)</f>
        <v>0</v>
      </c>
    </row>
    <row r="231">
      <c r="A231" s="11">
        <f>IFERROR(__xludf.DUMMYFUNCTION("""COMPUTED_VALUE"""),1.00623535E8)</f>
        <v>100623535</v>
      </c>
      <c r="B231" s="3" t="str">
        <f>IFERROR(__xludf.DUMMYFUNCTION("""COMPUTED_VALUE"""),"Geoff Dworkin")</f>
        <v>Geoff Dworkin</v>
      </c>
      <c r="C231" s="3" t="str">
        <f>IFERROR(__xludf.DUMMYFUNCTION("""COMPUTED_VALUE"""),"Geoffrey  Dworkin")</f>
        <v>Geoffrey  Dworkin</v>
      </c>
      <c r="D231" s="3" t="str">
        <f>IFERROR(__xludf.DUMMYFUNCTION("""COMPUTED_VALUE"""),"Dworkin, Geoffrey")</f>
        <v>Dworkin, Geoffrey</v>
      </c>
      <c r="E231" s="3" t="str">
        <f>IFERROR(__xludf.DUMMYFUNCTION("""COMPUTED_VALUE"""),"Active")</f>
        <v>Active</v>
      </c>
      <c r="F231" s="3" t="str">
        <f>IFERROR(__xludf.DUMMYFUNCTION("""COMPUTED_VALUE"""),"geoffrey.dworkin@pwc.com")</f>
        <v>geoffrey.dworkin@pwc.com</v>
      </c>
      <c r="G231" s="3" t="str">
        <f>IFERROR(__xludf.DUMMYFUNCTION("""COMPUTED_VALUE"""),"FS")</f>
        <v>FS</v>
      </c>
      <c r="H231" s="3" t="str">
        <f>IFERROR(__xludf.DUMMYFUNCTION("""COMPUTED_VALUE"""),"Banking and Capital Markets")</f>
        <v>Banking and Capital Markets</v>
      </c>
      <c r="I231" s="3" t="str">
        <f>IFERROR(__xludf.DUMMYFUNCTION("""COMPUTED_VALUE"""),"FS - Banking and Capital Markets")</f>
        <v>FS - Banking and Capital Markets</v>
      </c>
      <c r="J231" s="3" t="str">
        <f>IFERROR(__xludf.DUMMYFUNCTION("""COMPUTED_VALUE"""),"Partner")</f>
        <v>Partner</v>
      </c>
      <c r="K231" s="12">
        <f>IFERROR(__xludf.DUMMYFUNCTION("""COMPUTED_VALUE"""),38649.0)</f>
        <v>38649</v>
      </c>
      <c r="L231" s="3" t="str">
        <f>IFERROR(__xludf.DUMMYFUNCTION("""COMPUTED_VALUE"""),"New York")</f>
        <v>New York</v>
      </c>
      <c r="M231" s="3" t="str">
        <f>IFERROR(__xludf.DUMMYFUNCTION("""COMPUTED_VALUE"""),"New York - 300 Madison Avenue")</f>
        <v>New York - 300 Madison Avenue</v>
      </c>
      <c r="N231" s="3" t="b">
        <f>IFERROR(__xludf.DUMMYFUNCTION("""COMPUTED_VALUE"""),FALSE)</f>
        <v>0</v>
      </c>
      <c r="O231" s="3" t="str">
        <f>IFERROR(__xludf.DUMMYFUNCTION("""COMPUTED_VALUE"""),"alison.hoover@pwc.com")</f>
        <v>alison.hoover@pwc.com</v>
      </c>
      <c r="P231" s="3" t="str">
        <f>IFERROR(__xludf.DUMMYFUNCTION("""COMPUTED_VALUE"""),"No")</f>
        <v>No</v>
      </c>
      <c r="Q231" s="3" t="b">
        <f>IFERROR(__xludf.DUMMYFUNCTION("""COMPUTED_VALUE"""),FALSE)</f>
        <v>0</v>
      </c>
      <c r="R231" s="3"/>
      <c r="S231" s="3"/>
      <c r="T231" s="3" t="b">
        <f>IFERROR(__xludf.DUMMYFUNCTION("""COMPUTED_VALUE"""),FALSE)</f>
        <v>0</v>
      </c>
      <c r="U231" s="3" t="b">
        <f>IFERROR(__xludf.DUMMYFUNCTION("""COMPUTED_VALUE"""),TRUE)</f>
        <v>1</v>
      </c>
      <c r="V231" s="3" t="b">
        <f>IFERROR(__xludf.DUMMYFUNCTION("""COMPUTED_VALUE"""),FALSE)</f>
        <v>0</v>
      </c>
      <c r="W231" s="3" t="str">
        <f>IFERROR(__xludf.DUMMYFUNCTION("""COMPUTED_VALUE"""),"Delivery")</f>
        <v>Delivery</v>
      </c>
      <c r="X231" s="3"/>
      <c r="Y231" s="3"/>
      <c r="Z231" s="3" t="str">
        <f>IFERROR(__xludf.DUMMYFUNCTION("""COMPUTED_VALUE"""),"Capital Markets Transformation")</f>
        <v>Capital Markets Transformation</v>
      </c>
      <c r="AA231" s="3" t="b">
        <f>IFERROR(__xludf.DUMMYFUNCTION("""COMPUTED_VALUE"""),FALSE)</f>
        <v>0</v>
      </c>
    </row>
    <row r="232">
      <c r="A232" s="11">
        <f>IFERROR(__xludf.DUMMYFUNCTION("""COMPUTED_VALUE"""),1.00619165E8)</f>
        <v>100619165</v>
      </c>
      <c r="B232" s="3" t="str">
        <f>IFERROR(__xludf.DUMMYFUNCTION("""COMPUTED_VALUE"""),"Geoff Plese")</f>
        <v>Geoff Plese</v>
      </c>
      <c r="C232" s="3" t="str">
        <f>IFERROR(__xludf.DUMMYFUNCTION("""COMPUTED_VALUE"""),"Geoffrey Edward Plese")</f>
        <v>Geoffrey Edward Plese</v>
      </c>
      <c r="D232" s="3" t="str">
        <f>IFERROR(__xludf.DUMMYFUNCTION("""COMPUTED_VALUE"""),"Plese, Geoffrey Edward")</f>
        <v>Plese, Geoffrey Edward</v>
      </c>
      <c r="E232" s="3" t="str">
        <f>IFERROR(__xludf.DUMMYFUNCTION("""COMPUTED_VALUE"""),"Active")</f>
        <v>Active</v>
      </c>
      <c r="F232" s="3" t="str">
        <f>IFERROR(__xludf.DUMMYFUNCTION("""COMPUTED_VALUE"""),"geoffrey.e.plese@pwc.com")</f>
        <v>geoffrey.e.plese@pwc.com</v>
      </c>
      <c r="G232" s="3" t="str">
        <f>IFERROR(__xludf.DUMMYFUNCTION("""COMPUTED_VALUE"""),"Customer")</f>
        <v>Customer</v>
      </c>
      <c r="H232" s="3" t="str">
        <f>IFERROR(__xludf.DUMMYFUNCTION("""COMPUTED_VALUE"""),"Power and Utilities")</f>
        <v>Power and Utilities</v>
      </c>
      <c r="I232" s="3" t="str">
        <f>IFERROR(__xludf.DUMMYFUNCTION("""COMPUTED_VALUE"""),"Customer - Customer Strategy &amp; Experience")</f>
        <v>Customer - Customer Strategy &amp; Experience</v>
      </c>
      <c r="J232" s="3" t="str">
        <f>IFERROR(__xludf.DUMMYFUNCTION("""COMPUTED_VALUE"""),"Partner")</f>
        <v>Partner</v>
      </c>
      <c r="K232" s="12">
        <f>IFERROR(__xludf.DUMMYFUNCTION("""COMPUTED_VALUE"""),41687.0)</f>
        <v>41687</v>
      </c>
      <c r="L232" s="3" t="str">
        <f>IFERROR(__xludf.DUMMYFUNCTION("""COMPUTED_VALUE"""),"Atlanta")</f>
        <v>Atlanta</v>
      </c>
      <c r="M232" s="3" t="str">
        <f>IFERROR(__xludf.DUMMYFUNCTION("""COMPUTED_VALUE"""),"Atlanta - 1075 Peachtree Street NE")</f>
        <v>Atlanta - 1075 Peachtree Street NE</v>
      </c>
      <c r="N232" s="3" t="b">
        <f>IFERROR(__xludf.DUMMYFUNCTION("""COMPUTED_VALUE"""),FALSE)</f>
        <v>0</v>
      </c>
      <c r="O232" s="3" t="str">
        <f>IFERROR(__xludf.DUMMYFUNCTION("""COMPUTED_VALUE"""),"george.korizis@pwc.com")</f>
        <v>george.korizis@pwc.com</v>
      </c>
      <c r="P232" s="3" t="str">
        <f>IFERROR(__xludf.DUMMYFUNCTION("""COMPUTED_VALUE"""),"No")</f>
        <v>No</v>
      </c>
      <c r="Q232" s="3" t="b">
        <f>IFERROR(__xludf.DUMMYFUNCTION("""COMPUTED_VALUE"""),FALSE)</f>
        <v>0</v>
      </c>
      <c r="R232" s="3"/>
      <c r="S232" s="3"/>
      <c r="T232" s="3" t="b">
        <f>IFERROR(__xludf.DUMMYFUNCTION("""COMPUTED_VALUE"""),FALSE)</f>
        <v>0</v>
      </c>
      <c r="U232" s="3" t="b">
        <f>IFERROR(__xludf.DUMMYFUNCTION("""COMPUTED_VALUE"""),TRUE)</f>
        <v>1</v>
      </c>
      <c r="V232" s="3" t="b">
        <f>IFERROR(__xludf.DUMMYFUNCTION("""COMPUTED_VALUE"""),FALSE)</f>
        <v>0</v>
      </c>
      <c r="W232" s="3" t="str">
        <f>IFERROR(__xludf.DUMMYFUNCTION("""COMPUTED_VALUE"""),"Delivery")</f>
        <v>Delivery</v>
      </c>
      <c r="X232" s="3"/>
      <c r="Y232" s="3"/>
      <c r="Z232" s="3" t="str">
        <f>IFERROR(__xludf.DUMMYFUNCTION("""COMPUTED_VALUE"""),"Commercial / CRM Transformation - CM &amp; IPS &amp; HIA")</f>
        <v>Commercial / CRM Transformation - CM &amp; IPS &amp; HIA</v>
      </c>
      <c r="AA232" s="3" t="b">
        <f>IFERROR(__xludf.DUMMYFUNCTION("""COMPUTED_VALUE"""),TRUE)</f>
        <v>1</v>
      </c>
    </row>
    <row r="233">
      <c r="A233" s="11">
        <f>IFERROR(__xludf.DUMMYFUNCTION("""COMPUTED_VALUE"""),1.00690774E8)</f>
        <v>100690774</v>
      </c>
      <c r="B233" s="3" t="str">
        <f>IFERROR(__xludf.DUMMYFUNCTION("""COMPUTED_VALUE"""),"George Korizis")</f>
        <v>George Korizis</v>
      </c>
      <c r="C233" s="3" t="str">
        <f>IFERROR(__xludf.DUMMYFUNCTION("""COMPUTED_VALUE"""),"George  Korizis")</f>
        <v>George  Korizis</v>
      </c>
      <c r="D233" s="3" t="str">
        <f>IFERROR(__xludf.DUMMYFUNCTION("""COMPUTED_VALUE"""),"Korizis, George")</f>
        <v>Korizis, George</v>
      </c>
      <c r="E233" s="3" t="str">
        <f>IFERROR(__xludf.DUMMYFUNCTION("""COMPUTED_VALUE"""),"Active")</f>
        <v>Active</v>
      </c>
      <c r="F233" s="3" t="str">
        <f>IFERROR(__xludf.DUMMYFUNCTION("""COMPUTED_VALUE"""),"george.korizis@pwc.com")</f>
        <v>george.korizis@pwc.com</v>
      </c>
      <c r="G233" s="3" t="str">
        <f>IFERROR(__xludf.DUMMYFUNCTION("""COMPUTED_VALUE"""),"Customer")</f>
        <v>Customer</v>
      </c>
      <c r="H233" s="3" t="str">
        <f>IFERROR(__xludf.DUMMYFUNCTION("""COMPUTED_VALUE"""),"Banking and Capital Markets")</f>
        <v>Banking and Capital Markets</v>
      </c>
      <c r="I233" s="3" t="str">
        <f>IFERROR(__xludf.DUMMYFUNCTION("""COMPUTED_VALUE"""),"Customer - Customer Strategy &amp; Experience")</f>
        <v>Customer - Customer Strategy &amp; Experience</v>
      </c>
      <c r="J233" s="3" t="str">
        <f>IFERROR(__xludf.DUMMYFUNCTION("""COMPUTED_VALUE"""),"Partner")</f>
        <v>Partner</v>
      </c>
      <c r="K233" s="12">
        <f>IFERROR(__xludf.DUMMYFUNCTION("""COMPUTED_VALUE"""),43361.0)</f>
        <v>43361</v>
      </c>
      <c r="L233" s="3" t="str">
        <f>IFERROR(__xludf.DUMMYFUNCTION("""COMPUTED_VALUE"""),"Charlotte")</f>
        <v>Charlotte</v>
      </c>
      <c r="M233" s="3" t="str">
        <f>IFERROR(__xludf.DUMMYFUNCTION("""COMPUTED_VALUE"""),"Charlotte - 214 North Tryon Street")</f>
        <v>Charlotte - 214 North Tryon Street</v>
      </c>
      <c r="N233" s="3" t="b">
        <f>IFERROR(__xludf.DUMMYFUNCTION("""COMPUTED_VALUE"""),TRUE)</f>
        <v>1</v>
      </c>
      <c r="O233" s="3" t="str">
        <f>IFERROR(__xludf.DUMMYFUNCTION("""COMPUTED_VALUE"""),"mike.connolly@pwc.com")</f>
        <v>mike.connolly@pwc.com</v>
      </c>
      <c r="P233" s="3" t="str">
        <f>IFERROR(__xludf.DUMMYFUNCTION("""COMPUTED_VALUE"""),"No")</f>
        <v>No</v>
      </c>
      <c r="Q233" s="3" t="b">
        <f>IFERROR(__xludf.DUMMYFUNCTION("""COMPUTED_VALUE"""),TRUE)</f>
        <v>1</v>
      </c>
      <c r="R233" s="3"/>
      <c r="S233" s="3"/>
      <c r="T233" s="3" t="b">
        <f>IFERROR(__xludf.DUMMYFUNCTION("""COMPUTED_VALUE"""),TRUE)</f>
        <v>1</v>
      </c>
      <c r="U233" s="3" t="b">
        <f>IFERROR(__xludf.DUMMYFUNCTION("""COMPUTED_VALUE"""),FALSE)</f>
        <v>0</v>
      </c>
      <c r="V233" s="3" t="b">
        <f>IFERROR(__xludf.DUMMYFUNCTION("""COMPUTED_VALUE"""),FALSE)</f>
        <v>0</v>
      </c>
      <c r="W233" s="3" t="str">
        <f>IFERROR(__xludf.DUMMYFUNCTION("""COMPUTED_VALUE"""),"LCP")</f>
        <v>LCP</v>
      </c>
      <c r="X233" s="3"/>
      <c r="Y233" s="3" t="str">
        <f>IFERROR(__xludf.DUMMYFUNCTION("""COMPUTED_VALUE"""),"GEP - Low")</f>
        <v>GEP - Low</v>
      </c>
      <c r="Z233" s="3" t="str">
        <f>IFERROR(__xludf.DUMMYFUNCTION("""COMPUTED_VALUE"""),"Commercial / CRM Transformation - FS &amp; TMT")</f>
        <v>Commercial / CRM Transformation - FS &amp; TMT</v>
      </c>
      <c r="AA233" s="3" t="b">
        <f>IFERROR(__xludf.DUMMYFUNCTION("""COMPUTED_VALUE"""),TRUE)</f>
        <v>1</v>
      </c>
    </row>
    <row r="234">
      <c r="A234" s="3">
        <f>IFERROR(__xludf.DUMMYFUNCTION("""COMPUTED_VALUE"""),1.00640331E8)</f>
        <v>100640331</v>
      </c>
      <c r="B234" s="3" t="str">
        <f>IFERROR(__xludf.DUMMYFUNCTION("""COMPUTED_VALUE"""),"George Mansour")</f>
        <v>George Mansour</v>
      </c>
      <c r="C234" s="3" t="str">
        <f>IFERROR(__xludf.DUMMYFUNCTION("""COMPUTED_VALUE"""),"George  Mansour")</f>
        <v>George  Mansour</v>
      </c>
      <c r="D234" s="3" t="str">
        <f>IFERROR(__xludf.DUMMYFUNCTION("""COMPUTED_VALUE"""),"Mansour, George")</f>
        <v>Mansour, George</v>
      </c>
      <c r="E234" s="3" t="str">
        <f>IFERROR(__xludf.DUMMYFUNCTION("""COMPUTED_VALUE"""),"Active")</f>
        <v>Active</v>
      </c>
      <c r="F234" s="3" t="str">
        <f>IFERROR(__xludf.DUMMYFUNCTION("""COMPUTED_VALUE"""),"george.mansour@pwc.com")</f>
        <v>george.mansour@pwc.com</v>
      </c>
      <c r="G234" s="3" t="str">
        <f>IFERROR(__xludf.DUMMYFUNCTION("""COMPUTED_VALUE"""),"Health")</f>
        <v>Health</v>
      </c>
      <c r="H234" s="3" t="str">
        <f>IFERROR(__xludf.DUMMYFUNCTION("""COMPUTED_VALUE"""),"Health Services")</f>
        <v>Health Services</v>
      </c>
      <c r="I234" s="3" t="str">
        <f>IFERROR(__xludf.DUMMYFUNCTION("""COMPUTED_VALUE"""),"Health - Payer Government Programs")</f>
        <v>Health - Payer Government Programs</v>
      </c>
      <c r="J234" s="3" t="str">
        <f>IFERROR(__xludf.DUMMYFUNCTION("""COMPUTED_VALUE"""),"Partner")</f>
        <v>Partner</v>
      </c>
      <c r="K234" s="12">
        <f>IFERROR(__xludf.DUMMYFUNCTION("""COMPUTED_VALUE"""),40000.0)</f>
        <v>40000</v>
      </c>
      <c r="L234" s="3" t="str">
        <f>IFERROR(__xludf.DUMMYFUNCTION("""COMPUTED_VALUE"""),"Chicago")</f>
        <v>Chicago</v>
      </c>
      <c r="M234" s="3" t="str">
        <f>IFERROR(__xludf.DUMMYFUNCTION("""COMPUTED_VALUE"""),"Chicago - One North Wacker Drive")</f>
        <v>Chicago - One North Wacker Drive</v>
      </c>
      <c r="N234" s="3" t="b">
        <f>IFERROR(__xludf.DUMMYFUNCTION("""COMPUTED_VALUE"""),FALSE)</f>
        <v>0</v>
      </c>
      <c r="O234" s="3" t="str">
        <f>IFERROR(__xludf.DUMMYFUNCTION("""COMPUTED_VALUE"""),"craig.e.gooch@pwc.com")</f>
        <v>craig.e.gooch@pwc.com</v>
      </c>
      <c r="P234" s="3" t="str">
        <f>IFERROR(__xludf.DUMMYFUNCTION("""COMPUTED_VALUE"""),"No")</f>
        <v>No</v>
      </c>
      <c r="Q234" s="3" t="b">
        <f>IFERROR(__xludf.DUMMYFUNCTION("""COMPUTED_VALUE"""),TRUE)</f>
        <v>1</v>
      </c>
      <c r="R234" s="3" t="str">
        <f>IFERROR(__xludf.DUMMYFUNCTION("""COMPUTED_VALUE"""),"LCP High")</f>
        <v>LCP High</v>
      </c>
      <c r="S234" s="3"/>
      <c r="T234" s="3" t="b">
        <f>IFERROR(__xludf.DUMMYFUNCTION("""COMPUTED_VALUE"""),FALSE)</f>
        <v>0</v>
      </c>
      <c r="U234" s="3" t="b">
        <f>IFERROR(__xludf.DUMMYFUNCTION("""COMPUTED_VALUE"""),FALSE)</f>
        <v>0</v>
      </c>
      <c r="V234" s="3" t="b">
        <f>IFERROR(__xludf.DUMMYFUNCTION("""COMPUTED_VALUE"""),FALSE)</f>
        <v>0</v>
      </c>
      <c r="W234" s="3" t="str">
        <f>IFERROR(__xludf.DUMMYFUNCTION("""COMPUTED_VALUE"""),"LCP")</f>
        <v>LCP</v>
      </c>
      <c r="X234" s="3"/>
      <c r="Y234" s="3" t="str">
        <f>IFERROR(__xludf.DUMMYFUNCTION("""COMPUTED_VALUE"""),"GEP - High")</f>
        <v>GEP - High</v>
      </c>
      <c r="Z234" s="3" t="str">
        <f>IFERROR(__xludf.DUMMYFUNCTION("""COMPUTED_VALUE"""),"Payer Transformation")</f>
        <v>Payer Transformation</v>
      </c>
      <c r="AA234" s="3" t="b">
        <f>IFERROR(__xludf.DUMMYFUNCTION("""COMPUTED_VALUE"""),FALSE)</f>
        <v>0</v>
      </c>
    </row>
    <row r="235">
      <c r="A235" s="11">
        <f>IFERROR(__xludf.DUMMYFUNCTION("""COMPUTED_VALUE"""),1.0064547E8)</f>
        <v>100645470</v>
      </c>
      <c r="B235" s="3" t="str">
        <f>IFERROR(__xludf.DUMMYFUNCTION("""COMPUTED_VALUE"""),"Gerard Duffy")</f>
        <v>Gerard Duffy</v>
      </c>
      <c r="C235" s="3" t="str">
        <f>IFERROR(__xludf.DUMMYFUNCTION("""COMPUTED_VALUE"""),"Gerard Michael Duffy")</f>
        <v>Gerard Michael Duffy</v>
      </c>
      <c r="D235" s="3" t="str">
        <f>IFERROR(__xludf.DUMMYFUNCTION("""COMPUTED_VALUE"""),"Duffy, Gerard Michael")</f>
        <v>Duffy, Gerard Michael</v>
      </c>
      <c r="E235" s="3" t="str">
        <f>IFERROR(__xludf.DUMMYFUNCTION("""COMPUTED_VALUE"""),"Active")</f>
        <v>Active</v>
      </c>
      <c r="F235" s="3" t="str">
        <f>IFERROR(__xludf.DUMMYFUNCTION("""COMPUTED_VALUE"""),"gerard.m.duffy@pwc.com")</f>
        <v>gerard.m.duffy@pwc.com</v>
      </c>
      <c r="G235" s="3" t="str">
        <f>IFERROR(__xludf.DUMMYFUNCTION("""COMPUTED_VALUE"""),"FS")</f>
        <v>FS</v>
      </c>
      <c r="H235" s="3" t="str">
        <f>IFERROR(__xludf.DUMMYFUNCTION("""COMPUTED_VALUE"""),"Banking and Capital Markets")</f>
        <v>Banking and Capital Markets</v>
      </c>
      <c r="I235" s="3" t="str">
        <f>IFERROR(__xludf.DUMMYFUNCTION("""COMPUTED_VALUE"""),"FS - Banking and Capital Markets")</f>
        <v>FS - Banking and Capital Markets</v>
      </c>
      <c r="J235" s="3" t="str">
        <f>IFERROR(__xludf.DUMMYFUNCTION("""COMPUTED_VALUE"""),"Partner")</f>
        <v>Partner</v>
      </c>
      <c r="K235" s="12">
        <f>IFERROR(__xludf.DUMMYFUNCTION("""COMPUTED_VALUE"""),40357.0)</f>
        <v>40357</v>
      </c>
      <c r="L235" s="3" t="str">
        <f>IFERROR(__xludf.DUMMYFUNCTION("""COMPUTED_VALUE"""),"Charlotte")</f>
        <v>Charlotte</v>
      </c>
      <c r="M235" s="3" t="str">
        <f>IFERROR(__xludf.DUMMYFUNCTION("""COMPUTED_VALUE"""),"Charlotte - 214 North Tryon Street")</f>
        <v>Charlotte - 214 North Tryon Street</v>
      </c>
      <c r="N235" s="3" t="b">
        <f>IFERROR(__xludf.DUMMYFUNCTION("""COMPUTED_VALUE"""),FALSE)</f>
        <v>0</v>
      </c>
      <c r="O235" s="3" t="str">
        <f>IFERROR(__xludf.DUMMYFUNCTION("""COMPUTED_VALUE"""),"alison.hoover@pwc.com")</f>
        <v>alison.hoover@pwc.com</v>
      </c>
      <c r="P235" s="3" t="str">
        <f>IFERROR(__xludf.DUMMYFUNCTION("""COMPUTED_VALUE"""),"No")</f>
        <v>No</v>
      </c>
      <c r="Q235" s="3" t="b">
        <f>IFERROR(__xludf.DUMMYFUNCTION("""COMPUTED_VALUE"""),FALSE)</f>
        <v>0</v>
      </c>
      <c r="R235" s="3"/>
      <c r="S235" s="3"/>
      <c r="T235" s="3" t="b">
        <f>IFERROR(__xludf.DUMMYFUNCTION("""COMPUTED_VALUE"""),FALSE)</f>
        <v>0</v>
      </c>
      <c r="U235" s="3" t="b">
        <f>IFERROR(__xludf.DUMMYFUNCTION("""COMPUTED_VALUE"""),TRUE)</f>
        <v>1</v>
      </c>
      <c r="V235" s="3" t="b">
        <f>IFERROR(__xludf.DUMMYFUNCTION("""COMPUTED_VALUE"""),FALSE)</f>
        <v>0</v>
      </c>
      <c r="W235" s="3" t="str">
        <f>IFERROR(__xludf.DUMMYFUNCTION("""COMPUTED_VALUE"""),"Delivery")</f>
        <v>Delivery</v>
      </c>
      <c r="X235" s="3"/>
      <c r="Y235" s="3"/>
      <c r="Z235" s="3" t="str">
        <f>IFERROR(__xludf.DUMMYFUNCTION("""COMPUTED_VALUE"""),"Capital Markets Transformation")</f>
        <v>Capital Markets Transformation</v>
      </c>
      <c r="AA235" s="3" t="b">
        <f>IFERROR(__xludf.DUMMYFUNCTION("""COMPUTED_VALUE"""),FALSE)</f>
        <v>0</v>
      </c>
    </row>
    <row r="236">
      <c r="A236" s="11">
        <f>IFERROR(__xludf.DUMMYFUNCTION("""COMPUTED_VALUE"""),1.00604296E8)</f>
        <v>100604296</v>
      </c>
      <c r="B236" s="3" t="str">
        <f>IFERROR(__xludf.DUMMYFUNCTION("""COMPUTED_VALUE"""),"Gina Klein")</f>
        <v>Gina Klein</v>
      </c>
      <c r="C236" s="3" t="str">
        <f>IFERROR(__xludf.DUMMYFUNCTION("""COMPUTED_VALUE"""),"Gina M Klein")</f>
        <v>Gina M Klein</v>
      </c>
      <c r="D236" s="3" t="str">
        <f>IFERROR(__xludf.DUMMYFUNCTION("""COMPUTED_VALUE"""),"Klein, Gina M")</f>
        <v>Klein, Gina M</v>
      </c>
      <c r="E236" s="3" t="str">
        <f>IFERROR(__xludf.DUMMYFUNCTION("""COMPUTED_VALUE"""),"Active")</f>
        <v>Active</v>
      </c>
      <c r="F236" s="3" t="str">
        <f>IFERROR(__xludf.DUMMYFUNCTION("""COMPUTED_VALUE"""),"gina.m.klein@pwc.com")</f>
        <v>gina.m.klein@pwc.com</v>
      </c>
      <c r="G236" s="3" t="str">
        <f>IFERROR(__xludf.DUMMYFUNCTION("""COMPUTED_VALUE"""),"Workforce")</f>
        <v>Workforce</v>
      </c>
      <c r="H236" s="3" t="str">
        <f>IFERROR(__xludf.DUMMYFUNCTION("""COMPUTED_VALUE"""),"Pharma and Life Sciences")</f>
        <v>Pharma and Life Sciences</v>
      </c>
      <c r="I236" s="3" t="str">
        <f>IFERROR(__xludf.DUMMYFUNCTION("""COMPUTED_VALUE"""),"Workforce - Rewards &amp; Well Being")</f>
        <v>Workforce - Rewards &amp; Well Being</v>
      </c>
      <c r="J236" s="3" t="str">
        <f>IFERROR(__xludf.DUMMYFUNCTION("""COMPUTED_VALUE"""),"Managing Director")</f>
        <v>Managing Director</v>
      </c>
      <c r="K236" s="12">
        <f>IFERROR(__xludf.DUMMYFUNCTION("""COMPUTED_VALUE"""),37172.0)</f>
        <v>37172</v>
      </c>
      <c r="L236" s="3" t="str">
        <f>IFERROR(__xludf.DUMMYFUNCTION("""COMPUTED_VALUE"""),"New York")</f>
        <v>New York</v>
      </c>
      <c r="M236" s="3" t="str">
        <f>IFERROR(__xludf.DUMMYFUNCTION("""COMPUTED_VALUE"""),"New York - 300 Madison Avenue")</f>
        <v>New York - 300 Madison Avenue</v>
      </c>
      <c r="N236" s="3" t="b">
        <f>IFERROR(__xludf.DUMMYFUNCTION("""COMPUTED_VALUE"""),FALSE)</f>
        <v>0</v>
      </c>
      <c r="O236" s="3" t="str">
        <f>IFERROR(__xludf.DUMMYFUNCTION("""COMPUTED_VALUE"""),"michael.boro@pwc.com")</f>
        <v>michael.boro@pwc.com</v>
      </c>
      <c r="P236" s="3" t="str">
        <f>IFERROR(__xludf.DUMMYFUNCTION("""COMPUTED_VALUE"""),"No")</f>
        <v>No</v>
      </c>
      <c r="Q236" s="3" t="b">
        <f>IFERROR(__xludf.DUMMYFUNCTION("""COMPUTED_VALUE"""),FALSE)</f>
        <v>0</v>
      </c>
      <c r="R236" s="3"/>
      <c r="S236" s="3"/>
      <c r="T236" s="3" t="b">
        <f>IFERROR(__xludf.DUMMYFUNCTION("""COMPUTED_VALUE"""),FALSE)</f>
        <v>0</v>
      </c>
      <c r="U236" s="3" t="b">
        <f>IFERROR(__xludf.DUMMYFUNCTION("""COMPUTED_VALUE"""),FALSE)</f>
        <v>0</v>
      </c>
      <c r="V236" s="3" t="b">
        <f>IFERROR(__xludf.DUMMYFUNCTION("""COMPUTED_VALUE"""),FALSE)</f>
        <v>0</v>
      </c>
      <c r="W236" s="3" t="str">
        <f>IFERROR(__xludf.DUMMYFUNCTION("""COMPUTED_VALUE"""),"#N/A")</f>
        <v>#N/A</v>
      </c>
      <c r="X236" s="3" t="str">
        <f>IFERROR(__xludf.DUMMYFUNCTION("""COMPUTED_VALUE"""),"#N/A")</f>
        <v>#N/A</v>
      </c>
      <c r="Y236" s="3" t="str">
        <f>IFERROR(__xludf.DUMMYFUNCTION("""COMPUTED_VALUE"""),"#N/A")</f>
        <v>#N/A</v>
      </c>
      <c r="Z236" s="3" t="str">
        <f>IFERROR(__xludf.DUMMYFUNCTION("""COMPUTED_VALUE"""),"Unknown")</f>
        <v>Unknown</v>
      </c>
      <c r="AA236" s="3" t="b">
        <f>IFERROR(__xludf.DUMMYFUNCTION("""COMPUTED_VALUE"""),FALSE)</f>
        <v>0</v>
      </c>
    </row>
    <row r="237">
      <c r="A237" s="11">
        <f>IFERROR(__xludf.DUMMYFUNCTION("""COMPUTED_VALUE"""),1.00619692E8)</f>
        <v>100619692</v>
      </c>
      <c r="B237" s="3" t="str">
        <f>IFERROR(__xludf.DUMMYFUNCTION("""COMPUTED_VALUE"""),"Ginger Pilgrim")</f>
        <v>Ginger Pilgrim</v>
      </c>
      <c r="C237" s="3" t="str">
        <f>IFERROR(__xludf.DUMMYFUNCTION("""COMPUTED_VALUE"""),"Ginger L Pilgrim")</f>
        <v>Ginger L Pilgrim</v>
      </c>
      <c r="D237" s="3" t="str">
        <f>IFERROR(__xludf.DUMMYFUNCTION("""COMPUTED_VALUE"""),"Pilgrim, Ginger L")</f>
        <v>Pilgrim, Ginger L</v>
      </c>
      <c r="E237" s="3" t="str">
        <f>IFERROR(__xludf.DUMMYFUNCTION("""COMPUTED_VALUE"""),"Active")</f>
        <v>Active</v>
      </c>
      <c r="F237" s="3" t="str">
        <f>IFERROR(__xludf.DUMMYFUNCTION("""COMPUTED_VALUE"""),"ginger.l.pilgrim@pwc.com")</f>
        <v>ginger.l.pilgrim@pwc.com</v>
      </c>
      <c r="G237" s="3" t="str">
        <f>IFERROR(__xludf.DUMMYFUNCTION("""COMPUTED_VALUE"""),"Health")</f>
        <v>Health</v>
      </c>
      <c r="H237" s="3" t="str">
        <f>IFERROR(__xludf.DUMMYFUNCTION("""COMPUTED_VALUE"""),"Health Services")</f>
        <v>Health Services</v>
      </c>
      <c r="I237" s="3" t="str">
        <f>IFERROR(__xludf.DUMMYFUNCTION("""COMPUTED_VALUE"""),"Health - Provider FFG")</f>
        <v>Health - Provider FFG</v>
      </c>
      <c r="J237" s="3" t="str">
        <f>IFERROR(__xludf.DUMMYFUNCTION("""COMPUTED_VALUE"""),"Partner")</f>
        <v>Partner</v>
      </c>
      <c r="K237" s="12">
        <f>IFERROR(__xludf.DUMMYFUNCTION("""COMPUTED_VALUE"""),38221.0)</f>
        <v>38221</v>
      </c>
      <c r="L237" s="3" t="str">
        <f>IFERROR(__xludf.DUMMYFUNCTION("""COMPUTED_VALUE"""),"Nashville")</f>
        <v>Nashville</v>
      </c>
      <c r="M237" s="3" t="str">
        <f>IFERROR(__xludf.DUMMYFUNCTION("""COMPUTED_VALUE"""),"Nashville - 150 3rd Avenue South")</f>
        <v>Nashville - 150 3rd Avenue South</v>
      </c>
      <c r="N237" s="3" t="b">
        <f>IFERROR(__xludf.DUMMYFUNCTION("""COMPUTED_VALUE"""),FALSE)</f>
        <v>0</v>
      </c>
      <c r="O237" s="3" t="str">
        <f>IFERROR(__xludf.DUMMYFUNCTION("""COMPUTED_VALUE"""),"craig.e.gooch@pwc.com")</f>
        <v>craig.e.gooch@pwc.com</v>
      </c>
      <c r="P237" s="3" t="str">
        <f>IFERROR(__xludf.DUMMYFUNCTION("""COMPUTED_VALUE"""),"No")</f>
        <v>No</v>
      </c>
      <c r="Q237" s="3" t="b">
        <f>IFERROR(__xludf.DUMMYFUNCTION("""COMPUTED_VALUE"""),FALSE)</f>
        <v>0</v>
      </c>
      <c r="R237" s="3"/>
      <c r="S237" s="3"/>
      <c r="T237" s="3" t="b">
        <f>IFERROR(__xludf.DUMMYFUNCTION("""COMPUTED_VALUE"""),TRUE)</f>
        <v>1</v>
      </c>
      <c r="U237" s="3" t="b">
        <f>IFERROR(__xludf.DUMMYFUNCTION("""COMPUTED_VALUE"""),FALSE)</f>
        <v>0</v>
      </c>
      <c r="V237" s="3" t="b">
        <f>IFERROR(__xludf.DUMMYFUNCTION("""COMPUTED_VALUE"""),FALSE)</f>
        <v>0</v>
      </c>
      <c r="W237" s="3" t="str">
        <f>IFERROR(__xludf.DUMMYFUNCTION("""COMPUTED_VALUE"""),"Delivery")</f>
        <v>Delivery</v>
      </c>
      <c r="X237" s="3" t="str">
        <f>IFERROR(__xludf.DUMMYFUNCTION("""COMPUTED_VALUE"""),"Investment")</f>
        <v>Investment</v>
      </c>
      <c r="Y237" s="3"/>
      <c r="Z237" s="3" t="str">
        <f>IFERROR(__xludf.DUMMYFUNCTION("""COMPUTED_VALUE"""),"Provider Transformation")</f>
        <v>Provider Transformation</v>
      </c>
      <c r="AA237" s="3" t="b">
        <f>IFERROR(__xludf.DUMMYFUNCTION("""COMPUTED_VALUE"""),FALSE)</f>
        <v>0</v>
      </c>
    </row>
    <row r="238">
      <c r="A238" s="11">
        <f>IFERROR(__xludf.DUMMYFUNCTION("""COMPUTED_VALUE"""),1.00625118E8)</f>
        <v>100625118</v>
      </c>
      <c r="B238" s="3" t="str">
        <f>IFERROR(__xludf.DUMMYFUNCTION("""COMPUTED_VALUE"""),"Giri Hosalli")</f>
        <v>Giri Hosalli</v>
      </c>
      <c r="C238" s="3" t="str">
        <f>IFERROR(__xludf.DUMMYFUNCTION("""COMPUTED_VALUE"""),"Giri  Hosalli")</f>
        <v>Giri  Hosalli</v>
      </c>
      <c r="D238" s="3" t="str">
        <f>IFERROR(__xludf.DUMMYFUNCTION("""COMPUTED_VALUE"""),"Hosalli, Giri")</f>
        <v>Hosalli, Giri</v>
      </c>
      <c r="E238" s="3" t="str">
        <f>IFERROR(__xludf.DUMMYFUNCTION("""COMPUTED_VALUE"""),"Active")</f>
        <v>Active</v>
      </c>
      <c r="F238" s="3" t="str">
        <f>IFERROR(__xludf.DUMMYFUNCTION("""COMPUTED_VALUE"""),"giri.hosalli@pwc.com")</f>
        <v>giri.hosalli@pwc.com</v>
      </c>
      <c r="G238" s="3" t="str">
        <f>IFERROR(__xludf.DUMMYFUNCTION("""COMPUTED_VALUE"""),"Deals Transformation")</f>
        <v>Deals Transformation</v>
      </c>
      <c r="H238" s="3" t="str">
        <f>IFERROR(__xludf.DUMMYFUNCTION("""COMPUTED_VALUE"""),"CM X-Sector")</f>
        <v>CM X-Sector</v>
      </c>
      <c r="I238" s="3" t="str">
        <f>IFERROR(__xludf.DUMMYFUNCTION("""COMPUTED_VALUE"""),"DDV - ISD (Integration, Separation, Divestitures)")</f>
        <v>DDV - ISD (Integration, Separation, Divestitures)</v>
      </c>
      <c r="J238" s="3" t="str">
        <f>IFERROR(__xludf.DUMMYFUNCTION("""COMPUTED_VALUE"""),"Partner")</f>
        <v>Partner</v>
      </c>
      <c r="K238" s="12">
        <f>IFERROR(__xludf.DUMMYFUNCTION("""COMPUTED_VALUE"""),38935.0)</f>
        <v>38935</v>
      </c>
      <c r="L238" s="3" t="str">
        <f>IFERROR(__xludf.DUMMYFUNCTION("""COMPUTED_VALUE"""),"Dallas")</f>
        <v>Dallas</v>
      </c>
      <c r="M238" s="3" t="str">
        <f>IFERROR(__xludf.DUMMYFUNCTION("""COMPUTED_VALUE"""),"Dallas - 2121 North Pearl Street")</f>
        <v>Dallas - 2121 North Pearl Street</v>
      </c>
      <c r="N238" s="3" t="b">
        <f>IFERROR(__xludf.DUMMYFUNCTION("""COMPUTED_VALUE"""),FALSE)</f>
        <v>0</v>
      </c>
      <c r="O238" s="3" t="str">
        <f>IFERROR(__xludf.DUMMYFUNCTION("""COMPUTED_VALUE"""),"derek.b.townsend@pwc.com")</f>
        <v>derek.b.townsend@pwc.com</v>
      </c>
      <c r="P238" s="3" t="str">
        <f>IFERROR(__xludf.DUMMYFUNCTION("""COMPUTED_VALUE"""),"No")</f>
        <v>No</v>
      </c>
      <c r="Q238" s="3" t="b">
        <f>IFERROR(__xludf.DUMMYFUNCTION("""COMPUTED_VALUE"""),FALSE)</f>
        <v>0</v>
      </c>
      <c r="R238" s="3"/>
      <c r="S238" s="3"/>
      <c r="T238" s="3" t="b">
        <f>IFERROR(__xludf.DUMMYFUNCTION("""COMPUTED_VALUE"""),FALSE)</f>
        <v>0</v>
      </c>
      <c r="U238" s="3" t="b">
        <f>IFERROR(__xludf.DUMMYFUNCTION("""COMPUTED_VALUE"""),TRUE)</f>
        <v>1</v>
      </c>
      <c r="V238" s="3" t="b">
        <f>IFERROR(__xludf.DUMMYFUNCTION("""COMPUTED_VALUE"""),FALSE)</f>
        <v>0</v>
      </c>
      <c r="W238" s="3" t="str">
        <f>IFERROR(__xludf.DUMMYFUNCTION("""COMPUTED_VALUE"""),"Delivery")</f>
        <v>Delivery</v>
      </c>
      <c r="X238" s="3"/>
      <c r="Y238" s="3"/>
      <c r="Z238" s="3" t="str">
        <f>IFERROR(__xludf.DUMMYFUNCTION("""COMPUTED_VALUE"""),"Corporate M&amp;A Transformation - CM")</f>
        <v>Corporate M&amp;A Transformation - CM</v>
      </c>
      <c r="AA238" s="3" t="b">
        <f>IFERROR(__xludf.DUMMYFUNCTION("""COMPUTED_VALUE"""),FALSE)</f>
        <v>0</v>
      </c>
    </row>
    <row r="239">
      <c r="A239" s="11">
        <f>IFERROR(__xludf.DUMMYFUNCTION("""COMPUTED_VALUE"""),1.00879751E8)</f>
        <v>100879751</v>
      </c>
      <c r="B239" s="3" t="str">
        <f>IFERROR(__xludf.DUMMYFUNCTION("""COMPUTED_VALUE"""),"Giri Rao")</f>
        <v>Giri Rao</v>
      </c>
      <c r="C239" s="3" t="str">
        <f>IFERROR(__xludf.DUMMYFUNCTION("""COMPUTED_VALUE"""),"Giridhar  Rao")</f>
        <v>Giridhar  Rao</v>
      </c>
      <c r="D239" s="3" t="str">
        <f>IFERROR(__xludf.DUMMYFUNCTION("""COMPUTED_VALUE"""),"Rao, Giridhar")</f>
        <v>Rao, Giridhar</v>
      </c>
      <c r="E239" s="3" t="str">
        <f>IFERROR(__xludf.DUMMYFUNCTION("""COMPUTED_VALUE"""),"Active")</f>
        <v>Active</v>
      </c>
      <c r="F239" s="3" t="str">
        <f>IFERROR(__xludf.DUMMYFUNCTION("""COMPUTED_VALUE"""),"giri.rao@pwc.com")</f>
        <v>giri.rao@pwc.com</v>
      </c>
      <c r="G239" s="3" t="str">
        <f>IFERROR(__xludf.DUMMYFUNCTION("""COMPUTED_VALUE"""),"ESV")</f>
        <v>ESV</v>
      </c>
      <c r="H239" s="3" t="str">
        <f>IFERROR(__xludf.DUMMYFUNCTION("""COMPUTED_VALUE"""),"Health Services")</f>
        <v>Health Services</v>
      </c>
      <c r="I239" s="3" t="str">
        <f>IFERROR(__xludf.DUMMYFUNCTION("""COMPUTED_VALUE"""),"ESV - Health Services")</f>
        <v>ESV - Health Services</v>
      </c>
      <c r="J239" s="3" t="str">
        <f>IFERROR(__xludf.DUMMYFUNCTION("""COMPUTED_VALUE"""),"Partner")</f>
        <v>Partner</v>
      </c>
      <c r="K239" s="12">
        <f>IFERROR(__xludf.DUMMYFUNCTION("""COMPUTED_VALUE"""),43515.0)</f>
        <v>43515</v>
      </c>
      <c r="L239" s="3" t="str">
        <f>IFERROR(__xludf.DUMMYFUNCTION("""COMPUTED_VALUE"""),"Florham Park")</f>
        <v>Florham Park</v>
      </c>
      <c r="M239" s="3" t="str">
        <f>IFERROR(__xludf.DUMMYFUNCTION("""COMPUTED_VALUE"""),"Florham Park - 400 Campus Drive")</f>
        <v>Florham Park - 400 Campus Drive</v>
      </c>
      <c r="N239" s="3" t="b">
        <f>IFERROR(__xludf.DUMMYFUNCTION("""COMPUTED_VALUE"""),FALSE)</f>
        <v>0</v>
      </c>
      <c r="O239" s="3" t="str">
        <f>IFERROR(__xludf.DUMMYFUNCTION("""COMPUTED_VALUE"""),"sundar.subramanian@pwc.com")</f>
        <v>sundar.subramanian@pwc.com</v>
      </c>
      <c r="P239" s="3" t="str">
        <f>IFERROR(__xludf.DUMMYFUNCTION("""COMPUTED_VALUE"""),"No")</f>
        <v>No</v>
      </c>
      <c r="Q239" s="3" t="b">
        <f>IFERROR(__xludf.DUMMYFUNCTION("""COMPUTED_VALUE"""),FALSE)</f>
        <v>0</v>
      </c>
      <c r="R239" s="3"/>
      <c r="S239" s="3"/>
      <c r="T239" s="3" t="b">
        <f>IFERROR(__xludf.DUMMYFUNCTION("""COMPUTED_VALUE"""),FALSE)</f>
        <v>0</v>
      </c>
      <c r="U239" s="3" t="b">
        <f>IFERROR(__xludf.DUMMYFUNCTION("""COMPUTED_VALUE"""),TRUE)</f>
        <v>1</v>
      </c>
      <c r="V239" s="3" t="b">
        <f>IFERROR(__xludf.DUMMYFUNCTION("""COMPUTED_VALUE"""),FALSE)</f>
        <v>0</v>
      </c>
      <c r="W239" s="3" t="str">
        <f>IFERROR(__xludf.DUMMYFUNCTION("""COMPUTED_VALUE"""),"Delivery")</f>
        <v>Delivery</v>
      </c>
      <c r="X239" s="3"/>
      <c r="Y239" s="3"/>
      <c r="Z239" s="3" t="str">
        <f>IFERROR(__xludf.DUMMYFUNCTION("""COMPUTED_VALUE"""),"Enterprise Digital Transformation - Health Services")</f>
        <v>Enterprise Digital Transformation - Health Services</v>
      </c>
      <c r="AA239" s="3" t="b">
        <f>IFERROR(__xludf.DUMMYFUNCTION("""COMPUTED_VALUE"""),FALSE)</f>
        <v>0</v>
      </c>
    </row>
    <row r="240">
      <c r="A240" s="11">
        <f>IFERROR(__xludf.DUMMYFUNCTION("""COMPUTED_VALUE"""),1.00584866E8)</f>
        <v>100584866</v>
      </c>
      <c r="B240" s="3" t="str">
        <f>IFERROR(__xludf.DUMMYFUNCTION("""COMPUTED_VALUE"""),"Glen Goldbach")</f>
        <v>Glen Goldbach</v>
      </c>
      <c r="C240" s="3" t="str">
        <f>IFERROR(__xludf.DUMMYFUNCTION("""COMPUTED_VALUE"""),"Glen E Goldbach")</f>
        <v>Glen E Goldbach</v>
      </c>
      <c r="D240" s="3" t="str">
        <f>IFERROR(__xludf.DUMMYFUNCTION("""COMPUTED_VALUE"""),"Goldbach, Glen E")</f>
        <v>Goldbach, Glen E</v>
      </c>
      <c r="E240" s="3" t="str">
        <f>IFERROR(__xludf.DUMMYFUNCTION("""COMPUTED_VALUE"""),"Active")</f>
        <v>Active</v>
      </c>
      <c r="F240" s="3" t="str">
        <f>IFERROR(__xludf.DUMMYFUNCTION("""COMPUTED_VALUE"""),"glen.goldbach@pwc.com")</f>
        <v>glen.goldbach@pwc.com</v>
      </c>
      <c r="G240" s="3" t="str">
        <f>IFERROR(__xludf.DUMMYFUNCTION("""COMPUTED_VALUE"""),"Deals Transformation")</f>
        <v>Deals Transformation</v>
      </c>
      <c r="H240" s="3" t="str">
        <f>IFERROR(__xludf.DUMMYFUNCTION("""COMPUTED_VALUE"""),"CM X-Sector")</f>
        <v>CM X-Sector</v>
      </c>
      <c r="I240" s="3" t="str">
        <f>IFERROR(__xludf.DUMMYFUNCTION("""COMPUTED_VALUE"""),"DDV - Operations")</f>
        <v>DDV - Operations</v>
      </c>
      <c r="J240" s="3" t="str">
        <f>IFERROR(__xludf.DUMMYFUNCTION("""COMPUTED_VALUE"""),"Partner")</f>
        <v>Partner</v>
      </c>
      <c r="K240" s="12">
        <f>IFERROR(__xludf.DUMMYFUNCTION("""COMPUTED_VALUE"""),35800.0)</f>
        <v>35800</v>
      </c>
      <c r="L240" s="3" t="str">
        <f>IFERROR(__xludf.DUMMYFUNCTION("""COMPUTED_VALUE"""),"Pittsburgh")</f>
        <v>Pittsburgh</v>
      </c>
      <c r="M240" s="3" t="str">
        <f>IFERROR(__xludf.DUMMYFUNCTION("""COMPUTED_VALUE"""),"Pittsburgh - 301 Grant St")</f>
        <v>Pittsburgh - 301 Grant St</v>
      </c>
      <c r="N240" s="3" t="b">
        <f>IFERROR(__xludf.DUMMYFUNCTION("""COMPUTED_VALUE"""),FALSE)</f>
        <v>0</v>
      </c>
      <c r="O240" s="3" t="str">
        <f>IFERROR(__xludf.DUMMYFUNCTION("""COMPUTED_VALUE"""),"derek.b.townsend@pwc.com")</f>
        <v>derek.b.townsend@pwc.com</v>
      </c>
      <c r="P240" s="3" t="str">
        <f>IFERROR(__xludf.DUMMYFUNCTION("""COMPUTED_VALUE"""),"No")</f>
        <v>No</v>
      </c>
      <c r="Q240" s="3" t="b">
        <f>IFERROR(__xludf.DUMMYFUNCTION("""COMPUTED_VALUE"""),FALSE)</f>
        <v>0</v>
      </c>
      <c r="R240" s="3"/>
      <c r="S240" s="3"/>
      <c r="T240" s="3" t="b">
        <f>IFERROR(__xludf.DUMMYFUNCTION("""COMPUTED_VALUE"""),FALSE)</f>
        <v>0</v>
      </c>
      <c r="U240" s="3" t="b">
        <f>IFERROR(__xludf.DUMMYFUNCTION("""COMPUTED_VALUE"""),TRUE)</f>
        <v>1</v>
      </c>
      <c r="V240" s="3" t="b">
        <f>IFERROR(__xludf.DUMMYFUNCTION("""COMPUTED_VALUE"""),FALSE)</f>
        <v>0</v>
      </c>
      <c r="W240" s="3" t="str">
        <f>IFERROR(__xludf.DUMMYFUNCTION("""COMPUTED_VALUE"""),"Delivery")</f>
        <v>Delivery</v>
      </c>
      <c r="X240" s="3"/>
      <c r="Y240" s="3"/>
      <c r="Z240" s="3" t="str">
        <f>IFERROR(__xludf.DUMMYFUNCTION("""COMPUTED_VALUE"""),"Corporate M&amp;A Transformation - CM")</f>
        <v>Corporate M&amp;A Transformation - CM</v>
      </c>
      <c r="AA240" s="3" t="b">
        <f>IFERROR(__xludf.DUMMYFUNCTION("""COMPUTED_VALUE"""),FALSE)</f>
        <v>0</v>
      </c>
    </row>
    <row r="241">
      <c r="A241" s="11">
        <f>IFERROR(__xludf.DUMMYFUNCTION("""COMPUTED_VALUE"""),1.00624527E8)</f>
        <v>100624527</v>
      </c>
      <c r="B241" s="3" t="str">
        <f>IFERROR(__xludf.DUMMYFUNCTION("""COMPUTED_VALUE"""),"Grace Vogel")</f>
        <v>Grace Vogel</v>
      </c>
      <c r="C241" s="3" t="str">
        <f>IFERROR(__xludf.DUMMYFUNCTION("""COMPUTED_VALUE"""),"Grace Barkus Vogel")</f>
        <v>Grace Barkus Vogel</v>
      </c>
      <c r="D241" s="3" t="str">
        <f>IFERROR(__xludf.DUMMYFUNCTION("""COMPUTED_VALUE"""),"Vogel, Grace Barkus")</f>
        <v>Vogel, Grace Barkus</v>
      </c>
      <c r="E241" s="3" t="str">
        <f>IFERROR(__xludf.DUMMYFUNCTION("""COMPUTED_VALUE"""),"Active")</f>
        <v>Active</v>
      </c>
      <c r="F241" s="3" t="str">
        <f>IFERROR(__xludf.DUMMYFUNCTION("""COMPUTED_VALUE"""),"grace.b.vogel@pwc.com")</f>
        <v>grace.b.vogel@pwc.com</v>
      </c>
      <c r="G241" s="3" t="str">
        <f>IFERROR(__xludf.DUMMYFUNCTION("""COMPUTED_VALUE"""),"FS")</f>
        <v>FS</v>
      </c>
      <c r="H241" s="3" t="str">
        <f>IFERROR(__xludf.DUMMYFUNCTION("""COMPUTED_VALUE"""),"Banking and Capital Markets")</f>
        <v>Banking and Capital Markets</v>
      </c>
      <c r="I241" s="3" t="str">
        <f>IFERROR(__xludf.DUMMYFUNCTION("""COMPUTED_VALUE"""),"FS - Banking and Capital Markets")</f>
        <v>FS - Banking and Capital Markets</v>
      </c>
      <c r="J241" s="3" t="str">
        <f>IFERROR(__xludf.DUMMYFUNCTION("""COMPUTED_VALUE"""),"Managing Director")</f>
        <v>Managing Director</v>
      </c>
      <c r="K241" s="12">
        <f>IFERROR(__xludf.DUMMYFUNCTION("""COMPUTED_VALUE"""),41792.0)</f>
        <v>41792</v>
      </c>
      <c r="L241" s="3" t="str">
        <f>IFERROR(__xludf.DUMMYFUNCTION("""COMPUTED_VALUE"""),"New York")</f>
        <v>New York</v>
      </c>
      <c r="M241" s="3" t="str">
        <f>IFERROR(__xludf.DUMMYFUNCTION("""COMPUTED_VALUE"""),"New York - 300 Madison Avenue")</f>
        <v>New York - 300 Madison Avenue</v>
      </c>
      <c r="N241" s="3" t="b">
        <f>IFERROR(__xludf.DUMMYFUNCTION("""COMPUTED_VALUE"""),FALSE)</f>
        <v>0</v>
      </c>
      <c r="O241" s="3" t="str">
        <f>IFERROR(__xludf.DUMMYFUNCTION("""COMPUTED_VALUE"""),"christopher.v.scarpati@pwc.com")</f>
        <v>christopher.v.scarpati@pwc.com</v>
      </c>
      <c r="P241" s="3" t="str">
        <f>IFERROR(__xludf.DUMMYFUNCTION("""COMPUTED_VALUE"""),"No")</f>
        <v>No</v>
      </c>
      <c r="Q241" s="3" t="b">
        <f>IFERROR(__xludf.DUMMYFUNCTION("""COMPUTED_VALUE"""),FALSE)</f>
        <v>0</v>
      </c>
      <c r="R241" s="3"/>
      <c r="S241" s="3"/>
      <c r="T241" s="3" t="b">
        <f>IFERROR(__xludf.DUMMYFUNCTION("""COMPUTED_VALUE"""),FALSE)</f>
        <v>0</v>
      </c>
      <c r="U241" s="3" t="b">
        <f>IFERROR(__xludf.DUMMYFUNCTION("""COMPUTED_VALUE"""),TRUE)</f>
        <v>1</v>
      </c>
      <c r="V241" s="3" t="b">
        <f>IFERROR(__xludf.DUMMYFUNCTION("""COMPUTED_VALUE"""),FALSE)</f>
        <v>0</v>
      </c>
      <c r="W241" s="3" t="str">
        <f>IFERROR(__xludf.DUMMYFUNCTION("""COMPUTED_VALUE"""),"Delivery")</f>
        <v>Delivery</v>
      </c>
      <c r="X241" s="3"/>
      <c r="Y241" s="3"/>
      <c r="Z241" s="3" t="str">
        <f>IFERROR(__xludf.DUMMYFUNCTION("""COMPUTED_VALUE"""),"Capital Markets Transformation")</f>
        <v>Capital Markets Transformation</v>
      </c>
      <c r="AA241" s="3" t="b">
        <f>IFERROR(__xludf.DUMMYFUNCTION("""COMPUTED_VALUE"""),FALSE)</f>
        <v>0</v>
      </c>
    </row>
    <row r="242">
      <c r="A242" s="11">
        <f>IFERROR(__xludf.DUMMYFUNCTION("""COMPUTED_VALUE"""),1.01230884E8)</f>
        <v>101230884</v>
      </c>
      <c r="B242" s="3" t="str">
        <f>IFERROR(__xludf.DUMMYFUNCTION("""COMPUTED_VALUE"""),"Graegar Smith")</f>
        <v>Graegar Smith</v>
      </c>
      <c r="C242" s="3" t="str">
        <f>IFERROR(__xludf.DUMMYFUNCTION("""COMPUTED_VALUE"""),"Unknown")</f>
        <v>Unknown</v>
      </c>
      <c r="D242" s="3" t="str">
        <f>IFERROR(__xludf.DUMMYFUNCTION("""COMPUTED_VALUE"""),"Unknown")</f>
        <v>Unknown</v>
      </c>
      <c r="E242" s="3" t="str">
        <f>IFERROR(__xludf.DUMMYFUNCTION("""COMPUTED_VALUE"""),"Active")</f>
        <v>Active</v>
      </c>
      <c r="F242" s="3" t="str">
        <f>IFERROR(__xludf.DUMMYFUNCTION("""COMPUTED_VALUE"""),"graegar.smith@pwc.com")</f>
        <v>graegar.smith@pwc.com</v>
      </c>
      <c r="G242" s="3" t="str">
        <f>IFERROR(__xludf.DUMMYFUNCTION("""COMPUTED_VALUE"""),"ESV")</f>
        <v>ESV</v>
      </c>
      <c r="H242" s="3" t="str">
        <f>IFERROR(__xludf.DUMMYFUNCTION("""COMPUTED_VALUE"""),"IMA X-Sector")</f>
        <v>IMA X-Sector</v>
      </c>
      <c r="I242" s="3" t="str">
        <f>IFERROR(__xludf.DUMMYFUNCTION("""COMPUTED_VALUE"""),"ESV - IPS")</f>
        <v>ESV - IPS</v>
      </c>
      <c r="J242" s="3" t="str">
        <f>IFERROR(__xludf.DUMMYFUNCTION("""COMPUTED_VALUE"""),"Partner")</f>
        <v>Partner</v>
      </c>
      <c r="K242" s="12">
        <f>IFERROR(__xludf.DUMMYFUNCTION("""COMPUTED_VALUE"""),44676.0)</f>
        <v>44676</v>
      </c>
      <c r="L242" s="3" t="str">
        <f>IFERROR(__xludf.DUMMYFUNCTION("""COMPUTED_VALUE"""),"Chicago")</f>
        <v>Chicago</v>
      </c>
      <c r="M242" s="3" t="str">
        <f>IFERROR(__xludf.DUMMYFUNCTION("""COMPUTED_VALUE"""),"#N/A")</f>
        <v>#N/A</v>
      </c>
      <c r="N242" s="3" t="str">
        <f>IFERROR(__xludf.DUMMYFUNCTION("""COMPUTED_VALUE"""),"Unknown")</f>
        <v>Unknown</v>
      </c>
      <c r="O242" s="3" t="str">
        <f>IFERROR(__xludf.DUMMYFUNCTION("""COMPUTED_VALUE"""),"Unknown")</f>
        <v>Unknown</v>
      </c>
      <c r="P242" s="3" t="str">
        <f>IFERROR(__xludf.DUMMYFUNCTION("""COMPUTED_VALUE"""),"FY22")</f>
        <v>FY22</v>
      </c>
      <c r="Q242" s="3" t="str">
        <f>IFERROR(__xludf.DUMMYFUNCTION("""COMPUTED_VALUE"""),"Unknown")</f>
        <v>Unknown</v>
      </c>
      <c r="R242" s="3" t="str">
        <f>IFERROR(__xludf.DUMMYFUNCTION("""COMPUTED_VALUE"""),"Unknown")</f>
        <v>Unknown</v>
      </c>
      <c r="S242" s="3" t="str">
        <f>IFERROR(__xludf.DUMMYFUNCTION("""COMPUTED_VALUE"""),"Unknown")</f>
        <v>Unknown</v>
      </c>
      <c r="T242" s="3" t="str">
        <f>IFERROR(__xludf.DUMMYFUNCTION("""COMPUTED_VALUE"""),"Unknown")</f>
        <v>Unknown</v>
      </c>
      <c r="U242" s="3" t="b">
        <f>IFERROR(__xludf.DUMMYFUNCTION("""COMPUTED_VALUE"""),TRUE)</f>
        <v>1</v>
      </c>
      <c r="V242" s="3" t="str">
        <f>IFERROR(__xludf.DUMMYFUNCTION("""COMPUTED_VALUE"""),"Unknown")</f>
        <v>Unknown</v>
      </c>
      <c r="W242" s="3" t="str">
        <f>IFERROR(__xludf.DUMMYFUNCTION("""COMPUTED_VALUE"""),"Catalyst")</f>
        <v>Catalyst</v>
      </c>
      <c r="X242" s="3" t="str">
        <f>IFERROR(__xludf.DUMMYFUNCTION("""COMPUTED_VALUE"""),"Unknown")</f>
        <v>Unknown</v>
      </c>
      <c r="Y242" s="3" t="str">
        <f>IFERROR(__xludf.DUMMYFUNCTION("""COMPUTED_VALUE"""),"FY22")</f>
        <v>FY22</v>
      </c>
      <c r="Z242" s="3" t="str">
        <f>IFERROR(__xludf.DUMMYFUNCTION("""COMPUTED_VALUE"""),"#N/A")</f>
        <v>#N/A</v>
      </c>
      <c r="AA242" s="3" t="b">
        <f>IFERROR(__xludf.DUMMYFUNCTION("""COMPUTED_VALUE"""),FALSE)</f>
        <v>0</v>
      </c>
    </row>
    <row r="243">
      <c r="A243" s="11">
        <f>IFERROR(__xludf.DUMMYFUNCTION("""COMPUTED_VALUE"""),1.01088654E8)</f>
        <v>101088654</v>
      </c>
      <c r="B243" s="3" t="str">
        <f>IFERROR(__xludf.DUMMYFUNCTION("""COMPUTED_VALUE"""),"Greg Anderson")</f>
        <v>Greg Anderson</v>
      </c>
      <c r="C243" s="3" t="str">
        <f>IFERROR(__xludf.DUMMYFUNCTION("""COMPUTED_VALUE"""),"Gregory Emil Anderson")</f>
        <v>Gregory Emil Anderson</v>
      </c>
      <c r="D243" s="3" t="str">
        <f>IFERROR(__xludf.DUMMYFUNCTION("""COMPUTED_VALUE"""),"Anderson, Gregory Emil")</f>
        <v>Anderson, Gregory Emil</v>
      </c>
      <c r="E243" s="3" t="str">
        <f>IFERROR(__xludf.DUMMYFUNCTION("""COMPUTED_VALUE"""),"Active")</f>
        <v>Active</v>
      </c>
      <c r="F243" s="3" t="str">
        <f>IFERROR(__xludf.DUMMYFUNCTION("""COMPUTED_VALUE"""),"greg.e.anderson@pwc.com")</f>
        <v>greg.e.anderson@pwc.com</v>
      </c>
      <c r="G243" s="3" t="str">
        <f>IFERROR(__xludf.DUMMYFUNCTION("""COMPUTED_VALUE"""),"Health")</f>
        <v>Health</v>
      </c>
      <c r="H243" s="3" t="str">
        <f>IFERROR(__xludf.DUMMYFUNCTION("""COMPUTED_VALUE"""),"Health Services")</f>
        <v>Health Services</v>
      </c>
      <c r="I243" s="3" t="str">
        <f>IFERROR(__xludf.DUMMYFUNCTION("""COMPUTED_VALUE"""),"Health - Payer CO&amp;I")</f>
        <v>Health - Payer CO&amp;I</v>
      </c>
      <c r="J243" s="3" t="str">
        <f>IFERROR(__xludf.DUMMYFUNCTION("""COMPUTED_VALUE"""),"Managing Director (Job Vacate:06/10/2022)")</f>
        <v>Managing Director (Job Vacate:06/10/2022)</v>
      </c>
      <c r="K243" s="12">
        <f>IFERROR(__xludf.DUMMYFUNCTION("""COMPUTED_VALUE"""),44354.0)</f>
        <v>44354</v>
      </c>
      <c r="L243" s="3" t="str">
        <f>IFERROR(__xludf.DUMMYFUNCTION("""COMPUTED_VALUE"""),"Denver")</f>
        <v>Denver</v>
      </c>
      <c r="M243" s="3" t="str">
        <f>IFERROR(__xludf.DUMMYFUNCTION("""COMPUTED_VALUE"""),"Denver - 1900 Sixteenth Street")</f>
        <v>Denver - 1900 Sixteenth Street</v>
      </c>
      <c r="N243" s="3" t="b">
        <f>IFERROR(__xludf.DUMMYFUNCTION("""COMPUTED_VALUE"""),FALSE)</f>
        <v>0</v>
      </c>
      <c r="O243" s="3" t="str">
        <f>IFERROR(__xludf.DUMMYFUNCTION("""COMPUTED_VALUE"""),"thom.bales@pwc.com")</f>
        <v>thom.bales@pwc.com</v>
      </c>
      <c r="P243" s="3" t="str">
        <f>IFERROR(__xludf.DUMMYFUNCTION("""COMPUTED_VALUE"""),"FY21 2nd Half")</f>
        <v>FY21 2nd Half</v>
      </c>
      <c r="Q243" s="3" t="b">
        <f>IFERROR(__xludf.DUMMYFUNCTION("""COMPUTED_VALUE"""),FALSE)</f>
        <v>0</v>
      </c>
      <c r="R243" s="3"/>
      <c r="S243" s="3"/>
      <c r="T243" s="3" t="b">
        <f>IFERROR(__xludf.DUMMYFUNCTION("""COMPUTED_VALUE"""),FALSE)</f>
        <v>0</v>
      </c>
      <c r="U243" s="3" t="b">
        <f>IFERROR(__xludf.DUMMYFUNCTION("""COMPUTED_VALUE"""),TRUE)</f>
        <v>1</v>
      </c>
      <c r="V243" s="3" t="b">
        <f>IFERROR(__xludf.DUMMYFUNCTION("""COMPUTED_VALUE"""),FALSE)</f>
        <v>0</v>
      </c>
      <c r="W243" s="3" t="str">
        <f>IFERROR(__xludf.DUMMYFUNCTION("""COMPUTED_VALUE"""),"Catalyst")</f>
        <v>Catalyst</v>
      </c>
      <c r="X243" s="3" t="str">
        <f>IFERROR(__xludf.DUMMYFUNCTION("""COMPUTED_VALUE"""),"Last day May 16th")</f>
        <v>Last day May 16th</v>
      </c>
      <c r="Y243" s="3" t="str">
        <f>IFERROR(__xludf.DUMMYFUNCTION("""COMPUTED_VALUE"""),"FY21 2nd Half")</f>
        <v>FY21 2nd Half</v>
      </c>
      <c r="Z243" s="3" t="str">
        <f>IFERROR(__xludf.DUMMYFUNCTION("""COMPUTED_VALUE"""),"Payer Transformation")</f>
        <v>Payer Transformation</v>
      </c>
      <c r="AA243" s="3" t="b">
        <f>IFERROR(__xludf.DUMMYFUNCTION("""COMPUTED_VALUE"""),FALSE)</f>
        <v>0</v>
      </c>
    </row>
    <row r="244">
      <c r="A244" s="11">
        <f>IFERROR(__xludf.DUMMYFUNCTION("""COMPUTED_VALUE"""),1.00611284E8)</f>
        <v>100611284</v>
      </c>
      <c r="B244" s="3" t="str">
        <f>IFERROR(__xludf.DUMMYFUNCTION("""COMPUTED_VALUE"""),"Greg Chiasson")</f>
        <v>Greg Chiasson</v>
      </c>
      <c r="C244" s="3" t="str">
        <f>IFERROR(__xludf.DUMMYFUNCTION("""COMPUTED_VALUE"""),"Gregory M Chiasson")</f>
        <v>Gregory M Chiasson</v>
      </c>
      <c r="D244" s="3" t="str">
        <f>IFERROR(__xludf.DUMMYFUNCTION("""COMPUTED_VALUE"""),"Chiasson, Gregory M")</f>
        <v>Chiasson, Gregory M</v>
      </c>
      <c r="E244" s="3" t="str">
        <f>IFERROR(__xludf.DUMMYFUNCTION("""COMPUTED_VALUE"""),"Active")</f>
        <v>Active</v>
      </c>
      <c r="F244" s="3" t="str">
        <f>IFERROR(__xludf.DUMMYFUNCTION("""COMPUTED_VALUE"""),"greg.chiasson@pwc.com")</f>
        <v>greg.chiasson@pwc.com</v>
      </c>
      <c r="G244" s="3" t="str">
        <f>IFERROR(__xludf.DUMMYFUNCTION("""COMPUTED_VALUE"""),"Ops")</f>
        <v>Ops</v>
      </c>
      <c r="H244" s="3" t="str">
        <f>IFERROR(__xludf.DUMMYFUNCTION("""COMPUTED_VALUE"""),"TMT X-Sector")</f>
        <v>TMT X-Sector</v>
      </c>
      <c r="I244" s="3" t="str">
        <f>IFERROR(__xludf.DUMMYFUNCTION("""COMPUTED_VALUE"""),"Ops - Capital Project Excellence (CPE)")</f>
        <v>Ops - Capital Project Excellence (CPE)</v>
      </c>
      <c r="J244" s="3" t="str">
        <f>IFERROR(__xludf.DUMMYFUNCTION("""COMPUTED_VALUE"""),"Partner")</f>
        <v>Partner</v>
      </c>
      <c r="K244" s="12">
        <f>IFERROR(__xludf.DUMMYFUNCTION("""COMPUTED_VALUE"""),40777.0)</f>
        <v>40777</v>
      </c>
      <c r="L244" s="3" t="str">
        <f>IFERROR(__xludf.DUMMYFUNCTION("""COMPUTED_VALUE"""),"Chicago")</f>
        <v>Chicago</v>
      </c>
      <c r="M244" s="3" t="str">
        <f>IFERROR(__xludf.DUMMYFUNCTION("""COMPUTED_VALUE"""),"Chicago - One North Wacker Drive")</f>
        <v>Chicago - One North Wacker Drive</v>
      </c>
      <c r="N244" s="3" t="b">
        <f>IFERROR(__xludf.DUMMYFUNCTION("""COMPUTED_VALUE"""),FALSE)</f>
        <v>0</v>
      </c>
      <c r="O244" s="3" t="str">
        <f>IFERROR(__xludf.DUMMYFUNCTION("""COMPUTED_VALUE"""),"matthew.r.comte@pwc.com")</f>
        <v>matthew.r.comte@pwc.com</v>
      </c>
      <c r="P244" s="3" t="str">
        <f>IFERROR(__xludf.DUMMYFUNCTION("""COMPUTED_VALUE"""),"No")</f>
        <v>No</v>
      </c>
      <c r="Q244" s="3" t="b">
        <f>IFERROR(__xludf.DUMMYFUNCTION("""COMPUTED_VALUE"""),FALSE)</f>
        <v>0</v>
      </c>
      <c r="R244" s="3"/>
      <c r="S244" s="3"/>
      <c r="T244" s="3" t="b">
        <f>IFERROR(__xludf.DUMMYFUNCTION("""COMPUTED_VALUE"""),FALSE)</f>
        <v>0</v>
      </c>
      <c r="U244" s="3" t="b">
        <f>IFERROR(__xludf.DUMMYFUNCTION("""COMPUTED_VALUE"""),TRUE)</f>
        <v>1</v>
      </c>
      <c r="V244" s="3" t="b">
        <f>IFERROR(__xludf.DUMMYFUNCTION("""COMPUTED_VALUE"""),FALSE)</f>
        <v>0</v>
      </c>
      <c r="W244" s="3" t="str">
        <f>IFERROR(__xludf.DUMMYFUNCTION("""COMPUTED_VALUE"""),"Delivery")</f>
        <v>Delivery</v>
      </c>
      <c r="X244" s="3" t="str">
        <f>IFERROR(__xludf.DUMMYFUNCTION("""COMPUTED_VALUE"""),"Investment")</f>
        <v>Investment</v>
      </c>
      <c r="Y244" s="3" t="str">
        <f>IFERROR(__xludf.DUMMYFUNCTION("""COMPUTED_VALUE"""),"Investment")</f>
        <v>Investment</v>
      </c>
      <c r="Z244" s="3" t="str">
        <f>IFERROR(__xludf.DUMMYFUNCTION("""COMPUTED_VALUE"""),"IP + Technology Ops Transformation")</f>
        <v>IP + Technology Ops Transformation</v>
      </c>
      <c r="AA244" s="3" t="b">
        <f>IFERROR(__xludf.DUMMYFUNCTION("""COMPUTED_VALUE"""),FALSE)</f>
        <v>0</v>
      </c>
    </row>
    <row r="245">
      <c r="A245" s="11">
        <f>IFERROR(__xludf.DUMMYFUNCTION("""COMPUTED_VALUE"""),1.00592936E8)</f>
        <v>100592936</v>
      </c>
      <c r="B245" s="3" t="str">
        <f>IFERROR(__xludf.DUMMYFUNCTION("""COMPUTED_VALUE"""),"Gregory Nahass")</f>
        <v>Gregory Nahass</v>
      </c>
      <c r="C245" s="3" t="str">
        <f>IFERROR(__xludf.DUMMYFUNCTION("""COMPUTED_VALUE"""),"Gregory D Nahass")</f>
        <v>Gregory D Nahass</v>
      </c>
      <c r="D245" s="3" t="str">
        <f>IFERROR(__xludf.DUMMYFUNCTION("""COMPUTED_VALUE"""),"Nahass, Gregory D")</f>
        <v>Nahass, Gregory D</v>
      </c>
      <c r="E245" s="3" t="str">
        <f>IFERROR(__xludf.DUMMYFUNCTION("""COMPUTED_VALUE"""),"Active")</f>
        <v>Active</v>
      </c>
      <c r="F245" s="3" t="str">
        <f>IFERROR(__xludf.DUMMYFUNCTION("""COMPUTED_VALUE"""),"gnahass@pwc.com")</f>
        <v>gnahass@pwc.com</v>
      </c>
      <c r="G245" s="3" t="str">
        <f>IFERROR(__xludf.DUMMYFUNCTION("""COMPUTED_VALUE"""),"Deals Transformation")</f>
        <v>Deals Transformation</v>
      </c>
      <c r="H245" s="3" t="str">
        <f>IFERROR(__xludf.DUMMYFUNCTION("""COMPUTED_VALUE"""),"TMT X-Sector")</f>
        <v>TMT X-Sector</v>
      </c>
      <c r="I245" s="3" t="str">
        <f>IFERROR(__xludf.DUMMYFUNCTION("""COMPUTED_VALUE"""),"DDV - ISD (Integration, Separation, Divestitures)")</f>
        <v>DDV - ISD (Integration, Separation, Divestitures)</v>
      </c>
      <c r="J245" s="3" t="str">
        <f>IFERROR(__xludf.DUMMYFUNCTION("""COMPUTED_VALUE"""),"Partner")</f>
        <v>Partner</v>
      </c>
      <c r="K245" s="12">
        <f>IFERROR(__xludf.DUMMYFUNCTION("""COMPUTED_VALUE"""),36437.0)</f>
        <v>36437</v>
      </c>
      <c r="L245" s="3" t="str">
        <f>IFERROR(__xludf.DUMMYFUNCTION("""COMPUTED_VALUE"""),"Los Angeles")</f>
        <v>Los Angeles</v>
      </c>
      <c r="M245" s="3" t="str">
        <f>IFERROR(__xludf.DUMMYFUNCTION("""COMPUTED_VALUE"""),"Los Angeles - 601 South Figueroa Street")</f>
        <v>Los Angeles - 601 South Figueroa Street</v>
      </c>
      <c r="N245" s="3" t="b">
        <f>IFERROR(__xludf.DUMMYFUNCTION("""COMPUTED_VALUE"""),FALSE)</f>
        <v>0</v>
      </c>
      <c r="O245" s="3" t="str">
        <f>IFERROR(__xludf.DUMMYFUNCTION("""COMPUTED_VALUE"""),"derek.b.townsend@pwc.com")</f>
        <v>derek.b.townsend@pwc.com</v>
      </c>
      <c r="P245" s="3" t="str">
        <f>IFERROR(__xludf.DUMMYFUNCTION("""COMPUTED_VALUE"""),"No")</f>
        <v>No</v>
      </c>
      <c r="Q245" s="3" t="b">
        <f>IFERROR(__xludf.DUMMYFUNCTION("""COMPUTED_VALUE"""),FALSE)</f>
        <v>0</v>
      </c>
      <c r="R245" s="3"/>
      <c r="S245" s="3"/>
      <c r="T245" s="3" t="b">
        <f>IFERROR(__xludf.DUMMYFUNCTION("""COMPUTED_VALUE"""),TRUE)</f>
        <v>1</v>
      </c>
      <c r="U245" s="3" t="b">
        <f>IFERROR(__xludf.DUMMYFUNCTION("""COMPUTED_VALUE"""),FALSE)</f>
        <v>0</v>
      </c>
      <c r="V245" s="3" t="b">
        <f>IFERROR(__xludf.DUMMYFUNCTION("""COMPUTED_VALUE"""),FALSE)</f>
        <v>0</v>
      </c>
      <c r="W245" s="3" t="str">
        <f>IFERROR(__xludf.DUMMYFUNCTION("""COMPUTED_VALUE"""),"Delivery")</f>
        <v>Delivery</v>
      </c>
      <c r="X245" s="3"/>
      <c r="Y245" s="3" t="str">
        <f>IFERROR(__xludf.DUMMYFUNCTION("""COMPUTED_VALUE"""),"Rainmaker")</f>
        <v>Rainmaker</v>
      </c>
      <c r="Z245" s="3" t="str">
        <f>IFERROR(__xludf.DUMMYFUNCTION("""COMPUTED_VALUE"""),"Corporate M&amp;A Transformation - TMT")</f>
        <v>Corporate M&amp;A Transformation - TMT</v>
      </c>
      <c r="AA245" s="3" t="b">
        <f>IFERROR(__xludf.DUMMYFUNCTION("""COMPUTED_VALUE"""),FALSE)</f>
        <v>0</v>
      </c>
    </row>
    <row r="246">
      <c r="A246" s="3">
        <f>IFERROR(__xludf.DUMMYFUNCTION("""COMPUTED_VALUE"""),1.0065104E8)</f>
        <v>100651040</v>
      </c>
      <c r="B246" s="3" t="str">
        <f>IFERROR(__xludf.DUMMYFUNCTION("""COMPUTED_VALUE"""),"Gregory Rotz")</f>
        <v>Gregory Rotz</v>
      </c>
      <c r="C246" s="3" t="str">
        <f>IFERROR(__xludf.DUMMYFUNCTION("""COMPUTED_VALUE"""),"Gregory  Rotz")</f>
        <v>Gregory  Rotz</v>
      </c>
      <c r="D246" s="3" t="str">
        <f>IFERROR(__xludf.DUMMYFUNCTION("""COMPUTED_VALUE"""),"Rotz, Gregory")</f>
        <v>Rotz, Gregory</v>
      </c>
      <c r="E246" s="3" t="str">
        <f>IFERROR(__xludf.DUMMYFUNCTION("""COMPUTED_VALUE"""),"Active")</f>
        <v>Active</v>
      </c>
      <c r="F246" s="3" t="str">
        <f>IFERROR(__xludf.DUMMYFUNCTION("""COMPUTED_VALUE"""),"greg.rotz@pwc.com")</f>
        <v>greg.rotz@pwc.com</v>
      </c>
      <c r="G246" s="3" t="str">
        <f>IFERROR(__xludf.DUMMYFUNCTION("""COMPUTED_VALUE"""),"ESV")</f>
        <v>ESV</v>
      </c>
      <c r="H246" s="3" t="str">
        <f>IFERROR(__xludf.DUMMYFUNCTION("""COMPUTED_VALUE"""),"Pharma and Life Sciences")</f>
        <v>Pharma and Life Sciences</v>
      </c>
      <c r="I246" s="3" t="str">
        <f>IFERROR(__xludf.DUMMYFUNCTION("""COMPUTED_VALUE"""),"ESV - PLS")</f>
        <v>ESV - PLS</v>
      </c>
      <c r="J246" s="3" t="str">
        <f>IFERROR(__xludf.DUMMYFUNCTION("""COMPUTED_VALUE"""),"Partner")</f>
        <v>Partner</v>
      </c>
      <c r="K246" s="12">
        <f>IFERROR(__xludf.DUMMYFUNCTION("""COMPUTED_VALUE"""),42186.0)</f>
        <v>42186</v>
      </c>
      <c r="L246" s="3" t="str">
        <f>IFERROR(__xludf.DUMMYFUNCTION("""COMPUTED_VALUE"""),"Washington")</f>
        <v>Washington</v>
      </c>
      <c r="M246" s="3" t="str">
        <f>IFERROR(__xludf.DUMMYFUNCTION("""COMPUTED_VALUE"""),"Washington DC - 655 New York Avenue")</f>
        <v>Washington DC - 655 New York Avenue</v>
      </c>
      <c r="N246" s="3" t="b">
        <f>IFERROR(__xludf.DUMMYFUNCTION("""COMPUTED_VALUE"""),FALSE)</f>
        <v>0</v>
      </c>
      <c r="O246" s="3" t="str">
        <f>IFERROR(__xludf.DUMMYFUNCTION("""COMPUTED_VALUE"""),"sundar.subramanian@pwc.com")</f>
        <v>sundar.subramanian@pwc.com</v>
      </c>
      <c r="P246" s="3" t="str">
        <f>IFERROR(__xludf.DUMMYFUNCTION("""COMPUTED_VALUE"""),"No")</f>
        <v>No</v>
      </c>
      <c r="Q246" s="3" t="b">
        <f>IFERROR(__xludf.DUMMYFUNCTION("""COMPUTED_VALUE"""),TRUE)</f>
        <v>1</v>
      </c>
      <c r="R246" s="3" t="str">
        <f>IFERROR(__xludf.DUMMYFUNCTION("""COMPUTED_VALUE"""),"LCP High")</f>
        <v>LCP High</v>
      </c>
      <c r="S246" s="3"/>
      <c r="T246" s="3" t="b">
        <f>IFERROR(__xludf.DUMMYFUNCTION("""COMPUTED_VALUE"""),FALSE)</f>
        <v>0</v>
      </c>
      <c r="U246" s="3" t="b">
        <f>IFERROR(__xludf.DUMMYFUNCTION("""COMPUTED_VALUE"""),FALSE)</f>
        <v>0</v>
      </c>
      <c r="V246" s="3" t="b">
        <f>IFERROR(__xludf.DUMMYFUNCTION("""COMPUTED_VALUE"""),FALSE)</f>
        <v>0</v>
      </c>
      <c r="W246" s="3" t="str">
        <f>IFERROR(__xludf.DUMMYFUNCTION("""COMPUTED_VALUE"""),"LCP")</f>
        <v>LCP</v>
      </c>
      <c r="X246" s="3"/>
      <c r="Y246" s="3" t="str">
        <f>IFERROR(__xludf.DUMMYFUNCTION("""COMPUTED_VALUE"""),"GEP - High")</f>
        <v>GEP - High</v>
      </c>
      <c r="Z246" s="3" t="str">
        <f>IFERROR(__xludf.DUMMYFUNCTION("""COMPUTED_VALUE"""),"Enterprise Digital Transformation - PLS")</f>
        <v>Enterprise Digital Transformation - PLS</v>
      </c>
      <c r="AA246" s="3" t="b">
        <f>IFERROR(__xludf.DUMMYFUNCTION("""COMPUTED_VALUE"""),FALSE)</f>
        <v>0</v>
      </c>
    </row>
    <row r="247">
      <c r="A247" s="11">
        <f>IFERROR(__xludf.DUMMYFUNCTION("""COMPUTED_VALUE"""),1.00610826E8)</f>
        <v>100610826</v>
      </c>
      <c r="B247" s="3" t="str">
        <f>IFERROR(__xludf.DUMMYFUNCTION("""COMPUTED_VALUE"""),"Gurpreet Singh")</f>
        <v>Gurpreet Singh</v>
      </c>
      <c r="C247" s="3" t="str">
        <f>IFERROR(__xludf.DUMMYFUNCTION("""COMPUTED_VALUE"""),"Gurpreet  Singh")</f>
        <v>Gurpreet  Singh</v>
      </c>
      <c r="D247" s="3" t="str">
        <f>IFERROR(__xludf.DUMMYFUNCTION("""COMPUTED_VALUE"""),"Singh, Gurpreet")</f>
        <v>Singh, Gurpreet</v>
      </c>
      <c r="E247" s="3" t="str">
        <f>IFERROR(__xludf.DUMMYFUNCTION("""COMPUTED_VALUE"""),"Active")</f>
        <v>Active</v>
      </c>
      <c r="F247" s="3" t="str">
        <f>IFERROR(__xludf.DUMMYFUNCTION("""COMPUTED_VALUE"""),"gurpreet.singh@pwc.com")</f>
        <v>gurpreet.singh@pwc.com</v>
      </c>
      <c r="G247" s="3" t="str">
        <f>IFERROR(__xludf.DUMMYFUNCTION("""COMPUTED_VALUE"""),"ESV")</f>
        <v>ESV</v>
      </c>
      <c r="H247" s="3" t="str">
        <f>IFERROR(__xludf.DUMMYFUNCTION("""COMPUTED_VALUE"""),"Pharma and Life Sciences")</f>
        <v>Pharma and Life Sciences</v>
      </c>
      <c r="I247" s="3" t="str">
        <f>IFERROR(__xludf.DUMMYFUNCTION("""COMPUTED_VALUE"""),"ESV - Health Services")</f>
        <v>ESV - Health Services</v>
      </c>
      <c r="J247" s="3" t="str">
        <f>IFERROR(__xludf.DUMMYFUNCTION("""COMPUTED_VALUE"""),"Partner")</f>
        <v>Partner</v>
      </c>
      <c r="K247" s="12">
        <f>IFERROR(__xludf.DUMMYFUNCTION("""COMPUTED_VALUE"""),40485.0)</f>
        <v>40485</v>
      </c>
      <c r="L247" s="3" t="str">
        <f>IFERROR(__xludf.DUMMYFUNCTION("""COMPUTED_VALUE"""),"Chicago")</f>
        <v>Chicago</v>
      </c>
      <c r="M247" s="3" t="str">
        <f>IFERROR(__xludf.DUMMYFUNCTION("""COMPUTED_VALUE"""),"Chicago - One North Wacker Drive")</f>
        <v>Chicago - One North Wacker Drive</v>
      </c>
      <c r="N247" s="3" t="b">
        <f>IFERROR(__xludf.DUMMYFUNCTION("""COMPUTED_VALUE"""),FALSE)</f>
        <v>0</v>
      </c>
      <c r="O247" s="3" t="str">
        <f>IFERROR(__xludf.DUMMYFUNCTION("""COMPUTED_VALUE"""),"sundar.subramanian@pwc.com")</f>
        <v>sundar.subramanian@pwc.com</v>
      </c>
      <c r="P247" s="3" t="str">
        <f>IFERROR(__xludf.DUMMYFUNCTION("""COMPUTED_VALUE"""),"No")</f>
        <v>No</v>
      </c>
      <c r="Q247" s="3" t="b">
        <f>IFERROR(__xludf.DUMMYFUNCTION("""COMPUTED_VALUE"""),FALSE)</f>
        <v>0</v>
      </c>
      <c r="R247" s="3"/>
      <c r="S247" s="3"/>
      <c r="T247" s="3" t="b">
        <f>IFERROR(__xludf.DUMMYFUNCTION("""COMPUTED_VALUE"""),FALSE)</f>
        <v>0</v>
      </c>
      <c r="U247" s="3" t="b">
        <f>IFERROR(__xludf.DUMMYFUNCTION("""COMPUTED_VALUE"""),FALSE)</f>
        <v>0</v>
      </c>
      <c r="V247" s="3" t="b">
        <f>IFERROR(__xludf.DUMMYFUNCTION("""COMPUTED_VALUE"""),FALSE)</f>
        <v>0</v>
      </c>
      <c r="W247" s="3" t="str">
        <f>IFERROR(__xludf.DUMMYFUNCTION("""COMPUTED_VALUE"""),"#N/A")</f>
        <v>#N/A</v>
      </c>
      <c r="X247" s="3" t="str">
        <f>IFERROR(__xludf.DUMMYFUNCTION("""COMPUTED_VALUE"""),"#N/A")</f>
        <v>#N/A</v>
      </c>
      <c r="Y247" s="3" t="str">
        <f>IFERROR(__xludf.DUMMYFUNCTION("""COMPUTED_VALUE"""),"#N/A")</f>
        <v>#N/A</v>
      </c>
      <c r="Z247" s="3" t="str">
        <f>IFERROR(__xludf.DUMMYFUNCTION("""COMPUTED_VALUE"""),"Unknown")</f>
        <v>Unknown</v>
      </c>
      <c r="AA247" s="3" t="b">
        <f>IFERROR(__xludf.DUMMYFUNCTION("""COMPUTED_VALUE"""),FALSE)</f>
        <v>0</v>
      </c>
    </row>
    <row r="248">
      <c r="A248" s="11">
        <f>IFERROR(__xludf.DUMMYFUNCTION("""COMPUTED_VALUE"""),1.00589728E8)</f>
        <v>100589728</v>
      </c>
      <c r="B248" s="3" t="str">
        <f>IFERROR(__xludf.DUMMYFUNCTION("""COMPUTED_VALUE"""),"Hans Breville")</f>
        <v>Hans Breville</v>
      </c>
      <c r="C248" s="3" t="str">
        <f>IFERROR(__xludf.DUMMYFUNCTION("""COMPUTED_VALUE"""),"Hans  Breville")</f>
        <v>Hans  Breville</v>
      </c>
      <c r="D248" s="3" t="str">
        <f>IFERROR(__xludf.DUMMYFUNCTION("""COMPUTED_VALUE"""),"Breville, Hans")</f>
        <v>Breville, Hans</v>
      </c>
      <c r="E248" s="3" t="str">
        <f>IFERROR(__xludf.DUMMYFUNCTION("""COMPUTED_VALUE"""),"Active")</f>
        <v>Active</v>
      </c>
      <c r="F248" s="3" t="str">
        <f>IFERROR(__xludf.DUMMYFUNCTION("""COMPUTED_VALUE"""),"hans.breville@pwc.com")</f>
        <v>hans.breville@pwc.com</v>
      </c>
      <c r="G248" s="3" t="str">
        <f>IFERROR(__xludf.DUMMYFUNCTION("""COMPUTED_VALUE"""),"Health")</f>
        <v>Health</v>
      </c>
      <c r="H248" s="3" t="str">
        <f>IFERROR(__xludf.DUMMYFUNCTION("""COMPUTED_VALUE"""),"HI X-Sector")</f>
        <v>HI X-Sector</v>
      </c>
      <c r="I248" s="3" t="str">
        <f>IFERROR(__xludf.DUMMYFUNCTION("""COMPUTED_VALUE"""),"Health - Payer CO&amp;I")</f>
        <v>Health - Payer CO&amp;I</v>
      </c>
      <c r="J248" s="3" t="str">
        <f>IFERROR(__xludf.DUMMYFUNCTION("""COMPUTED_VALUE"""),"Partner")</f>
        <v>Partner</v>
      </c>
      <c r="K248" s="12">
        <f>IFERROR(__xludf.DUMMYFUNCTION("""COMPUTED_VALUE"""),40777.0)</f>
        <v>40777</v>
      </c>
      <c r="L248" s="3" t="str">
        <f>IFERROR(__xludf.DUMMYFUNCTION("""COMPUTED_VALUE"""),"Washington")</f>
        <v>Washington</v>
      </c>
      <c r="M248" s="3" t="str">
        <f>IFERROR(__xludf.DUMMYFUNCTION("""COMPUTED_VALUE"""),"Washington DC - 655 New York Avenue")</f>
        <v>Washington DC - 655 New York Avenue</v>
      </c>
      <c r="N248" s="3" t="b">
        <f>IFERROR(__xludf.DUMMYFUNCTION("""COMPUTED_VALUE"""),FALSE)</f>
        <v>0</v>
      </c>
      <c r="O248" s="3" t="str">
        <f>IFERROR(__xludf.DUMMYFUNCTION("""COMPUTED_VALUE"""),"craig.e.gooch@pwc.com")</f>
        <v>craig.e.gooch@pwc.com</v>
      </c>
      <c r="P248" s="3" t="str">
        <f>IFERROR(__xludf.DUMMYFUNCTION("""COMPUTED_VALUE"""),"No")</f>
        <v>No</v>
      </c>
      <c r="Q248" s="3" t="b">
        <f>IFERROR(__xludf.DUMMYFUNCTION("""COMPUTED_VALUE"""),FALSE)</f>
        <v>0</v>
      </c>
      <c r="R248" s="3"/>
      <c r="S248" s="3"/>
      <c r="T248" s="3" t="b">
        <f>IFERROR(__xludf.DUMMYFUNCTION("""COMPUTED_VALUE"""),FALSE)</f>
        <v>0</v>
      </c>
      <c r="U248" s="3" t="b">
        <f>IFERROR(__xludf.DUMMYFUNCTION("""COMPUTED_VALUE"""),TRUE)</f>
        <v>1</v>
      </c>
      <c r="V248" s="3" t="b">
        <f>IFERROR(__xludf.DUMMYFUNCTION("""COMPUTED_VALUE"""),FALSE)</f>
        <v>0</v>
      </c>
      <c r="W248" s="3" t="str">
        <f>IFERROR(__xludf.DUMMYFUNCTION("""COMPUTED_VALUE"""),"Delivery")</f>
        <v>Delivery</v>
      </c>
      <c r="X248" s="3"/>
      <c r="Y248" s="3"/>
      <c r="Z248" s="3" t="str">
        <f>IFERROR(__xludf.DUMMYFUNCTION("""COMPUTED_VALUE"""),"Payer Transformation")</f>
        <v>Payer Transformation</v>
      </c>
      <c r="AA248" s="3" t="b">
        <f>IFERROR(__xludf.DUMMYFUNCTION("""COMPUTED_VALUE"""),FALSE)</f>
        <v>0</v>
      </c>
    </row>
    <row r="249">
      <c r="A249" s="11">
        <f>IFERROR(__xludf.DUMMYFUNCTION("""COMPUTED_VALUE"""),1.00651086E8)</f>
        <v>100651086</v>
      </c>
      <c r="B249" s="3" t="str">
        <f>IFERROR(__xludf.DUMMYFUNCTION("""COMPUTED_VALUE"""),"Hans Van Delden")</f>
        <v>Hans Van Delden</v>
      </c>
      <c r="C249" s="3" t="str">
        <f>IFERROR(__xludf.DUMMYFUNCTION("""COMPUTED_VALUE"""),"Hans K Van Delden")</f>
        <v>Hans K Van Delden</v>
      </c>
      <c r="D249" s="3" t="str">
        <f>IFERROR(__xludf.DUMMYFUNCTION("""COMPUTED_VALUE"""),"Van Delden, Hans K")</f>
        <v>Van Delden, Hans K</v>
      </c>
      <c r="E249" s="3" t="str">
        <f>IFERROR(__xludf.DUMMYFUNCTION("""COMPUTED_VALUE"""),"Active")</f>
        <v>Active</v>
      </c>
      <c r="F249" s="3" t="str">
        <f>IFERROR(__xludf.DUMMYFUNCTION("""COMPUTED_VALUE"""),"hans.vandelden@pwc.com")</f>
        <v>hans.vandelden@pwc.com</v>
      </c>
      <c r="G249" s="3" t="str">
        <f>IFERROR(__xludf.DUMMYFUNCTION("""COMPUTED_VALUE"""),"Customer")</f>
        <v>Customer</v>
      </c>
      <c r="H249" s="3" t="str">
        <f>IFERROR(__xludf.DUMMYFUNCTION("""COMPUTED_VALUE"""),"CM X-Sector")</f>
        <v>CM X-Sector</v>
      </c>
      <c r="I249" s="3" t="str">
        <f>IFERROR(__xludf.DUMMYFUNCTION("""COMPUTED_VALUE"""),"Customer - Pricing &amp; Profitability")</f>
        <v>Customer - Pricing &amp; Profitability</v>
      </c>
      <c r="J249" s="3" t="str">
        <f>IFERROR(__xludf.DUMMYFUNCTION("""COMPUTED_VALUE"""),"Partner")</f>
        <v>Partner</v>
      </c>
      <c r="K249" s="12">
        <f>IFERROR(__xludf.DUMMYFUNCTION("""COMPUTED_VALUE"""),42186.0)</f>
        <v>42186</v>
      </c>
      <c r="L249" s="3" t="str">
        <f>IFERROR(__xludf.DUMMYFUNCTION("""COMPUTED_VALUE"""),"Dallas")</f>
        <v>Dallas</v>
      </c>
      <c r="M249" s="3" t="str">
        <f>IFERROR(__xludf.DUMMYFUNCTION("""COMPUTED_VALUE"""),"Dallas - 2121 North Pearl Street")</f>
        <v>Dallas - 2121 North Pearl Street</v>
      </c>
      <c r="N249" s="3" t="b">
        <f>IFERROR(__xludf.DUMMYFUNCTION("""COMPUTED_VALUE"""),FALSE)</f>
        <v>0</v>
      </c>
      <c r="O249" s="3" t="str">
        <f>IFERROR(__xludf.DUMMYFUNCTION("""COMPUTED_VALUE"""),"george.korizis@pwc.com")</f>
        <v>george.korizis@pwc.com</v>
      </c>
      <c r="P249" s="3" t="str">
        <f>IFERROR(__xludf.DUMMYFUNCTION("""COMPUTED_VALUE"""),"No")</f>
        <v>No</v>
      </c>
      <c r="Q249" s="3" t="b">
        <f>IFERROR(__xludf.DUMMYFUNCTION("""COMPUTED_VALUE"""),FALSE)</f>
        <v>0</v>
      </c>
      <c r="R249" s="3"/>
      <c r="S249" s="3"/>
      <c r="T249" s="3" t="b">
        <f>IFERROR(__xludf.DUMMYFUNCTION("""COMPUTED_VALUE"""),TRUE)</f>
        <v>1</v>
      </c>
      <c r="U249" s="3" t="b">
        <f>IFERROR(__xludf.DUMMYFUNCTION("""COMPUTED_VALUE"""),FALSE)</f>
        <v>0</v>
      </c>
      <c r="V249" s="3" t="b">
        <f>IFERROR(__xludf.DUMMYFUNCTION("""COMPUTED_VALUE"""),FALSE)</f>
        <v>0</v>
      </c>
      <c r="W249" s="3" t="str">
        <f>IFERROR(__xludf.DUMMYFUNCTION("""COMPUTED_VALUE"""),"Delivery")</f>
        <v>Delivery</v>
      </c>
      <c r="X249" s="3"/>
      <c r="Y249" s="3" t="str">
        <f>IFERROR(__xludf.DUMMYFUNCTION("""COMPUTED_VALUE"""),"Rainmaker")</f>
        <v>Rainmaker</v>
      </c>
      <c r="Z249" s="3" t="str">
        <f>IFERROR(__xludf.DUMMYFUNCTION("""COMPUTED_VALUE"""),"Marketing Transformation")</f>
        <v>Marketing Transformation</v>
      </c>
      <c r="AA249" s="3" t="b">
        <f>IFERROR(__xludf.DUMMYFUNCTION("""COMPUTED_VALUE"""),FALSE)</f>
        <v>0</v>
      </c>
    </row>
    <row r="250">
      <c r="A250" s="11">
        <f>IFERROR(__xludf.DUMMYFUNCTION("""COMPUTED_VALUE"""),1.00587881E8)</f>
        <v>100587881</v>
      </c>
      <c r="B250" s="3" t="str">
        <f>IFERROR(__xludf.DUMMYFUNCTION("""COMPUTED_VALUE"""),"Harish Nalinakshan")</f>
        <v>Harish Nalinakshan</v>
      </c>
      <c r="C250" s="3" t="str">
        <f>IFERROR(__xludf.DUMMYFUNCTION("""COMPUTED_VALUE"""),"Harish  Nalinakshan")</f>
        <v>Harish  Nalinakshan</v>
      </c>
      <c r="D250" s="3" t="str">
        <f>IFERROR(__xludf.DUMMYFUNCTION("""COMPUTED_VALUE"""),"Nalinakshan, Harish")</f>
        <v>Nalinakshan, Harish</v>
      </c>
      <c r="E250" s="3" t="str">
        <f>IFERROR(__xludf.DUMMYFUNCTION("""COMPUTED_VALUE"""),"Active")</f>
        <v>Active</v>
      </c>
      <c r="F250" s="3" t="str">
        <f>IFERROR(__xludf.DUMMYFUNCTION("""COMPUTED_VALUE"""),"harish.nalinakshan@pwc.com")</f>
        <v>harish.nalinakshan@pwc.com</v>
      </c>
      <c r="G250" s="3" t="str">
        <f>IFERROR(__xludf.DUMMYFUNCTION("""COMPUTED_VALUE"""),"Ops")</f>
        <v>Ops</v>
      </c>
      <c r="H250" s="3" t="str">
        <f>IFERROR(__xludf.DUMMYFUNCTION("""COMPUTED_VALUE"""),"TMT X-Sector")</f>
        <v>TMT X-Sector</v>
      </c>
      <c r="I250" s="3" t="str">
        <f>IFERROR(__xludf.DUMMYFUNCTION("""COMPUTED_VALUE"""),"Ops - Org Strategy Strategy &amp; Solutions (OSS)")</f>
        <v>Ops - Org Strategy Strategy &amp; Solutions (OSS)</v>
      </c>
      <c r="J250" s="3" t="str">
        <f>IFERROR(__xludf.DUMMYFUNCTION("""COMPUTED_VALUE"""),"Partner")</f>
        <v>Partner</v>
      </c>
      <c r="K250" s="12">
        <f>IFERROR(__xludf.DUMMYFUNCTION("""COMPUTED_VALUE"""),40798.0)</f>
        <v>40798</v>
      </c>
      <c r="L250" s="3" t="str">
        <f>IFERROR(__xludf.DUMMYFUNCTION("""COMPUTED_VALUE"""),"Washington")</f>
        <v>Washington</v>
      </c>
      <c r="M250" s="3" t="str">
        <f>IFERROR(__xludf.DUMMYFUNCTION("""COMPUTED_VALUE"""),"Washington DC - 655 New York Avenue")</f>
        <v>Washington DC - 655 New York Avenue</v>
      </c>
      <c r="N250" s="3" t="b">
        <f>IFERROR(__xludf.DUMMYFUNCTION("""COMPUTED_VALUE"""),FALSE)</f>
        <v>0</v>
      </c>
      <c r="O250" s="3" t="str">
        <f>IFERROR(__xludf.DUMMYFUNCTION("""COMPUTED_VALUE"""),"matthew.r.comte@pwc.com")</f>
        <v>matthew.r.comte@pwc.com</v>
      </c>
      <c r="P250" s="3" t="str">
        <f>IFERROR(__xludf.DUMMYFUNCTION("""COMPUTED_VALUE"""),"No")</f>
        <v>No</v>
      </c>
      <c r="Q250" s="3" t="b">
        <f>IFERROR(__xludf.DUMMYFUNCTION("""COMPUTED_VALUE"""),FALSE)</f>
        <v>0</v>
      </c>
      <c r="R250" s="3"/>
      <c r="S250" s="3"/>
      <c r="T250" s="3" t="b">
        <f>IFERROR(__xludf.DUMMYFUNCTION("""COMPUTED_VALUE"""),FALSE)</f>
        <v>0</v>
      </c>
      <c r="U250" s="3" t="b">
        <f>IFERROR(__xludf.DUMMYFUNCTION("""COMPUTED_VALUE"""),TRUE)</f>
        <v>1</v>
      </c>
      <c r="V250" s="3" t="b">
        <f>IFERROR(__xludf.DUMMYFUNCTION("""COMPUTED_VALUE"""),FALSE)</f>
        <v>0</v>
      </c>
      <c r="W250" s="3" t="str">
        <f>IFERROR(__xludf.DUMMYFUNCTION("""COMPUTED_VALUE"""),"Delivery")</f>
        <v>Delivery</v>
      </c>
      <c r="X250" s="3"/>
      <c r="Y250" s="3"/>
      <c r="Z250" s="3" t="str">
        <f>IFERROR(__xludf.DUMMYFUNCTION("""COMPUTED_VALUE"""),"EUM + Telecom Ops Transformation")</f>
        <v>EUM + Telecom Ops Transformation</v>
      </c>
      <c r="AA250" s="3" t="b">
        <f>IFERROR(__xludf.DUMMYFUNCTION("""COMPUTED_VALUE"""),FALSE)</f>
        <v>0</v>
      </c>
    </row>
    <row r="251">
      <c r="A251" s="11">
        <f>IFERROR(__xludf.DUMMYFUNCTION("""COMPUTED_VALUE"""),1.00641038E8)</f>
        <v>100641038</v>
      </c>
      <c r="B251" s="3" t="str">
        <f>IFERROR(__xludf.DUMMYFUNCTION("""COMPUTED_VALUE"""),"Harold Houser")</f>
        <v>Harold Houser</v>
      </c>
      <c r="C251" s="3" t="str">
        <f>IFERROR(__xludf.DUMMYFUNCTION("""COMPUTED_VALUE"""),"Harold Stuart Houser")</f>
        <v>Harold Stuart Houser</v>
      </c>
      <c r="D251" s="3" t="str">
        <f>IFERROR(__xludf.DUMMYFUNCTION("""COMPUTED_VALUE"""),"Houser, Harold Stuart")</f>
        <v>Houser, Harold Stuart</v>
      </c>
      <c r="E251" s="3" t="str">
        <f>IFERROR(__xludf.DUMMYFUNCTION("""COMPUTED_VALUE"""),"Active")</f>
        <v>Active</v>
      </c>
      <c r="F251" s="3" t="str">
        <f>IFERROR(__xludf.DUMMYFUNCTION("""COMPUTED_VALUE"""),"harold.s.houser@pwc.com")</f>
        <v>harold.s.houser@pwc.com</v>
      </c>
      <c r="G251" s="3" t="str">
        <f>IFERROR(__xludf.DUMMYFUNCTION("""COMPUTED_VALUE"""),"Finance")</f>
        <v>Finance</v>
      </c>
      <c r="H251" s="3" t="str">
        <f>IFERROR(__xludf.DUMMYFUNCTION("""COMPUTED_VALUE"""),"Banking and Capital Markets")</f>
        <v>Banking and Capital Markets</v>
      </c>
      <c r="I251" s="3" t="str">
        <f>IFERROR(__xludf.DUMMYFUNCTION("""COMPUTED_VALUE"""),"Finance - Financial Operations")</f>
        <v>Finance - Financial Operations</v>
      </c>
      <c r="J251" s="3" t="str">
        <f>IFERROR(__xludf.DUMMYFUNCTION("""COMPUTED_VALUE"""),"Partner")</f>
        <v>Partner</v>
      </c>
      <c r="K251" s="12">
        <f>IFERROR(__xludf.DUMMYFUNCTION("""COMPUTED_VALUE"""),39980.0)</f>
        <v>39980</v>
      </c>
      <c r="L251" s="3" t="str">
        <f>IFERROR(__xludf.DUMMYFUNCTION("""COMPUTED_VALUE"""),"Jacksonville")</f>
        <v>Jacksonville</v>
      </c>
      <c r="M251" s="3" t="str">
        <f>IFERROR(__xludf.DUMMYFUNCTION("""COMPUTED_VALUE"""),"Jacksonville - 76 Laura Street")</f>
        <v>Jacksonville - 76 Laura Street</v>
      </c>
      <c r="N251" s="3" t="b">
        <f>IFERROR(__xludf.DUMMYFUNCTION("""COMPUTED_VALUE"""),TRUE)</f>
        <v>1</v>
      </c>
      <c r="O251" s="3" t="str">
        <f>IFERROR(__xludf.DUMMYFUNCTION("""COMPUTED_VALUE"""),"kurtis.babczenko@pwc.com")</f>
        <v>kurtis.babczenko@pwc.com</v>
      </c>
      <c r="P251" s="3" t="str">
        <f>IFERROR(__xludf.DUMMYFUNCTION("""COMPUTED_VALUE"""),"No")</f>
        <v>No</v>
      </c>
      <c r="Q251" s="3" t="b">
        <f>IFERROR(__xludf.DUMMYFUNCTION("""COMPUTED_VALUE"""),FALSE)</f>
        <v>0</v>
      </c>
      <c r="R251" s="3"/>
      <c r="S251" s="3" t="str">
        <f>IFERROR(__xludf.DUMMYFUNCTION("""COMPUTED_VALUE"""),"Lever Champions")</f>
        <v>Lever Champions</v>
      </c>
      <c r="T251" s="3" t="b">
        <f>IFERROR(__xludf.DUMMYFUNCTION("""COMPUTED_VALUE"""),FALSE)</f>
        <v>0</v>
      </c>
      <c r="U251" s="3" t="b">
        <f>IFERROR(__xludf.DUMMYFUNCTION("""COMPUTED_VALUE"""),TRUE)</f>
        <v>1</v>
      </c>
      <c r="V251" s="3" t="b">
        <f>IFERROR(__xludf.DUMMYFUNCTION("""COMPUTED_VALUE"""),FALSE)</f>
        <v>0</v>
      </c>
      <c r="W251" s="3" t="str">
        <f>IFERROR(__xludf.DUMMYFUNCTION("""COMPUTED_VALUE"""),"Delivery")</f>
        <v>Delivery</v>
      </c>
      <c r="X251" s="3"/>
      <c r="Y251" s="3"/>
      <c r="Z251" s="3" t="str">
        <f>IFERROR(__xludf.DUMMYFUNCTION("""COMPUTED_VALUE"""),"Finance Transformation - Banking")</f>
        <v>Finance Transformation - Banking</v>
      </c>
      <c r="AA251" s="3" t="b">
        <f>IFERROR(__xludf.DUMMYFUNCTION("""COMPUTED_VALUE"""),FALSE)</f>
        <v>0</v>
      </c>
    </row>
    <row r="252">
      <c r="A252" s="11">
        <f>IFERROR(__xludf.DUMMYFUNCTION("""COMPUTED_VALUE"""),1.00654774E8)</f>
        <v>100654774</v>
      </c>
      <c r="B252" s="3" t="str">
        <f>IFERROR(__xludf.DUMMYFUNCTION("""COMPUTED_VALUE"""),"Heather McGinnis")</f>
        <v>Heather McGinnis</v>
      </c>
      <c r="C252" s="3" t="str">
        <f>IFERROR(__xludf.DUMMYFUNCTION("""COMPUTED_VALUE"""),"Heather  McGinnis")</f>
        <v>Heather  McGinnis</v>
      </c>
      <c r="D252" s="3" t="str">
        <f>IFERROR(__xludf.DUMMYFUNCTION("""COMPUTED_VALUE"""),"McGinnis, Heather")</f>
        <v>McGinnis, Heather</v>
      </c>
      <c r="E252" s="3" t="str">
        <f>IFERROR(__xludf.DUMMYFUNCTION("""COMPUTED_VALUE"""),"Active")</f>
        <v>Active</v>
      </c>
      <c r="F252" s="3" t="str">
        <f>IFERROR(__xludf.DUMMYFUNCTION("""COMPUTED_VALUE"""),"heather.mcginnis@pwc.com")</f>
        <v>heather.mcginnis@pwc.com</v>
      </c>
      <c r="G252" s="3" t="str">
        <f>IFERROR(__xludf.DUMMYFUNCTION("""COMPUTED_VALUE"""),"Ops")</f>
        <v>Ops</v>
      </c>
      <c r="H252" s="3" t="str">
        <f>IFERROR(__xludf.DUMMYFUNCTION("""COMPUTED_VALUE"""),"Power and Utilities")</f>
        <v>Power and Utilities</v>
      </c>
      <c r="I252" s="3" t="str">
        <f>IFERROR(__xludf.DUMMYFUNCTION("""COMPUTED_VALUE"""),"Ops - Org Strategy Strategy &amp; Solutions (OSS)")</f>
        <v>Ops - Org Strategy Strategy &amp; Solutions (OSS)</v>
      </c>
      <c r="J252" s="3" t="str">
        <f>IFERROR(__xludf.DUMMYFUNCTION("""COMPUTED_VALUE"""),"Partner")</f>
        <v>Partner</v>
      </c>
      <c r="K252" s="12">
        <f>IFERROR(__xludf.DUMMYFUNCTION("""COMPUTED_VALUE"""),42186.0)</f>
        <v>42186</v>
      </c>
      <c r="L252" s="3" t="str">
        <f>IFERROR(__xludf.DUMMYFUNCTION("""COMPUTED_VALUE"""),"Washington")</f>
        <v>Washington</v>
      </c>
      <c r="M252" s="3" t="str">
        <f>IFERROR(__xludf.DUMMYFUNCTION("""COMPUTED_VALUE"""),"Washington DC - 655 New York Avenue")</f>
        <v>Washington DC - 655 New York Avenue</v>
      </c>
      <c r="N252" s="3" t="b">
        <f>IFERROR(__xludf.DUMMYFUNCTION("""COMPUTED_VALUE"""),FALSE)</f>
        <v>0</v>
      </c>
      <c r="O252" s="3" t="str">
        <f>IFERROR(__xludf.DUMMYFUNCTION("""COMPUTED_VALUE"""),"matthew.r.comte@pwc.com")</f>
        <v>matthew.r.comte@pwc.com</v>
      </c>
      <c r="P252" s="3" t="str">
        <f>IFERROR(__xludf.DUMMYFUNCTION("""COMPUTED_VALUE"""),"No")</f>
        <v>No</v>
      </c>
      <c r="Q252" s="3" t="b">
        <f>IFERROR(__xludf.DUMMYFUNCTION("""COMPUTED_VALUE"""),FALSE)</f>
        <v>0</v>
      </c>
      <c r="R252" s="3"/>
      <c r="S252" s="3"/>
      <c r="T252" s="3" t="b">
        <f>IFERROR(__xludf.DUMMYFUNCTION("""COMPUTED_VALUE"""),FALSE)</f>
        <v>0</v>
      </c>
      <c r="U252" s="3" t="b">
        <f>IFERROR(__xludf.DUMMYFUNCTION("""COMPUTED_VALUE"""),TRUE)</f>
        <v>1</v>
      </c>
      <c r="V252" s="3" t="b">
        <f>IFERROR(__xludf.DUMMYFUNCTION("""COMPUTED_VALUE"""),FALSE)</f>
        <v>0</v>
      </c>
      <c r="W252" s="3" t="str">
        <f>IFERROR(__xludf.DUMMYFUNCTION("""COMPUTED_VALUE"""),"Delivery")</f>
        <v>Delivery</v>
      </c>
      <c r="X252" s="3"/>
      <c r="Y252" s="3"/>
      <c r="Z252" s="3" t="str">
        <f>IFERROR(__xludf.DUMMYFUNCTION("""COMPUTED_VALUE"""),"EUM + Telecom Ops Transformation")</f>
        <v>EUM + Telecom Ops Transformation</v>
      </c>
      <c r="AA252" s="3" t="b">
        <f>IFERROR(__xludf.DUMMYFUNCTION("""COMPUTED_VALUE"""),FALSE)</f>
        <v>0</v>
      </c>
    </row>
    <row r="253">
      <c r="A253" s="11">
        <f>IFERROR(__xludf.DUMMYFUNCTION("""COMPUTED_VALUE"""),1.00888587E8)</f>
        <v>100888587</v>
      </c>
      <c r="B253" s="3" t="str">
        <f>IFERROR(__xludf.DUMMYFUNCTION("""COMPUTED_VALUE"""),"Heidi Scheppmann")</f>
        <v>Heidi Scheppmann</v>
      </c>
      <c r="C253" s="3" t="str">
        <f>IFERROR(__xludf.DUMMYFUNCTION("""COMPUTED_VALUE"""),"Heidi  Scheppmann")</f>
        <v>Heidi  Scheppmann</v>
      </c>
      <c r="D253" s="3" t="str">
        <f>IFERROR(__xludf.DUMMYFUNCTION("""COMPUTED_VALUE"""),"Scheppmann, Heidi")</f>
        <v>Scheppmann, Heidi</v>
      </c>
      <c r="E253" s="3" t="str">
        <f>IFERROR(__xludf.DUMMYFUNCTION("""COMPUTED_VALUE"""),"Active")</f>
        <v>Active</v>
      </c>
      <c r="F253" s="3" t="str">
        <f>IFERROR(__xludf.DUMMYFUNCTION("""COMPUTED_VALUE"""),"heidi.scheppmann@pwc.com")</f>
        <v>heidi.scheppmann@pwc.com</v>
      </c>
      <c r="G253" s="3" t="str">
        <f>IFERROR(__xludf.DUMMYFUNCTION("""COMPUTED_VALUE"""),"Workforce")</f>
        <v>Workforce</v>
      </c>
      <c r="H253" s="3" t="str">
        <f>IFERROR(__xludf.DUMMYFUNCTION("""COMPUTED_VALUE"""),"HI X-Sector")</f>
        <v>HI X-Sector</v>
      </c>
      <c r="I253" s="3" t="str">
        <f>IFERROR(__xludf.DUMMYFUNCTION("""COMPUTED_VALUE"""),"Workforce - Rewards &amp; Well Being")</f>
        <v>Workforce - Rewards &amp; Well Being</v>
      </c>
      <c r="J253" s="3" t="str">
        <f>IFERROR(__xludf.DUMMYFUNCTION("""COMPUTED_VALUE"""),"Managing Director")</f>
        <v>Managing Director</v>
      </c>
      <c r="K253" s="12">
        <f>IFERROR(__xludf.DUMMYFUNCTION("""COMPUTED_VALUE"""),43576.0)</f>
        <v>43576</v>
      </c>
      <c r="L253" s="3" t="str">
        <f>IFERROR(__xludf.DUMMYFUNCTION("""COMPUTED_VALUE"""),"Minneapolis")</f>
        <v>Minneapolis</v>
      </c>
      <c r="M253" s="3" t="str">
        <f>IFERROR(__xludf.DUMMYFUNCTION("""COMPUTED_VALUE"""),"Minneapolis - 45 South 7th Street")</f>
        <v>Minneapolis - 45 South 7th Street</v>
      </c>
      <c r="N253" s="3" t="b">
        <f>IFERROR(__xludf.DUMMYFUNCTION("""COMPUTED_VALUE"""),FALSE)</f>
        <v>0</v>
      </c>
      <c r="O253" s="3" t="str">
        <f>IFERROR(__xludf.DUMMYFUNCTION("""COMPUTED_VALUE"""),"insung.yuh@pwc.com")</f>
        <v>insung.yuh@pwc.com</v>
      </c>
      <c r="P253" s="3" t="str">
        <f>IFERROR(__xludf.DUMMYFUNCTION("""COMPUTED_VALUE"""),"No")</f>
        <v>No</v>
      </c>
      <c r="Q253" s="3" t="b">
        <f>IFERROR(__xludf.DUMMYFUNCTION("""COMPUTED_VALUE"""),FALSE)</f>
        <v>0</v>
      </c>
      <c r="R253" s="3"/>
      <c r="S253" s="3"/>
      <c r="T253" s="3" t="b">
        <f>IFERROR(__xludf.DUMMYFUNCTION("""COMPUTED_VALUE"""),FALSE)</f>
        <v>0</v>
      </c>
      <c r="U253" s="3" t="b">
        <f>IFERROR(__xludf.DUMMYFUNCTION("""COMPUTED_VALUE"""),FALSE)</f>
        <v>0</v>
      </c>
      <c r="V253" s="3" t="b">
        <f>IFERROR(__xludf.DUMMYFUNCTION("""COMPUTED_VALUE"""),FALSE)</f>
        <v>0</v>
      </c>
      <c r="W253" s="3" t="str">
        <f>IFERROR(__xludf.DUMMYFUNCTION("""COMPUTED_VALUE"""),"#N/A")</f>
        <v>#N/A</v>
      </c>
      <c r="X253" s="3" t="str">
        <f>IFERROR(__xludf.DUMMYFUNCTION("""COMPUTED_VALUE"""),"#N/A")</f>
        <v>#N/A</v>
      </c>
      <c r="Y253" s="3" t="str">
        <f>IFERROR(__xludf.DUMMYFUNCTION("""COMPUTED_VALUE"""),"#N/A")</f>
        <v>#N/A</v>
      </c>
      <c r="Z253" s="3" t="str">
        <f>IFERROR(__xludf.DUMMYFUNCTION("""COMPUTED_VALUE"""),"Unknown")</f>
        <v>Unknown</v>
      </c>
      <c r="AA253" s="3" t="b">
        <f>IFERROR(__xludf.DUMMYFUNCTION("""COMPUTED_VALUE"""),FALSE)</f>
        <v>0</v>
      </c>
    </row>
    <row r="254">
      <c r="A254" s="11">
        <f>IFERROR(__xludf.DUMMYFUNCTION("""COMPUTED_VALUE"""),1.00956516E8)</f>
        <v>100956516</v>
      </c>
      <c r="B254" s="3" t="str">
        <f>IFERROR(__xludf.DUMMYFUNCTION("""COMPUTED_VALUE"""),"Helene Kubon Skulstad")</f>
        <v>Helene Kubon Skulstad</v>
      </c>
      <c r="C254" s="3" t="str">
        <f>IFERROR(__xludf.DUMMYFUNCTION("""COMPUTED_VALUE"""),"Helene Kubon  Skulstad")</f>
        <v>Helene Kubon  Skulstad</v>
      </c>
      <c r="D254" s="3" t="str">
        <f>IFERROR(__xludf.DUMMYFUNCTION("""COMPUTED_VALUE"""),"Skulstad, Helene Kubon")</f>
        <v>Skulstad, Helene Kubon</v>
      </c>
      <c r="E254" s="3" t="str">
        <f>IFERROR(__xludf.DUMMYFUNCTION("""COMPUTED_VALUE"""),"Active")</f>
        <v>Active</v>
      </c>
      <c r="F254" s="3" t="str">
        <f>IFERROR(__xludf.DUMMYFUNCTION("""COMPUTED_VALUE"""),"helene.kubon.skulstad@pwc.com")</f>
        <v>helene.kubon.skulstad@pwc.com</v>
      </c>
      <c r="G254" s="3" t="str">
        <f>IFERROR(__xludf.DUMMYFUNCTION("""COMPUTED_VALUE"""),"Customer")</f>
        <v>Customer</v>
      </c>
      <c r="H254" s="3" t="str">
        <f>IFERROR(__xludf.DUMMYFUNCTION("""COMPUTED_VALUE"""),"CM X-Sector")</f>
        <v>CM X-Sector</v>
      </c>
      <c r="I254" s="3" t="str">
        <f>IFERROR(__xludf.DUMMYFUNCTION("""COMPUTED_VALUE"""),"Customer - Analytics")</f>
        <v>Customer - Analytics</v>
      </c>
      <c r="J254" s="3" t="str">
        <f>IFERROR(__xludf.DUMMYFUNCTION("""COMPUTED_VALUE"""),"Partner")</f>
        <v>Partner</v>
      </c>
      <c r="K254" s="12">
        <f>IFERROR(__xludf.DUMMYFUNCTION("""COMPUTED_VALUE"""),43843.0)</f>
        <v>43843</v>
      </c>
      <c r="L254" s="3" t="str">
        <f>IFERROR(__xludf.DUMMYFUNCTION("""COMPUTED_VALUE"""),"Boston")</f>
        <v>Boston</v>
      </c>
      <c r="M254" s="3" t="str">
        <f>IFERROR(__xludf.DUMMYFUNCTION("""COMPUTED_VALUE"""),"Boston - 101 Seaport Boulevard")</f>
        <v>Boston - 101 Seaport Boulevard</v>
      </c>
      <c r="N254" s="3" t="b">
        <f>IFERROR(__xludf.DUMMYFUNCTION("""COMPUTED_VALUE"""),FALSE)</f>
        <v>0</v>
      </c>
      <c r="O254" s="3" t="str">
        <f>IFERROR(__xludf.DUMMYFUNCTION("""COMPUTED_VALUE"""),"george.korizis@pwc.com")</f>
        <v>george.korizis@pwc.com</v>
      </c>
      <c r="P254" s="3" t="str">
        <f>IFERROR(__xludf.DUMMYFUNCTION("""COMPUTED_VALUE"""),"FY21 1st Half")</f>
        <v>FY21 1st Half</v>
      </c>
      <c r="Q254" s="3" t="b">
        <f>IFERROR(__xludf.DUMMYFUNCTION("""COMPUTED_VALUE"""),TRUE)</f>
        <v>1</v>
      </c>
      <c r="R254" s="3" t="str">
        <f>IFERROR(__xludf.DUMMYFUNCTION("""COMPUTED_VALUE"""),"LCP High")</f>
        <v>LCP High</v>
      </c>
      <c r="S254" s="3"/>
      <c r="T254" s="3" t="b">
        <f>IFERROR(__xludf.DUMMYFUNCTION("""COMPUTED_VALUE"""),TRUE)</f>
        <v>1</v>
      </c>
      <c r="U254" s="3" t="b">
        <f>IFERROR(__xludf.DUMMYFUNCTION("""COMPUTED_VALUE"""),FALSE)</f>
        <v>0</v>
      </c>
      <c r="V254" s="3" t="b">
        <f>IFERROR(__xludf.DUMMYFUNCTION("""COMPUTED_VALUE"""),FALSE)</f>
        <v>0</v>
      </c>
      <c r="W254" s="3" t="str">
        <f>IFERROR(__xludf.DUMMYFUNCTION("""COMPUTED_VALUE"""),"Catalyst")</f>
        <v>Catalyst</v>
      </c>
      <c r="X254" s="3" t="str">
        <f>IFERROR(__xludf.DUMMYFUNCTION("""COMPUTED_VALUE"""),"LCP")</f>
        <v>LCP</v>
      </c>
      <c r="Y254" s="3" t="str">
        <f>IFERROR(__xludf.DUMMYFUNCTION("""COMPUTED_VALUE"""),"GEP - High")</f>
        <v>GEP - High</v>
      </c>
      <c r="Z254" s="3" t="str">
        <f>IFERROR(__xludf.DUMMYFUNCTION("""COMPUTED_VALUE"""),"Commercial / CRM Transformation - FS &amp; TMT")</f>
        <v>Commercial / CRM Transformation - FS &amp; TMT</v>
      </c>
      <c r="AA254" s="3" t="b">
        <f>IFERROR(__xludf.DUMMYFUNCTION("""COMPUTED_VALUE"""),TRUE)</f>
        <v>1</v>
      </c>
    </row>
    <row r="255">
      <c r="A255" s="11">
        <f>IFERROR(__xludf.DUMMYFUNCTION("""COMPUTED_VALUE"""),1.00945646E8)</f>
        <v>100945646</v>
      </c>
      <c r="B255" s="3" t="str">
        <f>IFERROR(__xludf.DUMMYFUNCTION("""COMPUTED_VALUE"""),"Hemant Bhide")</f>
        <v>Hemant Bhide</v>
      </c>
      <c r="C255" s="3" t="str">
        <f>IFERROR(__xludf.DUMMYFUNCTION("""COMPUTED_VALUE"""),"Hemant  Bhide")</f>
        <v>Hemant  Bhide</v>
      </c>
      <c r="D255" s="3" t="str">
        <f>IFERROR(__xludf.DUMMYFUNCTION("""COMPUTED_VALUE"""),"Bhide, Hemant")</f>
        <v>Bhide, Hemant</v>
      </c>
      <c r="E255" s="3" t="str">
        <f>IFERROR(__xludf.DUMMYFUNCTION("""COMPUTED_VALUE"""),"Active")</f>
        <v>Active</v>
      </c>
      <c r="F255" s="3" t="str">
        <f>IFERROR(__xludf.DUMMYFUNCTION("""COMPUTED_VALUE"""),"hemant.bhide@pwc.com")</f>
        <v>hemant.bhide@pwc.com</v>
      </c>
      <c r="G255" s="3" t="str">
        <f>IFERROR(__xludf.DUMMYFUNCTION("""COMPUTED_VALUE"""),"FS")</f>
        <v>FS</v>
      </c>
      <c r="H255" s="3" t="str">
        <f>IFERROR(__xludf.DUMMYFUNCTION("""COMPUTED_VALUE"""),"Asset and Wealth Management")</f>
        <v>Asset and Wealth Management</v>
      </c>
      <c r="I255" s="3" t="str">
        <f>IFERROR(__xludf.DUMMYFUNCTION("""COMPUTED_VALUE"""),"FS - Asset Wealth Management")</f>
        <v>FS - Asset Wealth Management</v>
      </c>
      <c r="J255" s="3" t="str">
        <f>IFERROR(__xludf.DUMMYFUNCTION("""COMPUTED_VALUE"""),"Partner")</f>
        <v>Partner</v>
      </c>
      <c r="K255" s="12">
        <f>IFERROR(__xludf.DUMMYFUNCTION("""COMPUTED_VALUE"""),43753.0)</f>
        <v>43753</v>
      </c>
      <c r="L255" s="3" t="str">
        <f>IFERROR(__xludf.DUMMYFUNCTION("""COMPUTED_VALUE"""),"Boston")</f>
        <v>Boston</v>
      </c>
      <c r="M255" s="3" t="str">
        <f>IFERROR(__xludf.DUMMYFUNCTION("""COMPUTED_VALUE"""),"Boston - 101 Seaport Boulevard")</f>
        <v>Boston - 101 Seaport Boulevard</v>
      </c>
      <c r="N255" s="3" t="b">
        <f>IFERROR(__xludf.DUMMYFUNCTION("""COMPUTED_VALUE"""),FALSE)</f>
        <v>0</v>
      </c>
      <c r="O255" s="3" t="str">
        <f>IFERROR(__xludf.DUMMYFUNCTION("""COMPUTED_VALUE"""),"alison.hoover@pwc.com")</f>
        <v>alison.hoover@pwc.com</v>
      </c>
      <c r="P255" s="3" t="str">
        <f>IFERROR(__xludf.DUMMYFUNCTION("""COMPUTED_VALUE"""),"No")</f>
        <v>No</v>
      </c>
      <c r="Q255" s="3" t="b">
        <f>IFERROR(__xludf.DUMMYFUNCTION("""COMPUTED_VALUE"""),TRUE)</f>
        <v>1</v>
      </c>
      <c r="R255" s="3" t="str">
        <f>IFERROR(__xludf.DUMMYFUNCTION("""COMPUTED_VALUE"""),"LCP High")</f>
        <v>LCP High</v>
      </c>
      <c r="S255" s="3"/>
      <c r="T255" s="3" t="b">
        <f>IFERROR(__xludf.DUMMYFUNCTION("""COMPUTED_VALUE"""),FALSE)</f>
        <v>0</v>
      </c>
      <c r="U255" s="3" t="b">
        <f>IFERROR(__xludf.DUMMYFUNCTION("""COMPUTED_VALUE"""),FALSE)</f>
        <v>0</v>
      </c>
      <c r="V255" s="3" t="b">
        <f>IFERROR(__xludf.DUMMYFUNCTION("""COMPUTED_VALUE"""),FALSE)</f>
        <v>0</v>
      </c>
      <c r="W255" s="3" t="str">
        <f>IFERROR(__xludf.DUMMYFUNCTION("""COMPUTED_VALUE"""),"LCP")</f>
        <v>LCP</v>
      </c>
      <c r="X255" s="3"/>
      <c r="Y255" s="3" t="str">
        <f>IFERROR(__xludf.DUMMYFUNCTION("""COMPUTED_VALUE"""),"GEP - High")</f>
        <v>GEP - High</v>
      </c>
      <c r="Z255" s="3" t="str">
        <f>IFERROR(__xludf.DUMMYFUNCTION("""COMPUTED_VALUE"""),"AWM Transformation")</f>
        <v>AWM Transformation</v>
      </c>
      <c r="AA255" s="3" t="b">
        <f>IFERROR(__xludf.DUMMYFUNCTION("""COMPUTED_VALUE"""),FALSE)</f>
        <v>0</v>
      </c>
    </row>
    <row r="256">
      <c r="A256" s="11">
        <f>IFERROR(__xludf.DUMMYFUNCTION("""COMPUTED_VALUE"""),1.00652316E8)</f>
        <v>100652316</v>
      </c>
      <c r="B256" s="3" t="str">
        <f>IFERROR(__xludf.DUMMYFUNCTION("""COMPUTED_VALUE"""),"Henning Hagen")</f>
        <v>Henning Hagen</v>
      </c>
      <c r="C256" s="3" t="str">
        <f>IFERROR(__xludf.DUMMYFUNCTION("""COMPUTED_VALUE"""),"Henning  Hagen")</f>
        <v>Henning  Hagen</v>
      </c>
      <c r="D256" s="3" t="str">
        <f>IFERROR(__xludf.DUMMYFUNCTION("""COMPUTED_VALUE"""),"Hagen, Henning")</f>
        <v>Hagen, Henning</v>
      </c>
      <c r="E256" s="3" t="str">
        <f>IFERROR(__xludf.DUMMYFUNCTION("""COMPUTED_VALUE"""),"Active")</f>
        <v>Active</v>
      </c>
      <c r="F256" s="3" t="str">
        <f>IFERROR(__xludf.DUMMYFUNCTION("""COMPUTED_VALUE"""),"henning.hagen@pwc.com")</f>
        <v>henning.hagen@pwc.com</v>
      </c>
      <c r="G256" s="3" t="str">
        <f>IFERROR(__xludf.DUMMYFUNCTION("""COMPUTED_VALUE"""),"ESV")</f>
        <v>ESV</v>
      </c>
      <c r="H256" s="3" t="str">
        <f>IFERROR(__xludf.DUMMYFUNCTION("""COMPUTED_VALUE"""),"TMT X-Sector")</f>
        <v>TMT X-Sector</v>
      </c>
      <c r="I256" s="3" t="str">
        <f>IFERROR(__xludf.DUMMYFUNCTION("""COMPUTED_VALUE"""),"ESV - TMT")</f>
        <v>ESV - TMT</v>
      </c>
      <c r="J256" s="3" t="str">
        <f>IFERROR(__xludf.DUMMYFUNCTION("""COMPUTED_VALUE"""),"Partner")</f>
        <v>Partner</v>
      </c>
      <c r="K256" s="12">
        <f>IFERROR(__xludf.DUMMYFUNCTION("""COMPUTED_VALUE"""),42186.0)</f>
        <v>42186</v>
      </c>
      <c r="L256" s="3" t="str">
        <f>IFERROR(__xludf.DUMMYFUNCTION("""COMPUTED_VALUE"""),"Seattle")</f>
        <v>Seattle</v>
      </c>
      <c r="M256" s="3" t="str">
        <f>IFERROR(__xludf.DUMMYFUNCTION("""COMPUTED_VALUE"""),"Seattle - 1420 Fifth Avenue")</f>
        <v>Seattle - 1420 Fifth Avenue</v>
      </c>
      <c r="N256" s="3" t="b">
        <f>IFERROR(__xludf.DUMMYFUNCTION("""COMPUTED_VALUE"""),FALSE)</f>
        <v>0</v>
      </c>
      <c r="O256" s="3" t="str">
        <f>IFERROR(__xludf.DUMMYFUNCTION("""COMPUTED_VALUE"""),"sundar.subramanian@pwc.com")</f>
        <v>sundar.subramanian@pwc.com</v>
      </c>
      <c r="P256" s="3" t="str">
        <f>IFERROR(__xludf.DUMMYFUNCTION("""COMPUTED_VALUE"""),"No")</f>
        <v>No</v>
      </c>
      <c r="Q256" s="3" t="b">
        <f>IFERROR(__xludf.DUMMYFUNCTION("""COMPUTED_VALUE"""),FALSE)</f>
        <v>0</v>
      </c>
      <c r="R256" s="3"/>
      <c r="S256" s="3"/>
      <c r="T256" s="3" t="b">
        <f>IFERROR(__xludf.DUMMYFUNCTION("""COMPUTED_VALUE"""),FALSE)</f>
        <v>0</v>
      </c>
      <c r="U256" s="3" t="b">
        <f>IFERROR(__xludf.DUMMYFUNCTION("""COMPUTED_VALUE"""),TRUE)</f>
        <v>1</v>
      </c>
      <c r="V256" s="3" t="b">
        <f>IFERROR(__xludf.DUMMYFUNCTION("""COMPUTED_VALUE"""),FALSE)</f>
        <v>0</v>
      </c>
      <c r="W256" s="3" t="str">
        <f>IFERROR(__xludf.DUMMYFUNCTION("""COMPUTED_VALUE"""),"Delivery")</f>
        <v>Delivery</v>
      </c>
      <c r="X256" s="3"/>
      <c r="Y256" s="3"/>
      <c r="Z256" s="3" t="str">
        <f>IFERROR(__xludf.DUMMYFUNCTION("""COMPUTED_VALUE"""),"Enterprise Digital Transformation - TMT")</f>
        <v>Enterprise Digital Transformation - TMT</v>
      </c>
      <c r="AA256" s="3" t="b">
        <f>IFERROR(__xludf.DUMMYFUNCTION("""COMPUTED_VALUE"""),FALSE)</f>
        <v>0</v>
      </c>
    </row>
    <row r="257">
      <c r="A257" s="11">
        <f>IFERROR(__xludf.DUMMYFUNCTION("""COMPUTED_VALUE"""),1.00623453E8)</f>
        <v>100623453</v>
      </c>
      <c r="B257" s="3" t="str">
        <f>IFERROR(__xludf.DUMMYFUNCTION("""COMPUTED_VALUE"""),"Holly McKenzie")</f>
        <v>Holly McKenzie</v>
      </c>
      <c r="C257" s="3" t="str">
        <f>IFERROR(__xludf.DUMMYFUNCTION("""COMPUTED_VALUE"""),"Holly R McKenzie")</f>
        <v>Holly R McKenzie</v>
      </c>
      <c r="D257" s="3" t="str">
        <f>IFERROR(__xludf.DUMMYFUNCTION("""COMPUTED_VALUE"""),"McKenzie, Holly R")</f>
        <v>McKenzie, Holly R</v>
      </c>
      <c r="E257" s="3" t="str">
        <f>IFERROR(__xludf.DUMMYFUNCTION("""COMPUTED_VALUE"""),"Active")</f>
        <v>Active</v>
      </c>
      <c r="F257" s="3" t="str">
        <f>IFERROR(__xludf.DUMMYFUNCTION("""COMPUTED_VALUE"""),"holly.mckenzie@pwc.com")</f>
        <v>holly.mckenzie@pwc.com</v>
      </c>
      <c r="G257" s="3" t="str">
        <f>IFERROR(__xludf.DUMMYFUNCTION("""COMPUTED_VALUE"""),"Finance")</f>
        <v>Finance</v>
      </c>
      <c r="H257" s="3" t="str">
        <f>IFERROR(__xludf.DUMMYFUNCTION("""COMPUTED_VALUE"""),"Aerospace and Defence")</f>
        <v>Aerospace and Defence</v>
      </c>
      <c r="I257" s="3" t="str">
        <f>IFERROR(__xludf.DUMMYFUNCTION("""COMPUTED_VALUE"""),"Finance - Financial Operations")</f>
        <v>Finance - Financial Operations</v>
      </c>
      <c r="J257" s="3" t="str">
        <f>IFERROR(__xludf.DUMMYFUNCTION("""COMPUTED_VALUE"""),"Partner")</f>
        <v>Partner</v>
      </c>
      <c r="K257" s="12">
        <f>IFERROR(__xludf.DUMMYFUNCTION("""COMPUTED_VALUE"""),38438.0)</f>
        <v>38438</v>
      </c>
      <c r="L257" s="3" t="str">
        <f>IFERROR(__xludf.DUMMYFUNCTION("""COMPUTED_VALUE"""),"Washington")</f>
        <v>Washington</v>
      </c>
      <c r="M257" s="3" t="str">
        <f>IFERROR(__xludf.DUMMYFUNCTION("""COMPUTED_VALUE"""),"Washington DC - 655 New York Avenue")</f>
        <v>Washington DC - 655 New York Avenue</v>
      </c>
      <c r="N257" s="3" t="b">
        <f>IFERROR(__xludf.DUMMYFUNCTION("""COMPUTED_VALUE"""),FALSE)</f>
        <v>0</v>
      </c>
      <c r="O257" s="3" t="str">
        <f>IFERROR(__xludf.DUMMYFUNCTION("""COMPUTED_VALUE"""),"kurtis.babczenko@pwc.com")</f>
        <v>kurtis.babczenko@pwc.com</v>
      </c>
      <c r="P257" s="3" t="str">
        <f>IFERROR(__xludf.DUMMYFUNCTION("""COMPUTED_VALUE"""),"No")</f>
        <v>No</v>
      </c>
      <c r="Q257" s="3" t="b">
        <f>IFERROR(__xludf.DUMMYFUNCTION("""COMPUTED_VALUE"""),TRUE)</f>
        <v>1</v>
      </c>
      <c r="R257" s="3" t="str">
        <f>IFERROR(__xludf.DUMMYFUNCTION("""COMPUTED_VALUE"""),"LCP High")</f>
        <v>LCP High</v>
      </c>
      <c r="S257" s="3"/>
      <c r="T257" s="3" t="b">
        <f>IFERROR(__xludf.DUMMYFUNCTION("""COMPUTED_VALUE"""),FALSE)</f>
        <v>0</v>
      </c>
      <c r="U257" s="3" t="b">
        <f>IFERROR(__xludf.DUMMYFUNCTION("""COMPUTED_VALUE"""),FALSE)</f>
        <v>0</v>
      </c>
      <c r="V257" s="3" t="b">
        <f>IFERROR(__xludf.DUMMYFUNCTION("""COMPUTED_VALUE"""),FALSE)</f>
        <v>0</v>
      </c>
      <c r="W257" s="3" t="str">
        <f>IFERROR(__xludf.DUMMYFUNCTION("""COMPUTED_VALUE"""),"LCP")</f>
        <v>LCP</v>
      </c>
      <c r="X257" s="3" t="str">
        <f>IFERROR(__xludf.DUMMYFUNCTION("""COMPUTED_VALUE"""),"Investment")</f>
        <v>Investment</v>
      </c>
      <c r="Y257" s="3" t="str">
        <f>IFERROR(__xludf.DUMMYFUNCTION("""COMPUTED_VALUE"""),"GEP - High")</f>
        <v>GEP - High</v>
      </c>
      <c r="Z257" s="3" t="str">
        <f>IFERROR(__xludf.DUMMYFUNCTION("""COMPUTED_VALUE"""),"Finance Transformation IPS - IP")</f>
        <v>Finance Transformation IPS - IP</v>
      </c>
      <c r="AA257" s="3" t="b">
        <f>IFERROR(__xludf.DUMMYFUNCTION("""COMPUTED_VALUE"""),FALSE)</f>
        <v>0</v>
      </c>
    </row>
    <row r="258">
      <c r="A258" s="11">
        <f>IFERROR(__xludf.DUMMYFUNCTION("""COMPUTED_VALUE"""),1.00869732E8)</f>
        <v>100869732</v>
      </c>
      <c r="B258" s="3" t="str">
        <f>IFERROR(__xludf.DUMMYFUNCTION("""COMPUTED_VALUE"""),"Ian Shafer")</f>
        <v>Ian Shafer</v>
      </c>
      <c r="C258" s="3" t="str">
        <f>IFERROR(__xludf.DUMMYFUNCTION("""COMPUTED_VALUE"""),"Ian Christopher Shafer")</f>
        <v>Ian Christopher Shafer</v>
      </c>
      <c r="D258" s="3" t="str">
        <f>IFERROR(__xludf.DUMMYFUNCTION("""COMPUTED_VALUE"""),"Shafer, Ian Christopher")</f>
        <v>Shafer, Ian Christopher</v>
      </c>
      <c r="E258" s="3" t="str">
        <f>IFERROR(__xludf.DUMMYFUNCTION("""COMPUTED_VALUE"""),"Active")</f>
        <v>Active</v>
      </c>
      <c r="F258" s="3" t="str">
        <f>IFERROR(__xludf.DUMMYFUNCTION("""COMPUTED_VALUE"""),"ian.shafer@pwc.com")</f>
        <v>ian.shafer@pwc.com</v>
      </c>
      <c r="G258" s="3" t="str">
        <f>IFERROR(__xludf.DUMMYFUNCTION("""COMPUTED_VALUE"""),"Health")</f>
        <v>Health</v>
      </c>
      <c r="H258" s="3" t="str">
        <f>IFERROR(__xludf.DUMMYFUNCTION("""COMPUTED_VALUE"""),"Pharma and Life Sciences")</f>
        <v>Pharma and Life Sciences</v>
      </c>
      <c r="I258" s="3" t="str">
        <f>IFERROR(__xludf.DUMMYFUNCTION("""COMPUTED_VALUE"""),"Health - R&amp;D Future of Clinical Trials")</f>
        <v>Health - R&amp;D Future of Clinical Trials</v>
      </c>
      <c r="J258" s="3" t="str">
        <f>IFERROR(__xludf.DUMMYFUNCTION("""COMPUTED_VALUE"""),"Partner")</f>
        <v>Partner</v>
      </c>
      <c r="K258" s="12">
        <f>IFERROR(__xludf.DUMMYFUNCTION("""COMPUTED_VALUE"""),43473.0)</f>
        <v>43473</v>
      </c>
      <c r="L258" s="3" t="str">
        <f>IFERROR(__xludf.DUMMYFUNCTION("""COMPUTED_VALUE"""),"Florham Park")</f>
        <v>Florham Park</v>
      </c>
      <c r="M258" s="3" t="str">
        <f>IFERROR(__xludf.DUMMYFUNCTION("""COMPUTED_VALUE"""),"Florham Park - 400 Campus Drive")</f>
        <v>Florham Park - 400 Campus Drive</v>
      </c>
      <c r="N258" s="3" t="b">
        <f>IFERROR(__xludf.DUMMYFUNCTION("""COMPUTED_VALUE"""),FALSE)</f>
        <v>0</v>
      </c>
      <c r="O258" s="3" t="str">
        <f>IFERROR(__xludf.DUMMYFUNCTION("""COMPUTED_VALUE"""),"craig.e.gooch@pwc.com")</f>
        <v>craig.e.gooch@pwc.com</v>
      </c>
      <c r="P258" s="3" t="str">
        <f>IFERROR(__xludf.DUMMYFUNCTION("""COMPUTED_VALUE"""),"No")</f>
        <v>No</v>
      </c>
      <c r="Q258" s="3" t="b">
        <f>IFERROR(__xludf.DUMMYFUNCTION("""COMPUTED_VALUE"""),FALSE)</f>
        <v>0</v>
      </c>
      <c r="R258" s="3"/>
      <c r="S258" s="3"/>
      <c r="T258" s="3" t="b">
        <f>IFERROR(__xludf.DUMMYFUNCTION("""COMPUTED_VALUE"""),FALSE)</f>
        <v>0</v>
      </c>
      <c r="U258" s="3" t="b">
        <f>IFERROR(__xludf.DUMMYFUNCTION("""COMPUTED_VALUE"""),TRUE)</f>
        <v>1</v>
      </c>
      <c r="V258" s="3" t="b">
        <f>IFERROR(__xludf.DUMMYFUNCTION("""COMPUTED_VALUE"""),FALSE)</f>
        <v>0</v>
      </c>
      <c r="W258" s="3" t="str">
        <f>IFERROR(__xludf.DUMMYFUNCTION("""COMPUTED_VALUE"""),"Delivery")</f>
        <v>Delivery</v>
      </c>
      <c r="X258" s="3"/>
      <c r="Y258" s="3"/>
      <c r="Z258" s="3" t="str">
        <f>IFERROR(__xludf.DUMMYFUNCTION("""COMPUTED_VALUE"""),"Clinical R&amp;D")</f>
        <v>Clinical R&amp;D</v>
      </c>
      <c r="AA258" s="3" t="b">
        <f>IFERROR(__xludf.DUMMYFUNCTION("""COMPUTED_VALUE"""),FALSE)</f>
        <v>0</v>
      </c>
    </row>
    <row r="259">
      <c r="A259" s="11">
        <f>IFERROR(__xludf.DUMMYFUNCTION("""COMPUTED_VALUE"""),1.00649481E8)</f>
        <v>100649481</v>
      </c>
      <c r="B259" s="3" t="str">
        <f>IFERROR(__xludf.DUMMYFUNCTION("""COMPUTED_VALUE"""),"Igor Belokrinitsky")</f>
        <v>Igor Belokrinitsky</v>
      </c>
      <c r="C259" s="3" t="str">
        <f>IFERROR(__xludf.DUMMYFUNCTION("""COMPUTED_VALUE"""),"Igor M Belokrinitsky")</f>
        <v>Igor M Belokrinitsky</v>
      </c>
      <c r="D259" s="3" t="str">
        <f>IFERROR(__xludf.DUMMYFUNCTION("""COMPUTED_VALUE"""),"Belokrinitsky, Igor M")</f>
        <v>Belokrinitsky, Igor M</v>
      </c>
      <c r="E259" s="3" t="str">
        <f>IFERROR(__xludf.DUMMYFUNCTION("""COMPUTED_VALUE"""),"Active")</f>
        <v>Active</v>
      </c>
      <c r="F259" s="3" t="str">
        <f>IFERROR(__xludf.DUMMYFUNCTION("""COMPUTED_VALUE"""),"igor.belokrinitsky@pwc.com")</f>
        <v>igor.belokrinitsky@pwc.com</v>
      </c>
      <c r="G259" s="3" t="str">
        <f>IFERROR(__xludf.DUMMYFUNCTION("""COMPUTED_VALUE"""),"ESV")</f>
        <v>ESV</v>
      </c>
      <c r="H259" s="3" t="str">
        <f>IFERROR(__xludf.DUMMYFUNCTION("""COMPUTED_VALUE"""),"Health Services")</f>
        <v>Health Services</v>
      </c>
      <c r="I259" s="3" t="str">
        <f>IFERROR(__xludf.DUMMYFUNCTION("""COMPUTED_VALUE"""),"ESV - Health Services")</f>
        <v>ESV - Health Services</v>
      </c>
      <c r="J259" s="3" t="str">
        <f>IFERROR(__xludf.DUMMYFUNCTION("""COMPUTED_VALUE"""),"Partner")</f>
        <v>Partner</v>
      </c>
      <c r="K259" s="12">
        <f>IFERROR(__xludf.DUMMYFUNCTION("""COMPUTED_VALUE"""),42186.0)</f>
        <v>42186</v>
      </c>
      <c r="L259" s="3" t="str">
        <f>IFERROR(__xludf.DUMMYFUNCTION("""COMPUTED_VALUE"""),"San Francisco")</f>
        <v>San Francisco</v>
      </c>
      <c r="M259" s="3" t="str">
        <f>IFERROR(__xludf.DUMMYFUNCTION("""COMPUTED_VALUE"""),"San Francisco - 405 Howard St")</f>
        <v>San Francisco - 405 Howard St</v>
      </c>
      <c r="N259" s="3" t="b">
        <f>IFERROR(__xludf.DUMMYFUNCTION("""COMPUTED_VALUE"""),FALSE)</f>
        <v>0</v>
      </c>
      <c r="O259" s="3" t="str">
        <f>IFERROR(__xludf.DUMMYFUNCTION("""COMPUTED_VALUE"""),"sundar.subramanian@pwc.com")</f>
        <v>sundar.subramanian@pwc.com</v>
      </c>
      <c r="P259" s="3" t="str">
        <f>IFERROR(__xludf.DUMMYFUNCTION("""COMPUTED_VALUE"""),"No")</f>
        <v>No</v>
      </c>
      <c r="Q259" s="3" t="b">
        <f>IFERROR(__xludf.DUMMYFUNCTION("""COMPUTED_VALUE"""),FALSE)</f>
        <v>0</v>
      </c>
      <c r="R259" s="3"/>
      <c r="S259" s="3"/>
      <c r="T259" s="3" t="b">
        <f>IFERROR(__xludf.DUMMYFUNCTION("""COMPUTED_VALUE"""),FALSE)</f>
        <v>0</v>
      </c>
      <c r="U259" s="3" t="b">
        <f>IFERROR(__xludf.DUMMYFUNCTION("""COMPUTED_VALUE"""),TRUE)</f>
        <v>1</v>
      </c>
      <c r="V259" s="3" t="b">
        <f>IFERROR(__xludf.DUMMYFUNCTION("""COMPUTED_VALUE"""),FALSE)</f>
        <v>0</v>
      </c>
      <c r="W259" s="3" t="str">
        <f>IFERROR(__xludf.DUMMYFUNCTION("""COMPUTED_VALUE"""),"Delivery")</f>
        <v>Delivery</v>
      </c>
      <c r="X259" s="3" t="str">
        <f>IFERROR(__xludf.DUMMYFUNCTION("""COMPUTED_VALUE"""),"Investment")</f>
        <v>Investment</v>
      </c>
      <c r="Y259" s="3"/>
      <c r="Z259" s="3" t="str">
        <f>IFERROR(__xludf.DUMMYFUNCTION("""COMPUTED_VALUE"""),"Enterprise Digital Transformation - Health Services")</f>
        <v>Enterprise Digital Transformation - Health Services</v>
      </c>
      <c r="AA259" s="3" t="b">
        <f>IFERROR(__xludf.DUMMYFUNCTION("""COMPUTED_VALUE"""),FALSE)</f>
        <v>0</v>
      </c>
    </row>
    <row r="260">
      <c r="A260" s="11">
        <f>IFERROR(__xludf.DUMMYFUNCTION("""COMPUTED_VALUE"""),1.01000708E8)</f>
        <v>101000708</v>
      </c>
      <c r="B260" s="3" t="str">
        <f>IFERROR(__xludf.DUMMYFUNCTION("""COMPUTED_VALUE"""),"In Sung Yuh")</f>
        <v>In Sung Yuh</v>
      </c>
      <c r="C260" s="3" t="str">
        <f>IFERROR(__xludf.DUMMYFUNCTION("""COMPUTED_VALUE"""),"Christian In Sung Yuh")</f>
        <v>Christian In Sung Yuh</v>
      </c>
      <c r="D260" s="3" t="str">
        <f>IFERROR(__xludf.DUMMYFUNCTION("""COMPUTED_VALUE"""),"Yuh, Christian In Sung")</f>
        <v>Yuh, Christian In Sung</v>
      </c>
      <c r="E260" s="3" t="str">
        <f>IFERROR(__xludf.DUMMYFUNCTION("""COMPUTED_VALUE"""),"Active")</f>
        <v>Active</v>
      </c>
      <c r="F260" s="3" t="str">
        <f>IFERROR(__xludf.DUMMYFUNCTION("""COMPUTED_VALUE"""),"insung.yuh@pwc.com")</f>
        <v>insung.yuh@pwc.com</v>
      </c>
      <c r="G260" s="3" t="str">
        <f>IFERROR(__xludf.DUMMYFUNCTION("""COMPUTED_VALUE"""),"Workforce")</f>
        <v>Workforce</v>
      </c>
      <c r="H260" s="3" t="str">
        <f>IFERROR(__xludf.DUMMYFUNCTION("""COMPUTED_VALUE"""),"IMA X-Sector")</f>
        <v>IMA X-Sector</v>
      </c>
      <c r="I260" s="3" t="str">
        <f>IFERROR(__xludf.DUMMYFUNCTION("""COMPUTED_VALUE"""),"Workforce - Rewards &amp; Well Being")</f>
        <v>Workforce - Rewards &amp; Well Being</v>
      </c>
      <c r="J260" s="3" t="str">
        <f>IFERROR(__xludf.DUMMYFUNCTION("""COMPUTED_VALUE"""),"Partner")</f>
        <v>Partner</v>
      </c>
      <c r="K260" s="12">
        <f>IFERROR(__xludf.DUMMYFUNCTION("""COMPUTED_VALUE"""),44011.0)</f>
        <v>44011</v>
      </c>
      <c r="L260" s="3" t="str">
        <f>IFERROR(__xludf.DUMMYFUNCTION("""COMPUTED_VALUE"""),"Washington")</f>
        <v>Washington</v>
      </c>
      <c r="M260" s="3" t="str">
        <f>IFERROR(__xludf.DUMMYFUNCTION("""COMPUTED_VALUE"""),"Washington DC - 655 New York Avenue")</f>
        <v>Washington DC - 655 New York Avenue</v>
      </c>
      <c r="N260" s="3" t="b">
        <f>IFERROR(__xludf.DUMMYFUNCTION("""COMPUTED_VALUE"""),FALSE)</f>
        <v>0</v>
      </c>
      <c r="O260" s="3" t="str">
        <f>IFERROR(__xludf.DUMMYFUNCTION("""COMPUTED_VALUE"""),"craig.odonnell@pwc.com")</f>
        <v>craig.odonnell@pwc.com</v>
      </c>
      <c r="P260" s="3" t="str">
        <f>IFERROR(__xludf.DUMMYFUNCTION("""COMPUTED_VALUE"""),"FY21 1st Half")</f>
        <v>FY21 1st Half</v>
      </c>
      <c r="Q260" s="3" t="b">
        <f>IFERROR(__xludf.DUMMYFUNCTION("""COMPUTED_VALUE"""),FALSE)</f>
        <v>0</v>
      </c>
      <c r="R260" s="3"/>
      <c r="S260" s="3"/>
      <c r="T260" s="3" t="b">
        <f>IFERROR(__xludf.DUMMYFUNCTION("""COMPUTED_VALUE"""),FALSE)</f>
        <v>0</v>
      </c>
      <c r="U260" s="3" t="b">
        <f>IFERROR(__xludf.DUMMYFUNCTION("""COMPUTED_VALUE"""),TRUE)</f>
        <v>1</v>
      </c>
      <c r="V260" s="3" t="b">
        <f>IFERROR(__xludf.DUMMYFUNCTION("""COMPUTED_VALUE"""),FALSE)</f>
        <v>0</v>
      </c>
      <c r="W260" s="3" t="str">
        <f>IFERROR(__xludf.DUMMYFUNCTION("""COMPUTED_VALUE"""),"Catalyst")</f>
        <v>Catalyst</v>
      </c>
      <c r="X260" s="3"/>
      <c r="Y260" s="3" t="str">
        <f>IFERROR(__xludf.DUMMYFUNCTION("""COMPUTED_VALUE"""),"FY21 1st Half")</f>
        <v>FY21 1st Half</v>
      </c>
      <c r="Z260" s="3" t="str">
        <f>IFERROR(__xludf.DUMMYFUNCTION("""COMPUTED_VALUE"""),"Rewards and Well-Being")</f>
        <v>Rewards and Well-Being</v>
      </c>
      <c r="AA260" s="3" t="b">
        <f>IFERROR(__xludf.DUMMYFUNCTION("""COMPUTED_VALUE"""),FALSE)</f>
        <v>0</v>
      </c>
    </row>
    <row r="261">
      <c r="A261" s="11">
        <f>IFERROR(__xludf.DUMMYFUNCTION("""COMPUTED_VALUE"""),1.00659458E8)</f>
        <v>100659458</v>
      </c>
      <c r="B261" s="3" t="str">
        <f>IFERROR(__xludf.DUMMYFUNCTION("""COMPUTED_VALUE"""),"Isaac Buchen")</f>
        <v>Isaac Buchen</v>
      </c>
      <c r="C261" s="3" t="str">
        <f>IFERROR(__xludf.DUMMYFUNCTION("""COMPUTED_VALUE"""),"Isaac J Buchen")</f>
        <v>Isaac J Buchen</v>
      </c>
      <c r="D261" s="3" t="str">
        <f>IFERROR(__xludf.DUMMYFUNCTION("""COMPUTED_VALUE"""),"Buchen, Isaac J")</f>
        <v>Buchen, Isaac J</v>
      </c>
      <c r="E261" s="3" t="str">
        <f>IFERROR(__xludf.DUMMYFUNCTION("""COMPUTED_VALUE"""),"Active")</f>
        <v>Active</v>
      </c>
      <c r="F261" s="3" t="str">
        <f>IFERROR(__xludf.DUMMYFUNCTION("""COMPUTED_VALUE"""),"isaac.j.buchen@pwc.com")</f>
        <v>isaac.j.buchen@pwc.com</v>
      </c>
      <c r="G261" s="3" t="str">
        <f>IFERROR(__xludf.DUMMYFUNCTION("""COMPUTED_VALUE"""),"Workforce")</f>
        <v>Workforce</v>
      </c>
      <c r="H261" s="3" t="str">
        <f>IFERROR(__xludf.DUMMYFUNCTION("""COMPUTED_VALUE"""),"IMA X-Sector")</f>
        <v>IMA X-Sector</v>
      </c>
      <c r="I261" s="3" t="str">
        <f>IFERROR(__xludf.DUMMYFUNCTION("""COMPUTED_VALUE"""),"Workforce - Rewards &amp; Well Being")</f>
        <v>Workforce - Rewards &amp; Well Being</v>
      </c>
      <c r="J261" s="3" t="str">
        <f>IFERROR(__xludf.DUMMYFUNCTION("""COMPUTED_VALUE"""),"Partner")</f>
        <v>Partner</v>
      </c>
      <c r="K261" s="12">
        <f>IFERROR(__xludf.DUMMYFUNCTION("""COMPUTED_VALUE"""),35429.0)</f>
        <v>35429</v>
      </c>
      <c r="L261" s="3" t="str">
        <f>IFERROR(__xludf.DUMMYFUNCTION("""COMPUTED_VALUE"""),"New York")</f>
        <v>New York</v>
      </c>
      <c r="M261" s="3" t="str">
        <f>IFERROR(__xludf.DUMMYFUNCTION("""COMPUTED_VALUE"""),"New York - 300 Madison Avenue")</f>
        <v>New York - 300 Madison Avenue</v>
      </c>
      <c r="N261" s="3" t="b">
        <f>IFERROR(__xludf.DUMMYFUNCTION("""COMPUTED_VALUE"""),FALSE)</f>
        <v>0</v>
      </c>
      <c r="O261" s="3" t="str">
        <f>IFERROR(__xludf.DUMMYFUNCTION("""COMPUTED_VALUE"""),"craig.odonnell@pwc.com")</f>
        <v>craig.odonnell@pwc.com</v>
      </c>
      <c r="P261" s="3" t="str">
        <f>IFERROR(__xludf.DUMMYFUNCTION("""COMPUTED_VALUE"""),"No")</f>
        <v>No</v>
      </c>
      <c r="Q261" s="3" t="b">
        <f>IFERROR(__xludf.DUMMYFUNCTION("""COMPUTED_VALUE"""),FALSE)</f>
        <v>0</v>
      </c>
      <c r="R261" s="3"/>
      <c r="S261" s="3"/>
      <c r="T261" s="3" t="b">
        <f>IFERROR(__xludf.DUMMYFUNCTION("""COMPUTED_VALUE"""),FALSE)</f>
        <v>0</v>
      </c>
      <c r="U261" s="3" t="b">
        <f>IFERROR(__xludf.DUMMYFUNCTION("""COMPUTED_VALUE"""),FALSE)</f>
        <v>0</v>
      </c>
      <c r="V261" s="3" t="b">
        <f>IFERROR(__xludf.DUMMYFUNCTION("""COMPUTED_VALUE"""),FALSE)</f>
        <v>0</v>
      </c>
      <c r="W261" s="3" t="str">
        <f>IFERROR(__xludf.DUMMYFUNCTION("""COMPUTED_VALUE"""),"#N/A")</f>
        <v>#N/A</v>
      </c>
      <c r="X261" s="3" t="str">
        <f>IFERROR(__xludf.DUMMYFUNCTION("""COMPUTED_VALUE"""),"#N/A")</f>
        <v>#N/A</v>
      </c>
      <c r="Y261" s="3" t="str">
        <f>IFERROR(__xludf.DUMMYFUNCTION("""COMPUTED_VALUE"""),"#N/A")</f>
        <v>#N/A</v>
      </c>
      <c r="Z261" s="3" t="str">
        <f>IFERROR(__xludf.DUMMYFUNCTION("""COMPUTED_VALUE"""),"Unknown")</f>
        <v>Unknown</v>
      </c>
      <c r="AA261" s="3" t="b">
        <f>IFERROR(__xludf.DUMMYFUNCTION("""COMPUTED_VALUE"""),FALSE)</f>
        <v>0</v>
      </c>
    </row>
    <row r="262">
      <c r="A262" s="11">
        <f>IFERROR(__xludf.DUMMYFUNCTION("""COMPUTED_VALUE"""),1.00652479E8)</f>
        <v>100652479</v>
      </c>
      <c r="B262" s="3" t="str">
        <f>IFERROR(__xludf.DUMMYFUNCTION("""COMPUTED_VALUE"""),"Jack Abraham")</f>
        <v>Jack Abraham</v>
      </c>
      <c r="C262" s="3" t="str">
        <f>IFERROR(__xludf.DUMMYFUNCTION("""COMPUTED_VALUE"""),"Jack A Abraham")</f>
        <v>Jack A Abraham</v>
      </c>
      <c r="D262" s="3" t="str">
        <f>IFERROR(__xludf.DUMMYFUNCTION("""COMPUTED_VALUE"""),"Abraham, Jack A")</f>
        <v>Abraham, Jack A</v>
      </c>
      <c r="E262" s="3" t="str">
        <f>IFERROR(__xludf.DUMMYFUNCTION("""COMPUTED_VALUE"""),"Active")</f>
        <v>Active</v>
      </c>
      <c r="F262" s="3" t="str">
        <f>IFERROR(__xludf.DUMMYFUNCTION("""COMPUTED_VALUE"""),"jack.abraham@pwc.com")</f>
        <v>jack.abraham@pwc.com</v>
      </c>
      <c r="G262" s="3" t="str">
        <f>IFERROR(__xludf.DUMMYFUNCTION("""COMPUTED_VALUE"""),"Workforce")</f>
        <v>Workforce</v>
      </c>
      <c r="H262" s="3" t="str">
        <f>IFERROR(__xludf.DUMMYFUNCTION("""COMPUTED_VALUE"""),"IMA X-Sector")</f>
        <v>IMA X-Sector</v>
      </c>
      <c r="I262" s="3" t="str">
        <f>IFERROR(__xludf.DUMMYFUNCTION("""COMPUTED_VALUE"""),"Workforce - Rewards &amp; Well Being")</f>
        <v>Workforce - Rewards &amp; Well Being</v>
      </c>
      <c r="J262" s="3" t="str">
        <f>IFERROR(__xludf.DUMMYFUNCTION("""COMPUTED_VALUE"""),"Partner")</f>
        <v>Partner</v>
      </c>
      <c r="K262" s="12">
        <f>IFERROR(__xludf.DUMMYFUNCTION("""COMPUTED_VALUE"""),33140.0)</f>
        <v>33140</v>
      </c>
      <c r="L262" s="3" t="str">
        <f>IFERROR(__xludf.DUMMYFUNCTION("""COMPUTED_VALUE"""),"Chicago")</f>
        <v>Chicago</v>
      </c>
      <c r="M262" s="3" t="str">
        <f>IFERROR(__xludf.DUMMYFUNCTION("""COMPUTED_VALUE"""),"Chicago - One North Wacker Drive")</f>
        <v>Chicago - One North Wacker Drive</v>
      </c>
      <c r="N262" s="3" t="b">
        <f>IFERROR(__xludf.DUMMYFUNCTION("""COMPUTED_VALUE"""),TRUE)</f>
        <v>1</v>
      </c>
      <c r="O262" s="3" t="str">
        <f>IFERROR(__xludf.DUMMYFUNCTION("""COMPUTED_VALUE"""),"craig.odonnell@pwc.com")</f>
        <v>craig.odonnell@pwc.com</v>
      </c>
      <c r="P262" s="3" t="str">
        <f>IFERROR(__xludf.DUMMYFUNCTION("""COMPUTED_VALUE"""),"No")</f>
        <v>No</v>
      </c>
      <c r="Q262" s="3" t="b">
        <f>IFERROR(__xludf.DUMMYFUNCTION("""COMPUTED_VALUE"""),FALSE)</f>
        <v>0</v>
      </c>
      <c r="R262" s="3"/>
      <c r="S262" s="3"/>
      <c r="T262" s="3" t="b">
        <f>IFERROR(__xludf.DUMMYFUNCTION("""COMPUTED_VALUE"""),FALSE)</f>
        <v>0</v>
      </c>
      <c r="U262" s="3" t="b">
        <f>IFERROR(__xludf.DUMMYFUNCTION("""COMPUTED_VALUE"""),FALSE)</f>
        <v>0</v>
      </c>
      <c r="V262" s="3" t="b">
        <f>IFERROR(__xludf.DUMMYFUNCTION("""COMPUTED_VALUE"""),FALSE)</f>
        <v>0</v>
      </c>
      <c r="W262" s="3" t="str">
        <f>IFERROR(__xludf.DUMMYFUNCTION("""COMPUTED_VALUE"""),"#N/A")</f>
        <v>#N/A</v>
      </c>
      <c r="X262" s="3" t="str">
        <f>IFERROR(__xludf.DUMMYFUNCTION("""COMPUTED_VALUE"""),"#N/A")</f>
        <v>#N/A</v>
      </c>
      <c r="Y262" s="3" t="str">
        <f>IFERROR(__xludf.DUMMYFUNCTION("""COMPUTED_VALUE"""),"#N/A")</f>
        <v>#N/A</v>
      </c>
      <c r="Z262" s="3" t="str">
        <f>IFERROR(__xludf.DUMMYFUNCTION("""COMPUTED_VALUE"""),"Rewards and Well-Being")</f>
        <v>Rewards and Well-Being</v>
      </c>
      <c r="AA262" s="3" t="b">
        <f>IFERROR(__xludf.DUMMYFUNCTION("""COMPUTED_VALUE"""),FALSE)</f>
        <v>0</v>
      </c>
    </row>
    <row r="263">
      <c r="A263" s="3">
        <f>IFERROR(__xludf.DUMMYFUNCTION("""COMPUTED_VALUE"""),1.01235932E8)</f>
        <v>101235932</v>
      </c>
      <c r="B263" s="3" t="str">
        <f>IFERROR(__xludf.DUMMYFUNCTION("""COMPUTED_VALUE"""),"Jackie Biglin")</f>
        <v>Jackie Biglin</v>
      </c>
      <c r="C263" s="3" t="str">
        <f>IFERROR(__xludf.DUMMYFUNCTION("""COMPUTED_VALUE"""),"Unknown")</f>
        <v>Unknown</v>
      </c>
      <c r="D263" s="3" t="str">
        <f>IFERROR(__xludf.DUMMYFUNCTION("""COMPUTED_VALUE"""),"Unknown")</f>
        <v>Unknown</v>
      </c>
      <c r="E263" s="3" t="str">
        <f>IFERROR(__xludf.DUMMYFUNCTION("""COMPUTED_VALUE"""),"Active")</f>
        <v>Active</v>
      </c>
      <c r="F263" s="3" t="str">
        <f>IFERROR(__xludf.DUMMYFUNCTION("""COMPUTED_VALUE"""),"jackie.biglin@pwc.com")</f>
        <v>jackie.biglin@pwc.com</v>
      </c>
      <c r="G263" s="3" t="str">
        <f>IFERROR(__xludf.DUMMYFUNCTION("""COMPUTED_VALUE"""),"Health")</f>
        <v>Health</v>
      </c>
      <c r="H263" s="3" t="str">
        <f>IFERROR(__xludf.DUMMYFUNCTION("""COMPUTED_VALUE"""),"Health Services")</f>
        <v>Health Services</v>
      </c>
      <c r="I263" s="3" t="str">
        <f>IFERROR(__xludf.DUMMYFUNCTION("""COMPUTED_VALUE"""),"Health - Provider FFG")</f>
        <v>Health - Provider FFG</v>
      </c>
      <c r="J263" s="3" t="str">
        <f>IFERROR(__xludf.DUMMYFUNCTION("""COMPUTED_VALUE"""),"Managing Director")</f>
        <v>Managing Director</v>
      </c>
      <c r="K263" s="12">
        <f>IFERROR(__xludf.DUMMYFUNCTION("""COMPUTED_VALUE"""),44683.0)</f>
        <v>44683</v>
      </c>
      <c r="L263" s="3" t="str">
        <f>IFERROR(__xludf.DUMMYFUNCTION("""COMPUTED_VALUE"""),"Toledo")</f>
        <v>Toledo</v>
      </c>
      <c r="M263" s="3" t="str">
        <f>IFERROR(__xludf.DUMMYFUNCTION("""COMPUTED_VALUE"""),"#N/A")</f>
        <v>#N/A</v>
      </c>
      <c r="N263" s="3" t="str">
        <f>IFERROR(__xludf.DUMMYFUNCTION("""COMPUTED_VALUE"""),"Unknown")</f>
        <v>Unknown</v>
      </c>
      <c r="O263" s="3" t="str">
        <f>IFERROR(__xludf.DUMMYFUNCTION("""COMPUTED_VALUE"""),"Unknown")</f>
        <v>Unknown</v>
      </c>
      <c r="P263" s="3" t="str">
        <f>IFERROR(__xludf.DUMMYFUNCTION("""COMPUTED_VALUE"""),"FY22")</f>
        <v>FY22</v>
      </c>
      <c r="Q263" s="3" t="str">
        <f>IFERROR(__xludf.DUMMYFUNCTION("""COMPUTED_VALUE"""),"Unknown")</f>
        <v>Unknown</v>
      </c>
      <c r="R263" s="3" t="str">
        <f>IFERROR(__xludf.DUMMYFUNCTION("""COMPUTED_VALUE"""),"Unknown")</f>
        <v>Unknown</v>
      </c>
      <c r="S263" s="3" t="str">
        <f>IFERROR(__xludf.DUMMYFUNCTION("""COMPUTED_VALUE"""),"Unknown")</f>
        <v>Unknown</v>
      </c>
      <c r="T263" s="3" t="str">
        <f>IFERROR(__xludf.DUMMYFUNCTION("""COMPUTED_VALUE"""),"Unknown")</f>
        <v>Unknown</v>
      </c>
      <c r="U263" s="3" t="b">
        <f>IFERROR(__xludf.DUMMYFUNCTION("""COMPUTED_VALUE"""),TRUE)</f>
        <v>1</v>
      </c>
      <c r="V263" s="3" t="str">
        <f>IFERROR(__xludf.DUMMYFUNCTION("""COMPUTED_VALUE"""),"Unknown")</f>
        <v>Unknown</v>
      </c>
      <c r="W263" s="3" t="str">
        <f>IFERROR(__xludf.DUMMYFUNCTION("""COMPUTED_VALUE"""),"Catalyst")</f>
        <v>Catalyst</v>
      </c>
      <c r="X263" s="3" t="str">
        <f>IFERROR(__xludf.DUMMYFUNCTION("""COMPUTED_VALUE"""),"Unknown")</f>
        <v>Unknown</v>
      </c>
      <c r="Y263" s="3" t="str">
        <f>IFERROR(__xludf.DUMMYFUNCTION("""COMPUTED_VALUE"""),"FY22")</f>
        <v>FY22</v>
      </c>
      <c r="Z263" s="3" t="str">
        <f>IFERROR(__xludf.DUMMYFUNCTION("""COMPUTED_VALUE"""),"#N/A")</f>
        <v>#N/A</v>
      </c>
      <c r="AA263" s="3" t="b">
        <f>IFERROR(__xludf.DUMMYFUNCTION("""COMPUTED_VALUE"""),FALSE)</f>
        <v>0</v>
      </c>
    </row>
    <row r="264">
      <c r="A264" s="3">
        <f>IFERROR(__xludf.DUMMYFUNCTION("""COMPUTED_VALUE"""),1.00653539E8)</f>
        <v>100653539</v>
      </c>
      <c r="B264" s="3" t="str">
        <f>IFERROR(__xludf.DUMMYFUNCTION("""COMPUTED_VALUE"""),"Jai Sinha")</f>
        <v>Jai Sinha</v>
      </c>
      <c r="C264" s="3" t="str">
        <f>IFERROR(__xludf.DUMMYFUNCTION("""COMPUTED_VALUE"""),"Jaivardhan  Sinha")</f>
        <v>Jaivardhan  Sinha</v>
      </c>
      <c r="D264" s="3" t="str">
        <f>IFERROR(__xludf.DUMMYFUNCTION("""COMPUTED_VALUE"""),"Sinha, Jaivardhan")</f>
        <v>Sinha, Jaivardhan</v>
      </c>
      <c r="E264" s="3" t="str">
        <f>IFERROR(__xludf.DUMMYFUNCTION("""COMPUTED_VALUE"""),"Active")</f>
        <v>Active</v>
      </c>
      <c r="F264" s="3" t="str">
        <f>IFERROR(__xludf.DUMMYFUNCTION("""COMPUTED_VALUE"""),"jai.sinha@pwc.com")</f>
        <v>jai.sinha@pwc.com</v>
      </c>
      <c r="G264" s="3" t="str">
        <f>IFERROR(__xludf.DUMMYFUNCTION("""COMPUTED_VALUE"""),"ESV")</f>
        <v>ESV</v>
      </c>
      <c r="H264" s="3" t="str">
        <f>IFERROR(__xludf.DUMMYFUNCTION("""COMPUTED_VALUE"""),"Banking and Capital Markets")</f>
        <v>Banking and Capital Markets</v>
      </c>
      <c r="I264" s="3" t="str">
        <f>IFERROR(__xludf.DUMMYFUNCTION("""COMPUTED_VALUE"""),"ESV - BCM")</f>
        <v>ESV - BCM</v>
      </c>
      <c r="J264" s="3" t="str">
        <f>IFERROR(__xludf.DUMMYFUNCTION("""COMPUTED_VALUE"""),"Partner")</f>
        <v>Partner</v>
      </c>
      <c r="K264" s="12">
        <f>IFERROR(__xludf.DUMMYFUNCTION("""COMPUTED_VALUE"""),42186.0)</f>
        <v>42186</v>
      </c>
      <c r="L264" s="3" t="str">
        <f>IFERROR(__xludf.DUMMYFUNCTION("""COMPUTED_VALUE"""),"New York")</f>
        <v>New York</v>
      </c>
      <c r="M264" s="3" t="str">
        <f>IFERROR(__xludf.DUMMYFUNCTION("""COMPUTED_VALUE"""),"New York - 300 Madison Avenue")</f>
        <v>New York - 300 Madison Avenue</v>
      </c>
      <c r="N264" s="3" t="b">
        <f>IFERROR(__xludf.DUMMYFUNCTION("""COMPUTED_VALUE"""),FALSE)</f>
        <v>0</v>
      </c>
      <c r="O264" s="3" t="str">
        <f>IFERROR(__xludf.DUMMYFUNCTION("""COMPUTED_VALUE"""),"sundar.subramanian@pwc.com")</f>
        <v>sundar.subramanian@pwc.com</v>
      </c>
      <c r="P264" s="3" t="str">
        <f>IFERROR(__xludf.DUMMYFUNCTION("""COMPUTED_VALUE"""),"No")</f>
        <v>No</v>
      </c>
      <c r="Q264" s="3" t="b">
        <f>IFERROR(__xludf.DUMMYFUNCTION("""COMPUTED_VALUE"""),FALSE)</f>
        <v>0</v>
      </c>
      <c r="R264" s="3"/>
      <c r="S264" s="3"/>
      <c r="T264" s="3" t="b">
        <f>IFERROR(__xludf.DUMMYFUNCTION("""COMPUTED_VALUE"""),FALSE)</f>
        <v>0</v>
      </c>
      <c r="U264" s="3" t="b">
        <f>IFERROR(__xludf.DUMMYFUNCTION("""COMPUTED_VALUE"""),TRUE)</f>
        <v>1</v>
      </c>
      <c r="V264" s="3" t="b">
        <f>IFERROR(__xludf.DUMMYFUNCTION("""COMPUTED_VALUE"""),FALSE)</f>
        <v>0</v>
      </c>
      <c r="W264" s="3" t="str">
        <f>IFERROR(__xludf.DUMMYFUNCTION("""COMPUTED_VALUE"""),"Delivery")</f>
        <v>Delivery</v>
      </c>
      <c r="X264" s="3" t="str">
        <f>IFERROR(__xludf.DUMMYFUNCTION("""COMPUTED_VALUE"""),"Investment")</f>
        <v>Investment</v>
      </c>
      <c r="Y264" s="3"/>
      <c r="Z264" s="3" t="str">
        <f>IFERROR(__xludf.DUMMYFUNCTION("""COMPUTED_VALUE"""),"Enterprise Digital Transformation - BCM &amp; AWM")</f>
        <v>Enterprise Digital Transformation - BCM &amp; AWM</v>
      </c>
      <c r="AA264" s="3" t="b">
        <f>IFERROR(__xludf.DUMMYFUNCTION("""COMPUTED_VALUE"""),FALSE)</f>
        <v>0</v>
      </c>
    </row>
    <row r="265">
      <c r="A265" s="11">
        <f>IFERROR(__xludf.DUMMYFUNCTION("""COMPUTED_VALUE"""),1.00596555E8)</f>
        <v>100596555</v>
      </c>
      <c r="B265" s="3" t="str">
        <f>IFERROR(__xludf.DUMMYFUNCTION("""COMPUTED_VALUE"""),"Jaime Garza")</f>
        <v>Jaime Garza</v>
      </c>
      <c r="C265" s="3" t="str">
        <f>IFERROR(__xludf.DUMMYFUNCTION("""COMPUTED_VALUE"""),"Jaime  Garza")</f>
        <v>Jaime  Garza</v>
      </c>
      <c r="D265" s="3" t="str">
        <f>IFERROR(__xludf.DUMMYFUNCTION("""COMPUTED_VALUE"""),"Garza, Jaime")</f>
        <v>Garza, Jaime</v>
      </c>
      <c r="E265" s="3" t="str">
        <f>IFERROR(__xludf.DUMMYFUNCTION("""COMPUTED_VALUE"""),"Active")</f>
        <v>Active</v>
      </c>
      <c r="F265" s="3" t="str">
        <f>IFERROR(__xludf.DUMMYFUNCTION("""COMPUTED_VALUE"""),"jaime.garza@pwc.com")</f>
        <v>jaime.garza@pwc.com</v>
      </c>
      <c r="G265" s="3" t="str">
        <f>IFERROR(__xludf.DUMMYFUNCTION("""COMPUTED_VALUE"""),"Finance")</f>
        <v>Finance</v>
      </c>
      <c r="H265" s="3" t="str">
        <f>IFERROR(__xludf.DUMMYFUNCTION("""COMPUTED_VALUE"""),"Banking and Capital Markets")</f>
        <v>Banking and Capital Markets</v>
      </c>
      <c r="I265" s="3" t="str">
        <f>IFERROR(__xludf.DUMMYFUNCTION("""COMPUTED_VALUE"""),"Finance - Enterprise Performance Management")</f>
        <v>Finance - Enterprise Performance Management</v>
      </c>
      <c r="J265" s="3" t="str">
        <f>IFERROR(__xludf.DUMMYFUNCTION("""COMPUTED_VALUE"""),"Managing Director")</f>
        <v>Managing Director</v>
      </c>
      <c r="K265" s="12">
        <f>IFERROR(__xludf.DUMMYFUNCTION("""COMPUTED_VALUE"""),41217.0)</f>
        <v>41217</v>
      </c>
      <c r="L265" s="3" t="str">
        <f>IFERROR(__xludf.DUMMYFUNCTION("""COMPUTED_VALUE"""),"Chicago")</f>
        <v>Chicago</v>
      </c>
      <c r="M265" s="3" t="str">
        <f>IFERROR(__xludf.DUMMYFUNCTION("""COMPUTED_VALUE"""),"Chicago - One North Wacker Drive")</f>
        <v>Chicago - One North Wacker Drive</v>
      </c>
      <c r="N265" s="3" t="b">
        <f>IFERROR(__xludf.DUMMYFUNCTION("""COMPUTED_VALUE"""),FALSE)</f>
        <v>0</v>
      </c>
      <c r="O265" s="3" t="str">
        <f>IFERROR(__xludf.DUMMYFUNCTION("""COMPUTED_VALUE"""),"harold.s.houser@pwc.com")</f>
        <v>harold.s.houser@pwc.com</v>
      </c>
      <c r="P265" s="3" t="str">
        <f>IFERROR(__xludf.DUMMYFUNCTION("""COMPUTED_VALUE"""),"No")</f>
        <v>No</v>
      </c>
      <c r="Q265" s="3" t="b">
        <f>IFERROR(__xludf.DUMMYFUNCTION("""COMPUTED_VALUE"""),FALSE)</f>
        <v>0</v>
      </c>
      <c r="R265" s="3"/>
      <c r="S265" s="3"/>
      <c r="T265" s="3" t="b">
        <f>IFERROR(__xludf.DUMMYFUNCTION("""COMPUTED_VALUE"""),FALSE)</f>
        <v>0</v>
      </c>
      <c r="U265" s="3" t="b">
        <f>IFERROR(__xludf.DUMMYFUNCTION("""COMPUTED_VALUE"""),TRUE)</f>
        <v>1</v>
      </c>
      <c r="V265" s="3" t="b">
        <f>IFERROR(__xludf.DUMMYFUNCTION("""COMPUTED_VALUE"""),FALSE)</f>
        <v>0</v>
      </c>
      <c r="W265" s="3" t="str">
        <f>IFERROR(__xludf.DUMMYFUNCTION("""COMPUTED_VALUE"""),"Delivery")</f>
        <v>Delivery</v>
      </c>
      <c r="X265" s="3"/>
      <c r="Y265" s="3"/>
      <c r="Z265" s="3" t="str">
        <f>IFERROR(__xludf.DUMMYFUNCTION("""COMPUTED_VALUE"""),"Finance Transformation - Banking")</f>
        <v>Finance Transformation - Banking</v>
      </c>
      <c r="AA265" s="3" t="b">
        <f>IFERROR(__xludf.DUMMYFUNCTION("""COMPUTED_VALUE"""),FALSE)</f>
        <v>0</v>
      </c>
    </row>
    <row r="266">
      <c r="A266" s="11">
        <f>IFERROR(__xludf.DUMMYFUNCTION("""COMPUTED_VALUE"""),1.00623235E8)</f>
        <v>100623235</v>
      </c>
      <c r="B266" s="3" t="str">
        <f>IFERROR(__xludf.DUMMYFUNCTION("""COMPUTED_VALUE"""),"Jake Kimball")</f>
        <v>Jake Kimball</v>
      </c>
      <c r="C266" s="3" t="str">
        <f>IFERROR(__xludf.DUMMYFUNCTION("""COMPUTED_VALUE"""),"Jake  Kimball")</f>
        <v>Jake  Kimball</v>
      </c>
      <c r="D266" s="3" t="str">
        <f>IFERROR(__xludf.DUMMYFUNCTION("""COMPUTED_VALUE"""),"Kimball, Jake")</f>
        <v>Kimball, Jake</v>
      </c>
      <c r="E266" s="3" t="str">
        <f>IFERROR(__xludf.DUMMYFUNCTION("""COMPUTED_VALUE"""),"Active")</f>
        <v>Active</v>
      </c>
      <c r="F266" s="3" t="str">
        <f>IFERROR(__xludf.DUMMYFUNCTION("""COMPUTED_VALUE"""),"jake.kimball@pwc.com")</f>
        <v>jake.kimball@pwc.com</v>
      </c>
      <c r="G266" s="3" t="str">
        <f>IFERROR(__xludf.DUMMYFUNCTION("""COMPUTED_VALUE"""),"Workforce")</f>
        <v>Workforce</v>
      </c>
      <c r="H266" s="3" t="str">
        <f>IFERROR(__xludf.DUMMYFUNCTION("""COMPUTED_VALUE"""),"IMA X-Sector")</f>
        <v>IMA X-Sector</v>
      </c>
      <c r="I266" s="3" t="str">
        <f>IFERROR(__xludf.DUMMYFUNCTION("""COMPUTED_VALUE"""),"Workforce - Deals")</f>
        <v>Workforce - Deals</v>
      </c>
      <c r="J266" s="3" t="str">
        <f>IFERROR(__xludf.DUMMYFUNCTION("""COMPUTED_VALUE"""),"Partner")</f>
        <v>Partner</v>
      </c>
      <c r="K266" s="12">
        <f>IFERROR(__xludf.DUMMYFUNCTION("""COMPUTED_VALUE"""),38774.0)</f>
        <v>38774</v>
      </c>
      <c r="L266" s="3" t="str">
        <f>IFERROR(__xludf.DUMMYFUNCTION("""COMPUTED_VALUE"""),"Washington")</f>
        <v>Washington</v>
      </c>
      <c r="M266" s="3" t="str">
        <f>IFERROR(__xludf.DUMMYFUNCTION("""COMPUTED_VALUE"""),"Washington DC - 655 New York Avenue")</f>
        <v>Washington DC - 655 New York Avenue</v>
      </c>
      <c r="N266" s="3" t="b">
        <f>IFERROR(__xludf.DUMMYFUNCTION("""COMPUTED_VALUE"""),FALSE)</f>
        <v>0</v>
      </c>
      <c r="O266" s="3" t="str">
        <f>IFERROR(__xludf.DUMMYFUNCTION("""COMPUTED_VALUE"""),"craig.odonnell@pwc.com")</f>
        <v>craig.odonnell@pwc.com</v>
      </c>
      <c r="P266" s="3" t="str">
        <f>IFERROR(__xludf.DUMMYFUNCTION("""COMPUTED_VALUE"""),"No")</f>
        <v>No</v>
      </c>
      <c r="Q266" s="3" t="b">
        <f>IFERROR(__xludf.DUMMYFUNCTION("""COMPUTED_VALUE"""),FALSE)</f>
        <v>0</v>
      </c>
      <c r="R266" s="3"/>
      <c r="S266" s="3"/>
      <c r="T266" s="3" t="b">
        <f>IFERROR(__xludf.DUMMYFUNCTION("""COMPUTED_VALUE"""),FALSE)</f>
        <v>0</v>
      </c>
      <c r="U266" s="3" t="b">
        <f>IFERROR(__xludf.DUMMYFUNCTION("""COMPUTED_VALUE"""),FALSE)</f>
        <v>0</v>
      </c>
      <c r="V266" s="3" t="b">
        <f>IFERROR(__xludf.DUMMYFUNCTION("""COMPUTED_VALUE"""),FALSE)</f>
        <v>0</v>
      </c>
      <c r="W266" s="3" t="str">
        <f>IFERROR(__xludf.DUMMYFUNCTION("""COMPUTED_VALUE"""),"#N/A")</f>
        <v>#N/A</v>
      </c>
      <c r="X266" s="3" t="str">
        <f>IFERROR(__xludf.DUMMYFUNCTION("""COMPUTED_VALUE"""),"#N/A")</f>
        <v>#N/A</v>
      </c>
      <c r="Y266" s="3" t="str">
        <f>IFERROR(__xludf.DUMMYFUNCTION("""COMPUTED_VALUE"""),"#N/A")</f>
        <v>#N/A</v>
      </c>
      <c r="Z266" s="3" t="str">
        <f>IFERROR(__xludf.DUMMYFUNCTION("""COMPUTED_VALUE"""),"Unknown")</f>
        <v>Unknown</v>
      </c>
      <c r="AA266" s="3" t="b">
        <f>IFERROR(__xludf.DUMMYFUNCTION("""COMPUTED_VALUE"""),FALSE)</f>
        <v>0</v>
      </c>
    </row>
    <row r="267">
      <c r="A267" s="11">
        <f>IFERROR(__xludf.DUMMYFUNCTION("""COMPUTED_VALUE"""),1.00640093E8)</f>
        <v>100640093</v>
      </c>
      <c r="B267" s="3" t="str">
        <f>IFERROR(__xludf.DUMMYFUNCTION("""COMPUTED_VALUE"""),"James Curtin")</f>
        <v>James Curtin</v>
      </c>
      <c r="C267" s="3" t="str">
        <f>IFERROR(__xludf.DUMMYFUNCTION("""COMPUTED_VALUE"""),"James Michael Curtin")</f>
        <v>James Michael Curtin</v>
      </c>
      <c r="D267" s="3" t="str">
        <f>IFERROR(__xludf.DUMMYFUNCTION("""COMPUTED_VALUE"""),"Curtin, James Michael")</f>
        <v>Curtin, James Michael</v>
      </c>
      <c r="E267" s="3" t="str">
        <f>IFERROR(__xludf.DUMMYFUNCTION("""COMPUTED_VALUE"""),"Active")</f>
        <v>Active</v>
      </c>
      <c r="F267" s="3" t="str">
        <f>IFERROR(__xludf.DUMMYFUNCTION("""COMPUTED_VALUE"""),"james.m.curtin@pwc.com")</f>
        <v>james.m.curtin@pwc.com</v>
      </c>
      <c r="G267" s="3" t="str">
        <f>IFERROR(__xludf.DUMMYFUNCTION("""COMPUTED_VALUE"""),"Customer")</f>
        <v>Customer</v>
      </c>
      <c r="H267" s="3" t="str">
        <f>IFERROR(__xludf.DUMMYFUNCTION("""COMPUTED_VALUE"""),"CM X-Sector")</f>
        <v>CM X-Sector</v>
      </c>
      <c r="I267" s="3" t="str">
        <f>IFERROR(__xludf.DUMMYFUNCTION("""COMPUTED_VALUE"""),"Customer - Service")</f>
        <v>Customer - Service</v>
      </c>
      <c r="J267" s="3" t="str">
        <f>IFERROR(__xludf.DUMMYFUNCTION("""COMPUTED_VALUE"""),"Partner")</f>
        <v>Partner</v>
      </c>
      <c r="K267" s="12">
        <f>IFERROR(__xludf.DUMMYFUNCTION("""COMPUTED_VALUE"""),39986.0)</f>
        <v>39986</v>
      </c>
      <c r="L267" s="3" t="str">
        <f>IFERROR(__xludf.DUMMYFUNCTION("""COMPUTED_VALUE"""),"Houston")</f>
        <v>Houston</v>
      </c>
      <c r="M267" s="3" t="str">
        <f>IFERROR(__xludf.DUMMYFUNCTION("""COMPUTED_VALUE"""),"Houston - 1000 Louisiana Street")</f>
        <v>Houston - 1000 Louisiana Street</v>
      </c>
      <c r="N267" s="3" t="b">
        <f>IFERROR(__xludf.DUMMYFUNCTION("""COMPUTED_VALUE"""),FALSE)</f>
        <v>0</v>
      </c>
      <c r="O267" s="3" t="str">
        <f>IFERROR(__xludf.DUMMYFUNCTION("""COMPUTED_VALUE"""),"george.korizis@pwc.com")</f>
        <v>george.korizis@pwc.com</v>
      </c>
      <c r="P267" s="3" t="str">
        <f>IFERROR(__xludf.DUMMYFUNCTION("""COMPUTED_VALUE"""),"No")</f>
        <v>No</v>
      </c>
      <c r="Q267" s="3" t="b">
        <f>IFERROR(__xludf.DUMMYFUNCTION("""COMPUTED_VALUE"""),FALSE)</f>
        <v>0</v>
      </c>
      <c r="R267" s="3"/>
      <c r="S267" s="3"/>
      <c r="T267" s="3" t="b">
        <f>IFERROR(__xludf.DUMMYFUNCTION("""COMPUTED_VALUE"""),FALSE)</f>
        <v>0</v>
      </c>
      <c r="U267" s="3" t="b">
        <f>IFERROR(__xludf.DUMMYFUNCTION("""COMPUTED_VALUE"""),TRUE)</f>
        <v>1</v>
      </c>
      <c r="V267" s="3" t="b">
        <f>IFERROR(__xludf.DUMMYFUNCTION("""COMPUTED_VALUE"""),FALSE)</f>
        <v>0</v>
      </c>
      <c r="W267" s="3" t="str">
        <f>IFERROR(__xludf.DUMMYFUNCTION("""COMPUTED_VALUE"""),"Delivery")</f>
        <v>Delivery</v>
      </c>
      <c r="X267" s="3"/>
      <c r="Y267" s="3"/>
      <c r="Z267" s="3" t="str">
        <f>IFERROR(__xludf.DUMMYFUNCTION("""COMPUTED_VALUE"""),"Commercial / CRM Transformation - CM &amp; IPS &amp; HIA")</f>
        <v>Commercial / CRM Transformation - CM &amp; IPS &amp; HIA</v>
      </c>
      <c r="AA267" s="3" t="b">
        <f>IFERROR(__xludf.DUMMYFUNCTION("""COMPUTED_VALUE"""),FALSE)</f>
        <v>0</v>
      </c>
    </row>
    <row r="268">
      <c r="A268" s="11">
        <f>IFERROR(__xludf.DUMMYFUNCTION("""COMPUTED_VALUE"""),1.00659524E8)</f>
        <v>100659524</v>
      </c>
      <c r="B268" s="3" t="str">
        <f>IFERROR(__xludf.DUMMYFUNCTION("""COMPUTED_VALUE"""),"James Holloway")</f>
        <v>James Holloway</v>
      </c>
      <c r="C268" s="3" t="str">
        <f>IFERROR(__xludf.DUMMYFUNCTION("""COMPUTED_VALUE"""),"James N Holloway")</f>
        <v>James N Holloway</v>
      </c>
      <c r="D268" s="3" t="str">
        <f>IFERROR(__xludf.DUMMYFUNCTION("""COMPUTED_VALUE"""),"Holloway, James N")</f>
        <v>Holloway, James N</v>
      </c>
      <c r="E268" s="3" t="str">
        <f>IFERROR(__xludf.DUMMYFUNCTION("""COMPUTED_VALUE"""),"Active")</f>
        <v>Active</v>
      </c>
      <c r="F268" s="3" t="str">
        <f>IFERROR(__xludf.DUMMYFUNCTION("""COMPUTED_VALUE"""),"james.n.holloway@pwc.com")</f>
        <v>james.n.holloway@pwc.com</v>
      </c>
      <c r="G268" s="3" t="str">
        <f>IFERROR(__xludf.DUMMYFUNCTION("""COMPUTED_VALUE"""),"FS")</f>
        <v>FS</v>
      </c>
      <c r="H268" s="3" t="str">
        <f>IFERROR(__xludf.DUMMYFUNCTION("""COMPUTED_VALUE"""),"Banking and Capital Markets")</f>
        <v>Banking and Capital Markets</v>
      </c>
      <c r="I268" s="3" t="str">
        <f>IFERROR(__xludf.DUMMYFUNCTION("""COMPUTED_VALUE"""),"FS - Banking and Capital Markets")</f>
        <v>FS - Banking and Capital Markets</v>
      </c>
      <c r="J268" s="3" t="str">
        <f>IFERROR(__xludf.DUMMYFUNCTION("""COMPUTED_VALUE"""),"Partner")</f>
        <v>Partner</v>
      </c>
      <c r="K268" s="12">
        <f>IFERROR(__xludf.DUMMYFUNCTION("""COMPUTED_VALUE"""),40637.0)</f>
        <v>40637</v>
      </c>
      <c r="L268" s="3" t="str">
        <f>IFERROR(__xludf.DUMMYFUNCTION("""COMPUTED_VALUE"""),"Charlotte")</f>
        <v>Charlotte</v>
      </c>
      <c r="M268" s="3" t="str">
        <f>IFERROR(__xludf.DUMMYFUNCTION("""COMPUTED_VALUE"""),"Charlotte - 214 North Tryon Street")</f>
        <v>Charlotte - 214 North Tryon Street</v>
      </c>
      <c r="N268" s="3" t="b">
        <f>IFERROR(__xludf.DUMMYFUNCTION("""COMPUTED_VALUE"""),FALSE)</f>
        <v>0</v>
      </c>
      <c r="O268" s="3" t="str">
        <f>IFERROR(__xludf.DUMMYFUNCTION("""COMPUTED_VALUE"""),"alison.hoover@pwc.com")</f>
        <v>alison.hoover@pwc.com</v>
      </c>
      <c r="P268" s="3" t="str">
        <f>IFERROR(__xludf.DUMMYFUNCTION("""COMPUTED_VALUE"""),"No")</f>
        <v>No</v>
      </c>
      <c r="Q268" s="3" t="b">
        <f>IFERROR(__xludf.DUMMYFUNCTION("""COMPUTED_VALUE"""),TRUE)</f>
        <v>1</v>
      </c>
      <c r="R268" s="3" t="str">
        <f>IFERROR(__xludf.DUMMYFUNCTION("""COMPUTED_VALUE"""),"LCP High")</f>
        <v>LCP High</v>
      </c>
      <c r="S268" s="3"/>
      <c r="T268" s="3" t="b">
        <f>IFERROR(__xludf.DUMMYFUNCTION("""COMPUTED_VALUE"""),FALSE)</f>
        <v>0</v>
      </c>
      <c r="U268" s="3" t="b">
        <f>IFERROR(__xludf.DUMMYFUNCTION("""COMPUTED_VALUE"""),FALSE)</f>
        <v>0</v>
      </c>
      <c r="V268" s="3" t="b">
        <f>IFERROR(__xludf.DUMMYFUNCTION("""COMPUTED_VALUE"""),FALSE)</f>
        <v>0</v>
      </c>
      <c r="W268" s="3" t="str">
        <f>IFERROR(__xludf.DUMMYFUNCTION("""COMPUTED_VALUE"""),"LCP")</f>
        <v>LCP</v>
      </c>
      <c r="X268" s="3"/>
      <c r="Y268" s="3" t="str">
        <f>IFERROR(__xludf.DUMMYFUNCTION("""COMPUTED_VALUE"""),"GEP - High")</f>
        <v>GEP - High</v>
      </c>
      <c r="Z268" s="3" t="str">
        <f>IFERROR(__xludf.DUMMYFUNCTION("""COMPUTED_VALUE"""),"Banking Transformation")</f>
        <v>Banking Transformation</v>
      </c>
      <c r="AA268" s="3" t="b">
        <f>IFERROR(__xludf.DUMMYFUNCTION("""COMPUTED_VALUE"""),FALSE)</f>
        <v>0</v>
      </c>
    </row>
    <row r="269">
      <c r="A269" s="11">
        <f>IFERROR(__xludf.DUMMYFUNCTION("""COMPUTED_VALUE"""),1.00618842E8)</f>
        <v>100618842</v>
      </c>
      <c r="B269" s="3" t="str">
        <f>IFERROR(__xludf.DUMMYFUNCTION("""COMPUTED_VALUE"""),"James McNeil")</f>
        <v>James McNeil</v>
      </c>
      <c r="C269" s="3" t="str">
        <f>IFERROR(__xludf.DUMMYFUNCTION("""COMPUTED_VALUE"""),"James Huxford McNeil")</f>
        <v>James Huxford McNeil</v>
      </c>
      <c r="D269" s="3" t="str">
        <f>IFERROR(__xludf.DUMMYFUNCTION("""COMPUTED_VALUE"""),"McNeil, James Huxford")</f>
        <v>McNeil, James Huxford</v>
      </c>
      <c r="E269" s="3" t="str">
        <f>IFERROR(__xludf.DUMMYFUNCTION("""COMPUTED_VALUE"""),"Active")</f>
        <v>Active</v>
      </c>
      <c r="F269" s="3" t="str">
        <f>IFERROR(__xludf.DUMMYFUNCTION("""COMPUTED_VALUE"""),"james.h.mcneil@pwc.com")</f>
        <v>james.h.mcneil@pwc.com</v>
      </c>
      <c r="G269" s="3" t="str">
        <f>IFERROR(__xludf.DUMMYFUNCTION("""COMPUTED_VALUE"""),"Health")</f>
        <v>Health</v>
      </c>
      <c r="H269" s="3" t="str">
        <f>IFERROR(__xludf.DUMMYFUNCTION("""COMPUTED_VALUE"""),"Health Services")</f>
        <v>Health Services</v>
      </c>
      <c r="I269" s="3" t="str">
        <f>IFERROR(__xludf.DUMMYFUNCTION("""COMPUTED_VALUE"""),"Health - Payer CO&amp;I")</f>
        <v>Health - Payer CO&amp;I</v>
      </c>
      <c r="J269" s="3" t="str">
        <f>IFERROR(__xludf.DUMMYFUNCTION("""COMPUTED_VALUE"""),"Partner")</f>
        <v>Partner</v>
      </c>
      <c r="K269" s="12">
        <f>IFERROR(__xludf.DUMMYFUNCTION("""COMPUTED_VALUE"""),38487.0)</f>
        <v>38487</v>
      </c>
      <c r="L269" s="3" t="str">
        <f>IFERROR(__xludf.DUMMYFUNCTION("""COMPUTED_VALUE"""),"New York")</f>
        <v>New York</v>
      </c>
      <c r="M269" s="3" t="str">
        <f>IFERROR(__xludf.DUMMYFUNCTION("""COMPUTED_VALUE"""),"New York - 300 Madison Avenue")</f>
        <v>New York - 300 Madison Avenue</v>
      </c>
      <c r="N269" s="3" t="b">
        <f>IFERROR(__xludf.DUMMYFUNCTION("""COMPUTED_VALUE"""),FALSE)</f>
        <v>0</v>
      </c>
      <c r="O269" s="3" t="str">
        <f>IFERROR(__xludf.DUMMYFUNCTION("""COMPUTED_VALUE"""),"craig.e.gooch@pwc.com")</f>
        <v>craig.e.gooch@pwc.com</v>
      </c>
      <c r="P269" s="3" t="str">
        <f>IFERROR(__xludf.DUMMYFUNCTION("""COMPUTED_VALUE"""),"No")</f>
        <v>No</v>
      </c>
      <c r="Q269" s="3" t="b">
        <f>IFERROR(__xludf.DUMMYFUNCTION("""COMPUTED_VALUE"""),TRUE)</f>
        <v>1</v>
      </c>
      <c r="R269" s="3" t="str">
        <f>IFERROR(__xludf.DUMMYFUNCTION("""COMPUTED_VALUE"""),"LCP Low")</f>
        <v>LCP Low</v>
      </c>
      <c r="S269" s="3"/>
      <c r="T269" s="3" t="b">
        <f>IFERROR(__xludf.DUMMYFUNCTION("""COMPUTED_VALUE"""),FALSE)</f>
        <v>0</v>
      </c>
      <c r="U269" s="3" t="b">
        <f>IFERROR(__xludf.DUMMYFUNCTION("""COMPUTED_VALUE"""),FALSE)</f>
        <v>0</v>
      </c>
      <c r="V269" s="3" t="b">
        <f>IFERROR(__xludf.DUMMYFUNCTION("""COMPUTED_VALUE"""),FALSE)</f>
        <v>0</v>
      </c>
      <c r="W269" s="3" t="str">
        <f>IFERROR(__xludf.DUMMYFUNCTION("""COMPUTED_VALUE"""),"LCP")</f>
        <v>LCP</v>
      </c>
      <c r="X269" s="3"/>
      <c r="Y269" s="3" t="str">
        <f>IFERROR(__xludf.DUMMYFUNCTION("""COMPUTED_VALUE"""),"GEP - Low")</f>
        <v>GEP - Low</v>
      </c>
      <c r="Z269" s="3" t="str">
        <f>IFERROR(__xludf.DUMMYFUNCTION("""COMPUTED_VALUE"""),"Payer Transformation")</f>
        <v>Payer Transformation</v>
      </c>
      <c r="AA269" s="3" t="b">
        <f>IFERROR(__xludf.DUMMYFUNCTION("""COMPUTED_VALUE"""),FALSE)</f>
        <v>0</v>
      </c>
    </row>
    <row r="270">
      <c r="A270" s="11">
        <f>IFERROR(__xludf.DUMMYFUNCTION("""COMPUTED_VALUE"""),1.00654708E8)</f>
        <v>100654708</v>
      </c>
      <c r="B270" s="3" t="str">
        <f>IFERROR(__xludf.DUMMYFUNCTION("""COMPUTED_VALUE"""),"James Quinnild")</f>
        <v>James Quinnild</v>
      </c>
      <c r="C270" s="3" t="str">
        <f>IFERROR(__xludf.DUMMYFUNCTION("""COMPUTED_VALUE"""),"James H Quinnild")</f>
        <v>James H Quinnild</v>
      </c>
      <c r="D270" s="3" t="str">
        <f>IFERROR(__xludf.DUMMYFUNCTION("""COMPUTED_VALUE"""),"Quinnild, James H")</f>
        <v>Quinnild, James H</v>
      </c>
      <c r="E270" s="3" t="str">
        <f>IFERROR(__xludf.DUMMYFUNCTION("""COMPUTED_VALUE"""),"Active")</f>
        <v>Active</v>
      </c>
      <c r="F270" s="3" t="str">
        <f>IFERROR(__xludf.DUMMYFUNCTION("""COMPUTED_VALUE"""),"james.quinnild@pwc.com")</f>
        <v>james.quinnild@pwc.com</v>
      </c>
      <c r="G270" s="3" t="str">
        <f>IFERROR(__xludf.DUMMYFUNCTION("""COMPUTED_VALUE"""),"FS")</f>
        <v>FS</v>
      </c>
      <c r="H270" s="3" t="str">
        <f>IFERROR(__xludf.DUMMYFUNCTION("""COMPUTED_VALUE"""),"Banking and Capital Markets")</f>
        <v>Banking and Capital Markets</v>
      </c>
      <c r="I270" s="3" t="str">
        <f>IFERROR(__xludf.DUMMYFUNCTION("""COMPUTED_VALUE"""),"FS - Banking and Capital Markets")</f>
        <v>FS - Banking and Capital Markets</v>
      </c>
      <c r="J270" s="3" t="str">
        <f>IFERROR(__xludf.DUMMYFUNCTION("""COMPUTED_VALUE"""),"Partner")</f>
        <v>Partner</v>
      </c>
      <c r="K270" s="12">
        <f>IFERROR(__xludf.DUMMYFUNCTION("""COMPUTED_VALUE"""),34193.0)</f>
        <v>34193</v>
      </c>
      <c r="L270" s="3" t="str">
        <f>IFERROR(__xludf.DUMMYFUNCTION("""COMPUTED_VALUE"""),"San Francisco")</f>
        <v>San Francisco</v>
      </c>
      <c r="M270" s="3" t="str">
        <f>IFERROR(__xludf.DUMMYFUNCTION("""COMPUTED_VALUE"""),"San Francisco - 405 Howard St")</f>
        <v>San Francisco - 405 Howard St</v>
      </c>
      <c r="N270" s="3" t="b">
        <f>IFERROR(__xludf.DUMMYFUNCTION("""COMPUTED_VALUE"""),FALSE)</f>
        <v>0</v>
      </c>
      <c r="O270" s="3" t="str">
        <f>IFERROR(__xludf.DUMMYFUNCTION("""COMPUTED_VALUE"""),"alison.hoover@pwc.com")</f>
        <v>alison.hoover@pwc.com</v>
      </c>
      <c r="P270" s="3" t="str">
        <f>IFERROR(__xludf.DUMMYFUNCTION("""COMPUTED_VALUE"""),"No")</f>
        <v>No</v>
      </c>
      <c r="Q270" s="3" t="b">
        <f>IFERROR(__xludf.DUMMYFUNCTION("""COMPUTED_VALUE"""),TRUE)</f>
        <v>1</v>
      </c>
      <c r="R270" s="3" t="str">
        <f>IFERROR(__xludf.DUMMYFUNCTION("""COMPUTED_VALUE"""),"LCP High")</f>
        <v>LCP High</v>
      </c>
      <c r="S270" s="3"/>
      <c r="T270" s="3" t="b">
        <f>IFERROR(__xludf.DUMMYFUNCTION("""COMPUTED_VALUE"""),FALSE)</f>
        <v>0</v>
      </c>
      <c r="U270" s="3" t="b">
        <f>IFERROR(__xludf.DUMMYFUNCTION("""COMPUTED_VALUE"""),FALSE)</f>
        <v>0</v>
      </c>
      <c r="V270" s="3" t="b">
        <f>IFERROR(__xludf.DUMMYFUNCTION("""COMPUTED_VALUE"""),FALSE)</f>
        <v>0</v>
      </c>
      <c r="W270" s="3" t="str">
        <f>IFERROR(__xludf.DUMMYFUNCTION("""COMPUTED_VALUE"""),"LCP")</f>
        <v>LCP</v>
      </c>
      <c r="X270" s="3"/>
      <c r="Y270" s="3" t="str">
        <f>IFERROR(__xludf.DUMMYFUNCTION("""COMPUTED_VALUE"""),"GEP - High")</f>
        <v>GEP - High</v>
      </c>
      <c r="Z270" s="3" t="str">
        <f>IFERROR(__xludf.DUMMYFUNCTION("""COMPUTED_VALUE"""),"Banking Transformation")</f>
        <v>Banking Transformation</v>
      </c>
      <c r="AA270" s="3" t="b">
        <f>IFERROR(__xludf.DUMMYFUNCTION("""COMPUTED_VALUE"""),FALSE)</f>
        <v>0</v>
      </c>
    </row>
    <row r="271">
      <c r="A271" s="11">
        <f>IFERROR(__xludf.DUMMYFUNCTION("""COMPUTED_VALUE"""),1.00621664E8)</f>
        <v>100621664</v>
      </c>
      <c r="B271" s="3" t="str">
        <f>IFERROR(__xludf.DUMMYFUNCTION("""COMPUTED_VALUE"""),"Jamie Barakat")</f>
        <v>Jamie Barakat</v>
      </c>
      <c r="C271" s="3" t="str">
        <f>IFERROR(__xludf.DUMMYFUNCTION("""COMPUTED_VALUE"""),"Jamal J Barakat")</f>
        <v>Jamal J Barakat</v>
      </c>
      <c r="D271" s="3" t="str">
        <f>IFERROR(__xludf.DUMMYFUNCTION("""COMPUTED_VALUE"""),"Barakat, Jamal J")</f>
        <v>Barakat, Jamal J</v>
      </c>
      <c r="E271" s="3" t="str">
        <f>IFERROR(__xludf.DUMMYFUNCTION("""COMPUTED_VALUE"""),"Active")</f>
        <v>Active</v>
      </c>
      <c r="F271" s="3" t="str">
        <f>IFERROR(__xludf.DUMMYFUNCTION("""COMPUTED_VALUE"""),"jamie.j.barakat@pwc.com")</f>
        <v>jamie.j.barakat@pwc.com</v>
      </c>
      <c r="G271" s="3" t="str">
        <f>IFERROR(__xludf.DUMMYFUNCTION("""COMPUTED_VALUE"""),"Finance")</f>
        <v>Finance</v>
      </c>
      <c r="H271" s="3" t="str">
        <f>IFERROR(__xludf.DUMMYFUNCTION("""COMPUTED_VALUE"""),"Manufacturing")</f>
        <v>Manufacturing</v>
      </c>
      <c r="I271" s="3" t="str">
        <f>IFERROR(__xludf.DUMMYFUNCTION("""COMPUTED_VALUE"""),"Finance - Financial Operations")</f>
        <v>Finance - Financial Operations</v>
      </c>
      <c r="J271" s="3" t="str">
        <f>IFERROR(__xludf.DUMMYFUNCTION("""COMPUTED_VALUE"""),"Partner")</f>
        <v>Partner</v>
      </c>
      <c r="K271" s="12">
        <f>IFERROR(__xludf.DUMMYFUNCTION("""COMPUTED_VALUE"""),38222.0)</f>
        <v>38222</v>
      </c>
      <c r="L271" s="3" t="str">
        <f>IFERROR(__xludf.DUMMYFUNCTION("""COMPUTED_VALUE"""),"Chicago")</f>
        <v>Chicago</v>
      </c>
      <c r="M271" s="3" t="str">
        <f>IFERROR(__xludf.DUMMYFUNCTION("""COMPUTED_VALUE"""),"Chicago - One North Wacker Drive")</f>
        <v>Chicago - One North Wacker Drive</v>
      </c>
      <c r="N271" s="3" t="b">
        <f>IFERROR(__xludf.DUMMYFUNCTION("""COMPUTED_VALUE"""),FALSE)</f>
        <v>0</v>
      </c>
      <c r="O271" s="3" t="str">
        <f>IFERROR(__xludf.DUMMYFUNCTION("""COMPUTED_VALUE"""),"kurtis.babczenko@pwc.com")</f>
        <v>kurtis.babczenko@pwc.com</v>
      </c>
      <c r="P271" s="3" t="str">
        <f>IFERROR(__xludf.DUMMYFUNCTION("""COMPUTED_VALUE"""),"No")</f>
        <v>No</v>
      </c>
      <c r="Q271" s="3" t="b">
        <f>IFERROR(__xludf.DUMMYFUNCTION("""COMPUTED_VALUE"""),TRUE)</f>
        <v>1</v>
      </c>
      <c r="R271" s="3" t="str">
        <f>IFERROR(__xludf.DUMMYFUNCTION("""COMPUTED_VALUE"""),"LCP Low")</f>
        <v>LCP Low</v>
      </c>
      <c r="S271" s="3"/>
      <c r="T271" s="3" t="b">
        <f>IFERROR(__xludf.DUMMYFUNCTION("""COMPUTED_VALUE"""),FALSE)</f>
        <v>0</v>
      </c>
      <c r="U271" s="3" t="b">
        <f>IFERROR(__xludf.DUMMYFUNCTION("""COMPUTED_VALUE"""),FALSE)</f>
        <v>0</v>
      </c>
      <c r="V271" s="3" t="b">
        <f>IFERROR(__xludf.DUMMYFUNCTION("""COMPUTED_VALUE"""),FALSE)</f>
        <v>0</v>
      </c>
      <c r="W271" s="3" t="str">
        <f>IFERROR(__xludf.DUMMYFUNCTION("""COMPUTED_VALUE"""),"LCP")</f>
        <v>LCP</v>
      </c>
      <c r="X271" s="3"/>
      <c r="Y271" s="3" t="str">
        <f>IFERROR(__xludf.DUMMYFUNCTION("""COMPUTED_VALUE"""),"GEP - Low")</f>
        <v>GEP - Low</v>
      </c>
      <c r="Z271" s="3" t="str">
        <f>IFERROR(__xludf.DUMMYFUNCTION("""COMPUTED_VALUE"""),"Finance Transformation IPS - IP")</f>
        <v>Finance Transformation IPS - IP</v>
      </c>
      <c r="AA271" s="3" t="b">
        <f>IFERROR(__xludf.DUMMYFUNCTION("""COMPUTED_VALUE"""),FALSE)</f>
        <v>0</v>
      </c>
    </row>
    <row r="272">
      <c r="A272" s="11">
        <f>IFERROR(__xludf.DUMMYFUNCTION("""COMPUTED_VALUE"""),1.006096E8)</f>
        <v>100609600</v>
      </c>
      <c r="B272" s="3" t="str">
        <f>IFERROR(__xludf.DUMMYFUNCTION("""COMPUTED_VALUE"""),"Jan Paul Zonnenberg")</f>
        <v>Jan Paul Zonnenberg</v>
      </c>
      <c r="C272" s="3" t="str">
        <f>IFERROR(__xludf.DUMMYFUNCTION("""COMPUTED_VALUE"""),"Jan Paul  Zonnenberg")</f>
        <v>Jan Paul  Zonnenberg</v>
      </c>
      <c r="D272" s="3" t="str">
        <f>IFERROR(__xludf.DUMMYFUNCTION("""COMPUTED_VALUE"""),"Zonnenberg, Jan Paul")</f>
        <v>Zonnenberg, Jan Paul</v>
      </c>
      <c r="E272" s="3" t="str">
        <f>IFERROR(__xludf.DUMMYFUNCTION("""COMPUTED_VALUE"""),"Active")</f>
        <v>Active</v>
      </c>
      <c r="F272" s="3" t="str">
        <f>IFERROR(__xludf.DUMMYFUNCTION("""COMPUTED_VALUE"""),"jp.zonnenberg@pwc.com")</f>
        <v>jp.zonnenberg@pwc.com</v>
      </c>
      <c r="G272" s="3" t="str">
        <f>IFERROR(__xludf.DUMMYFUNCTION("""COMPUTED_VALUE"""),"Ops")</f>
        <v>Ops</v>
      </c>
      <c r="H272" s="3" t="str">
        <f>IFERROR(__xludf.DUMMYFUNCTION("""COMPUTED_VALUE"""),"Pharma and Life Sciences")</f>
        <v>Pharma and Life Sciences</v>
      </c>
      <c r="I272" s="3" t="str">
        <f>IFERROR(__xludf.DUMMYFUNCTION("""COMPUTED_VALUE"""),"Ops - Connected Supply Chain (CSC)")</f>
        <v>Ops - Connected Supply Chain (CSC)</v>
      </c>
      <c r="J272" s="3" t="str">
        <f>IFERROR(__xludf.DUMMYFUNCTION("""COMPUTED_VALUE"""),"Partner")</f>
        <v>Partner</v>
      </c>
      <c r="K272" s="12">
        <f>IFERROR(__xludf.DUMMYFUNCTION("""COMPUTED_VALUE"""),40777.0)</f>
        <v>40777</v>
      </c>
      <c r="L272" s="3" t="str">
        <f>IFERROR(__xludf.DUMMYFUNCTION("""COMPUTED_VALUE"""),"Boston")</f>
        <v>Boston</v>
      </c>
      <c r="M272" s="3" t="str">
        <f>IFERROR(__xludf.DUMMYFUNCTION("""COMPUTED_VALUE"""),"Boston - 101 Seaport Boulevard")</f>
        <v>Boston - 101 Seaport Boulevard</v>
      </c>
      <c r="N272" s="3" t="b">
        <f>IFERROR(__xludf.DUMMYFUNCTION("""COMPUTED_VALUE"""),TRUE)</f>
        <v>1</v>
      </c>
      <c r="O272" s="3" t="str">
        <f>IFERROR(__xludf.DUMMYFUNCTION("""COMPUTED_VALUE"""),"matthew.r.comte@pwc.com")</f>
        <v>matthew.r.comte@pwc.com</v>
      </c>
      <c r="P272" s="3" t="str">
        <f>IFERROR(__xludf.DUMMYFUNCTION("""COMPUTED_VALUE"""),"No")</f>
        <v>No</v>
      </c>
      <c r="Q272" s="3" t="b">
        <f>IFERROR(__xludf.DUMMYFUNCTION("""COMPUTED_VALUE"""),FALSE)</f>
        <v>0</v>
      </c>
      <c r="R272" s="3"/>
      <c r="S272" s="3"/>
      <c r="T272" s="3" t="b">
        <f>IFERROR(__xludf.DUMMYFUNCTION("""COMPUTED_VALUE"""),FALSE)</f>
        <v>0</v>
      </c>
      <c r="U272" s="3" t="b">
        <f>IFERROR(__xludf.DUMMYFUNCTION("""COMPUTED_VALUE"""),TRUE)</f>
        <v>1</v>
      </c>
      <c r="V272" s="3" t="b">
        <f>IFERROR(__xludf.DUMMYFUNCTION("""COMPUTED_VALUE"""),FALSE)</f>
        <v>0</v>
      </c>
      <c r="W272" s="3" t="str">
        <f>IFERROR(__xludf.DUMMYFUNCTION("""COMPUTED_VALUE"""),"Delivery")</f>
        <v>Delivery</v>
      </c>
      <c r="X272" s="3" t="str">
        <f>IFERROR(__xludf.DUMMYFUNCTION("""COMPUTED_VALUE"""),"Investment")</f>
        <v>Investment</v>
      </c>
      <c r="Y272" s="3" t="str">
        <f>IFERROR(__xludf.DUMMYFUNCTION("""COMPUTED_VALUE"""),"Investment")</f>
        <v>Investment</v>
      </c>
      <c r="Z272" s="3" t="str">
        <f>IFERROR(__xludf.DUMMYFUNCTION("""COMPUTED_VALUE"""),"PLS Ops Transformation")</f>
        <v>PLS Ops Transformation</v>
      </c>
      <c r="AA272" s="3" t="b">
        <f>IFERROR(__xludf.DUMMYFUNCTION("""COMPUTED_VALUE"""),FALSE)</f>
        <v>0</v>
      </c>
    </row>
    <row r="273">
      <c r="A273" s="11">
        <f>IFERROR(__xludf.DUMMYFUNCTION("""COMPUTED_VALUE"""),1.0065343E8)</f>
        <v>100653430</v>
      </c>
      <c r="B273" s="3" t="str">
        <f>IFERROR(__xludf.DUMMYFUNCTION("""COMPUTED_VALUE"""),"Jan Seele")</f>
        <v>Jan Seele</v>
      </c>
      <c r="C273" s="3" t="str">
        <f>IFERROR(__xludf.DUMMYFUNCTION("""COMPUTED_VALUE"""),"Jan  Seele")</f>
        <v>Jan  Seele</v>
      </c>
      <c r="D273" s="3" t="str">
        <f>IFERROR(__xludf.DUMMYFUNCTION("""COMPUTED_VALUE"""),"Seele, Jan")</f>
        <v>Seele, Jan</v>
      </c>
      <c r="E273" s="3" t="str">
        <f>IFERROR(__xludf.DUMMYFUNCTION("""COMPUTED_VALUE"""),"Active")</f>
        <v>Active</v>
      </c>
      <c r="F273" s="3" t="str">
        <f>IFERROR(__xludf.DUMMYFUNCTION("""COMPUTED_VALUE"""),"jan.seele@pwc.com")</f>
        <v>jan.seele@pwc.com</v>
      </c>
      <c r="G273" s="3" t="str">
        <f>IFERROR(__xludf.DUMMYFUNCTION("""COMPUTED_VALUE"""),"Workforce")</f>
        <v>Workforce</v>
      </c>
      <c r="H273" s="3" t="str">
        <f>IFERROR(__xludf.DUMMYFUNCTION("""COMPUTED_VALUE"""),"TMT X-Sector")</f>
        <v>TMT X-Sector</v>
      </c>
      <c r="I273" s="3" t="str">
        <f>IFERROR(__xludf.DUMMYFUNCTION("""COMPUTED_VALUE"""),"Workforce - HRT")</f>
        <v>Workforce - HRT</v>
      </c>
      <c r="J273" s="3" t="str">
        <f>IFERROR(__xludf.DUMMYFUNCTION("""COMPUTED_VALUE"""),"Partner")</f>
        <v>Partner</v>
      </c>
      <c r="K273" s="12">
        <f>IFERROR(__xludf.DUMMYFUNCTION("""COMPUTED_VALUE"""),40547.0)</f>
        <v>40547</v>
      </c>
      <c r="L273" s="3" t="str">
        <f>IFERROR(__xludf.DUMMYFUNCTION("""COMPUTED_VALUE"""),"New York")</f>
        <v>New York</v>
      </c>
      <c r="M273" s="3" t="str">
        <f>IFERROR(__xludf.DUMMYFUNCTION("""COMPUTED_VALUE"""),"New York - 300 Madison Avenue")</f>
        <v>New York - 300 Madison Avenue</v>
      </c>
      <c r="N273" s="3" t="b">
        <f>IFERROR(__xludf.DUMMYFUNCTION("""COMPUTED_VALUE"""),FALSE)</f>
        <v>0</v>
      </c>
      <c r="O273" s="3" t="str">
        <f>IFERROR(__xludf.DUMMYFUNCTION("""COMPUTED_VALUE"""),"craig.odonnell@pwc.com")</f>
        <v>craig.odonnell@pwc.com</v>
      </c>
      <c r="P273" s="3" t="str">
        <f>IFERROR(__xludf.DUMMYFUNCTION("""COMPUTED_VALUE"""),"No")</f>
        <v>No</v>
      </c>
      <c r="Q273" s="3" t="b">
        <f>IFERROR(__xludf.DUMMYFUNCTION("""COMPUTED_VALUE"""),FALSE)</f>
        <v>0</v>
      </c>
      <c r="R273" s="3"/>
      <c r="S273" s="3"/>
      <c r="T273" s="3" t="b">
        <f>IFERROR(__xludf.DUMMYFUNCTION("""COMPUTED_VALUE"""),FALSE)</f>
        <v>0</v>
      </c>
      <c r="U273" s="3" t="b">
        <f>IFERROR(__xludf.DUMMYFUNCTION("""COMPUTED_VALUE"""),FALSE)</f>
        <v>0</v>
      </c>
      <c r="V273" s="3" t="b">
        <f>IFERROR(__xludf.DUMMYFUNCTION("""COMPUTED_VALUE"""),FALSE)</f>
        <v>0</v>
      </c>
      <c r="W273" s="3" t="str">
        <f>IFERROR(__xludf.DUMMYFUNCTION("""COMPUTED_VALUE"""),"#N/A")</f>
        <v>#N/A</v>
      </c>
      <c r="X273" s="3" t="str">
        <f>IFERROR(__xludf.DUMMYFUNCTION("""COMPUTED_VALUE"""),"#N/A")</f>
        <v>#N/A</v>
      </c>
      <c r="Y273" s="3" t="str">
        <f>IFERROR(__xludf.DUMMYFUNCTION("""COMPUTED_VALUE"""),"#N/A")</f>
        <v>#N/A</v>
      </c>
      <c r="Z273" s="3" t="str">
        <f>IFERROR(__xludf.DUMMYFUNCTION("""COMPUTED_VALUE"""),"Unknown")</f>
        <v>Unknown</v>
      </c>
      <c r="AA273" s="3" t="b">
        <f>IFERROR(__xludf.DUMMYFUNCTION("""COMPUTED_VALUE"""),FALSE)</f>
        <v>0</v>
      </c>
    </row>
    <row r="274">
      <c r="A274" s="11">
        <f>IFERROR(__xludf.DUMMYFUNCTION("""COMPUTED_VALUE"""),1.00597339E8)</f>
        <v>100597339</v>
      </c>
      <c r="B274" s="3" t="str">
        <f>IFERROR(__xludf.DUMMYFUNCTION("""COMPUTED_VALUE"""),"Jared Curless")</f>
        <v>Jared Curless</v>
      </c>
      <c r="C274" s="3" t="str">
        <f>IFERROR(__xludf.DUMMYFUNCTION("""COMPUTED_VALUE"""),"Jared T Curless")</f>
        <v>Jared T Curless</v>
      </c>
      <c r="D274" s="3" t="str">
        <f>IFERROR(__xludf.DUMMYFUNCTION("""COMPUTED_VALUE"""),"Curless, Jared T")</f>
        <v>Curless, Jared T</v>
      </c>
      <c r="E274" s="3" t="str">
        <f>IFERROR(__xludf.DUMMYFUNCTION("""COMPUTED_VALUE"""),"Active")</f>
        <v>Active</v>
      </c>
      <c r="F274" s="3" t="str">
        <f>IFERROR(__xludf.DUMMYFUNCTION("""COMPUTED_VALUE"""),"jared.t.curless@pwc.com")</f>
        <v>jared.t.curless@pwc.com</v>
      </c>
      <c r="G274" s="3" t="str">
        <f>IFERROR(__xludf.DUMMYFUNCTION("""COMPUTED_VALUE"""),"Workforce")</f>
        <v>Workforce</v>
      </c>
      <c r="H274" s="3" t="str">
        <f>IFERROR(__xludf.DUMMYFUNCTION("""COMPUTED_VALUE"""),"IMA X-Sector")</f>
        <v>IMA X-Sector</v>
      </c>
      <c r="I274" s="3" t="str">
        <f>IFERROR(__xludf.DUMMYFUNCTION("""COMPUTED_VALUE"""),"Workforce - Rewards &amp; Well Being")</f>
        <v>Workforce - Rewards &amp; Well Being</v>
      </c>
      <c r="J274" s="3" t="str">
        <f>IFERROR(__xludf.DUMMYFUNCTION("""COMPUTED_VALUE"""),"Partner")</f>
        <v>Partner</v>
      </c>
      <c r="K274" s="12">
        <f>IFERROR(__xludf.DUMMYFUNCTION("""COMPUTED_VALUE"""),35436.0)</f>
        <v>35436</v>
      </c>
      <c r="L274" s="3" t="str">
        <f>IFERROR(__xludf.DUMMYFUNCTION("""COMPUTED_VALUE"""),"Houston")</f>
        <v>Houston</v>
      </c>
      <c r="M274" s="3" t="str">
        <f>IFERROR(__xludf.DUMMYFUNCTION("""COMPUTED_VALUE"""),"Houston - 1000 Louisiana Street")</f>
        <v>Houston - 1000 Louisiana Street</v>
      </c>
      <c r="N274" s="3" t="b">
        <f>IFERROR(__xludf.DUMMYFUNCTION("""COMPUTED_VALUE"""),FALSE)</f>
        <v>0</v>
      </c>
      <c r="O274" s="3" t="str">
        <f>IFERROR(__xludf.DUMMYFUNCTION("""COMPUTED_VALUE"""),"craig.odonnell@pwc.com")</f>
        <v>craig.odonnell@pwc.com</v>
      </c>
      <c r="P274" s="3" t="str">
        <f>IFERROR(__xludf.DUMMYFUNCTION("""COMPUTED_VALUE"""),"No")</f>
        <v>No</v>
      </c>
      <c r="Q274" s="3" t="b">
        <f>IFERROR(__xludf.DUMMYFUNCTION("""COMPUTED_VALUE"""),FALSE)</f>
        <v>0</v>
      </c>
      <c r="R274" s="3"/>
      <c r="S274" s="3"/>
      <c r="T274" s="3" t="b">
        <f>IFERROR(__xludf.DUMMYFUNCTION("""COMPUTED_VALUE"""),FALSE)</f>
        <v>0</v>
      </c>
      <c r="U274" s="3" t="b">
        <f>IFERROR(__xludf.DUMMYFUNCTION("""COMPUTED_VALUE"""),FALSE)</f>
        <v>0</v>
      </c>
      <c r="V274" s="3" t="b">
        <f>IFERROR(__xludf.DUMMYFUNCTION("""COMPUTED_VALUE"""),FALSE)</f>
        <v>0</v>
      </c>
      <c r="W274" s="3" t="str">
        <f>IFERROR(__xludf.DUMMYFUNCTION("""COMPUTED_VALUE"""),"#N/A")</f>
        <v>#N/A</v>
      </c>
      <c r="X274" s="3" t="str">
        <f>IFERROR(__xludf.DUMMYFUNCTION("""COMPUTED_VALUE"""),"#N/A")</f>
        <v>#N/A</v>
      </c>
      <c r="Y274" s="3" t="str">
        <f>IFERROR(__xludf.DUMMYFUNCTION("""COMPUTED_VALUE"""),"#N/A")</f>
        <v>#N/A</v>
      </c>
      <c r="Z274" s="3" t="str">
        <f>IFERROR(__xludf.DUMMYFUNCTION("""COMPUTED_VALUE"""),"Unknown")</f>
        <v>Unknown</v>
      </c>
      <c r="AA274" s="3" t="b">
        <f>IFERROR(__xludf.DUMMYFUNCTION("""COMPUTED_VALUE"""),FALSE)</f>
        <v>0</v>
      </c>
    </row>
    <row r="275">
      <c r="A275" s="11">
        <f>IFERROR(__xludf.DUMMYFUNCTION("""COMPUTED_VALUE"""),1.0061941E8)</f>
        <v>100619410</v>
      </c>
      <c r="B275" s="3" t="str">
        <f>IFERROR(__xludf.DUMMYFUNCTION("""COMPUTED_VALUE"""),"Jared Schreff")</f>
        <v>Jared Schreff</v>
      </c>
      <c r="C275" s="3" t="str">
        <f>IFERROR(__xludf.DUMMYFUNCTION("""COMPUTED_VALUE"""),"Jared P Schreff")</f>
        <v>Jared P Schreff</v>
      </c>
      <c r="D275" s="3" t="str">
        <f>IFERROR(__xludf.DUMMYFUNCTION("""COMPUTED_VALUE"""),"Schreff, Jared P")</f>
        <v>Schreff, Jared P</v>
      </c>
      <c r="E275" s="3" t="str">
        <f>IFERROR(__xludf.DUMMYFUNCTION("""COMPUTED_VALUE"""),"Active")</f>
        <v>Active</v>
      </c>
      <c r="F275" s="3" t="str">
        <f>IFERROR(__xludf.DUMMYFUNCTION("""COMPUTED_VALUE"""),"jared.p.schreff@pwc.com")</f>
        <v>jared.p.schreff@pwc.com</v>
      </c>
      <c r="G275" s="3" t="str">
        <f>IFERROR(__xludf.DUMMYFUNCTION("""COMPUTED_VALUE"""),"Finance")</f>
        <v>Finance</v>
      </c>
      <c r="H275" s="3" t="str">
        <f>IFERROR(__xludf.DUMMYFUNCTION("""COMPUTED_VALUE"""),"TMT X-Sector")</f>
        <v>TMT X-Sector</v>
      </c>
      <c r="I275" s="3" t="str">
        <f>IFERROR(__xludf.DUMMYFUNCTION("""COMPUTED_VALUE"""),"Finance - Financial Operations")</f>
        <v>Finance - Financial Operations</v>
      </c>
      <c r="J275" s="3" t="str">
        <f>IFERROR(__xludf.DUMMYFUNCTION("""COMPUTED_VALUE"""),"Partner")</f>
        <v>Partner</v>
      </c>
      <c r="K275" s="12">
        <f>IFERROR(__xludf.DUMMYFUNCTION("""COMPUTED_VALUE"""),38732.0)</f>
        <v>38732</v>
      </c>
      <c r="L275" s="3" t="str">
        <f>IFERROR(__xludf.DUMMYFUNCTION("""COMPUTED_VALUE"""),"San Jose")</f>
        <v>San Jose</v>
      </c>
      <c r="M275" s="3" t="str">
        <f>IFERROR(__xludf.DUMMYFUNCTION("""COMPUTED_VALUE"""),"San Jose - 488 Almaden Boulevard")</f>
        <v>San Jose - 488 Almaden Boulevard</v>
      </c>
      <c r="N275" s="3" t="b">
        <f>IFERROR(__xludf.DUMMYFUNCTION("""COMPUTED_VALUE"""),FALSE)</f>
        <v>0</v>
      </c>
      <c r="O275" s="3" t="str">
        <f>IFERROR(__xludf.DUMMYFUNCTION("""COMPUTED_VALUE"""),"kurtis.babczenko@pwc.com")</f>
        <v>kurtis.babczenko@pwc.com</v>
      </c>
      <c r="P275" s="3" t="str">
        <f>IFERROR(__xludf.DUMMYFUNCTION("""COMPUTED_VALUE"""),"No")</f>
        <v>No</v>
      </c>
      <c r="Q275" s="3" t="b">
        <f>IFERROR(__xludf.DUMMYFUNCTION("""COMPUTED_VALUE"""),FALSE)</f>
        <v>0</v>
      </c>
      <c r="R275" s="3"/>
      <c r="S275" s="3"/>
      <c r="T275" s="3" t="b">
        <f>IFERROR(__xludf.DUMMYFUNCTION("""COMPUTED_VALUE"""),FALSE)</f>
        <v>0</v>
      </c>
      <c r="U275" s="3" t="b">
        <f>IFERROR(__xludf.DUMMYFUNCTION("""COMPUTED_VALUE"""),FALSE)</f>
        <v>0</v>
      </c>
      <c r="V275" s="3" t="b">
        <f>IFERROR(__xludf.DUMMYFUNCTION("""COMPUTED_VALUE"""),FALSE)</f>
        <v>0</v>
      </c>
      <c r="W275" s="3" t="str">
        <f>IFERROR(__xludf.DUMMYFUNCTION("""COMPUTED_VALUE"""),"Delivery")</f>
        <v>Delivery</v>
      </c>
      <c r="X275" s="3"/>
      <c r="Y275" s="3" t="str">
        <f>IFERROR(__xludf.DUMMYFUNCTION("""COMPUTED_VALUE"""),"Point Partner")</f>
        <v>Point Partner</v>
      </c>
      <c r="Z275" s="3" t="str">
        <f>IFERROR(__xludf.DUMMYFUNCTION("""COMPUTED_VALUE"""),"Finance Transformation - TMT")</f>
        <v>Finance Transformation - TMT</v>
      </c>
      <c r="AA275" s="3" t="b">
        <f>IFERROR(__xludf.DUMMYFUNCTION("""COMPUTED_VALUE"""),FALSE)</f>
        <v>0</v>
      </c>
    </row>
    <row r="276">
      <c r="A276" s="11">
        <f>IFERROR(__xludf.DUMMYFUNCTION("""COMPUTED_VALUE"""),1.00603695E8)</f>
        <v>100603695</v>
      </c>
      <c r="B276" s="3" t="str">
        <f>IFERROR(__xludf.DUMMYFUNCTION("""COMPUTED_VALUE"""),"Jared Vuu")</f>
        <v>Jared Vuu</v>
      </c>
      <c r="C276" s="3" t="str">
        <f>IFERROR(__xludf.DUMMYFUNCTION("""COMPUTED_VALUE"""),"Phuc  Vuu")</f>
        <v>Phuc  Vuu</v>
      </c>
      <c r="D276" s="3" t="str">
        <f>IFERROR(__xludf.DUMMYFUNCTION("""COMPUTED_VALUE"""),"Vuu, Phuc")</f>
        <v>Vuu, Phuc</v>
      </c>
      <c r="E276" s="3" t="str">
        <f>IFERROR(__xludf.DUMMYFUNCTION("""COMPUTED_VALUE"""),"Active")</f>
        <v>Active</v>
      </c>
      <c r="F276" s="3" t="str">
        <f>IFERROR(__xludf.DUMMYFUNCTION("""COMPUTED_VALUE"""),"jared.vuu@pwc.com")</f>
        <v>jared.vuu@pwc.com</v>
      </c>
      <c r="G276" s="3" t="str">
        <f>IFERROR(__xludf.DUMMYFUNCTION("""COMPUTED_VALUE"""),"Deals Transformation")</f>
        <v>Deals Transformation</v>
      </c>
      <c r="H276" s="3" t="str">
        <f>IFERROR(__xludf.DUMMYFUNCTION("""COMPUTED_VALUE"""),"TMT X-Sector")</f>
        <v>TMT X-Sector</v>
      </c>
      <c r="I276" s="3" t="str">
        <f>IFERROR(__xludf.DUMMYFUNCTION("""COMPUTED_VALUE"""),"DDV - Finance")</f>
        <v>DDV - Finance</v>
      </c>
      <c r="J276" s="3" t="str">
        <f>IFERROR(__xludf.DUMMYFUNCTION("""COMPUTED_VALUE"""),"Managing Director")</f>
        <v>Managing Director</v>
      </c>
      <c r="K276" s="12">
        <f>IFERROR(__xludf.DUMMYFUNCTION("""COMPUTED_VALUE"""),36766.0)</f>
        <v>36766</v>
      </c>
      <c r="L276" s="3" t="str">
        <f>IFERROR(__xludf.DUMMYFUNCTION("""COMPUTED_VALUE"""),"Dallas")</f>
        <v>Dallas</v>
      </c>
      <c r="M276" s="3" t="str">
        <f>IFERROR(__xludf.DUMMYFUNCTION("""COMPUTED_VALUE"""),"Dallas - 2121 North Pearl Street")</f>
        <v>Dallas - 2121 North Pearl Street</v>
      </c>
      <c r="N276" s="3" t="b">
        <f>IFERROR(__xludf.DUMMYFUNCTION("""COMPUTED_VALUE"""),FALSE)</f>
        <v>0</v>
      </c>
      <c r="O276" s="3" t="str">
        <f>IFERROR(__xludf.DUMMYFUNCTION("""COMPUTED_VALUE"""),"barrett.j.shipman@pwc.com")</f>
        <v>barrett.j.shipman@pwc.com</v>
      </c>
      <c r="P276" s="3" t="str">
        <f>IFERROR(__xludf.DUMMYFUNCTION("""COMPUTED_VALUE"""),"No")</f>
        <v>No</v>
      </c>
      <c r="Q276" s="3" t="b">
        <f>IFERROR(__xludf.DUMMYFUNCTION("""COMPUTED_VALUE"""),FALSE)</f>
        <v>0</v>
      </c>
      <c r="R276" s="3"/>
      <c r="S276" s="3"/>
      <c r="T276" s="3" t="b">
        <f>IFERROR(__xludf.DUMMYFUNCTION("""COMPUTED_VALUE"""),FALSE)</f>
        <v>0</v>
      </c>
      <c r="U276" s="3" t="b">
        <f>IFERROR(__xludf.DUMMYFUNCTION("""COMPUTED_VALUE"""),TRUE)</f>
        <v>1</v>
      </c>
      <c r="V276" s="3" t="b">
        <f>IFERROR(__xludf.DUMMYFUNCTION("""COMPUTED_VALUE"""),FALSE)</f>
        <v>0</v>
      </c>
      <c r="W276" s="3" t="str">
        <f>IFERROR(__xludf.DUMMYFUNCTION("""COMPUTED_VALUE"""),"Delivery")</f>
        <v>Delivery</v>
      </c>
      <c r="X276" s="3"/>
      <c r="Y276" s="3"/>
      <c r="Z276" s="3" t="str">
        <f>IFERROR(__xludf.DUMMYFUNCTION("""COMPUTED_VALUE"""),"Corporate M&amp;A Transformation - TMT")</f>
        <v>Corporate M&amp;A Transformation - TMT</v>
      </c>
      <c r="AA276" s="3" t="b">
        <f>IFERROR(__xludf.DUMMYFUNCTION("""COMPUTED_VALUE"""),FALSE)</f>
        <v>0</v>
      </c>
    </row>
    <row r="277">
      <c r="A277" s="11">
        <f>IFERROR(__xludf.DUMMYFUNCTION("""COMPUTED_VALUE"""),1.00653704E8)</f>
        <v>100653704</v>
      </c>
      <c r="B277" s="3" t="str">
        <f>IFERROR(__xludf.DUMMYFUNCTION("""COMPUTED_VALUE"""),"Jason Delaney")</f>
        <v>Jason Delaney</v>
      </c>
      <c r="C277" s="3" t="str">
        <f>IFERROR(__xludf.DUMMYFUNCTION("""COMPUTED_VALUE"""),"Jason J Delaney")</f>
        <v>Jason J Delaney</v>
      </c>
      <c r="D277" s="3" t="str">
        <f>IFERROR(__xludf.DUMMYFUNCTION("""COMPUTED_VALUE"""),"Delaney, Jason J")</f>
        <v>Delaney, Jason J</v>
      </c>
      <c r="E277" s="3" t="str">
        <f>IFERROR(__xludf.DUMMYFUNCTION("""COMPUTED_VALUE"""),"Active")</f>
        <v>Active</v>
      </c>
      <c r="F277" s="3" t="str">
        <f>IFERROR(__xludf.DUMMYFUNCTION("""COMPUTED_VALUE"""),"jason.delaney@pwc.com")</f>
        <v>jason.delaney@pwc.com</v>
      </c>
      <c r="G277" s="3" t="str">
        <f>IFERROR(__xludf.DUMMYFUNCTION("""COMPUTED_VALUE"""),"Deals Transformation")</f>
        <v>Deals Transformation</v>
      </c>
      <c r="H277" s="3" t="str">
        <f>IFERROR(__xludf.DUMMYFUNCTION("""COMPUTED_VALUE"""),"Manufacturing")</f>
        <v>Manufacturing</v>
      </c>
      <c r="I277" s="3" t="str">
        <f>IFERROR(__xludf.DUMMYFUNCTION("""COMPUTED_VALUE"""),"DDV - GTM")</f>
        <v>DDV - GTM</v>
      </c>
      <c r="J277" s="3" t="str">
        <f>IFERROR(__xludf.DUMMYFUNCTION("""COMPUTED_VALUE"""),"Partner")</f>
        <v>Partner</v>
      </c>
      <c r="K277" s="12">
        <f>IFERROR(__xludf.DUMMYFUNCTION("""COMPUTED_VALUE"""),40566.0)</f>
        <v>40566</v>
      </c>
      <c r="L277" s="3" t="str">
        <f>IFERROR(__xludf.DUMMYFUNCTION("""COMPUTED_VALUE"""),"Boston")</f>
        <v>Boston</v>
      </c>
      <c r="M277" s="3" t="str">
        <f>IFERROR(__xludf.DUMMYFUNCTION("""COMPUTED_VALUE"""),"Boston - 101 Seaport Boulevard")</f>
        <v>Boston - 101 Seaport Boulevard</v>
      </c>
      <c r="N277" s="3" t="b">
        <f>IFERROR(__xludf.DUMMYFUNCTION("""COMPUTED_VALUE"""),FALSE)</f>
        <v>0</v>
      </c>
      <c r="O277" s="3" t="str">
        <f>IFERROR(__xludf.DUMMYFUNCTION("""COMPUTED_VALUE"""),"derek.b.townsend@pwc.com")</f>
        <v>derek.b.townsend@pwc.com</v>
      </c>
      <c r="P277" s="3" t="str">
        <f>IFERROR(__xludf.DUMMYFUNCTION("""COMPUTED_VALUE"""),"No")</f>
        <v>No</v>
      </c>
      <c r="Q277" s="3" t="b">
        <f>IFERROR(__xludf.DUMMYFUNCTION("""COMPUTED_VALUE"""),FALSE)</f>
        <v>0</v>
      </c>
      <c r="R277" s="3"/>
      <c r="S277" s="3"/>
      <c r="T277" s="3" t="b">
        <f>IFERROR(__xludf.DUMMYFUNCTION("""COMPUTED_VALUE"""),FALSE)</f>
        <v>0</v>
      </c>
      <c r="U277" s="3" t="b">
        <f>IFERROR(__xludf.DUMMYFUNCTION("""COMPUTED_VALUE"""),TRUE)</f>
        <v>1</v>
      </c>
      <c r="V277" s="3" t="b">
        <f>IFERROR(__xludf.DUMMYFUNCTION("""COMPUTED_VALUE"""),FALSE)</f>
        <v>0</v>
      </c>
      <c r="W277" s="3" t="str">
        <f>IFERROR(__xludf.DUMMYFUNCTION("""COMPUTED_VALUE"""),"Exit")</f>
        <v>Exit</v>
      </c>
      <c r="X277" s="3"/>
      <c r="Y277" s="3"/>
      <c r="Z277" s="3" t="str">
        <f>IFERROR(__xludf.DUMMYFUNCTION("""COMPUTED_VALUE"""),"Corporate M&amp;A Transformation - IPS")</f>
        <v>Corporate M&amp;A Transformation - IPS</v>
      </c>
      <c r="AA277" s="3" t="b">
        <f>IFERROR(__xludf.DUMMYFUNCTION("""COMPUTED_VALUE"""),FALSE)</f>
        <v>0</v>
      </c>
    </row>
    <row r="278">
      <c r="A278" s="11">
        <f>IFERROR(__xludf.DUMMYFUNCTION("""COMPUTED_VALUE"""),1.00648421E8)</f>
        <v>100648421</v>
      </c>
      <c r="B278" s="3" t="str">
        <f>IFERROR(__xludf.DUMMYFUNCTION("""COMPUTED_VALUE"""),"Jason Gaswirth")</f>
        <v>Jason Gaswirth</v>
      </c>
      <c r="C278" s="3" t="str">
        <f>IFERROR(__xludf.DUMMYFUNCTION("""COMPUTED_VALUE"""),"Jason F Gaswirth")</f>
        <v>Jason F Gaswirth</v>
      </c>
      <c r="D278" s="3" t="str">
        <f>IFERROR(__xludf.DUMMYFUNCTION("""COMPUTED_VALUE"""),"Gaswirth, Jason F")</f>
        <v>Gaswirth, Jason F</v>
      </c>
      <c r="E278" s="3" t="str">
        <f>IFERROR(__xludf.DUMMYFUNCTION("""COMPUTED_VALUE"""),"Active")</f>
        <v>Active</v>
      </c>
      <c r="F278" s="3" t="str">
        <f>IFERROR(__xludf.DUMMYFUNCTION("""COMPUTED_VALUE"""),"jason.gaswirth@pwc.com")</f>
        <v>jason.gaswirth@pwc.com</v>
      </c>
      <c r="G278" s="3" t="str">
        <f>IFERROR(__xludf.DUMMYFUNCTION("""COMPUTED_VALUE"""),"FS")</f>
        <v>FS</v>
      </c>
      <c r="H278" s="3" t="str">
        <f>IFERROR(__xludf.DUMMYFUNCTION("""COMPUTED_VALUE"""),"Banking and Capital Markets")</f>
        <v>Banking and Capital Markets</v>
      </c>
      <c r="I278" s="3" t="str">
        <f>IFERROR(__xludf.DUMMYFUNCTION("""COMPUTED_VALUE"""),"FS - Banking and Capital Markets")</f>
        <v>FS - Banking and Capital Markets</v>
      </c>
      <c r="J278" s="3" t="str">
        <f>IFERROR(__xludf.DUMMYFUNCTION("""COMPUTED_VALUE"""),"Partner")</f>
        <v>Partner</v>
      </c>
      <c r="K278" s="12">
        <f>IFERROR(__xludf.DUMMYFUNCTION("""COMPUTED_VALUE"""),40485.0)</f>
        <v>40485</v>
      </c>
      <c r="L278" s="3" t="str">
        <f>IFERROR(__xludf.DUMMYFUNCTION("""COMPUTED_VALUE"""),"New York")</f>
        <v>New York</v>
      </c>
      <c r="M278" s="3" t="str">
        <f>IFERROR(__xludf.DUMMYFUNCTION("""COMPUTED_VALUE"""),"New York - 300 Madison Avenue")</f>
        <v>New York - 300 Madison Avenue</v>
      </c>
      <c r="N278" s="3" t="b">
        <f>IFERROR(__xludf.DUMMYFUNCTION("""COMPUTED_VALUE"""),FALSE)</f>
        <v>0</v>
      </c>
      <c r="O278" s="3" t="str">
        <f>IFERROR(__xludf.DUMMYFUNCTION("""COMPUTED_VALUE"""),"alison.hoover@pwc.com")</f>
        <v>alison.hoover@pwc.com</v>
      </c>
      <c r="P278" s="3" t="str">
        <f>IFERROR(__xludf.DUMMYFUNCTION("""COMPUTED_VALUE"""),"No")</f>
        <v>No</v>
      </c>
      <c r="Q278" s="3" t="b">
        <f>IFERROR(__xludf.DUMMYFUNCTION("""COMPUTED_VALUE"""),FALSE)</f>
        <v>0</v>
      </c>
      <c r="R278" s="3"/>
      <c r="S278" s="3"/>
      <c r="T278" s="3" t="b">
        <f>IFERROR(__xludf.DUMMYFUNCTION("""COMPUTED_VALUE"""),FALSE)</f>
        <v>0</v>
      </c>
      <c r="U278" s="3" t="b">
        <f>IFERROR(__xludf.DUMMYFUNCTION("""COMPUTED_VALUE"""),TRUE)</f>
        <v>1</v>
      </c>
      <c r="V278" s="3" t="b">
        <f>IFERROR(__xludf.DUMMYFUNCTION("""COMPUTED_VALUE"""),FALSE)</f>
        <v>0</v>
      </c>
      <c r="W278" s="3" t="str">
        <f>IFERROR(__xludf.DUMMYFUNCTION("""COMPUTED_VALUE"""),"Delivery")</f>
        <v>Delivery</v>
      </c>
      <c r="X278" s="3" t="str">
        <f>IFERROR(__xludf.DUMMYFUNCTION("""COMPUTED_VALUE"""),"Investment")</f>
        <v>Investment</v>
      </c>
      <c r="Y278" s="3"/>
      <c r="Z278" s="3" t="str">
        <f>IFERROR(__xludf.DUMMYFUNCTION("""COMPUTED_VALUE"""),"Capital Markets Transformation")</f>
        <v>Capital Markets Transformation</v>
      </c>
      <c r="AA278" s="3" t="b">
        <f>IFERROR(__xludf.DUMMYFUNCTION("""COMPUTED_VALUE"""),FALSE)</f>
        <v>0</v>
      </c>
    </row>
    <row r="279">
      <c r="A279" s="11">
        <f>IFERROR(__xludf.DUMMYFUNCTION("""COMPUTED_VALUE"""),1.00584043E8)</f>
        <v>100584043</v>
      </c>
      <c r="B279" s="3" t="str">
        <f>IFERROR(__xludf.DUMMYFUNCTION("""COMPUTED_VALUE"""),"Jason Wagner")</f>
        <v>Jason Wagner</v>
      </c>
      <c r="C279" s="3" t="str">
        <f>IFERROR(__xludf.DUMMYFUNCTION("""COMPUTED_VALUE"""),"Jason  Wagner")</f>
        <v>Jason  Wagner</v>
      </c>
      <c r="D279" s="3" t="str">
        <f>IFERROR(__xludf.DUMMYFUNCTION("""COMPUTED_VALUE"""),"Wagner, Jason")</f>
        <v>Wagner, Jason</v>
      </c>
      <c r="E279" s="3" t="str">
        <f>IFERROR(__xludf.DUMMYFUNCTION("""COMPUTED_VALUE"""),"Active")</f>
        <v>Active</v>
      </c>
      <c r="F279" s="3" t="str">
        <f>IFERROR(__xludf.DUMMYFUNCTION("""COMPUTED_VALUE"""),"jason.wagner@pwc.com")</f>
        <v>jason.wagner@pwc.com</v>
      </c>
      <c r="G279" s="3" t="str">
        <f>IFERROR(__xludf.DUMMYFUNCTION("""COMPUTED_VALUE"""),"Customer")</f>
        <v>Customer</v>
      </c>
      <c r="H279" s="3" t="str">
        <f>IFERROR(__xludf.DUMMYFUNCTION("""COMPUTED_VALUE"""),"TMT X-Sector")</f>
        <v>TMT X-Sector</v>
      </c>
      <c r="I279" s="3" t="str">
        <f>IFERROR(__xludf.DUMMYFUNCTION("""COMPUTED_VALUE"""),"Customer - Customer Strategy &amp; Experience")</f>
        <v>Customer - Customer Strategy &amp; Experience</v>
      </c>
      <c r="J279" s="3" t="str">
        <f>IFERROR(__xludf.DUMMYFUNCTION("""COMPUTED_VALUE"""),"Partner")</f>
        <v>Partner</v>
      </c>
      <c r="K279" s="12">
        <f>IFERROR(__xludf.DUMMYFUNCTION("""COMPUTED_VALUE"""),36101.0)</f>
        <v>36101</v>
      </c>
      <c r="L279" s="3" t="str">
        <f>IFERROR(__xludf.DUMMYFUNCTION("""COMPUTED_VALUE"""),"New York")</f>
        <v>New York</v>
      </c>
      <c r="M279" s="3" t="str">
        <f>IFERROR(__xludf.DUMMYFUNCTION("""COMPUTED_VALUE"""),"New York - 300 Madison Avenue")</f>
        <v>New York - 300 Madison Avenue</v>
      </c>
      <c r="N279" s="3" t="b">
        <f>IFERROR(__xludf.DUMMYFUNCTION("""COMPUTED_VALUE"""),FALSE)</f>
        <v>0</v>
      </c>
      <c r="O279" s="3" t="str">
        <f>IFERROR(__xludf.DUMMYFUNCTION("""COMPUTED_VALUE"""),"george.korizis@pwc.com")</f>
        <v>george.korizis@pwc.com</v>
      </c>
      <c r="P279" s="3" t="str">
        <f>IFERROR(__xludf.DUMMYFUNCTION("""COMPUTED_VALUE"""),"No")</f>
        <v>No</v>
      </c>
      <c r="Q279" s="3" t="b">
        <f>IFERROR(__xludf.DUMMYFUNCTION("""COMPUTED_VALUE"""),TRUE)</f>
        <v>1</v>
      </c>
      <c r="R279" s="3" t="str">
        <f>IFERROR(__xludf.DUMMYFUNCTION("""COMPUTED_VALUE"""),"LCP Low")</f>
        <v>LCP Low</v>
      </c>
      <c r="S279" s="3"/>
      <c r="T279" s="3" t="b">
        <f>IFERROR(__xludf.DUMMYFUNCTION("""COMPUTED_VALUE"""),FALSE)</f>
        <v>0</v>
      </c>
      <c r="U279" s="3" t="b">
        <f>IFERROR(__xludf.DUMMYFUNCTION("""COMPUTED_VALUE"""),FALSE)</f>
        <v>0</v>
      </c>
      <c r="V279" s="3" t="b">
        <f>IFERROR(__xludf.DUMMYFUNCTION("""COMPUTED_VALUE"""),FALSE)</f>
        <v>0</v>
      </c>
      <c r="W279" s="3" t="str">
        <f>IFERROR(__xludf.DUMMYFUNCTION("""COMPUTED_VALUE"""),"LCP")</f>
        <v>LCP</v>
      </c>
      <c r="X279" s="3"/>
      <c r="Y279" s="3" t="str">
        <f>IFERROR(__xludf.DUMMYFUNCTION("""COMPUTED_VALUE"""),"GEP - Low")</f>
        <v>GEP - Low</v>
      </c>
      <c r="Z279" s="3" t="str">
        <f>IFERROR(__xludf.DUMMYFUNCTION("""COMPUTED_VALUE"""),"Commercial / CRM Transformation - FS &amp; TMT")</f>
        <v>Commercial / CRM Transformation - FS &amp; TMT</v>
      </c>
      <c r="AA279" s="3" t="b">
        <f>IFERROR(__xludf.DUMMYFUNCTION("""COMPUTED_VALUE"""),FALSE)</f>
        <v>0</v>
      </c>
    </row>
    <row r="280">
      <c r="A280" s="11">
        <f>IFERROR(__xludf.DUMMYFUNCTION("""COMPUTED_VALUE"""),1.00660495E8)</f>
        <v>100660495</v>
      </c>
      <c r="B280" s="3" t="str">
        <f>IFERROR(__xludf.DUMMYFUNCTION("""COMPUTED_VALUE"""),"Jay Kaduson")</f>
        <v>Jay Kaduson</v>
      </c>
      <c r="C280" s="3" t="str">
        <f>IFERROR(__xludf.DUMMYFUNCTION("""COMPUTED_VALUE"""),"Jay S Kaduson")</f>
        <v>Jay S Kaduson</v>
      </c>
      <c r="D280" s="3" t="str">
        <f>IFERROR(__xludf.DUMMYFUNCTION("""COMPUTED_VALUE"""),"Kaduson, Jay S")</f>
        <v>Kaduson, Jay S</v>
      </c>
      <c r="E280" s="3" t="str">
        <f>IFERROR(__xludf.DUMMYFUNCTION("""COMPUTED_VALUE"""),"Active")</f>
        <v>Active</v>
      </c>
      <c r="F280" s="3" t="str">
        <f>IFERROR(__xludf.DUMMYFUNCTION("""COMPUTED_VALUE"""),"jay.kaduson@pwc.com")</f>
        <v>jay.kaduson@pwc.com</v>
      </c>
      <c r="G280" s="3" t="str">
        <f>IFERROR(__xludf.DUMMYFUNCTION("""COMPUTED_VALUE"""),"FS")</f>
        <v>FS</v>
      </c>
      <c r="H280" s="3" t="str">
        <f>IFERROR(__xludf.DUMMYFUNCTION("""COMPUTED_VALUE"""),"Insurance")</f>
        <v>Insurance</v>
      </c>
      <c r="I280" s="3" t="str">
        <f>IFERROR(__xludf.DUMMYFUNCTION("""COMPUTED_VALUE"""),"FS - Insurance")</f>
        <v>FS - Insurance</v>
      </c>
      <c r="J280" s="3" t="str">
        <f>IFERROR(__xludf.DUMMYFUNCTION("""COMPUTED_VALUE"""),"Partner")</f>
        <v>Partner</v>
      </c>
      <c r="K280" s="12">
        <f>IFERROR(__xludf.DUMMYFUNCTION("""COMPUTED_VALUE"""),42478.0)</f>
        <v>42478</v>
      </c>
      <c r="L280" s="3" t="str">
        <f>IFERROR(__xludf.DUMMYFUNCTION("""COMPUTED_VALUE"""),"Boston")</f>
        <v>Boston</v>
      </c>
      <c r="M280" s="3" t="str">
        <f>IFERROR(__xludf.DUMMYFUNCTION("""COMPUTED_VALUE"""),"Boston - 101 Seaport Boulevard")</f>
        <v>Boston - 101 Seaport Boulevard</v>
      </c>
      <c r="N280" s="3" t="b">
        <f>IFERROR(__xludf.DUMMYFUNCTION("""COMPUTED_VALUE"""),FALSE)</f>
        <v>0</v>
      </c>
      <c r="O280" s="3" t="str">
        <f>IFERROR(__xludf.DUMMYFUNCTION("""COMPUTED_VALUE"""),"alison.hoover@pwc.com")</f>
        <v>alison.hoover@pwc.com</v>
      </c>
      <c r="P280" s="3" t="str">
        <f>IFERROR(__xludf.DUMMYFUNCTION("""COMPUTED_VALUE"""),"No")</f>
        <v>No</v>
      </c>
      <c r="Q280" s="3" t="b">
        <f>IFERROR(__xludf.DUMMYFUNCTION("""COMPUTED_VALUE"""),TRUE)</f>
        <v>1</v>
      </c>
      <c r="R280" s="3" t="str">
        <f>IFERROR(__xludf.DUMMYFUNCTION("""COMPUTED_VALUE"""),"LCP High")</f>
        <v>LCP High</v>
      </c>
      <c r="S280" s="3"/>
      <c r="T280" s="3" t="b">
        <f>IFERROR(__xludf.DUMMYFUNCTION("""COMPUTED_VALUE"""),FALSE)</f>
        <v>0</v>
      </c>
      <c r="U280" s="3" t="b">
        <f>IFERROR(__xludf.DUMMYFUNCTION("""COMPUTED_VALUE"""),FALSE)</f>
        <v>0</v>
      </c>
      <c r="V280" s="3" t="b">
        <f>IFERROR(__xludf.DUMMYFUNCTION("""COMPUTED_VALUE"""),FALSE)</f>
        <v>0</v>
      </c>
      <c r="W280" s="3" t="str">
        <f>IFERROR(__xludf.DUMMYFUNCTION("""COMPUTED_VALUE"""),"LCP")</f>
        <v>LCP</v>
      </c>
      <c r="X280" s="3"/>
      <c r="Y280" s="3" t="str">
        <f>IFERROR(__xludf.DUMMYFUNCTION("""COMPUTED_VALUE"""),"GEP - High")</f>
        <v>GEP - High</v>
      </c>
      <c r="Z280" s="3" t="str">
        <f>IFERROR(__xludf.DUMMYFUNCTION("""COMPUTED_VALUE"""),"Insurance Transformation")</f>
        <v>Insurance Transformation</v>
      </c>
      <c r="AA280" s="3" t="b">
        <f>IFERROR(__xludf.DUMMYFUNCTION("""COMPUTED_VALUE"""),FALSE)</f>
        <v>0</v>
      </c>
    </row>
    <row r="281">
      <c r="A281" s="11">
        <f>IFERROR(__xludf.DUMMYFUNCTION("""COMPUTED_VALUE"""),1.00654955E8)</f>
        <v>100654955</v>
      </c>
      <c r="B281" s="3" t="str">
        <f>IFERROR(__xludf.DUMMYFUNCTION("""COMPUTED_VALUE"""),"Jay Remis")</f>
        <v>Jay Remis</v>
      </c>
      <c r="C281" s="3" t="str">
        <f>IFERROR(__xludf.DUMMYFUNCTION("""COMPUTED_VALUE"""),"Jay L Remis")</f>
        <v>Jay L Remis</v>
      </c>
      <c r="D281" s="3" t="str">
        <f>IFERROR(__xludf.DUMMYFUNCTION("""COMPUTED_VALUE"""),"Remis, Jay L")</f>
        <v>Remis, Jay L</v>
      </c>
      <c r="E281" s="3" t="str">
        <f>IFERROR(__xludf.DUMMYFUNCTION("""COMPUTED_VALUE"""),"Active")</f>
        <v>Active</v>
      </c>
      <c r="F281" s="3" t="str">
        <f>IFERROR(__xludf.DUMMYFUNCTION("""COMPUTED_VALUE"""),"jay.l.remis@pwc.com")</f>
        <v>jay.l.remis@pwc.com</v>
      </c>
      <c r="G281" s="3" t="str">
        <f>IFERROR(__xludf.DUMMYFUNCTION("""COMPUTED_VALUE"""),"Deals Transformation")</f>
        <v>Deals Transformation</v>
      </c>
      <c r="H281" s="3" t="str">
        <f>IFERROR(__xludf.DUMMYFUNCTION("""COMPUTED_VALUE"""),"Insurance")</f>
        <v>Insurance</v>
      </c>
      <c r="I281" s="3" t="str">
        <f>IFERROR(__xludf.DUMMYFUNCTION("""COMPUTED_VALUE"""),"DDV - ISD (Integration, Separation, Divestitures)")</f>
        <v>DDV - ISD (Integration, Separation, Divestitures)</v>
      </c>
      <c r="J281" s="3" t="str">
        <f>IFERROR(__xludf.DUMMYFUNCTION("""COMPUTED_VALUE"""),"Managing Director")</f>
        <v>Managing Director</v>
      </c>
      <c r="K281" s="12">
        <f>IFERROR(__xludf.DUMMYFUNCTION("""COMPUTED_VALUE"""),42226.0)</f>
        <v>42226</v>
      </c>
      <c r="L281" s="3" t="str">
        <f>IFERROR(__xludf.DUMMYFUNCTION("""COMPUTED_VALUE"""),"Florham Park")</f>
        <v>Florham Park</v>
      </c>
      <c r="M281" s="3" t="str">
        <f>IFERROR(__xludf.DUMMYFUNCTION("""COMPUTED_VALUE"""),"Florham Park - 400 Campus Drive")</f>
        <v>Florham Park - 400 Campus Drive</v>
      </c>
      <c r="N281" s="3" t="b">
        <f>IFERROR(__xludf.DUMMYFUNCTION("""COMPUTED_VALUE"""),FALSE)</f>
        <v>0</v>
      </c>
      <c r="O281" s="3" t="str">
        <f>IFERROR(__xludf.DUMMYFUNCTION("""COMPUTED_VALUE"""),"paul.g.kennedy@pwc.com")</f>
        <v>paul.g.kennedy@pwc.com</v>
      </c>
      <c r="P281" s="3" t="str">
        <f>IFERROR(__xludf.DUMMYFUNCTION("""COMPUTED_VALUE"""),"No")</f>
        <v>No</v>
      </c>
      <c r="Q281" s="3" t="b">
        <f>IFERROR(__xludf.DUMMYFUNCTION("""COMPUTED_VALUE"""),FALSE)</f>
        <v>0</v>
      </c>
      <c r="R281" s="3"/>
      <c r="S281" s="3"/>
      <c r="T281" s="3" t="b">
        <f>IFERROR(__xludf.DUMMYFUNCTION("""COMPUTED_VALUE"""),FALSE)</f>
        <v>0</v>
      </c>
      <c r="U281" s="3" t="b">
        <f>IFERROR(__xludf.DUMMYFUNCTION("""COMPUTED_VALUE"""),TRUE)</f>
        <v>1</v>
      </c>
      <c r="V281" s="3" t="b">
        <f>IFERROR(__xludf.DUMMYFUNCTION("""COMPUTED_VALUE"""),FALSE)</f>
        <v>0</v>
      </c>
      <c r="W281" s="3" t="str">
        <f>IFERROR(__xludf.DUMMYFUNCTION("""COMPUTED_VALUE"""),"Delivery")</f>
        <v>Delivery</v>
      </c>
      <c r="X281" s="3"/>
      <c r="Y281" s="3"/>
      <c r="Z281" s="3" t="str">
        <f>IFERROR(__xludf.DUMMYFUNCTION("""COMPUTED_VALUE"""),"Corporate M&amp;A Transformation - FS")</f>
        <v>Corporate M&amp;A Transformation - FS</v>
      </c>
      <c r="AA281" s="3" t="b">
        <f>IFERROR(__xludf.DUMMYFUNCTION("""COMPUTED_VALUE"""),FALSE)</f>
        <v>0</v>
      </c>
    </row>
    <row r="282">
      <c r="A282" s="11">
        <f>IFERROR(__xludf.DUMMYFUNCTION("""COMPUTED_VALUE"""),1.00583549E8)</f>
        <v>100583549</v>
      </c>
      <c r="B282" s="3" t="str">
        <f>IFERROR(__xludf.DUMMYFUNCTION("""COMPUTED_VALUE"""),"Jay Smethurst")</f>
        <v>Jay Smethurst</v>
      </c>
      <c r="C282" s="3" t="str">
        <f>IFERROR(__xludf.DUMMYFUNCTION("""COMPUTED_VALUE"""),"James Blair Smethurst")</f>
        <v>James Blair Smethurst</v>
      </c>
      <c r="D282" s="3" t="str">
        <f>IFERROR(__xludf.DUMMYFUNCTION("""COMPUTED_VALUE"""),"Smethurst, James Blair")</f>
        <v>Smethurst, James Blair</v>
      </c>
      <c r="E282" s="3" t="str">
        <f>IFERROR(__xludf.DUMMYFUNCTION("""COMPUTED_VALUE"""),"Active")</f>
        <v>Active</v>
      </c>
      <c r="F282" s="3" t="str">
        <f>IFERROR(__xludf.DUMMYFUNCTION("""COMPUTED_VALUE"""),"james.b.smethurst@pwc.com")</f>
        <v>james.b.smethurst@pwc.com</v>
      </c>
      <c r="G282" s="3" t="str">
        <f>IFERROR(__xludf.DUMMYFUNCTION("""COMPUTED_VALUE"""),"Workforce")</f>
        <v>Workforce</v>
      </c>
      <c r="H282" s="3" t="str">
        <f>IFERROR(__xludf.DUMMYFUNCTION("""COMPUTED_VALUE"""),"CM X-Sector")</f>
        <v>CM X-Sector</v>
      </c>
      <c r="I282" s="3" t="str">
        <f>IFERROR(__xludf.DUMMYFUNCTION("""COMPUTED_VALUE"""),"Workforce - Talent, Change &amp; Behaviors")</f>
        <v>Workforce - Talent, Change &amp; Behaviors</v>
      </c>
      <c r="J282" s="3" t="str">
        <f>IFERROR(__xludf.DUMMYFUNCTION("""COMPUTED_VALUE"""),"Managing Director")</f>
        <v>Managing Director</v>
      </c>
      <c r="K282" s="12">
        <f>IFERROR(__xludf.DUMMYFUNCTION("""COMPUTED_VALUE"""),42832.0)</f>
        <v>42832</v>
      </c>
      <c r="L282" s="3" t="str">
        <f>IFERROR(__xludf.DUMMYFUNCTION("""COMPUTED_VALUE"""),"Hallandale Beach")</f>
        <v>Hallandale Beach</v>
      </c>
      <c r="M282" s="3" t="str">
        <f>IFERROR(__xludf.DUMMYFUNCTION("""COMPUTED_VALUE"""),"Hallandale Beach - 600 Silks Run")</f>
        <v>Hallandale Beach - 600 Silks Run</v>
      </c>
      <c r="N282" s="3" t="b">
        <f>IFERROR(__xludf.DUMMYFUNCTION("""COMPUTED_VALUE"""),FALSE)</f>
        <v>0</v>
      </c>
      <c r="O282" s="3" t="str">
        <f>IFERROR(__xludf.DUMMYFUNCTION("""COMPUTED_VALUE"""),"craig.odonnell@pwc.com")</f>
        <v>craig.odonnell@pwc.com</v>
      </c>
      <c r="P282" s="3" t="str">
        <f>IFERROR(__xludf.DUMMYFUNCTION("""COMPUTED_VALUE"""),"No")</f>
        <v>No</v>
      </c>
      <c r="Q282" s="3" t="b">
        <f>IFERROR(__xludf.DUMMYFUNCTION("""COMPUTED_VALUE"""),FALSE)</f>
        <v>0</v>
      </c>
      <c r="R282" s="3"/>
      <c r="S282" s="3"/>
      <c r="T282" s="3" t="b">
        <f>IFERROR(__xludf.DUMMYFUNCTION("""COMPUTED_VALUE"""),FALSE)</f>
        <v>0</v>
      </c>
      <c r="U282" s="3" t="b">
        <f>IFERROR(__xludf.DUMMYFUNCTION("""COMPUTED_VALUE"""),FALSE)</f>
        <v>0</v>
      </c>
      <c r="V282" s="3" t="b">
        <f>IFERROR(__xludf.DUMMYFUNCTION("""COMPUTED_VALUE"""),FALSE)</f>
        <v>0</v>
      </c>
      <c r="W282" s="3" t="str">
        <f>IFERROR(__xludf.DUMMYFUNCTION("""COMPUTED_VALUE"""),"#N/A")</f>
        <v>#N/A</v>
      </c>
      <c r="X282" s="3" t="str">
        <f>IFERROR(__xludf.DUMMYFUNCTION("""COMPUTED_VALUE"""),"#N/A")</f>
        <v>#N/A</v>
      </c>
      <c r="Y282" s="3" t="str">
        <f>IFERROR(__xludf.DUMMYFUNCTION("""COMPUTED_VALUE"""),"#N/A")</f>
        <v>#N/A</v>
      </c>
      <c r="Z282" s="3" t="str">
        <f>IFERROR(__xludf.DUMMYFUNCTION("""COMPUTED_VALUE"""),"Unknown")</f>
        <v>Unknown</v>
      </c>
      <c r="AA282" s="3" t="b">
        <f>IFERROR(__xludf.DUMMYFUNCTION("""COMPUTED_VALUE"""),FALSE)</f>
        <v>0</v>
      </c>
    </row>
    <row r="283">
      <c r="A283" s="11">
        <f>IFERROR(__xludf.DUMMYFUNCTION("""COMPUTED_VALUE"""),1.00579505E8)</f>
        <v>100579505</v>
      </c>
      <c r="B283" s="3" t="str">
        <f>IFERROR(__xludf.DUMMYFUNCTION("""COMPUTED_VALUE"""),"Jayanth Godla")</f>
        <v>Jayanth Godla</v>
      </c>
      <c r="C283" s="3" t="str">
        <f>IFERROR(__xludf.DUMMYFUNCTION("""COMPUTED_VALUE"""),"Jayanth  Godla")</f>
        <v>Jayanth  Godla</v>
      </c>
      <c r="D283" s="3" t="str">
        <f>IFERROR(__xludf.DUMMYFUNCTION("""COMPUTED_VALUE"""),"Godla, Jayanth")</f>
        <v>Godla, Jayanth</v>
      </c>
      <c r="E283" s="3" t="str">
        <f>IFERROR(__xludf.DUMMYFUNCTION("""COMPUTED_VALUE"""),"Active")</f>
        <v>Active</v>
      </c>
      <c r="F283" s="3" t="str">
        <f>IFERROR(__xludf.DUMMYFUNCTION("""COMPUTED_VALUE"""),"jay.godla@pwc.com")</f>
        <v>jay.godla@pwc.com</v>
      </c>
      <c r="G283" s="3" t="str">
        <f>IFERROR(__xludf.DUMMYFUNCTION("""COMPUTED_VALUE"""),"ESV")</f>
        <v>ESV</v>
      </c>
      <c r="H283" s="3" t="str">
        <f>IFERROR(__xludf.DUMMYFUNCTION("""COMPUTED_VALUE"""),"Health Services")</f>
        <v>Health Services</v>
      </c>
      <c r="I283" s="3" t="str">
        <f>IFERROR(__xludf.DUMMYFUNCTION("""COMPUTED_VALUE"""),"ESV - Health Services")</f>
        <v>ESV - Health Services</v>
      </c>
      <c r="J283" s="3" t="str">
        <f>IFERROR(__xludf.DUMMYFUNCTION("""COMPUTED_VALUE"""),"Partner")</f>
        <v>Partner</v>
      </c>
      <c r="K283" s="12">
        <f>IFERROR(__xludf.DUMMYFUNCTION("""COMPUTED_VALUE"""),42186.0)</f>
        <v>42186</v>
      </c>
      <c r="L283" s="3" t="str">
        <f>IFERROR(__xludf.DUMMYFUNCTION("""COMPUTED_VALUE"""),"Chicago")</f>
        <v>Chicago</v>
      </c>
      <c r="M283" s="3" t="str">
        <f>IFERROR(__xludf.DUMMYFUNCTION("""COMPUTED_VALUE"""),"Chicago - One North Wacker Drive")</f>
        <v>Chicago - One North Wacker Drive</v>
      </c>
      <c r="N283" s="3" t="b">
        <f>IFERROR(__xludf.DUMMYFUNCTION("""COMPUTED_VALUE"""),TRUE)</f>
        <v>1</v>
      </c>
      <c r="O283" s="3" t="str">
        <f>IFERROR(__xludf.DUMMYFUNCTION("""COMPUTED_VALUE"""),"sundar.subramanian@pwc.com")</f>
        <v>sundar.subramanian@pwc.com</v>
      </c>
      <c r="P283" s="3" t="str">
        <f>IFERROR(__xludf.DUMMYFUNCTION("""COMPUTED_VALUE"""),"No")</f>
        <v>No</v>
      </c>
      <c r="Q283" s="3" t="b">
        <f>IFERROR(__xludf.DUMMYFUNCTION("""COMPUTED_VALUE"""),FALSE)</f>
        <v>0</v>
      </c>
      <c r="R283" s="3"/>
      <c r="S283" s="3"/>
      <c r="T283" s="3" t="b">
        <f>IFERROR(__xludf.DUMMYFUNCTION("""COMPUTED_VALUE"""),TRUE)</f>
        <v>1</v>
      </c>
      <c r="U283" s="3" t="b">
        <f>IFERROR(__xludf.DUMMYFUNCTION("""COMPUTED_VALUE"""),FALSE)</f>
        <v>0</v>
      </c>
      <c r="V283" s="3" t="b">
        <f>IFERROR(__xludf.DUMMYFUNCTION("""COMPUTED_VALUE"""),FALSE)</f>
        <v>0</v>
      </c>
      <c r="W283" s="3" t="str">
        <f>IFERROR(__xludf.DUMMYFUNCTION("""COMPUTED_VALUE"""),"Delivery")</f>
        <v>Delivery</v>
      </c>
      <c r="X283" s="3" t="str">
        <f>IFERROR(__xludf.DUMMYFUNCTION("""COMPUTED_VALUE"""),"Investment")</f>
        <v>Investment</v>
      </c>
      <c r="Y283" s="3"/>
      <c r="Z283" s="3" t="str">
        <f>IFERROR(__xludf.DUMMYFUNCTION("""COMPUTED_VALUE"""),"Enterprise Digital Transformation - Health Services")</f>
        <v>Enterprise Digital Transformation - Health Services</v>
      </c>
      <c r="AA283" s="3" t="b">
        <f>IFERROR(__xludf.DUMMYFUNCTION("""COMPUTED_VALUE"""),TRUE)</f>
        <v>1</v>
      </c>
    </row>
    <row r="284">
      <c r="A284" s="11">
        <f>IFERROR(__xludf.DUMMYFUNCTION("""COMPUTED_VALUE"""),1.0064846E8)</f>
        <v>100648460</v>
      </c>
      <c r="B284" s="3" t="str">
        <f>IFERROR(__xludf.DUMMYFUNCTION("""COMPUTED_VALUE"""),"Jayaram Gangadharan Nair")</f>
        <v>Jayaram Gangadharan Nair</v>
      </c>
      <c r="C284" s="3" t="str">
        <f>IFERROR(__xludf.DUMMYFUNCTION("""COMPUTED_VALUE"""),"Jayaram  Gangadharan Nair")</f>
        <v>Jayaram  Gangadharan Nair</v>
      </c>
      <c r="D284" s="3" t="str">
        <f>IFERROR(__xludf.DUMMYFUNCTION("""COMPUTED_VALUE"""),"Gangadharan Nair, Jayaram")</f>
        <v>Gangadharan Nair, Jayaram</v>
      </c>
      <c r="E284" s="3" t="str">
        <f>IFERROR(__xludf.DUMMYFUNCTION("""COMPUTED_VALUE"""),"Active")</f>
        <v>Active</v>
      </c>
      <c r="F284" s="3" t="str">
        <f>IFERROR(__xludf.DUMMYFUNCTION("""COMPUTED_VALUE"""),"jayaram.nair@pwc.com")</f>
        <v>jayaram.nair@pwc.com</v>
      </c>
      <c r="G284" s="3" t="str">
        <f>IFERROR(__xludf.DUMMYFUNCTION("""COMPUTED_VALUE"""),"Deals Transformation")</f>
        <v>Deals Transformation</v>
      </c>
      <c r="H284" s="3" t="str">
        <f>IFERROR(__xludf.DUMMYFUNCTION("""COMPUTED_VALUE"""),"Manufacturing")</f>
        <v>Manufacturing</v>
      </c>
      <c r="I284" s="3" t="str">
        <f>IFERROR(__xludf.DUMMYFUNCTION("""COMPUTED_VALUE"""),"DDV - IT")</f>
        <v>DDV - IT</v>
      </c>
      <c r="J284" s="3" t="str">
        <f>IFERROR(__xludf.DUMMYFUNCTION("""COMPUTED_VALUE"""),"Managing Director")</f>
        <v>Managing Director</v>
      </c>
      <c r="K284" s="12">
        <f>IFERROR(__xludf.DUMMYFUNCTION("""COMPUTED_VALUE"""),40485.0)</f>
        <v>40485</v>
      </c>
      <c r="L284" s="3" t="str">
        <f>IFERROR(__xludf.DUMMYFUNCTION("""COMPUTED_VALUE"""),"Atlanta")</f>
        <v>Atlanta</v>
      </c>
      <c r="M284" s="3" t="str">
        <f>IFERROR(__xludf.DUMMYFUNCTION("""COMPUTED_VALUE"""),"Atlanta - 1075 Peachtree Street NE")</f>
        <v>Atlanta - 1075 Peachtree Street NE</v>
      </c>
      <c r="N284" s="3" t="b">
        <f>IFERROR(__xludf.DUMMYFUNCTION("""COMPUTED_VALUE"""),FALSE)</f>
        <v>0</v>
      </c>
      <c r="O284" s="3" t="str">
        <f>IFERROR(__xludf.DUMMYFUNCTION("""COMPUTED_VALUE"""),"suheb.siddiqui@pwc.com")</f>
        <v>suheb.siddiqui@pwc.com</v>
      </c>
      <c r="P284" s="3" t="str">
        <f>IFERROR(__xludf.DUMMYFUNCTION("""COMPUTED_VALUE"""),"No")</f>
        <v>No</v>
      </c>
      <c r="Q284" s="3" t="b">
        <f>IFERROR(__xludf.DUMMYFUNCTION("""COMPUTED_VALUE"""),FALSE)</f>
        <v>0</v>
      </c>
      <c r="R284" s="3"/>
      <c r="S284" s="3"/>
      <c r="T284" s="3" t="b">
        <f>IFERROR(__xludf.DUMMYFUNCTION("""COMPUTED_VALUE"""),FALSE)</f>
        <v>0</v>
      </c>
      <c r="U284" s="3" t="b">
        <f>IFERROR(__xludf.DUMMYFUNCTION("""COMPUTED_VALUE"""),TRUE)</f>
        <v>1</v>
      </c>
      <c r="V284" s="3" t="b">
        <f>IFERROR(__xludf.DUMMYFUNCTION("""COMPUTED_VALUE"""),FALSE)</f>
        <v>0</v>
      </c>
      <c r="W284" s="3" t="str">
        <f>IFERROR(__xludf.DUMMYFUNCTION("""COMPUTED_VALUE"""),"Delivery")</f>
        <v>Delivery</v>
      </c>
      <c r="X284" s="3"/>
      <c r="Y284" s="3"/>
      <c r="Z284" s="3" t="str">
        <f>IFERROR(__xludf.DUMMYFUNCTION("""COMPUTED_VALUE"""),"Corporate M&amp;A Transformation - IPS")</f>
        <v>Corporate M&amp;A Transformation - IPS</v>
      </c>
      <c r="AA284" s="3" t="b">
        <f>IFERROR(__xludf.DUMMYFUNCTION("""COMPUTED_VALUE"""),FALSE)</f>
        <v>0</v>
      </c>
    </row>
    <row r="285">
      <c r="A285" s="11">
        <f>IFERROR(__xludf.DUMMYFUNCTION("""COMPUTED_VALUE"""),1.00694304E8)</f>
        <v>100694304</v>
      </c>
      <c r="B285" s="3" t="str">
        <f>IFERROR(__xludf.DUMMYFUNCTION("""COMPUTED_VALUE"""),"JB Seal")</f>
        <v>JB Seal</v>
      </c>
      <c r="C285" s="3" t="str">
        <f>IFERROR(__xludf.DUMMYFUNCTION("""COMPUTED_VALUE"""),"Jon  Seal")</f>
        <v>Jon  Seal</v>
      </c>
      <c r="D285" s="3" t="str">
        <f>IFERROR(__xludf.DUMMYFUNCTION("""COMPUTED_VALUE"""),"Seal, Jon")</f>
        <v>Seal, Jon</v>
      </c>
      <c r="E285" s="3" t="str">
        <f>IFERROR(__xludf.DUMMYFUNCTION("""COMPUTED_VALUE"""),"Active")</f>
        <v>Active</v>
      </c>
      <c r="F285" s="3" t="str">
        <f>IFERROR(__xludf.DUMMYFUNCTION("""COMPUTED_VALUE"""),"jon.seal@pwc.com")</f>
        <v>jon.seal@pwc.com</v>
      </c>
      <c r="G285" s="3" t="str">
        <f>IFERROR(__xludf.DUMMYFUNCTION("""COMPUTED_VALUE"""),"Finance")</f>
        <v>Finance</v>
      </c>
      <c r="H285" s="3" t="str">
        <f>IFERROR(__xludf.DUMMYFUNCTION("""COMPUTED_VALUE"""),"CM X-Sector")</f>
        <v>CM X-Sector</v>
      </c>
      <c r="I285" s="3" t="str">
        <f>IFERROR(__xludf.DUMMYFUNCTION("""COMPUTED_VALUE"""),"Finance - Finance Strategy / Op Model / Global Business Services / Talent")</f>
        <v>Finance - Finance Strategy / Op Model / Global Business Services / Talent</v>
      </c>
      <c r="J285" s="3" t="str">
        <f>IFERROR(__xludf.DUMMYFUNCTION("""COMPUTED_VALUE"""),"Managing Director")</f>
        <v>Managing Director</v>
      </c>
      <c r="K285" s="12">
        <f>IFERROR(__xludf.DUMMYFUNCTION("""COMPUTED_VALUE"""),43350.0)</f>
        <v>43350</v>
      </c>
      <c r="L285" s="3" t="str">
        <f>IFERROR(__xludf.DUMMYFUNCTION("""COMPUTED_VALUE"""),"Dallas")</f>
        <v>Dallas</v>
      </c>
      <c r="M285" s="3" t="str">
        <f>IFERROR(__xludf.DUMMYFUNCTION("""COMPUTED_VALUE"""),"Dallas - 2121 North Pearl Street")</f>
        <v>Dallas - 2121 North Pearl Street</v>
      </c>
      <c r="N285" s="3" t="b">
        <f>IFERROR(__xludf.DUMMYFUNCTION("""COMPUTED_VALUE"""),FALSE)</f>
        <v>0</v>
      </c>
      <c r="O285" s="3" t="str">
        <f>IFERROR(__xludf.DUMMYFUNCTION("""COMPUTED_VALUE"""),"adam.kennedy@pwc.com")</f>
        <v>adam.kennedy@pwc.com</v>
      </c>
      <c r="P285" s="3" t="str">
        <f>IFERROR(__xludf.DUMMYFUNCTION("""COMPUTED_VALUE"""),"No")</f>
        <v>No</v>
      </c>
      <c r="Q285" s="3" t="b">
        <f>IFERROR(__xludf.DUMMYFUNCTION("""COMPUTED_VALUE"""),FALSE)</f>
        <v>0</v>
      </c>
      <c r="R285" s="3"/>
      <c r="S285" s="3"/>
      <c r="T285" s="3" t="b">
        <f>IFERROR(__xludf.DUMMYFUNCTION("""COMPUTED_VALUE"""),FALSE)</f>
        <v>0</v>
      </c>
      <c r="U285" s="3" t="b">
        <f>IFERROR(__xludf.DUMMYFUNCTION("""COMPUTED_VALUE"""),TRUE)</f>
        <v>1</v>
      </c>
      <c r="V285" s="3" t="b">
        <f>IFERROR(__xludf.DUMMYFUNCTION("""COMPUTED_VALUE"""),FALSE)</f>
        <v>0</v>
      </c>
      <c r="W285" s="3" t="str">
        <f>IFERROR(__xludf.DUMMYFUNCTION("""COMPUTED_VALUE"""),"Delivery")</f>
        <v>Delivery</v>
      </c>
      <c r="X285" s="3"/>
      <c r="Y285" s="3"/>
      <c r="Z285" s="3" t="str">
        <f>IFERROR(__xludf.DUMMYFUNCTION("""COMPUTED_VALUE"""),"Finance Transformation - CM")</f>
        <v>Finance Transformation - CM</v>
      </c>
      <c r="AA285" s="3" t="b">
        <f>IFERROR(__xludf.DUMMYFUNCTION("""COMPUTED_VALUE"""),FALSE)</f>
        <v>0</v>
      </c>
    </row>
    <row r="286">
      <c r="A286" s="11">
        <f>IFERROR(__xludf.DUMMYFUNCTION("""COMPUTED_VALUE"""),1.00599268E8)</f>
        <v>100599268</v>
      </c>
      <c r="B286" s="3" t="str">
        <f>IFERROR(__xludf.DUMMYFUNCTION("""COMPUTED_VALUE"""),"Jean Lee")</f>
        <v>Jean Lee</v>
      </c>
      <c r="C286" s="3" t="str">
        <f>IFERROR(__xludf.DUMMYFUNCTION("""COMPUTED_VALUE"""),"Jean  Lee")</f>
        <v>Jean  Lee</v>
      </c>
      <c r="D286" s="3" t="str">
        <f>IFERROR(__xludf.DUMMYFUNCTION("""COMPUTED_VALUE"""),"Lee, Jean")</f>
        <v>Lee, Jean</v>
      </c>
      <c r="E286" s="3" t="str">
        <f>IFERROR(__xludf.DUMMYFUNCTION("""COMPUTED_VALUE"""),"Active")</f>
        <v>Active</v>
      </c>
      <c r="F286" s="3" t="str">
        <f>IFERROR(__xludf.DUMMYFUNCTION("""COMPUTED_VALUE"""),"jean.e.lee@pwc.com")</f>
        <v>jean.e.lee@pwc.com</v>
      </c>
      <c r="G286" s="3" t="str">
        <f>IFERROR(__xludf.DUMMYFUNCTION("""COMPUTED_VALUE"""),"Workforce")</f>
        <v>Workforce</v>
      </c>
      <c r="H286" s="3" t="str">
        <f>IFERROR(__xludf.DUMMYFUNCTION("""COMPUTED_VALUE"""),"TMT X-Sector")</f>
        <v>TMT X-Sector</v>
      </c>
      <c r="I286" s="3" t="str">
        <f>IFERROR(__xludf.DUMMYFUNCTION("""COMPUTED_VALUE"""),"Workforce - Talent, Change &amp; Behaviors")</f>
        <v>Workforce - Talent, Change &amp; Behaviors</v>
      </c>
      <c r="J286" s="3" t="str">
        <f>IFERROR(__xludf.DUMMYFUNCTION("""COMPUTED_VALUE"""),"Partner")</f>
        <v>Partner</v>
      </c>
      <c r="K286" s="12">
        <f>IFERROR(__xludf.DUMMYFUNCTION("""COMPUTED_VALUE"""),38292.0)</f>
        <v>38292</v>
      </c>
      <c r="L286" s="3" t="str">
        <f>IFERROR(__xludf.DUMMYFUNCTION("""COMPUTED_VALUE"""),"Seattle")</f>
        <v>Seattle</v>
      </c>
      <c r="M286" s="3" t="str">
        <f>IFERROR(__xludf.DUMMYFUNCTION("""COMPUTED_VALUE"""),"Seattle - 1420 Fifth Avenue")</f>
        <v>Seattle - 1420 Fifth Avenue</v>
      </c>
      <c r="N286" s="3" t="b">
        <f>IFERROR(__xludf.DUMMYFUNCTION("""COMPUTED_VALUE"""),FALSE)</f>
        <v>0</v>
      </c>
      <c r="O286" s="3" t="str">
        <f>IFERROR(__xludf.DUMMYFUNCTION("""COMPUTED_VALUE"""),"craig.odonnell@pwc.com")</f>
        <v>craig.odonnell@pwc.com</v>
      </c>
      <c r="P286" s="3" t="str">
        <f>IFERROR(__xludf.DUMMYFUNCTION("""COMPUTED_VALUE"""),"No")</f>
        <v>No</v>
      </c>
      <c r="Q286" s="3" t="b">
        <f>IFERROR(__xludf.DUMMYFUNCTION("""COMPUTED_VALUE"""),FALSE)</f>
        <v>0</v>
      </c>
      <c r="R286" s="3"/>
      <c r="S286" s="3"/>
      <c r="T286" s="3" t="b">
        <f>IFERROR(__xludf.DUMMYFUNCTION("""COMPUTED_VALUE"""),FALSE)</f>
        <v>0</v>
      </c>
      <c r="U286" s="3" t="b">
        <f>IFERROR(__xludf.DUMMYFUNCTION("""COMPUTED_VALUE"""),FALSE)</f>
        <v>0</v>
      </c>
      <c r="V286" s="3" t="b">
        <f>IFERROR(__xludf.DUMMYFUNCTION("""COMPUTED_VALUE"""),FALSE)</f>
        <v>0</v>
      </c>
      <c r="W286" s="3" t="str">
        <f>IFERROR(__xludf.DUMMYFUNCTION("""COMPUTED_VALUE"""),"#N/A")</f>
        <v>#N/A</v>
      </c>
      <c r="X286" s="3" t="str">
        <f>IFERROR(__xludf.DUMMYFUNCTION("""COMPUTED_VALUE"""),"#N/A")</f>
        <v>#N/A</v>
      </c>
      <c r="Y286" s="3" t="str">
        <f>IFERROR(__xludf.DUMMYFUNCTION("""COMPUTED_VALUE"""),"#N/A")</f>
        <v>#N/A</v>
      </c>
      <c r="Z286" s="3" t="str">
        <f>IFERROR(__xludf.DUMMYFUNCTION("""COMPUTED_VALUE"""),"Unknown")</f>
        <v>Unknown</v>
      </c>
      <c r="AA286" s="3" t="b">
        <f>IFERROR(__xludf.DUMMYFUNCTION("""COMPUTED_VALUE"""),FALSE)</f>
        <v>0</v>
      </c>
    </row>
    <row r="287">
      <c r="A287" s="11">
        <f>IFERROR(__xludf.DUMMYFUNCTION("""COMPUTED_VALUE"""),1.00611358E8)</f>
        <v>100611358</v>
      </c>
      <c r="B287" s="3" t="str">
        <f>IFERROR(__xludf.DUMMYFUNCTION("""COMPUTED_VALUE"""),"Jean-Marc Neimetz")</f>
        <v>Jean-Marc Neimetz</v>
      </c>
      <c r="C287" s="3" t="str">
        <f>IFERROR(__xludf.DUMMYFUNCTION("""COMPUTED_VALUE"""),"Jean-Marc  Neimetz")</f>
        <v>Jean-Marc  Neimetz</v>
      </c>
      <c r="D287" s="3" t="str">
        <f>IFERROR(__xludf.DUMMYFUNCTION("""COMPUTED_VALUE"""),"Neimetz, Jean-Marc")</f>
        <v>Neimetz, Jean-Marc</v>
      </c>
      <c r="E287" s="3" t="str">
        <f>IFERROR(__xludf.DUMMYFUNCTION("""COMPUTED_VALUE"""),"Active")</f>
        <v>Active</v>
      </c>
      <c r="F287" s="3" t="str">
        <f>IFERROR(__xludf.DUMMYFUNCTION("""COMPUTED_VALUE"""),"jean.marc.neimetz@pwc.com")</f>
        <v>jean.marc.neimetz@pwc.com</v>
      </c>
      <c r="G287" s="3" t="str">
        <f>IFERROR(__xludf.DUMMYFUNCTION("""COMPUTED_VALUE"""),"Customer")</f>
        <v>Customer</v>
      </c>
      <c r="H287" s="3" t="str">
        <f>IFERROR(__xludf.DUMMYFUNCTION("""COMPUTED_VALUE"""),"Pharma and Life Sciences")</f>
        <v>Pharma and Life Sciences</v>
      </c>
      <c r="I287" s="3" t="str">
        <f>IFERROR(__xludf.DUMMYFUNCTION("""COMPUTED_VALUE"""),"Customer - Customer Strategy &amp; Experience")</f>
        <v>Customer - Customer Strategy &amp; Experience</v>
      </c>
      <c r="J287" s="3" t="str">
        <f>IFERROR(__xludf.DUMMYFUNCTION("""COMPUTED_VALUE"""),"Partner")</f>
        <v>Partner</v>
      </c>
      <c r="K287" s="12">
        <f>IFERROR(__xludf.DUMMYFUNCTION("""COMPUTED_VALUE"""),41757.0)</f>
        <v>41757</v>
      </c>
      <c r="L287" s="3" t="str">
        <f>IFERROR(__xludf.DUMMYFUNCTION("""COMPUTED_VALUE"""),"New York")</f>
        <v>New York</v>
      </c>
      <c r="M287" s="3" t="str">
        <f>IFERROR(__xludf.DUMMYFUNCTION("""COMPUTED_VALUE"""),"New York - 300 Madison Avenue")</f>
        <v>New York - 300 Madison Avenue</v>
      </c>
      <c r="N287" s="3" t="b">
        <f>IFERROR(__xludf.DUMMYFUNCTION("""COMPUTED_VALUE"""),FALSE)</f>
        <v>0</v>
      </c>
      <c r="O287" s="3" t="str">
        <f>IFERROR(__xludf.DUMMYFUNCTION("""COMPUTED_VALUE"""),"george.korizis@pwc.com")</f>
        <v>george.korizis@pwc.com</v>
      </c>
      <c r="P287" s="3" t="str">
        <f>IFERROR(__xludf.DUMMYFUNCTION("""COMPUTED_VALUE"""),"No")</f>
        <v>No</v>
      </c>
      <c r="Q287" s="3" t="b">
        <f>IFERROR(__xludf.DUMMYFUNCTION("""COMPUTED_VALUE"""),TRUE)</f>
        <v>1</v>
      </c>
      <c r="R287" s="3" t="str">
        <f>IFERROR(__xludf.DUMMYFUNCTION("""COMPUTED_VALUE"""),"LCP Low")</f>
        <v>LCP Low</v>
      </c>
      <c r="S287" s="3"/>
      <c r="T287" s="3" t="b">
        <f>IFERROR(__xludf.DUMMYFUNCTION("""COMPUTED_VALUE"""),FALSE)</f>
        <v>0</v>
      </c>
      <c r="U287" s="3" t="b">
        <f>IFERROR(__xludf.DUMMYFUNCTION("""COMPUTED_VALUE"""),FALSE)</f>
        <v>0</v>
      </c>
      <c r="V287" s="3" t="b">
        <f>IFERROR(__xludf.DUMMYFUNCTION("""COMPUTED_VALUE"""),FALSE)</f>
        <v>0</v>
      </c>
      <c r="W287" s="3" t="str">
        <f>IFERROR(__xludf.DUMMYFUNCTION("""COMPUTED_VALUE"""),"LCP")</f>
        <v>LCP</v>
      </c>
      <c r="X287" s="3"/>
      <c r="Y287" s="3" t="str">
        <f>IFERROR(__xludf.DUMMYFUNCTION("""COMPUTED_VALUE"""),"GEP - Low")</f>
        <v>GEP - Low</v>
      </c>
      <c r="Z287" s="3" t="str">
        <f>IFERROR(__xludf.DUMMYFUNCTION("""COMPUTED_VALUE"""),"Commercial / CRM Transformation - CM &amp; IPS &amp; HIA")</f>
        <v>Commercial / CRM Transformation - CM &amp; IPS &amp; HIA</v>
      </c>
      <c r="AA287" s="3" t="b">
        <f>IFERROR(__xludf.DUMMYFUNCTION("""COMPUTED_VALUE"""),FALSE)</f>
        <v>0</v>
      </c>
    </row>
    <row r="288">
      <c r="A288" s="3">
        <f>IFERROR(__xludf.DUMMYFUNCTION("""COMPUTED_VALUE"""),1.00596849E8)</f>
        <v>100596849</v>
      </c>
      <c r="B288" s="3" t="str">
        <f>IFERROR(__xludf.DUMMYFUNCTION("""COMPUTED_VALUE"""),"Jeanne Lambkin")</f>
        <v>Jeanne Lambkin</v>
      </c>
      <c r="C288" s="3" t="str">
        <f>IFERROR(__xludf.DUMMYFUNCTION("""COMPUTED_VALUE"""),"Jeanne  Lambkin")</f>
        <v>Jeanne  Lambkin</v>
      </c>
      <c r="D288" s="3" t="str">
        <f>IFERROR(__xludf.DUMMYFUNCTION("""COMPUTED_VALUE"""),"Lambkin, Jeanne")</f>
        <v>Lambkin, Jeanne</v>
      </c>
      <c r="E288" s="3" t="str">
        <f>IFERROR(__xludf.DUMMYFUNCTION("""COMPUTED_VALUE"""),"Active")</f>
        <v>Active</v>
      </c>
      <c r="F288" s="3" t="str">
        <f>IFERROR(__xludf.DUMMYFUNCTION("""COMPUTED_VALUE"""),"jeanne.t.lambkin@pwc.com")</f>
        <v>jeanne.t.lambkin@pwc.com</v>
      </c>
      <c r="G288" s="3" t="str">
        <f>IFERROR(__xludf.DUMMYFUNCTION("""COMPUTED_VALUE"""),"Workforce")</f>
        <v>Workforce</v>
      </c>
      <c r="H288" s="3" t="str">
        <f>IFERROR(__xludf.DUMMYFUNCTION("""COMPUTED_VALUE"""),"CM X-Sector")</f>
        <v>CM X-Sector</v>
      </c>
      <c r="I288" s="3" t="str">
        <f>IFERROR(__xludf.DUMMYFUNCTION("""COMPUTED_VALUE"""),"Workforce - Talent, Change &amp; Behaviors")</f>
        <v>Workforce - Talent, Change &amp; Behaviors</v>
      </c>
      <c r="J288" s="3" t="str">
        <f>IFERROR(__xludf.DUMMYFUNCTION("""COMPUTED_VALUE"""),"Managing Director")</f>
        <v>Managing Director</v>
      </c>
      <c r="K288" s="12">
        <f>IFERROR(__xludf.DUMMYFUNCTION("""COMPUTED_VALUE"""),38320.0)</f>
        <v>38320</v>
      </c>
      <c r="L288" s="3" t="str">
        <f>IFERROR(__xludf.DUMMYFUNCTION("""COMPUTED_VALUE"""),"Boston")</f>
        <v>Boston</v>
      </c>
      <c r="M288" s="3" t="str">
        <f>IFERROR(__xludf.DUMMYFUNCTION("""COMPUTED_VALUE"""),"Boston - 101 Seaport Boulevard")</f>
        <v>Boston - 101 Seaport Boulevard</v>
      </c>
      <c r="N288" s="3" t="b">
        <f>IFERROR(__xludf.DUMMYFUNCTION("""COMPUTED_VALUE"""),FALSE)</f>
        <v>0</v>
      </c>
      <c r="O288" s="3" t="str">
        <f>IFERROR(__xludf.DUMMYFUNCTION("""COMPUTED_VALUE"""),"ron.kinghorn@pwc.com")</f>
        <v>ron.kinghorn@pwc.com</v>
      </c>
      <c r="P288" s="3" t="str">
        <f>IFERROR(__xludf.DUMMYFUNCTION("""COMPUTED_VALUE"""),"No")</f>
        <v>No</v>
      </c>
      <c r="Q288" s="3" t="b">
        <f>IFERROR(__xludf.DUMMYFUNCTION("""COMPUTED_VALUE"""),FALSE)</f>
        <v>0</v>
      </c>
      <c r="R288" s="3"/>
      <c r="S288" s="3"/>
      <c r="T288" s="3" t="b">
        <f>IFERROR(__xludf.DUMMYFUNCTION("""COMPUTED_VALUE"""),FALSE)</f>
        <v>0</v>
      </c>
      <c r="U288" s="3" t="b">
        <f>IFERROR(__xludf.DUMMYFUNCTION("""COMPUTED_VALUE"""),FALSE)</f>
        <v>0</v>
      </c>
      <c r="V288" s="3" t="b">
        <f>IFERROR(__xludf.DUMMYFUNCTION("""COMPUTED_VALUE"""),FALSE)</f>
        <v>0</v>
      </c>
      <c r="W288" s="3" t="str">
        <f>IFERROR(__xludf.DUMMYFUNCTION("""COMPUTED_VALUE"""),"#N/A")</f>
        <v>#N/A</v>
      </c>
      <c r="X288" s="3" t="str">
        <f>IFERROR(__xludf.DUMMYFUNCTION("""COMPUTED_VALUE"""),"#N/A")</f>
        <v>#N/A</v>
      </c>
      <c r="Y288" s="3" t="str">
        <f>IFERROR(__xludf.DUMMYFUNCTION("""COMPUTED_VALUE"""),"#N/A")</f>
        <v>#N/A</v>
      </c>
      <c r="Z288" s="3" t="str">
        <f>IFERROR(__xludf.DUMMYFUNCTION("""COMPUTED_VALUE"""),"Unknown")</f>
        <v>Unknown</v>
      </c>
      <c r="AA288" s="3" t="b">
        <f>IFERROR(__xludf.DUMMYFUNCTION("""COMPUTED_VALUE"""),FALSE)</f>
        <v>0</v>
      </c>
    </row>
    <row r="289">
      <c r="A289" s="11">
        <f>IFERROR(__xludf.DUMMYFUNCTION("""COMPUTED_VALUE"""),1.01243142E8)</f>
        <v>101243142</v>
      </c>
      <c r="B289" s="3" t="str">
        <f>IFERROR(__xludf.DUMMYFUNCTION("""COMPUTED_VALUE"""),"Jed Stillman")</f>
        <v>Jed Stillman</v>
      </c>
      <c r="C289" s="3" t="str">
        <f>IFERROR(__xludf.DUMMYFUNCTION("""COMPUTED_VALUE"""),"Jed Stillman")</f>
        <v>Jed Stillman</v>
      </c>
      <c r="D289" s="3" t="str">
        <f>IFERROR(__xludf.DUMMYFUNCTION("""COMPUTED_VALUE"""),"Stillman, Jed")</f>
        <v>Stillman, Jed</v>
      </c>
      <c r="E289" s="3" t="str">
        <f>IFERROR(__xludf.DUMMYFUNCTION("""COMPUTED_VALUE"""),"Active")</f>
        <v>Active</v>
      </c>
      <c r="F289" s="3" t="str">
        <f>IFERROR(__xludf.DUMMYFUNCTION("""COMPUTED_VALUE"""),"jed.stillman@pwc.com")</f>
        <v>jed.stillman@pwc.com</v>
      </c>
      <c r="G289" s="3" t="str">
        <f>IFERROR(__xludf.DUMMYFUNCTION("""COMPUTED_VALUE"""),"ESV")</f>
        <v>ESV</v>
      </c>
      <c r="H289" s="3" t="str">
        <f>IFERROR(__xludf.DUMMYFUNCTION("""COMPUTED_VALUE"""),"Not Applicable")</f>
        <v>Not Applicable</v>
      </c>
      <c r="I289" s="3" t="str">
        <f>IFERROR(__xludf.DUMMYFUNCTION("""COMPUTED_VALUE"""),"Unknown")</f>
        <v>Unknown</v>
      </c>
      <c r="J289" s="3" t="str">
        <f>IFERROR(__xludf.DUMMYFUNCTION("""COMPUTED_VALUE"""),"Managing Director")</f>
        <v>Managing Director</v>
      </c>
      <c r="K289" s="12">
        <f>IFERROR(__xludf.DUMMYFUNCTION("""COMPUTED_VALUE"""),44718.0)</f>
        <v>44718</v>
      </c>
      <c r="L289" s="3" t="str">
        <f>IFERROR(__xludf.DUMMYFUNCTION("""COMPUTED_VALUE"""),"Minneapolis")</f>
        <v>Minneapolis</v>
      </c>
      <c r="M289" s="3" t="str">
        <f>IFERROR(__xludf.DUMMYFUNCTION("""COMPUTED_VALUE"""),"Unknown")</f>
        <v>Unknown</v>
      </c>
      <c r="N289" s="3" t="str">
        <f>IFERROR(__xludf.DUMMYFUNCTION("""COMPUTED_VALUE"""),"Unknown")</f>
        <v>Unknown</v>
      </c>
      <c r="O289" s="3" t="str">
        <f>IFERROR(__xludf.DUMMYFUNCTION("""COMPUTED_VALUE"""),"Unknown")</f>
        <v>Unknown</v>
      </c>
      <c r="P289" s="3" t="str">
        <f>IFERROR(__xludf.DUMMYFUNCTION("""COMPUTED_VALUE"""),"FY22")</f>
        <v>FY22</v>
      </c>
      <c r="Q289" s="3" t="str">
        <f>IFERROR(__xludf.DUMMYFUNCTION("""COMPUTED_VALUE"""),"Unknown")</f>
        <v>Unknown</v>
      </c>
      <c r="R289" s="3" t="str">
        <f>IFERROR(__xludf.DUMMYFUNCTION("""COMPUTED_VALUE"""),"Unknown")</f>
        <v>Unknown</v>
      </c>
      <c r="S289" s="3"/>
      <c r="T289" s="3" t="str">
        <f>IFERROR(__xludf.DUMMYFUNCTION("""COMPUTED_VALUE"""),"Unknown")</f>
        <v>Unknown</v>
      </c>
      <c r="U289" s="3" t="str">
        <f>IFERROR(__xludf.DUMMYFUNCTION("""COMPUTED_VALUE"""),"Unknown")</f>
        <v>Unknown</v>
      </c>
      <c r="V289" s="3" t="str">
        <f>IFERROR(__xludf.DUMMYFUNCTION("""COMPUTED_VALUE"""),"Unknown")</f>
        <v>Unknown</v>
      </c>
      <c r="W289" s="3" t="str">
        <f>IFERROR(__xludf.DUMMYFUNCTION("""COMPUTED_VALUE"""),"Catalyst")</f>
        <v>Catalyst</v>
      </c>
      <c r="X289" s="3" t="str">
        <f>IFERROR(__xludf.DUMMYFUNCTION("""COMPUTED_VALUE"""),"Unknown")</f>
        <v>Unknown</v>
      </c>
      <c r="Y289" s="3" t="str">
        <f>IFERROR(__xludf.DUMMYFUNCTION("""COMPUTED_VALUE"""),"Unknown")</f>
        <v>Unknown</v>
      </c>
      <c r="Z289" s="3" t="str">
        <f>IFERROR(__xludf.DUMMYFUNCTION("""COMPUTED_VALUE"""),"Unknown")</f>
        <v>Unknown</v>
      </c>
      <c r="AA289" s="3" t="str">
        <f>IFERROR(__xludf.DUMMYFUNCTION("""COMPUTED_VALUE"""),"Unknown")</f>
        <v>Unknown</v>
      </c>
    </row>
    <row r="290">
      <c r="A290" s="3">
        <f>IFERROR(__xludf.DUMMYFUNCTION("""COMPUTED_VALUE"""),1.00599198E8)</f>
        <v>100599198</v>
      </c>
      <c r="B290" s="3" t="str">
        <f>IFERROR(__xludf.DUMMYFUNCTION("""COMPUTED_VALUE"""),"Jeff Boyle")</f>
        <v>Jeff Boyle</v>
      </c>
      <c r="C290" s="3" t="str">
        <f>IFERROR(__xludf.DUMMYFUNCTION("""COMPUTED_VALUE"""),"Jeffrey R Boyle")</f>
        <v>Jeffrey R Boyle</v>
      </c>
      <c r="D290" s="3" t="str">
        <f>IFERROR(__xludf.DUMMYFUNCTION("""COMPUTED_VALUE"""),"Boyle, Jeffrey R")</f>
        <v>Boyle, Jeffrey R</v>
      </c>
      <c r="E290" s="3" t="str">
        <f>IFERROR(__xludf.DUMMYFUNCTION("""COMPUTED_VALUE"""),"Active")</f>
        <v>Active</v>
      </c>
      <c r="F290" s="3" t="str">
        <f>IFERROR(__xludf.DUMMYFUNCTION("""COMPUTED_VALUE"""),"jeffrey.r.boyle@pwc.com")</f>
        <v>jeffrey.r.boyle@pwc.com</v>
      </c>
      <c r="G290" s="3" t="str">
        <f>IFERROR(__xludf.DUMMYFUNCTION("""COMPUTED_VALUE"""),"FS")</f>
        <v>FS</v>
      </c>
      <c r="H290" s="3" t="str">
        <f>IFERROR(__xludf.DUMMYFUNCTION("""COMPUTED_VALUE"""),"Banking and Capital Markets")</f>
        <v>Banking and Capital Markets</v>
      </c>
      <c r="I290" s="3" t="str">
        <f>IFERROR(__xludf.DUMMYFUNCTION("""COMPUTED_VALUE"""),"FS - Banking and Capital Markets")</f>
        <v>FS - Banking and Capital Markets</v>
      </c>
      <c r="J290" s="3" t="str">
        <f>IFERROR(__xludf.DUMMYFUNCTION("""COMPUTED_VALUE"""),"Partner")</f>
        <v>Partner</v>
      </c>
      <c r="K290" s="12">
        <f>IFERROR(__xludf.DUMMYFUNCTION("""COMPUTED_VALUE"""),32388.0)</f>
        <v>32388</v>
      </c>
      <c r="L290" s="3" t="str">
        <f>IFERROR(__xludf.DUMMYFUNCTION("""COMPUTED_VALUE"""),"Hallandale Beach")</f>
        <v>Hallandale Beach</v>
      </c>
      <c r="M290" s="3" t="str">
        <f>IFERROR(__xludf.DUMMYFUNCTION("""COMPUTED_VALUE"""),"Hallandale Beach - 600 Silks Run")</f>
        <v>Hallandale Beach - 600 Silks Run</v>
      </c>
      <c r="N290" s="3" t="b">
        <f>IFERROR(__xludf.DUMMYFUNCTION("""COMPUTED_VALUE"""),FALSE)</f>
        <v>0</v>
      </c>
      <c r="O290" s="3" t="str">
        <f>IFERROR(__xludf.DUMMYFUNCTION("""COMPUTED_VALUE"""),"alison.hoover@pwc.com")</f>
        <v>alison.hoover@pwc.com</v>
      </c>
      <c r="P290" s="3" t="str">
        <f>IFERROR(__xludf.DUMMYFUNCTION("""COMPUTED_VALUE"""),"No")</f>
        <v>No</v>
      </c>
      <c r="Q290" s="3" t="b">
        <f>IFERROR(__xludf.DUMMYFUNCTION("""COMPUTED_VALUE"""),TRUE)</f>
        <v>1</v>
      </c>
      <c r="R290" s="3" t="str">
        <f>IFERROR(__xludf.DUMMYFUNCTION("""COMPUTED_VALUE"""),"LCP High")</f>
        <v>LCP High</v>
      </c>
      <c r="S290" s="3"/>
      <c r="T290" s="3" t="b">
        <f>IFERROR(__xludf.DUMMYFUNCTION("""COMPUTED_VALUE"""),FALSE)</f>
        <v>0</v>
      </c>
      <c r="U290" s="3" t="b">
        <f>IFERROR(__xludf.DUMMYFUNCTION("""COMPUTED_VALUE"""),FALSE)</f>
        <v>0</v>
      </c>
      <c r="V290" s="3" t="b">
        <f>IFERROR(__xludf.DUMMYFUNCTION("""COMPUTED_VALUE"""),FALSE)</f>
        <v>0</v>
      </c>
      <c r="W290" s="3" t="str">
        <f>IFERROR(__xludf.DUMMYFUNCTION("""COMPUTED_VALUE"""),"LCP")</f>
        <v>LCP</v>
      </c>
      <c r="X290" s="3"/>
      <c r="Y290" s="3" t="str">
        <f>IFERROR(__xludf.DUMMYFUNCTION("""COMPUTED_VALUE"""),"GEP - High")</f>
        <v>GEP - High</v>
      </c>
      <c r="Z290" s="3" t="str">
        <f>IFERROR(__xludf.DUMMYFUNCTION("""COMPUTED_VALUE"""),"Banking Transformation")</f>
        <v>Banking Transformation</v>
      </c>
      <c r="AA290" s="3" t="b">
        <f>IFERROR(__xludf.DUMMYFUNCTION("""COMPUTED_VALUE"""),FALSE)</f>
        <v>0</v>
      </c>
    </row>
    <row r="291">
      <c r="A291" s="11">
        <f>IFERROR(__xludf.DUMMYFUNCTION("""COMPUTED_VALUE"""),1.00659846E8)</f>
        <v>100659846</v>
      </c>
      <c r="B291" s="3" t="str">
        <f>IFERROR(__xludf.DUMMYFUNCTION("""COMPUTED_VALUE"""),"Jeff Hersh")</f>
        <v>Jeff Hersh</v>
      </c>
      <c r="C291" s="3" t="str">
        <f>IFERROR(__xludf.DUMMYFUNCTION("""COMPUTED_VALUE"""),"Jeffrey M Hersh")</f>
        <v>Jeffrey M Hersh</v>
      </c>
      <c r="D291" s="3" t="str">
        <f>IFERROR(__xludf.DUMMYFUNCTION("""COMPUTED_VALUE"""),"Hersh, Jeffrey M")</f>
        <v>Hersh, Jeffrey M</v>
      </c>
      <c r="E291" s="3" t="str">
        <f>IFERROR(__xludf.DUMMYFUNCTION("""COMPUTED_VALUE"""),"Active")</f>
        <v>Active</v>
      </c>
      <c r="F291" s="3" t="str">
        <f>IFERROR(__xludf.DUMMYFUNCTION("""COMPUTED_VALUE"""),"jeff.hersh@pwc.com")</f>
        <v>jeff.hersh@pwc.com</v>
      </c>
      <c r="G291" s="3" t="str">
        <f>IFERROR(__xludf.DUMMYFUNCTION("""COMPUTED_VALUE"""),"Customer")</f>
        <v>Customer</v>
      </c>
      <c r="H291" s="3" t="str">
        <f>IFERROR(__xludf.DUMMYFUNCTION("""COMPUTED_VALUE"""),"TMT X-Sector")</f>
        <v>TMT X-Sector</v>
      </c>
      <c r="I291" s="3" t="str">
        <f>IFERROR(__xludf.DUMMYFUNCTION("""COMPUTED_VALUE"""),"Customer - Sales")</f>
        <v>Customer - Sales</v>
      </c>
      <c r="J291" s="3" t="str">
        <f>IFERROR(__xludf.DUMMYFUNCTION("""COMPUTED_VALUE"""),"Partner")</f>
        <v>Partner</v>
      </c>
      <c r="K291" s="12">
        <f>IFERROR(__xludf.DUMMYFUNCTION("""COMPUTED_VALUE"""),42100.0)</f>
        <v>42100</v>
      </c>
      <c r="L291" s="3" t="str">
        <f>IFERROR(__xludf.DUMMYFUNCTION("""COMPUTED_VALUE"""),"San Jose")</f>
        <v>San Jose</v>
      </c>
      <c r="M291" s="3" t="str">
        <f>IFERROR(__xludf.DUMMYFUNCTION("""COMPUTED_VALUE"""),"San Jose - 488 Almaden Boulevard")</f>
        <v>San Jose - 488 Almaden Boulevard</v>
      </c>
      <c r="N291" s="3" t="b">
        <f>IFERROR(__xludf.DUMMYFUNCTION("""COMPUTED_VALUE"""),FALSE)</f>
        <v>0</v>
      </c>
      <c r="O291" s="3" t="str">
        <f>IFERROR(__xludf.DUMMYFUNCTION("""COMPUTED_VALUE"""),"george.korizis@pwc.com")</f>
        <v>george.korizis@pwc.com</v>
      </c>
      <c r="P291" s="3" t="str">
        <f>IFERROR(__xludf.DUMMYFUNCTION("""COMPUTED_VALUE"""),"No")</f>
        <v>No</v>
      </c>
      <c r="Q291" s="3" t="b">
        <f>IFERROR(__xludf.DUMMYFUNCTION("""COMPUTED_VALUE"""),FALSE)</f>
        <v>0</v>
      </c>
      <c r="R291" s="3"/>
      <c r="S291" s="3"/>
      <c r="T291" s="3" t="b">
        <f>IFERROR(__xludf.DUMMYFUNCTION("""COMPUTED_VALUE"""),FALSE)</f>
        <v>0</v>
      </c>
      <c r="U291" s="3" t="b">
        <f>IFERROR(__xludf.DUMMYFUNCTION("""COMPUTED_VALUE"""),FALSE)</f>
        <v>0</v>
      </c>
      <c r="V291" s="3" t="b">
        <f>IFERROR(__xludf.DUMMYFUNCTION("""COMPUTED_VALUE"""),FALSE)</f>
        <v>0</v>
      </c>
      <c r="W291" s="3" t="str">
        <f>IFERROR(__xludf.DUMMYFUNCTION("""COMPUTED_VALUE"""),"Delivery")</f>
        <v>Delivery</v>
      </c>
      <c r="X291" s="3"/>
      <c r="Y291" s="3" t="str">
        <f>IFERROR(__xludf.DUMMYFUNCTION("""COMPUTED_VALUE"""),"Point Partner")</f>
        <v>Point Partner</v>
      </c>
      <c r="Z291" s="3" t="str">
        <f>IFERROR(__xludf.DUMMYFUNCTION("""COMPUTED_VALUE"""),"Cloud Transformation - TMT")</f>
        <v>Cloud Transformation - TMT</v>
      </c>
      <c r="AA291" s="3" t="b">
        <f>IFERROR(__xludf.DUMMYFUNCTION("""COMPUTED_VALUE"""),FALSE)</f>
        <v>0</v>
      </c>
    </row>
    <row r="292">
      <c r="A292" s="11">
        <f>IFERROR(__xludf.DUMMYFUNCTION("""COMPUTED_VALUE"""),1.01198053E8)</f>
        <v>101198053</v>
      </c>
      <c r="B292" s="3" t="str">
        <f>IFERROR(__xludf.DUMMYFUNCTION("""COMPUTED_VALUE"""),"Jeff Kunz")</f>
        <v>Jeff Kunz</v>
      </c>
      <c r="C292" s="3" t="str">
        <f>IFERROR(__xludf.DUMMYFUNCTION("""COMPUTED_VALUE"""),"Jeffrey Dean Kunz")</f>
        <v>Jeffrey Dean Kunz</v>
      </c>
      <c r="D292" s="3" t="str">
        <f>IFERROR(__xludf.DUMMYFUNCTION("""COMPUTED_VALUE"""),"Kunz, Jeffrey Dean")</f>
        <v>Kunz, Jeffrey Dean</v>
      </c>
      <c r="E292" s="3" t="str">
        <f>IFERROR(__xludf.DUMMYFUNCTION("""COMPUTED_VALUE"""),"Active")</f>
        <v>Active</v>
      </c>
      <c r="F292" s="3" t="str">
        <f>IFERROR(__xludf.DUMMYFUNCTION("""COMPUTED_VALUE"""),"jeffrey.kunz@pwc.com")</f>
        <v>jeffrey.kunz@pwc.com</v>
      </c>
      <c r="G292" s="3" t="str">
        <f>IFERROR(__xludf.DUMMYFUNCTION("""COMPUTED_VALUE"""),"Customer")</f>
        <v>Customer</v>
      </c>
      <c r="H292" s="3" t="str">
        <f>IFERROR(__xludf.DUMMYFUNCTION("""COMPUTED_VALUE"""),"Not Applicable")</f>
        <v>Not Applicable</v>
      </c>
      <c r="I292" s="3" t="str">
        <f>IFERROR(__xludf.DUMMYFUNCTION("""COMPUTED_VALUE"""),"Customer - Marketing")</f>
        <v>Customer - Marketing</v>
      </c>
      <c r="J292" s="3" t="str">
        <f>IFERROR(__xludf.DUMMYFUNCTION("""COMPUTED_VALUE"""),"Managing Director")</f>
        <v>Managing Director</v>
      </c>
      <c r="K292" s="12">
        <f>IFERROR(__xludf.DUMMYFUNCTION("""COMPUTED_VALUE"""),44592.0)</f>
        <v>44592</v>
      </c>
      <c r="L292" s="3" t="str">
        <f>IFERROR(__xludf.DUMMYFUNCTION("""COMPUTED_VALUE"""),"Seattle")</f>
        <v>Seattle</v>
      </c>
      <c r="M292" s="3" t="str">
        <f>IFERROR(__xludf.DUMMYFUNCTION("""COMPUTED_VALUE"""),"Seattle - 1420 Fifth Avenue")</f>
        <v>Seattle - 1420 Fifth Avenue</v>
      </c>
      <c r="N292" s="3" t="b">
        <f>IFERROR(__xludf.DUMMYFUNCTION("""COMPUTED_VALUE"""),FALSE)</f>
        <v>0</v>
      </c>
      <c r="O292" s="3" t="str">
        <f>IFERROR(__xludf.DUMMYFUNCTION("""COMPUTED_VALUE"""),"samrat.sharma@pwc.com")</f>
        <v>samrat.sharma@pwc.com</v>
      </c>
      <c r="P292" s="3" t="str">
        <f>IFERROR(__xludf.DUMMYFUNCTION("""COMPUTED_VALUE"""),"FY22")</f>
        <v>FY22</v>
      </c>
      <c r="Q292" s="3" t="b">
        <f>IFERROR(__xludf.DUMMYFUNCTION("""COMPUTED_VALUE"""),FALSE)</f>
        <v>0</v>
      </c>
      <c r="R292" s="3"/>
      <c r="S292" s="3"/>
      <c r="T292" s="3" t="b">
        <f>IFERROR(__xludf.DUMMYFUNCTION("""COMPUTED_VALUE"""),FALSE)</f>
        <v>0</v>
      </c>
      <c r="U292" s="3" t="b">
        <f>IFERROR(__xludf.DUMMYFUNCTION("""COMPUTED_VALUE"""),TRUE)</f>
        <v>1</v>
      </c>
      <c r="V292" s="3" t="b">
        <f>IFERROR(__xludf.DUMMYFUNCTION("""COMPUTED_VALUE"""),FALSE)</f>
        <v>0</v>
      </c>
      <c r="W292" s="3" t="str">
        <f>IFERROR(__xludf.DUMMYFUNCTION("""COMPUTED_VALUE"""),"Catalyst")</f>
        <v>Catalyst</v>
      </c>
      <c r="X292" s="3"/>
      <c r="Y292" s="3" t="str">
        <f>IFERROR(__xludf.DUMMYFUNCTION("""COMPUTED_VALUE"""),"FY22")</f>
        <v>FY22</v>
      </c>
      <c r="Z292" s="3" t="str">
        <f>IFERROR(__xludf.DUMMYFUNCTION("""COMPUTED_VALUE"""),"")</f>
        <v/>
      </c>
      <c r="AA292" s="3" t="b">
        <f>IFERROR(__xludf.DUMMYFUNCTION("""COMPUTED_VALUE"""),FALSE)</f>
        <v>0</v>
      </c>
    </row>
    <row r="293">
      <c r="A293" s="11">
        <f>IFERROR(__xludf.DUMMYFUNCTION("""COMPUTED_VALUE"""),1.01218762E8)</f>
        <v>101218762</v>
      </c>
      <c r="B293" s="3" t="str">
        <f>IFERROR(__xludf.DUMMYFUNCTION("""COMPUTED_VALUE"""),"Jeff McKinney")</f>
        <v>Jeff McKinney</v>
      </c>
      <c r="C293" s="3" t="str">
        <f>IFERROR(__xludf.DUMMYFUNCTION("""COMPUTED_VALUE"""),"JEFFREY L MCKINNEY")</f>
        <v>JEFFREY L MCKINNEY</v>
      </c>
      <c r="D293" s="3" t="str">
        <f>IFERROR(__xludf.DUMMYFUNCTION("""COMPUTED_VALUE"""),"MCKINNEY, JEFFREY L")</f>
        <v>MCKINNEY, JEFFREY L</v>
      </c>
      <c r="E293" s="3" t="str">
        <f>IFERROR(__xludf.DUMMYFUNCTION("""COMPUTED_VALUE"""),"Active")</f>
        <v>Active</v>
      </c>
      <c r="F293" s="3" t="str">
        <f>IFERROR(__xludf.DUMMYFUNCTION("""COMPUTED_VALUE"""),"jeff.mckinney@pwc.com")</f>
        <v>jeff.mckinney@pwc.com</v>
      </c>
      <c r="G293" s="3" t="str">
        <f>IFERROR(__xludf.DUMMYFUNCTION("""COMPUTED_VALUE"""),"Ops")</f>
        <v>Ops</v>
      </c>
      <c r="H293" s="3" t="str">
        <f>IFERROR(__xludf.DUMMYFUNCTION("""COMPUTED_VALUE"""),"Manufacturing")</f>
        <v>Manufacturing</v>
      </c>
      <c r="I293" s="3" t="str">
        <f>IFERROR(__xludf.DUMMYFUNCTION("""COMPUTED_VALUE"""),"Ops - Connected Supply Chain (CSC)")</f>
        <v>Ops - Connected Supply Chain (CSC)</v>
      </c>
      <c r="J293" s="3" t="str">
        <f>IFERROR(__xludf.DUMMYFUNCTION("""COMPUTED_VALUE"""),"Managing Director")</f>
        <v>Managing Director</v>
      </c>
      <c r="K293" s="12">
        <f>IFERROR(__xludf.DUMMYFUNCTION("""COMPUTED_VALUE"""),44655.0)</f>
        <v>44655</v>
      </c>
      <c r="L293" s="3" t="str">
        <f>IFERROR(__xludf.DUMMYFUNCTION("""COMPUTED_VALUE"""),"Nashville")</f>
        <v>Nashville</v>
      </c>
      <c r="M293" s="3" t="str">
        <f>IFERROR(__xludf.DUMMYFUNCTION("""COMPUTED_VALUE"""),"Nashville - 150 3rd Avenue South")</f>
        <v>Nashville - 150 3rd Avenue South</v>
      </c>
      <c r="N293" s="3" t="b">
        <f>IFERROR(__xludf.DUMMYFUNCTION("""COMPUTED_VALUE"""),FALSE)</f>
        <v>0</v>
      </c>
      <c r="O293" s="3" t="str">
        <f>IFERROR(__xludf.DUMMYFUNCTION("""COMPUTED_VALUE"""),"russell.r.rasmus@pwc.com")</f>
        <v>russell.r.rasmus@pwc.com</v>
      </c>
      <c r="P293" s="3" t="str">
        <f>IFERROR(__xludf.DUMMYFUNCTION("""COMPUTED_VALUE"""),"FY22")</f>
        <v>FY22</v>
      </c>
      <c r="Q293" s="3" t="b">
        <f>IFERROR(__xludf.DUMMYFUNCTION("""COMPUTED_VALUE"""),FALSE)</f>
        <v>0</v>
      </c>
      <c r="R293" s="3"/>
      <c r="S293" s="3"/>
      <c r="T293" s="3" t="b">
        <f>IFERROR(__xludf.DUMMYFUNCTION("""COMPUTED_VALUE"""),FALSE)</f>
        <v>0</v>
      </c>
      <c r="U293" s="3" t="b">
        <f>IFERROR(__xludf.DUMMYFUNCTION("""COMPUTED_VALUE"""),TRUE)</f>
        <v>1</v>
      </c>
      <c r="V293" s="3" t="b">
        <f>IFERROR(__xludf.DUMMYFUNCTION("""COMPUTED_VALUE"""),FALSE)</f>
        <v>0</v>
      </c>
      <c r="W293" s="3" t="str">
        <f>IFERROR(__xludf.DUMMYFUNCTION("""COMPUTED_VALUE"""),"Catalyst")</f>
        <v>Catalyst</v>
      </c>
      <c r="X293" s="3" t="str">
        <f>IFERROR(__xludf.DUMMYFUNCTION("""COMPUTED_VALUE"""),"Unknown")</f>
        <v>Unknown</v>
      </c>
      <c r="Y293" s="3" t="str">
        <f>IFERROR(__xludf.DUMMYFUNCTION("""COMPUTED_VALUE"""),"FY22")</f>
        <v>FY22</v>
      </c>
      <c r="Z293" s="3" t="str">
        <f>IFERROR(__xludf.DUMMYFUNCTION("""COMPUTED_VALUE"""),"Unknown")</f>
        <v>Unknown</v>
      </c>
      <c r="AA293" s="3" t="b">
        <f>IFERROR(__xludf.DUMMYFUNCTION("""COMPUTED_VALUE"""),FALSE)</f>
        <v>0</v>
      </c>
    </row>
    <row r="294">
      <c r="A294" s="11">
        <f>IFERROR(__xludf.DUMMYFUNCTION("""COMPUTED_VALUE"""),1.00629008E8)</f>
        <v>100629008</v>
      </c>
      <c r="B294" s="3" t="str">
        <f>IFERROR(__xludf.DUMMYFUNCTION("""COMPUTED_VALUE"""),"Jeffrey Coseo")</f>
        <v>Jeffrey Coseo</v>
      </c>
      <c r="C294" s="3" t="str">
        <f>IFERROR(__xludf.DUMMYFUNCTION("""COMPUTED_VALUE"""),"Jeffrey  Coseo")</f>
        <v>Jeffrey  Coseo</v>
      </c>
      <c r="D294" s="3" t="str">
        <f>IFERROR(__xludf.DUMMYFUNCTION("""COMPUTED_VALUE"""),"Coseo, Jeffrey")</f>
        <v>Coseo, Jeffrey</v>
      </c>
      <c r="E294" s="3" t="str">
        <f>IFERROR(__xludf.DUMMYFUNCTION("""COMPUTED_VALUE"""),"Active")</f>
        <v>Active</v>
      </c>
      <c r="F294" s="3" t="str">
        <f>IFERROR(__xludf.DUMMYFUNCTION("""COMPUTED_VALUE"""),"jeffrey.coseo@pwc.com")</f>
        <v>jeffrey.coseo@pwc.com</v>
      </c>
      <c r="G294" s="3" t="str">
        <f>IFERROR(__xludf.DUMMYFUNCTION("""COMPUTED_VALUE"""),"Deals Transformation")</f>
        <v>Deals Transformation</v>
      </c>
      <c r="H294" s="3" t="str">
        <f>IFERROR(__xludf.DUMMYFUNCTION("""COMPUTED_VALUE"""),"CM X-Sector")</f>
        <v>CM X-Sector</v>
      </c>
      <c r="I294" s="3" t="str">
        <f>IFERROR(__xludf.DUMMYFUNCTION("""COMPUTED_VALUE"""),"DDV - ISD (Integration, Separation, Divestitures)")</f>
        <v>DDV - ISD (Integration, Separation, Divestitures)</v>
      </c>
      <c r="J294" s="3" t="str">
        <f>IFERROR(__xludf.DUMMYFUNCTION("""COMPUTED_VALUE"""),"Partner")</f>
        <v>Partner</v>
      </c>
      <c r="K294" s="12">
        <f>IFERROR(__xludf.DUMMYFUNCTION("""COMPUTED_VALUE"""),38938.0)</f>
        <v>38938</v>
      </c>
      <c r="L294" s="3" t="str">
        <f>IFERROR(__xludf.DUMMYFUNCTION("""COMPUTED_VALUE"""),"New York")</f>
        <v>New York</v>
      </c>
      <c r="M294" s="3" t="str">
        <f>IFERROR(__xludf.DUMMYFUNCTION("""COMPUTED_VALUE"""),"New York - 300 Madison Avenue")</f>
        <v>New York - 300 Madison Avenue</v>
      </c>
      <c r="N294" s="3" t="b">
        <f>IFERROR(__xludf.DUMMYFUNCTION("""COMPUTED_VALUE"""),FALSE)</f>
        <v>0</v>
      </c>
      <c r="O294" s="3" t="str">
        <f>IFERROR(__xludf.DUMMYFUNCTION("""COMPUTED_VALUE"""),"derek.b.townsend@pwc.com")</f>
        <v>derek.b.townsend@pwc.com</v>
      </c>
      <c r="P294" s="3" t="str">
        <f>IFERROR(__xludf.DUMMYFUNCTION("""COMPUTED_VALUE"""),"No")</f>
        <v>No</v>
      </c>
      <c r="Q294" s="3" t="b">
        <f>IFERROR(__xludf.DUMMYFUNCTION("""COMPUTED_VALUE"""),FALSE)</f>
        <v>0</v>
      </c>
      <c r="R294" s="3"/>
      <c r="S294" s="3"/>
      <c r="T294" s="3" t="b">
        <f>IFERROR(__xludf.DUMMYFUNCTION("""COMPUTED_VALUE"""),FALSE)</f>
        <v>0</v>
      </c>
      <c r="U294" s="3" t="b">
        <f>IFERROR(__xludf.DUMMYFUNCTION("""COMPUTED_VALUE"""),FALSE)</f>
        <v>0</v>
      </c>
      <c r="V294" s="3" t="b">
        <f>IFERROR(__xludf.DUMMYFUNCTION("""COMPUTED_VALUE"""),FALSE)</f>
        <v>0</v>
      </c>
      <c r="W294" s="3" t="str">
        <f>IFERROR(__xludf.DUMMYFUNCTION("""COMPUTED_VALUE"""),"Delivery")</f>
        <v>Delivery</v>
      </c>
      <c r="X294" s="3"/>
      <c r="Y294" s="3" t="str">
        <f>IFERROR(__xludf.DUMMYFUNCTION("""COMPUTED_VALUE"""),"Point Partner")</f>
        <v>Point Partner</v>
      </c>
      <c r="Z294" s="3" t="str">
        <f>IFERROR(__xludf.DUMMYFUNCTION("""COMPUTED_VALUE"""),"Corporate M&amp;A Transformation - CM")</f>
        <v>Corporate M&amp;A Transformation - CM</v>
      </c>
      <c r="AA294" s="3" t="b">
        <f>IFERROR(__xludf.DUMMYFUNCTION("""COMPUTED_VALUE"""),FALSE)</f>
        <v>0</v>
      </c>
    </row>
    <row r="295">
      <c r="A295" s="11">
        <f>IFERROR(__xludf.DUMMYFUNCTION("""COMPUTED_VALUE"""),1.0061108E8)</f>
        <v>100611080</v>
      </c>
      <c r="B295" s="3" t="str">
        <f>IFERROR(__xludf.DUMMYFUNCTION("""COMPUTED_VALUE"""),"Jeffrey Gitlin")</f>
        <v>Jeffrey Gitlin</v>
      </c>
      <c r="C295" s="3" t="str">
        <f>IFERROR(__xludf.DUMMYFUNCTION("""COMPUTED_VALUE"""),"Jeffrey S Gitlin")</f>
        <v>Jeffrey S Gitlin</v>
      </c>
      <c r="D295" s="3" t="str">
        <f>IFERROR(__xludf.DUMMYFUNCTION("""COMPUTED_VALUE"""),"Gitlin, Jeffrey S")</f>
        <v>Gitlin, Jeffrey S</v>
      </c>
      <c r="E295" s="3" t="str">
        <f>IFERROR(__xludf.DUMMYFUNCTION("""COMPUTED_VALUE"""),"Active")</f>
        <v>Active</v>
      </c>
      <c r="F295" s="3" t="str">
        <f>IFERROR(__xludf.DUMMYFUNCTION("""COMPUTED_VALUE"""),"jeffrey.gitlin@pwc.com")</f>
        <v>jeffrey.gitlin@pwc.com</v>
      </c>
      <c r="G295" s="3" t="str">
        <f>IFERROR(__xludf.DUMMYFUNCTION("""COMPUTED_VALUE"""),"Health")</f>
        <v>Health</v>
      </c>
      <c r="H295" s="3" t="str">
        <f>IFERROR(__xludf.DUMMYFUNCTION("""COMPUTED_VALUE"""),"Health Services")</f>
        <v>Health Services</v>
      </c>
      <c r="I295" s="3" t="str">
        <f>IFERROR(__xludf.DUMMYFUNCTION("""COMPUTED_VALUE"""),"Health - Payer CO&amp;I")</f>
        <v>Health - Payer CO&amp;I</v>
      </c>
      <c r="J295" s="3" t="str">
        <f>IFERROR(__xludf.DUMMYFUNCTION("""COMPUTED_VALUE"""),"Partner")</f>
        <v>Partner</v>
      </c>
      <c r="K295" s="12">
        <f>IFERROR(__xludf.DUMMYFUNCTION("""COMPUTED_VALUE"""),38418.0)</f>
        <v>38418</v>
      </c>
      <c r="L295" s="3" t="str">
        <f>IFERROR(__xludf.DUMMYFUNCTION("""COMPUTED_VALUE"""),"New York")</f>
        <v>New York</v>
      </c>
      <c r="M295" s="3" t="str">
        <f>IFERROR(__xludf.DUMMYFUNCTION("""COMPUTED_VALUE"""),"New York - 300 Madison Avenue")</f>
        <v>New York - 300 Madison Avenue</v>
      </c>
      <c r="N295" s="3" t="b">
        <f>IFERROR(__xludf.DUMMYFUNCTION("""COMPUTED_VALUE"""),FALSE)</f>
        <v>0</v>
      </c>
      <c r="O295" s="3" t="str">
        <f>IFERROR(__xludf.DUMMYFUNCTION("""COMPUTED_VALUE"""),"craig.e.gooch@pwc.com")</f>
        <v>craig.e.gooch@pwc.com</v>
      </c>
      <c r="P295" s="3" t="str">
        <f>IFERROR(__xludf.DUMMYFUNCTION("""COMPUTED_VALUE"""),"No")</f>
        <v>No</v>
      </c>
      <c r="Q295" s="3" t="b">
        <f>IFERROR(__xludf.DUMMYFUNCTION("""COMPUTED_VALUE"""),TRUE)</f>
        <v>1</v>
      </c>
      <c r="R295" s="3" t="str">
        <f>IFERROR(__xludf.DUMMYFUNCTION("""COMPUTED_VALUE"""),"LCP High")</f>
        <v>LCP High</v>
      </c>
      <c r="S295" s="3"/>
      <c r="T295" s="3" t="b">
        <f>IFERROR(__xludf.DUMMYFUNCTION("""COMPUTED_VALUE"""),FALSE)</f>
        <v>0</v>
      </c>
      <c r="U295" s="3" t="b">
        <f>IFERROR(__xludf.DUMMYFUNCTION("""COMPUTED_VALUE"""),FALSE)</f>
        <v>0</v>
      </c>
      <c r="V295" s="3" t="b">
        <f>IFERROR(__xludf.DUMMYFUNCTION("""COMPUTED_VALUE"""),FALSE)</f>
        <v>0</v>
      </c>
      <c r="W295" s="3" t="str">
        <f>IFERROR(__xludf.DUMMYFUNCTION("""COMPUTED_VALUE"""),"LCP")</f>
        <v>LCP</v>
      </c>
      <c r="X295" s="3"/>
      <c r="Y295" s="3" t="str">
        <f>IFERROR(__xludf.DUMMYFUNCTION("""COMPUTED_VALUE"""),"GEP - High")</f>
        <v>GEP - High</v>
      </c>
      <c r="Z295" s="3" t="str">
        <f>IFERROR(__xludf.DUMMYFUNCTION("""COMPUTED_VALUE"""),"Payer Transformation")</f>
        <v>Payer Transformation</v>
      </c>
      <c r="AA295" s="3" t="b">
        <f>IFERROR(__xludf.DUMMYFUNCTION("""COMPUTED_VALUE"""),FALSE)</f>
        <v>0</v>
      </c>
    </row>
    <row r="296">
      <c r="A296" s="11">
        <f>IFERROR(__xludf.DUMMYFUNCTION("""COMPUTED_VALUE"""),1.00649698E8)</f>
        <v>100649698</v>
      </c>
      <c r="B296" s="3" t="str">
        <f>IFERROR(__xludf.DUMMYFUNCTION("""COMPUTED_VALUE"""),"Jeffrey Jaymont")</f>
        <v>Jeffrey Jaymont</v>
      </c>
      <c r="C296" s="3" t="str">
        <f>IFERROR(__xludf.DUMMYFUNCTION("""COMPUTED_VALUE"""),"Jeffrey M Jaymont")</f>
        <v>Jeffrey M Jaymont</v>
      </c>
      <c r="D296" s="3" t="str">
        <f>IFERROR(__xludf.DUMMYFUNCTION("""COMPUTED_VALUE"""),"Jaymont, Jeffrey M")</f>
        <v>Jaymont, Jeffrey M</v>
      </c>
      <c r="E296" s="3" t="str">
        <f>IFERROR(__xludf.DUMMYFUNCTION("""COMPUTED_VALUE"""),"Active")</f>
        <v>Active</v>
      </c>
      <c r="F296" s="3" t="str">
        <f>IFERROR(__xludf.DUMMYFUNCTION("""COMPUTED_VALUE"""),"jeff.jaymont@pwc.com")</f>
        <v>jeff.jaymont@pwc.com</v>
      </c>
      <c r="G296" s="3" t="str">
        <f>IFERROR(__xludf.DUMMYFUNCTION("""COMPUTED_VALUE"""),"Health")</f>
        <v>Health</v>
      </c>
      <c r="H296" s="3" t="str">
        <f>IFERROR(__xludf.DUMMYFUNCTION("""COMPUTED_VALUE"""),"Health Services")</f>
        <v>Health Services</v>
      </c>
      <c r="I296" s="3" t="str">
        <f>IFERROR(__xludf.DUMMYFUNCTION("""COMPUTED_VALUE"""),"Health - Payer CO&amp;I")</f>
        <v>Health - Payer CO&amp;I</v>
      </c>
      <c r="J296" s="3" t="str">
        <f>IFERROR(__xludf.DUMMYFUNCTION("""COMPUTED_VALUE"""),"Partner")</f>
        <v>Partner</v>
      </c>
      <c r="K296" s="12">
        <f>IFERROR(__xludf.DUMMYFUNCTION("""COMPUTED_VALUE"""),40485.0)</f>
        <v>40485</v>
      </c>
      <c r="L296" s="3" t="str">
        <f>IFERROR(__xludf.DUMMYFUNCTION("""COMPUTED_VALUE"""),"Chicago")</f>
        <v>Chicago</v>
      </c>
      <c r="M296" s="3" t="str">
        <f>IFERROR(__xludf.DUMMYFUNCTION("""COMPUTED_VALUE"""),"Chicago - One North Wacker Drive")</f>
        <v>Chicago - One North Wacker Drive</v>
      </c>
      <c r="N296" s="3" t="b">
        <f>IFERROR(__xludf.DUMMYFUNCTION("""COMPUTED_VALUE"""),FALSE)</f>
        <v>0</v>
      </c>
      <c r="O296" s="3" t="str">
        <f>IFERROR(__xludf.DUMMYFUNCTION("""COMPUTED_VALUE"""),"craig.e.gooch@pwc.com")</f>
        <v>craig.e.gooch@pwc.com</v>
      </c>
      <c r="P296" s="3" t="str">
        <f>IFERROR(__xludf.DUMMYFUNCTION("""COMPUTED_VALUE"""),"No")</f>
        <v>No</v>
      </c>
      <c r="Q296" s="3" t="b">
        <f>IFERROR(__xludf.DUMMYFUNCTION("""COMPUTED_VALUE"""),FALSE)</f>
        <v>0</v>
      </c>
      <c r="R296" s="3"/>
      <c r="S296" s="3"/>
      <c r="T296" s="3" t="b">
        <f>IFERROR(__xludf.DUMMYFUNCTION("""COMPUTED_VALUE"""),FALSE)</f>
        <v>0</v>
      </c>
      <c r="U296" s="3" t="b">
        <f>IFERROR(__xludf.DUMMYFUNCTION("""COMPUTED_VALUE"""),TRUE)</f>
        <v>1</v>
      </c>
      <c r="V296" s="3" t="b">
        <f>IFERROR(__xludf.DUMMYFUNCTION("""COMPUTED_VALUE"""),FALSE)</f>
        <v>0</v>
      </c>
      <c r="W296" s="3" t="str">
        <f>IFERROR(__xludf.DUMMYFUNCTION("""COMPUTED_VALUE"""),"Delivery")</f>
        <v>Delivery</v>
      </c>
      <c r="X296" s="3"/>
      <c r="Y296" s="3"/>
      <c r="Z296" s="3" t="str">
        <f>IFERROR(__xludf.DUMMYFUNCTION("""COMPUTED_VALUE"""),"Payer Transformation")</f>
        <v>Payer Transformation</v>
      </c>
      <c r="AA296" s="3" t="b">
        <f>IFERROR(__xludf.DUMMYFUNCTION("""COMPUTED_VALUE"""),FALSE)</f>
        <v>0</v>
      </c>
    </row>
    <row r="297">
      <c r="A297" s="11">
        <f>IFERROR(__xludf.DUMMYFUNCTION("""COMPUTED_VALUE"""),1.00611141E8)</f>
        <v>100611141</v>
      </c>
      <c r="B297" s="3" t="str">
        <f>IFERROR(__xludf.DUMMYFUNCTION("""COMPUTED_VALUE"""),"Jennifer Daniels")</f>
        <v>Jennifer Daniels</v>
      </c>
      <c r="C297" s="3" t="str">
        <f>IFERROR(__xludf.DUMMYFUNCTION("""COMPUTED_VALUE"""),"Jennifer L Daniels")</f>
        <v>Jennifer L Daniels</v>
      </c>
      <c r="D297" s="3" t="str">
        <f>IFERROR(__xludf.DUMMYFUNCTION("""COMPUTED_VALUE"""),"Daniels, Jennifer L")</f>
        <v>Daniels, Jennifer L</v>
      </c>
      <c r="E297" s="3" t="str">
        <f>IFERROR(__xludf.DUMMYFUNCTION("""COMPUTED_VALUE"""),"Active")</f>
        <v>Active</v>
      </c>
      <c r="F297" s="3" t="str">
        <f>IFERROR(__xludf.DUMMYFUNCTION("""COMPUTED_VALUE"""),"jennifer.daniels@pwc.com")</f>
        <v>jennifer.daniels@pwc.com</v>
      </c>
      <c r="G297" s="3" t="str">
        <f>IFERROR(__xludf.DUMMYFUNCTION("""COMPUTED_VALUE"""),"Workforce")</f>
        <v>Workforce</v>
      </c>
      <c r="H297" s="3" t="str">
        <f>IFERROR(__xludf.DUMMYFUNCTION("""COMPUTED_VALUE"""),"HI X-Sector")</f>
        <v>HI X-Sector</v>
      </c>
      <c r="I297" s="3" t="str">
        <f>IFERROR(__xludf.DUMMYFUNCTION("""COMPUTED_VALUE"""),"Workforce - Deals")</f>
        <v>Workforce - Deals</v>
      </c>
      <c r="J297" s="3" t="str">
        <f>IFERROR(__xludf.DUMMYFUNCTION("""COMPUTED_VALUE"""),"Partner")</f>
        <v>Partner</v>
      </c>
      <c r="K297" s="12">
        <f>IFERROR(__xludf.DUMMYFUNCTION("""COMPUTED_VALUE"""),40617.0)</f>
        <v>40617</v>
      </c>
      <c r="L297" s="3" t="str">
        <f>IFERROR(__xludf.DUMMYFUNCTION("""COMPUTED_VALUE"""),"New York")</f>
        <v>New York</v>
      </c>
      <c r="M297" s="3" t="str">
        <f>IFERROR(__xludf.DUMMYFUNCTION("""COMPUTED_VALUE"""),"New York - 300 Madison Avenue")</f>
        <v>New York - 300 Madison Avenue</v>
      </c>
      <c r="N297" s="3" t="b">
        <f>IFERROR(__xludf.DUMMYFUNCTION("""COMPUTED_VALUE"""),FALSE)</f>
        <v>0</v>
      </c>
      <c r="O297" s="3" t="str">
        <f>IFERROR(__xludf.DUMMYFUNCTION("""COMPUTED_VALUE"""),"craig.odonnell@pwc.com")</f>
        <v>craig.odonnell@pwc.com</v>
      </c>
      <c r="P297" s="3" t="str">
        <f>IFERROR(__xludf.DUMMYFUNCTION("""COMPUTED_VALUE"""),"No")</f>
        <v>No</v>
      </c>
      <c r="Q297" s="3" t="b">
        <f>IFERROR(__xludf.DUMMYFUNCTION("""COMPUTED_VALUE"""),FALSE)</f>
        <v>0</v>
      </c>
      <c r="R297" s="3"/>
      <c r="S297" s="3"/>
      <c r="T297" s="3" t="b">
        <f>IFERROR(__xludf.DUMMYFUNCTION("""COMPUTED_VALUE"""),FALSE)</f>
        <v>0</v>
      </c>
      <c r="U297" s="3" t="b">
        <f>IFERROR(__xludf.DUMMYFUNCTION("""COMPUTED_VALUE"""),FALSE)</f>
        <v>0</v>
      </c>
      <c r="V297" s="3" t="b">
        <f>IFERROR(__xludf.DUMMYFUNCTION("""COMPUTED_VALUE"""),FALSE)</f>
        <v>0</v>
      </c>
      <c r="W297" s="3" t="str">
        <f>IFERROR(__xludf.DUMMYFUNCTION("""COMPUTED_VALUE"""),"#N/A")</f>
        <v>#N/A</v>
      </c>
      <c r="X297" s="3" t="str">
        <f>IFERROR(__xludf.DUMMYFUNCTION("""COMPUTED_VALUE"""),"#N/A")</f>
        <v>#N/A</v>
      </c>
      <c r="Y297" s="3" t="str">
        <f>IFERROR(__xludf.DUMMYFUNCTION("""COMPUTED_VALUE"""),"#N/A")</f>
        <v>#N/A</v>
      </c>
      <c r="Z297" s="3" t="str">
        <f>IFERROR(__xludf.DUMMYFUNCTION("""COMPUTED_VALUE"""),"Unknown")</f>
        <v>Unknown</v>
      </c>
      <c r="AA297" s="3" t="b">
        <f>IFERROR(__xludf.DUMMYFUNCTION("""COMPUTED_VALUE"""),FALSE)</f>
        <v>0</v>
      </c>
    </row>
    <row r="298">
      <c r="A298" s="11">
        <f>IFERROR(__xludf.DUMMYFUNCTION("""COMPUTED_VALUE"""),1.0065404E8)</f>
        <v>100654040</v>
      </c>
      <c r="B298" s="3" t="str">
        <f>IFERROR(__xludf.DUMMYFUNCTION("""COMPUTED_VALUE"""),"Jennifer Farkas")</f>
        <v>Jennifer Farkas</v>
      </c>
      <c r="C298" s="3" t="str">
        <f>IFERROR(__xludf.DUMMYFUNCTION("""COMPUTED_VALUE"""),"Jennifer A Farkas")</f>
        <v>Jennifer A Farkas</v>
      </c>
      <c r="D298" s="3" t="str">
        <f>IFERROR(__xludf.DUMMYFUNCTION("""COMPUTED_VALUE"""),"Farkas, Jennifer A")</f>
        <v>Farkas, Jennifer A</v>
      </c>
      <c r="E298" s="3" t="str">
        <f>IFERROR(__xludf.DUMMYFUNCTION("""COMPUTED_VALUE"""),"Active")</f>
        <v>Active</v>
      </c>
      <c r="F298" s="3" t="str">
        <f>IFERROR(__xludf.DUMMYFUNCTION("""COMPUTED_VALUE"""),"jennifer.a.farkas@pwc.com")</f>
        <v>jennifer.a.farkas@pwc.com</v>
      </c>
      <c r="G298" s="3" t="str">
        <f>IFERROR(__xludf.DUMMYFUNCTION("""COMPUTED_VALUE"""),"Workforce")</f>
        <v>Workforce</v>
      </c>
      <c r="H298" s="3" t="str">
        <f>IFERROR(__xludf.DUMMYFUNCTION("""COMPUTED_VALUE"""),"Manufacturing")</f>
        <v>Manufacturing</v>
      </c>
      <c r="I298" s="3" t="str">
        <f>IFERROR(__xludf.DUMMYFUNCTION("""COMPUTED_VALUE"""),"Workforce - Deals")</f>
        <v>Workforce - Deals</v>
      </c>
      <c r="J298" s="3" t="str">
        <f>IFERROR(__xludf.DUMMYFUNCTION("""COMPUTED_VALUE"""),"Partner")</f>
        <v>Partner</v>
      </c>
      <c r="K298" s="12">
        <f>IFERROR(__xludf.DUMMYFUNCTION("""COMPUTED_VALUE"""),40574.0)</f>
        <v>40574</v>
      </c>
      <c r="L298" s="3" t="str">
        <f>IFERROR(__xludf.DUMMYFUNCTION("""COMPUTED_VALUE"""),"Chicago")</f>
        <v>Chicago</v>
      </c>
      <c r="M298" s="3" t="str">
        <f>IFERROR(__xludf.DUMMYFUNCTION("""COMPUTED_VALUE"""),"Chicago - One North Wacker Drive")</f>
        <v>Chicago - One North Wacker Drive</v>
      </c>
      <c r="N298" s="3" t="b">
        <f>IFERROR(__xludf.DUMMYFUNCTION("""COMPUTED_VALUE"""),FALSE)</f>
        <v>0</v>
      </c>
      <c r="O298" s="3" t="str">
        <f>IFERROR(__xludf.DUMMYFUNCTION("""COMPUTED_VALUE"""),"craig.odonnell@pwc.com")</f>
        <v>craig.odonnell@pwc.com</v>
      </c>
      <c r="P298" s="3" t="str">
        <f>IFERROR(__xludf.DUMMYFUNCTION("""COMPUTED_VALUE"""),"No")</f>
        <v>No</v>
      </c>
      <c r="Q298" s="3" t="b">
        <f>IFERROR(__xludf.DUMMYFUNCTION("""COMPUTED_VALUE"""),FALSE)</f>
        <v>0</v>
      </c>
      <c r="R298" s="3"/>
      <c r="S298" s="3"/>
      <c r="T298" s="3" t="b">
        <f>IFERROR(__xludf.DUMMYFUNCTION("""COMPUTED_VALUE"""),FALSE)</f>
        <v>0</v>
      </c>
      <c r="U298" s="3" t="b">
        <f>IFERROR(__xludf.DUMMYFUNCTION("""COMPUTED_VALUE"""),FALSE)</f>
        <v>0</v>
      </c>
      <c r="V298" s="3" t="b">
        <f>IFERROR(__xludf.DUMMYFUNCTION("""COMPUTED_VALUE"""),FALSE)</f>
        <v>0</v>
      </c>
      <c r="W298" s="3" t="str">
        <f>IFERROR(__xludf.DUMMYFUNCTION("""COMPUTED_VALUE"""),"#N/A")</f>
        <v>#N/A</v>
      </c>
      <c r="X298" s="3" t="str">
        <f>IFERROR(__xludf.DUMMYFUNCTION("""COMPUTED_VALUE"""),"#N/A")</f>
        <v>#N/A</v>
      </c>
      <c r="Y298" s="3" t="str">
        <f>IFERROR(__xludf.DUMMYFUNCTION("""COMPUTED_VALUE"""),"#N/A")</f>
        <v>#N/A</v>
      </c>
      <c r="Z298" s="3" t="str">
        <f>IFERROR(__xludf.DUMMYFUNCTION("""COMPUTED_VALUE"""),"Unknown")</f>
        <v>Unknown</v>
      </c>
      <c r="AA298" s="3" t="b">
        <f>IFERROR(__xludf.DUMMYFUNCTION("""COMPUTED_VALUE"""),FALSE)</f>
        <v>0</v>
      </c>
    </row>
    <row r="299">
      <c r="A299" s="11">
        <f>IFERROR(__xludf.DUMMYFUNCTION("""COMPUTED_VALUE"""),1.00596618E8)</f>
        <v>100596618</v>
      </c>
      <c r="B299" s="3" t="str">
        <f>IFERROR(__xludf.DUMMYFUNCTION("""COMPUTED_VALUE"""),"Jennifer George")</f>
        <v>Jennifer George</v>
      </c>
      <c r="C299" s="3" t="str">
        <f>IFERROR(__xludf.DUMMYFUNCTION("""COMPUTED_VALUE"""),"Jennifer Billiet George")</f>
        <v>Jennifer Billiet George</v>
      </c>
      <c r="D299" s="3" t="str">
        <f>IFERROR(__xludf.DUMMYFUNCTION("""COMPUTED_VALUE"""),"George, Jennifer Billiet")</f>
        <v>George, Jennifer Billiet</v>
      </c>
      <c r="E299" s="3" t="str">
        <f>IFERROR(__xludf.DUMMYFUNCTION("""COMPUTED_VALUE"""),"Active")</f>
        <v>Active</v>
      </c>
      <c r="F299" s="3" t="str">
        <f>IFERROR(__xludf.DUMMYFUNCTION("""COMPUTED_VALUE"""),"jennifer.b.george@pwc.com")</f>
        <v>jennifer.b.george@pwc.com</v>
      </c>
      <c r="G299" s="3" t="str">
        <f>IFERROR(__xludf.DUMMYFUNCTION("""COMPUTED_VALUE"""),"Workforce")</f>
        <v>Workforce</v>
      </c>
      <c r="H299" s="3" t="str">
        <f>IFERROR(__xludf.DUMMYFUNCTION("""COMPUTED_VALUE"""),"TMT X-Sector")</f>
        <v>TMT X-Sector</v>
      </c>
      <c r="I299" s="3" t="str">
        <f>IFERROR(__xludf.DUMMYFUNCTION("""COMPUTED_VALUE"""),"Workforce - Rewards &amp; Well Being")</f>
        <v>Workforce - Rewards &amp; Well Being</v>
      </c>
      <c r="J299" s="3" t="str">
        <f>IFERROR(__xludf.DUMMYFUNCTION("""COMPUTED_VALUE"""),"Partner")</f>
        <v>Partner</v>
      </c>
      <c r="K299" s="12">
        <f>IFERROR(__xludf.DUMMYFUNCTION("""COMPUTED_VALUE"""),41099.0)</f>
        <v>41099</v>
      </c>
      <c r="L299" s="3" t="str">
        <f>IFERROR(__xludf.DUMMYFUNCTION("""COMPUTED_VALUE"""),"San Francisco")</f>
        <v>San Francisco</v>
      </c>
      <c r="M299" s="3" t="str">
        <f>IFERROR(__xludf.DUMMYFUNCTION("""COMPUTED_VALUE"""),"San Francisco - 405 Howard St")</f>
        <v>San Francisco - 405 Howard St</v>
      </c>
      <c r="N299" s="3" t="b">
        <f>IFERROR(__xludf.DUMMYFUNCTION("""COMPUTED_VALUE"""),FALSE)</f>
        <v>0</v>
      </c>
      <c r="O299" s="3" t="str">
        <f>IFERROR(__xludf.DUMMYFUNCTION("""COMPUTED_VALUE"""),"craig.odonnell@pwc.com")</f>
        <v>craig.odonnell@pwc.com</v>
      </c>
      <c r="P299" s="3" t="str">
        <f>IFERROR(__xludf.DUMMYFUNCTION("""COMPUTED_VALUE"""),"No")</f>
        <v>No</v>
      </c>
      <c r="Q299" s="3" t="b">
        <f>IFERROR(__xludf.DUMMYFUNCTION("""COMPUTED_VALUE"""),FALSE)</f>
        <v>0</v>
      </c>
      <c r="R299" s="3"/>
      <c r="S299" s="3"/>
      <c r="T299" s="3" t="b">
        <f>IFERROR(__xludf.DUMMYFUNCTION("""COMPUTED_VALUE"""),FALSE)</f>
        <v>0</v>
      </c>
      <c r="U299" s="3" t="b">
        <f>IFERROR(__xludf.DUMMYFUNCTION("""COMPUTED_VALUE"""),FALSE)</f>
        <v>0</v>
      </c>
      <c r="V299" s="3" t="b">
        <f>IFERROR(__xludf.DUMMYFUNCTION("""COMPUTED_VALUE"""),FALSE)</f>
        <v>0</v>
      </c>
      <c r="W299" s="3" t="str">
        <f>IFERROR(__xludf.DUMMYFUNCTION("""COMPUTED_VALUE"""),"#N/A")</f>
        <v>#N/A</v>
      </c>
      <c r="X299" s="3" t="str">
        <f>IFERROR(__xludf.DUMMYFUNCTION("""COMPUTED_VALUE"""),"#N/A")</f>
        <v>#N/A</v>
      </c>
      <c r="Y299" s="3" t="str">
        <f>IFERROR(__xludf.DUMMYFUNCTION("""COMPUTED_VALUE"""),"#N/A")</f>
        <v>#N/A</v>
      </c>
      <c r="Z299" s="3" t="str">
        <f>IFERROR(__xludf.DUMMYFUNCTION("""COMPUTED_VALUE"""),"Unknown")</f>
        <v>Unknown</v>
      </c>
      <c r="AA299" s="3" t="b">
        <f>IFERROR(__xludf.DUMMYFUNCTION("""COMPUTED_VALUE"""),FALSE)</f>
        <v>0</v>
      </c>
    </row>
    <row r="300">
      <c r="A300" s="11">
        <f>IFERROR(__xludf.DUMMYFUNCTION("""COMPUTED_VALUE"""),1.00896447E8)</f>
        <v>100896447</v>
      </c>
      <c r="B300" s="3" t="str">
        <f>IFERROR(__xludf.DUMMYFUNCTION("""COMPUTED_VALUE"""),"Jenny Machida")</f>
        <v>Jenny Machida</v>
      </c>
      <c r="C300" s="3" t="str">
        <f>IFERROR(__xludf.DUMMYFUNCTION("""COMPUTED_VALUE"""),"Jenny Tomomi Machida")</f>
        <v>Jenny Tomomi Machida</v>
      </c>
      <c r="D300" s="3" t="str">
        <f>IFERROR(__xludf.DUMMYFUNCTION("""COMPUTED_VALUE"""),"Machida, Jenny Tomomi")</f>
        <v>Machida, Jenny Tomomi</v>
      </c>
      <c r="E300" s="3" t="str">
        <f>IFERROR(__xludf.DUMMYFUNCTION("""COMPUTED_VALUE"""),"Active")</f>
        <v>Active</v>
      </c>
      <c r="F300" s="3" t="str">
        <f>IFERROR(__xludf.DUMMYFUNCTION("""COMPUTED_VALUE"""),"jenny.machida@pwc.com")</f>
        <v>jenny.machida@pwc.com</v>
      </c>
      <c r="G300" s="3" t="str">
        <f>IFERROR(__xludf.DUMMYFUNCTION("""COMPUTED_VALUE"""),"Workforce")</f>
        <v>Workforce</v>
      </c>
      <c r="H300" s="3" t="str">
        <f>IFERROR(__xludf.DUMMYFUNCTION("""COMPUTED_VALUE"""),"Health Services")</f>
        <v>Health Services</v>
      </c>
      <c r="I300" s="3" t="str">
        <f>IFERROR(__xludf.DUMMYFUNCTION("""COMPUTED_VALUE"""),"Workforce - Deals")</f>
        <v>Workforce - Deals</v>
      </c>
      <c r="J300" s="3" t="str">
        <f>IFERROR(__xludf.DUMMYFUNCTION("""COMPUTED_VALUE"""),"Partner")</f>
        <v>Partner</v>
      </c>
      <c r="K300" s="12">
        <f>IFERROR(__xludf.DUMMYFUNCTION("""COMPUTED_VALUE"""),43584.0)</f>
        <v>43584</v>
      </c>
      <c r="L300" s="3" t="str">
        <f>IFERROR(__xludf.DUMMYFUNCTION("""COMPUTED_VALUE"""),"Los Angeles")</f>
        <v>Los Angeles</v>
      </c>
      <c r="M300" s="3" t="str">
        <f>IFERROR(__xludf.DUMMYFUNCTION("""COMPUTED_VALUE"""),"Los Angeles - 601 South Figueroa Street")</f>
        <v>Los Angeles - 601 South Figueroa Street</v>
      </c>
      <c r="N300" s="3" t="b">
        <f>IFERROR(__xludf.DUMMYFUNCTION("""COMPUTED_VALUE"""),FALSE)</f>
        <v>0</v>
      </c>
      <c r="O300" s="3" t="str">
        <f>IFERROR(__xludf.DUMMYFUNCTION("""COMPUTED_VALUE"""),"craig.odonnell@pwc.com")</f>
        <v>craig.odonnell@pwc.com</v>
      </c>
      <c r="P300" s="3" t="str">
        <f>IFERROR(__xludf.DUMMYFUNCTION("""COMPUTED_VALUE"""),"No")</f>
        <v>No</v>
      </c>
      <c r="Q300" s="3" t="b">
        <f>IFERROR(__xludf.DUMMYFUNCTION("""COMPUTED_VALUE"""),FALSE)</f>
        <v>0</v>
      </c>
      <c r="R300" s="3"/>
      <c r="S300" s="3"/>
      <c r="T300" s="3" t="b">
        <f>IFERROR(__xludf.DUMMYFUNCTION("""COMPUTED_VALUE"""),FALSE)</f>
        <v>0</v>
      </c>
      <c r="U300" s="3" t="b">
        <f>IFERROR(__xludf.DUMMYFUNCTION("""COMPUTED_VALUE"""),FALSE)</f>
        <v>0</v>
      </c>
      <c r="V300" s="3" t="b">
        <f>IFERROR(__xludf.DUMMYFUNCTION("""COMPUTED_VALUE"""),FALSE)</f>
        <v>0</v>
      </c>
      <c r="W300" s="3" t="str">
        <f>IFERROR(__xludf.DUMMYFUNCTION("""COMPUTED_VALUE"""),"#N/A")</f>
        <v>#N/A</v>
      </c>
      <c r="X300" s="3" t="str">
        <f>IFERROR(__xludf.DUMMYFUNCTION("""COMPUTED_VALUE"""),"#N/A")</f>
        <v>#N/A</v>
      </c>
      <c r="Y300" s="3" t="str">
        <f>IFERROR(__xludf.DUMMYFUNCTION("""COMPUTED_VALUE"""),"#N/A")</f>
        <v>#N/A</v>
      </c>
      <c r="Z300" s="3" t="str">
        <f>IFERROR(__xludf.DUMMYFUNCTION("""COMPUTED_VALUE"""),"Unknown")</f>
        <v>Unknown</v>
      </c>
      <c r="AA300" s="3" t="b">
        <f>IFERROR(__xludf.DUMMYFUNCTION("""COMPUTED_VALUE"""),FALSE)</f>
        <v>0</v>
      </c>
    </row>
    <row r="301">
      <c r="A301" s="11">
        <f>IFERROR(__xludf.DUMMYFUNCTION("""COMPUTED_VALUE"""),1.0059365E8)</f>
        <v>100593650</v>
      </c>
      <c r="B301" s="3" t="str">
        <f>IFERROR(__xludf.DUMMYFUNCTION("""COMPUTED_VALUE"""),"Jessica Heidman")</f>
        <v>Jessica Heidman</v>
      </c>
      <c r="C301" s="3" t="str">
        <f>IFERROR(__xludf.DUMMYFUNCTION("""COMPUTED_VALUE"""),"Jessica Vivian Heidman")</f>
        <v>Jessica Vivian Heidman</v>
      </c>
      <c r="D301" s="3" t="str">
        <f>IFERROR(__xludf.DUMMYFUNCTION("""COMPUTED_VALUE"""),"Heidman, Jessica Vivian")</f>
        <v>Heidman, Jessica Vivian</v>
      </c>
      <c r="E301" s="3" t="str">
        <f>IFERROR(__xludf.DUMMYFUNCTION("""COMPUTED_VALUE"""),"Active")</f>
        <v>Active</v>
      </c>
      <c r="F301" s="3" t="str">
        <f>IFERROR(__xludf.DUMMYFUNCTION("""COMPUTED_VALUE"""),"jessica.v.heidman@pwc.com")</f>
        <v>jessica.v.heidman@pwc.com</v>
      </c>
      <c r="G301" s="3" t="str">
        <f>IFERROR(__xludf.DUMMYFUNCTION("""COMPUTED_VALUE"""),"Finance")</f>
        <v>Finance</v>
      </c>
      <c r="H301" s="3" t="str">
        <f>IFERROR(__xludf.DUMMYFUNCTION("""COMPUTED_VALUE"""),"Aerospace and Defence")</f>
        <v>Aerospace and Defence</v>
      </c>
      <c r="I301" s="3" t="str">
        <f>IFERROR(__xludf.DUMMYFUNCTION("""COMPUTED_VALUE"""),"Finance - Financial Operations")</f>
        <v>Finance - Financial Operations</v>
      </c>
      <c r="J301" s="3" t="str">
        <f>IFERROR(__xludf.DUMMYFUNCTION("""COMPUTED_VALUE"""),"Partner")</f>
        <v>Partner</v>
      </c>
      <c r="K301" s="12">
        <f>IFERROR(__xludf.DUMMYFUNCTION("""COMPUTED_VALUE"""),41021.0)</f>
        <v>41021</v>
      </c>
      <c r="L301" s="3" t="str">
        <f>IFERROR(__xludf.DUMMYFUNCTION("""COMPUTED_VALUE"""),"Seattle")</f>
        <v>Seattle</v>
      </c>
      <c r="M301" s="3" t="str">
        <f>IFERROR(__xludf.DUMMYFUNCTION("""COMPUTED_VALUE"""),"Seattle - 1420 Fifth Avenue")</f>
        <v>Seattle - 1420 Fifth Avenue</v>
      </c>
      <c r="N301" s="3" t="b">
        <f>IFERROR(__xludf.DUMMYFUNCTION("""COMPUTED_VALUE"""),FALSE)</f>
        <v>0</v>
      </c>
      <c r="O301" s="3" t="str">
        <f>IFERROR(__xludf.DUMMYFUNCTION("""COMPUTED_VALUE"""),"kurtis.babczenko@pwc.com")</f>
        <v>kurtis.babczenko@pwc.com</v>
      </c>
      <c r="P301" s="3" t="str">
        <f>IFERROR(__xludf.DUMMYFUNCTION("""COMPUTED_VALUE"""),"No")</f>
        <v>No</v>
      </c>
      <c r="Q301" s="3" t="b">
        <f>IFERROR(__xludf.DUMMYFUNCTION("""COMPUTED_VALUE"""),FALSE)</f>
        <v>0</v>
      </c>
      <c r="R301" s="3"/>
      <c r="S301" s="3"/>
      <c r="T301" s="3" t="b">
        <f>IFERROR(__xludf.DUMMYFUNCTION("""COMPUTED_VALUE"""),FALSE)</f>
        <v>0</v>
      </c>
      <c r="U301" s="3" t="b">
        <f>IFERROR(__xludf.DUMMYFUNCTION("""COMPUTED_VALUE"""),TRUE)</f>
        <v>1</v>
      </c>
      <c r="V301" s="3" t="b">
        <f>IFERROR(__xludf.DUMMYFUNCTION("""COMPUTED_VALUE"""),FALSE)</f>
        <v>0</v>
      </c>
      <c r="W301" s="3" t="str">
        <f>IFERROR(__xludf.DUMMYFUNCTION("""COMPUTED_VALUE"""),"Delivery")</f>
        <v>Delivery</v>
      </c>
      <c r="X301" s="3"/>
      <c r="Y301" s="3"/>
      <c r="Z301" s="3" t="str">
        <f>IFERROR(__xludf.DUMMYFUNCTION("""COMPUTED_VALUE"""),"Finance Transformation IPS - IP")</f>
        <v>Finance Transformation IPS - IP</v>
      </c>
      <c r="AA301" s="3" t="b">
        <f>IFERROR(__xludf.DUMMYFUNCTION("""COMPUTED_VALUE"""),FALSE)</f>
        <v>0</v>
      </c>
    </row>
    <row r="302">
      <c r="A302" s="11">
        <f>IFERROR(__xludf.DUMMYFUNCTION("""COMPUTED_VALUE"""),1.01078216E8)</f>
        <v>101078216</v>
      </c>
      <c r="B302" s="3" t="str">
        <f>IFERROR(__xludf.DUMMYFUNCTION("""COMPUTED_VALUE"""),"Jim Adams")</f>
        <v>Jim Adams</v>
      </c>
      <c r="C302" s="3" t="str">
        <f>IFERROR(__xludf.DUMMYFUNCTION("""COMPUTED_VALUE"""),"James Williford Adams")</f>
        <v>James Williford Adams</v>
      </c>
      <c r="D302" s="3" t="str">
        <f>IFERROR(__xludf.DUMMYFUNCTION("""COMPUTED_VALUE"""),"Adams, James Williford")</f>
        <v>Adams, James Williford</v>
      </c>
      <c r="E302" s="3" t="str">
        <f>IFERROR(__xludf.DUMMYFUNCTION("""COMPUTED_VALUE"""),"Active")</f>
        <v>Active</v>
      </c>
      <c r="F302" s="3" t="str">
        <f>IFERROR(__xludf.DUMMYFUNCTION("""COMPUTED_VALUE"""),"jim.a.adams@pwc.com")</f>
        <v>jim.a.adams@pwc.com</v>
      </c>
      <c r="G302" s="3" t="str">
        <f>IFERROR(__xludf.DUMMYFUNCTION("""COMPUTED_VALUE"""),"Health")</f>
        <v>Health</v>
      </c>
      <c r="H302" s="3" t="str">
        <f>IFERROR(__xludf.DUMMYFUNCTION("""COMPUTED_VALUE"""),"Health Services")</f>
        <v>Health Services</v>
      </c>
      <c r="I302" s="3" t="str">
        <f>IFERROR(__xludf.DUMMYFUNCTION("""COMPUTED_VALUE"""),"Health - Provider Revenue Cycle")</f>
        <v>Health - Provider Revenue Cycle</v>
      </c>
      <c r="J302" s="3" t="str">
        <f>IFERROR(__xludf.DUMMYFUNCTION("""COMPUTED_VALUE"""),"Managing Director")</f>
        <v>Managing Director</v>
      </c>
      <c r="K302" s="12">
        <f>IFERROR(__xludf.DUMMYFUNCTION("""COMPUTED_VALUE"""),44361.0)</f>
        <v>44361</v>
      </c>
      <c r="L302" s="3" t="str">
        <f>IFERROR(__xludf.DUMMYFUNCTION("""COMPUTED_VALUE"""),"Nashville")</f>
        <v>Nashville</v>
      </c>
      <c r="M302" s="3" t="str">
        <f>IFERROR(__xludf.DUMMYFUNCTION("""COMPUTED_VALUE"""),"Nashville - 150 3rd Avenue South")</f>
        <v>Nashville - 150 3rd Avenue South</v>
      </c>
      <c r="N302" s="3" t="b">
        <f>IFERROR(__xludf.DUMMYFUNCTION("""COMPUTED_VALUE"""),FALSE)</f>
        <v>0</v>
      </c>
      <c r="O302" s="3" t="str">
        <f>IFERROR(__xludf.DUMMYFUNCTION("""COMPUTED_VALUE"""),"brandon.s.mccain@pwc.com")</f>
        <v>brandon.s.mccain@pwc.com</v>
      </c>
      <c r="P302" s="3" t="str">
        <f>IFERROR(__xludf.DUMMYFUNCTION("""COMPUTED_VALUE"""),"FY21 2nd Half")</f>
        <v>FY21 2nd Half</v>
      </c>
      <c r="Q302" s="3" t="b">
        <f>IFERROR(__xludf.DUMMYFUNCTION("""COMPUTED_VALUE"""),FALSE)</f>
        <v>0</v>
      </c>
      <c r="R302" s="3"/>
      <c r="S302" s="3"/>
      <c r="T302" s="3" t="b">
        <f>IFERROR(__xludf.DUMMYFUNCTION("""COMPUTED_VALUE"""),FALSE)</f>
        <v>0</v>
      </c>
      <c r="U302" s="3" t="b">
        <f>IFERROR(__xludf.DUMMYFUNCTION("""COMPUTED_VALUE"""),TRUE)</f>
        <v>1</v>
      </c>
      <c r="V302" s="3" t="b">
        <f>IFERROR(__xludf.DUMMYFUNCTION("""COMPUTED_VALUE"""),FALSE)</f>
        <v>0</v>
      </c>
      <c r="W302" s="3" t="str">
        <f>IFERROR(__xludf.DUMMYFUNCTION("""COMPUTED_VALUE"""),"Catalyst")</f>
        <v>Catalyst</v>
      </c>
      <c r="X302" s="3"/>
      <c r="Y302" s="3" t="str">
        <f>IFERROR(__xludf.DUMMYFUNCTION("""COMPUTED_VALUE"""),"FY21 2nd Half")</f>
        <v>FY21 2nd Half</v>
      </c>
      <c r="Z302" s="3" t="str">
        <f>IFERROR(__xludf.DUMMYFUNCTION("""COMPUTED_VALUE"""),"Provider Transformation")</f>
        <v>Provider Transformation</v>
      </c>
      <c r="AA302" s="3" t="b">
        <f>IFERROR(__xludf.DUMMYFUNCTION("""COMPUTED_VALUE"""),FALSE)</f>
        <v>0</v>
      </c>
    </row>
    <row r="303">
      <c r="A303" s="11">
        <f>IFERROR(__xludf.DUMMYFUNCTION("""COMPUTED_VALUE"""),1.00645763E8)</f>
        <v>100645763</v>
      </c>
      <c r="B303" s="3" t="str">
        <f>IFERROR(__xludf.DUMMYFUNCTION("""COMPUTED_VALUE"""),"Jim Dell")</f>
        <v>Jim Dell</v>
      </c>
      <c r="C303" s="3" t="str">
        <f>IFERROR(__xludf.DUMMYFUNCTION("""COMPUTED_VALUE"""),"Jim  Dell")</f>
        <v>Jim  Dell</v>
      </c>
      <c r="D303" s="3" t="str">
        <f>IFERROR(__xludf.DUMMYFUNCTION("""COMPUTED_VALUE"""),"Dell, Jim")</f>
        <v>Dell, Jim</v>
      </c>
      <c r="E303" s="3" t="str">
        <f>IFERROR(__xludf.DUMMYFUNCTION("""COMPUTED_VALUE"""),"Active")</f>
        <v>Active</v>
      </c>
      <c r="F303" s="3" t="str">
        <f>IFERROR(__xludf.DUMMYFUNCTION("""COMPUTED_VALUE"""),"jim.dell@pwc.com")</f>
        <v>jim.dell@pwc.com</v>
      </c>
      <c r="G303" s="3" t="str">
        <f>IFERROR(__xludf.DUMMYFUNCTION("""COMPUTED_VALUE"""),"Workforce")</f>
        <v>Workforce</v>
      </c>
      <c r="H303" s="3" t="str">
        <f>IFERROR(__xludf.DUMMYFUNCTION("""COMPUTED_VALUE"""),"TMT X-Sector")</f>
        <v>TMT X-Sector</v>
      </c>
      <c r="I303" s="3" t="str">
        <f>IFERROR(__xludf.DUMMYFUNCTION("""COMPUTED_VALUE"""),"Workforce - Deals")</f>
        <v>Workforce - Deals</v>
      </c>
      <c r="J303" s="3" t="str">
        <f>IFERROR(__xludf.DUMMYFUNCTION("""COMPUTED_VALUE"""),"Partner")</f>
        <v>Partner</v>
      </c>
      <c r="K303" s="12">
        <f>IFERROR(__xludf.DUMMYFUNCTION("""COMPUTED_VALUE"""),40434.0)</f>
        <v>40434</v>
      </c>
      <c r="L303" s="3" t="str">
        <f>IFERROR(__xludf.DUMMYFUNCTION("""COMPUTED_VALUE"""),"San Francisco")</f>
        <v>San Francisco</v>
      </c>
      <c r="M303" s="3" t="str">
        <f>IFERROR(__xludf.DUMMYFUNCTION("""COMPUTED_VALUE"""),"San Francisco - 405 Howard St")</f>
        <v>San Francisco - 405 Howard St</v>
      </c>
      <c r="N303" s="3" t="b">
        <f>IFERROR(__xludf.DUMMYFUNCTION("""COMPUTED_VALUE"""),FALSE)</f>
        <v>0</v>
      </c>
      <c r="O303" s="3" t="str">
        <f>IFERROR(__xludf.DUMMYFUNCTION("""COMPUTED_VALUE"""),"craig.odonnell@pwc.com")</f>
        <v>craig.odonnell@pwc.com</v>
      </c>
      <c r="P303" s="3" t="str">
        <f>IFERROR(__xludf.DUMMYFUNCTION("""COMPUTED_VALUE"""),"No")</f>
        <v>No</v>
      </c>
      <c r="Q303" s="3" t="b">
        <f>IFERROR(__xludf.DUMMYFUNCTION("""COMPUTED_VALUE"""),FALSE)</f>
        <v>0</v>
      </c>
      <c r="R303" s="3"/>
      <c r="S303" s="3"/>
      <c r="T303" s="3" t="b">
        <f>IFERROR(__xludf.DUMMYFUNCTION("""COMPUTED_VALUE"""),FALSE)</f>
        <v>0</v>
      </c>
      <c r="U303" s="3" t="b">
        <f>IFERROR(__xludf.DUMMYFUNCTION("""COMPUTED_VALUE"""),FALSE)</f>
        <v>0</v>
      </c>
      <c r="V303" s="3" t="b">
        <f>IFERROR(__xludf.DUMMYFUNCTION("""COMPUTED_VALUE"""),FALSE)</f>
        <v>0</v>
      </c>
      <c r="W303" s="3" t="str">
        <f>IFERROR(__xludf.DUMMYFUNCTION("""COMPUTED_VALUE"""),"#N/A")</f>
        <v>#N/A</v>
      </c>
      <c r="X303" s="3" t="str">
        <f>IFERROR(__xludf.DUMMYFUNCTION("""COMPUTED_VALUE"""),"#N/A")</f>
        <v>#N/A</v>
      </c>
      <c r="Y303" s="3" t="str">
        <f>IFERROR(__xludf.DUMMYFUNCTION("""COMPUTED_VALUE"""),"#N/A")</f>
        <v>#N/A</v>
      </c>
      <c r="Z303" s="3" t="str">
        <f>IFERROR(__xludf.DUMMYFUNCTION("""COMPUTED_VALUE"""),"Unknown")</f>
        <v>Unknown</v>
      </c>
      <c r="AA303" s="3" t="b">
        <f>IFERROR(__xludf.DUMMYFUNCTION("""COMPUTED_VALUE"""),FALSE)</f>
        <v>0</v>
      </c>
    </row>
    <row r="304">
      <c r="A304" s="11">
        <f>IFERROR(__xludf.DUMMYFUNCTION("""COMPUTED_VALUE"""),1.00658132E8)</f>
        <v>100658132</v>
      </c>
      <c r="B304" s="3" t="str">
        <f>IFERROR(__xludf.DUMMYFUNCTION("""COMPUTED_VALUE"""),"Jim Quick")</f>
        <v>Jim Quick</v>
      </c>
      <c r="C304" s="3" t="str">
        <f>IFERROR(__xludf.DUMMYFUNCTION("""COMPUTED_VALUE"""),"James M Quick")</f>
        <v>James M Quick</v>
      </c>
      <c r="D304" s="3" t="str">
        <f>IFERROR(__xludf.DUMMYFUNCTION("""COMPUTED_VALUE"""),"Quick, James M")</f>
        <v>Quick, James M</v>
      </c>
      <c r="E304" s="3" t="str">
        <f>IFERROR(__xludf.DUMMYFUNCTION("""COMPUTED_VALUE"""),"Active")</f>
        <v>Active</v>
      </c>
      <c r="F304" s="3" t="str">
        <f>IFERROR(__xludf.DUMMYFUNCTION("""COMPUTED_VALUE"""),"james.m.quick@pwc.com")</f>
        <v>james.m.quick@pwc.com</v>
      </c>
      <c r="G304" s="3" t="str">
        <f>IFERROR(__xludf.DUMMYFUNCTION("""COMPUTED_VALUE"""),"FS")</f>
        <v>FS</v>
      </c>
      <c r="H304" s="3" t="str">
        <f>IFERROR(__xludf.DUMMYFUNCTION("""COMPUTED_VALUE"""),"Insurance")</f>
        <v>Insurance</v>
      </c>
      <c r="I304" s="3" t="str">
        <f>IFERROR(__xludf.DUMMYFUNCTION("""COMPUTED_VALUE"""),"FS - Insurance")</f>
        <v>FS - Insurance</v>
      </c>
      <c r="J304" s="3" t="str">
        <f>IFERROR(__xludf.DUMMYFUNCTION("""COMPUTED_VALUE"""),"Partner")</f>
        <v>Partner</v>
      </c>
      <c r="K304" s="12">
        <f>IFERROR(__xludf.DUMMYFUNCTION("""COMPUTED_VALUE"""),40485.0)</f>
        <v>40485</v>
      </c>
      <c r="L304" s="3" t="str">
        <f>IFERROR(__xludf.DUMMYFUNCTION("""COMPUTED_VALUE"""),"Chicago")</f>
        <v>Chicago</v>
      </c>
      <c r="M304" s="3" t="str">
        <f>IFERROR(__xludf.DUMMYFUNCTION("""COMPUTED_VALUE"""),"Chicago - One North Wacker Drive")</f>
        <v>Chicago - One North Wacker Drive</v>
      </c>
      <c r="N304" s="3" t="b">
        <f>IFERROR(__xludf.DUMMYFUNCTION("""COMPUTED_VALUE"""),FALSE)</f>
        <v>0</v>
      </c>
      <c r="O304" s="3" t="str">
        <f>IFERROR(__xludf.DUMMYFUNCTION("""COMPUTED_VALUE"""),"alison.hoover@pwc.com")</f>
        <v>alison.hoover@pwc.com</v>
      </c>
      <c r="P304" s="3" t="str">
        <f>IFERROR(__xludf.DUMMYFUNCTION("""COMPUTED_VALUE"""),"No")</f>
        <v>No</v>
      </c>
      <c r="Q304" s="3" t="b">
        <f>IFERROR(__xludf.DUMMYFUNCTION("""COMPUTED_VALUE"""),TRUE)</f>
        <v>1</v>
      </c>
      <c r="R304" s="3" t="str">
        <f>IFERROR(__xludf.DUMMYFUNCTION("""COMPUTED_VALUE"""),"LCP High")</f>
        <v>LCP High</v>
      </c>
      <c r="S304" s="3"/>
      <c r="T304" s="3" t="b">
        <f>IFERROR(__xludf.DUMMYFUNCTION("""COMPUTED_VALUE"""),FALSE)</f>
        <v>0</v>
      </c>
      <c r="U304" s="3" t="b">
        <f>IFERROR(__xludf.DUMMYFUNCTION("""COMPUTED_VALUE"""),FALSE)</f>
        <v>0</v>
      </c>
      <c r="V304" s="3" t="b">
        <f>IFERROR(__xludf.DUMMYFUNCTION("""COMPUTED_VALUE"""),FALSE)</f>
        <v>0</v>
      </c>
      <c r="W304" s="3" t="str">
        <f>IFERROR(__xludf.DUMMYFUNCTION("""COMPUTED_VALUE"""),"LCP")</f>
        <v>LCP</v>
      </c>
      <c r="X304" s="3"/>
      <c r="Y304" s="3" t="str">
        <f>IFERROR(__xludf.DUMMYFUNCTION("""COMPUTED_VALUE"""),"GEP - High")</f>
        <v>GEP - High</v>
      </c>
      <c r="Z304" s="3" t="str">
        <f>IFERROR(__xludf.DUMMYFUNCTION("""COMPUTED_VALUE"""),"Insurance Transformation")</f>
        <v>Insurance Transformation</v>
      </c>
      <c r="AA304" s="3" t="b">
        <f>IFERROR(__xludf.DUMMYFUNCTION("""COMPUTED_VALUE"""),TRUE)</f>
        <v>1</v>
      </c>
    </row>
    <row r="305">
      <c r="A305" s="11">
        <f>IFERROR(__xludf.DUMMYFUNCTION("""COMPUTED_VALUE"""),1.00623111E8)</f>
        <v>100623111</v>
      </c>
      <c r="B305" s="3" t="str">
        <f>IFERROR(__xludf.DUMMYFUNCTION("""COMPUTED_VALUE"""),"Jim Russell")</f>
        <v>Jim Russell</v>
      </c>
      <c r="C305" s="3" t="str">
        <f>IFERROR(__xludf.DUMMYFUNCTION("""COMPUTED_VALUE"""),"James S Russell")</f>
        <v>James S Russell</v>
      </c>
      <c r="D305" s="3" t="str">
        <f>IFERROR(__xludf.DUMMYFUNCTION("""COMPUTED_VALUE"""),"Russell, James S")</f>
        <v>Russell, James S</v>
      </c>
      <c r="E305" s="3" t="str">
        <f>IFERROR(__xludf.DUMMYFUNCTION("""COMPUTED_VALUE"""),"Active")</f>
        <v>Active</v>
      </c>
      <c r="F305" s="3" t="str">
        <f>IFERROR(__xludf.DUMMYFUNCTION("""COMPUTED_VALUE"""),"james.s.russell@pwc.com")</f>
        <v>james.s.russell@pwc.com</v>
      </c>
      <c r="G305" s="3" t="str">
        <f>IFERROR(__xludf.DUMMYFUNCTION("""COMPUTED_VALUE"""),"FS")</f>
        <v>FS</v>
      </c>
      <c r="H305" s="3" t="str">
        <f>IFERROR(__xludf.DUMMYFUNCTION("""COMPUTED_VALUE"""),"Banking and Capital Markets")</f>
        <v>Banking and Capital Markets</v>
      </c>
      <c r="I305" s="3" t="str">
        <f>IFERROR(__xludf.DUMMYFUNCTION("""COMPUTED_VALUE"""),"FS - Banking and Capital Markets")</f>
        <v>FS - Banking and Capital Markets</v>
      </c>
      <c r="J305" s="3" t="str">
        <f>IFERROR(__xludf.DUMMYFUNCTION("""COMPUTED_VALUE"""),"Partner")</f>
        <v>Partner</v>
      </c>
      <c r="K305" s="12">
        <f>IFERROR(__xludf.DUMMYFUNCTION("""COMPUTED_VALUE"""),38803.0)</f>
        <v>38803</v>
      </c>
      <c r="L305" s="3" t="str">
        <f>IFERROR(__xludf.DUMMYFUNCTION("""COMPUTED_VALUE"""),"New York")</f>
        <v>New York</v>
      </c>
      <c r="M305" s="3" t="str">
        <f>IFERROR(__xludf.DUMMYFUNCTION("""COMPUTED_VALUE"""),"New York - 300 Madison Avenue")</f>
        <v>New York - 300 Madison Avenue</v>
      </c>
      <c r="N305" s="3" t="b">
        <f>IFERROR(__xludf.DUMMYFUNCTION("""COMPUTED_VALUE"""),FALSE)</f>
        <v>0</v>
      </c>
      <c r="O305" s="3" t="str">
        <f>IFERROR(__xludf.DUMMYFUNCTION("""COMPUTED_VALUE"""),"alison.hoover@pwc.com")</f>
        <v>alison.hoover@pwc.com</v>
      </c>
      <c r="P305" s="3" t="str">
        <f>IFERROR(__xludf.DUMMYFUNCTION("""COMPUTED_VALUE"""),"No")</f>
        <v>No</v>
      </c>
      <c r="Q305" s="3" t="b">
        <f>IFERROR(__xludf.DUMMYFUNCTION("""COMPUTED_VALUE"""),TRUE)</f>
        <v>1</v>
      </c>
      <c r="R305" s="3" t="str">
        <f>IFERROR(__xludf.DUMMYFUNCTION("""COMPUTED_VALUE"""),"LCP Low")</f>
        <v>LCP Low</v>
      </c>
      <c r="S305" s="3"/>
      <c r="T305" s="3" t="b">
        <f>IFERROR(__xludf.DUMMYFUNCTION("""COMPUTED_VALUE"""),FALSE)</f>
        <v>0</v>
      </c>
      <c r="U305" s="3" t="b">
        <f>IFERROR(__xludf.DUMMYFUNCTION("""COMPUTED_VALUE"""),FALSE)</f>
        <v>0</v>
      </c>
      <c r="V305" s="3" t="b">
        <f>IFERROR(__xludf.DUMMYFUNCTION("""COMPUTED_VALUE"""),FALSE)</f>
        <v>0</v>
      </c>
      <c r="W305" s="3" t="str">
        <f>IFERROR(__xludf.DUMMYFUNCTION("""COMPUTED_VALUE"""),"LCP")</f>
        <v>LCP</v>
      </c>
      <c r="X305" s="3"/>
      <c r="Y305" s="3" t="str">
        <f>IFERROR(__xludf.DUMMYFUNCTION("""COMPUTED_VALUE"""),"GEP - Low")</f>
        <v>GEP - Low</v>
      </c>
      <c r="Z305" s="3" t="str">
        <f>IFERROR(__xludf.DUMMYFUNCTION("""COMPUTED_VALUE"""),"Banking Transformation")</f>
        <v>Banking Transformation</v>
      </c>
      <c r="AA305" s="3" t="b">
        <f>IFERROR(__xludf.DUMMYFUNCTION("""COMPUTED_VALUE"""),FALSE)</f>
        <v>0</v>
      </c>
    </row>
    <row r="306">
      <c r="A306" s="11">
        <f>IFERROR(__xludf.DUMMYFUNCTION("""COMPUTED_VALUE"""),1.0058537E8)</f>
        <v>100585370</v>
      </c>
      <c r="B306" s="3" t="str">
        <f>IFERROR(__xludf.DUMMYFUNCTION("""COMPUTED_VALUE"""),"Jimmy Boyle")</f>
        <v>Jimmy Boyle</v>
      </c>
      <c r="C306" s="3" t="str">
        <f>IFERROR(__xludf.DUMMYFUNCTION("""COMPUTED_VALUE"""),"James J  Boyle")</f>
        <v>James J  Boyle</v>
      </c>
      <c r="D306" s="3" t="str">
        <f>IFERROR(__xludf.DUMMYFUNCTION("""COMPUTED_VALUE"""),"Boyle, James J")</f>
        <v>Boyle, James J</v>
      </c>
      <c r="E306" s="3" t="str">
        <f>IFERROR(__xludf.DUMMYFUNCTION("""COMPUTED_VALUE"""),"Active")</f>
        <v>Active</v>
      </c>
      <c r="F306" s="3" t="str">
        <f>IFERROR(__xludf.DUMMYFUNCTION("""COMPUTED_VALUE"""),"james.j.boyle@pwc.com")</f>
        <v>james.j.boyle@pwc.com</v>
      </c>
      <c r="G306" s="3" t="str">
        <f>IFERROR(__xludf.DUMMYFUNCTION("""COMPUTED_VALUE"""),"Customer")</f>
        <v>Customer</v>
      </c>
      <c r="H306" s="3" t="str">
        <f>IFERROR(__xludf.DUMMYFUNCTION("""COMPUTED_VALUE"""),"Pharma and Life Sciences")</f>
        <v>Pharma and Life Sciences</v>
      </c>
      <c r="I306" s="3" t="str">
        <f>IFERROR(__xludf.DUMMYFUNCTION("""COMPUTED_VALUE"""),"Customer - Customer Strategy &amp; Experience")</f>
        <v>Customer - Customer Strategy &amp; Experience</v>
      </c>
      <c r="J306" s="3" t="str">
        <f>IFERROR(__xludf.DUMMYFUNCTION("""COMPUTED_VALUE"""),"Partner")</f>
        <v>Partner</v>
      </c>
      <c r="K306" s="12">
        <f>IFERROR(__xludf.DUMMYFUNCTION("""COMPUTED_VALUE"""),39104.0)</f>
        <v>39104</v>
      </c>
      <c r="L306" s="3" t="str">
        <f>IFERROR(__xludf.DUMMYFUNCTION("""COMPUTED_VALUE"""),"San Francisco")</f>
        <v>San Francisco</v>
      </c>
      <c r="M306" s="3" t="str">
        <f>IFERROR(__xludf.DUMMYFUNCTION("""COMPUTED_VALUE"""),"San Francisco - 405 Howard St")</f>
        <v>San Francisco - 405 Howard St</v>
      </c>
      <c r="N306" s="3" t="b">
        <f>IFERROR(__xludf.DUMMYFUNCTION("""COMPUTED_VALUE"""),FALSE)</f>
        <v>0</v>
      </c>
      <c r="O306" s="3" t="str">
        <f>IFERROR(__xludf.DUMMYFUNCTION("""COMPUTED_VALUE"""),"george.korizis@pwc.com")</f>
        <v>george.korizis@pwc.com</v>
      </c>
      <c r="P306" s="3" t="str">
        <f>IFERROR(__xludf.DUMMYFUNCTION("""COMPUTED_VALUE"""),"No")</f>
        <v>No</v>
      </c>
      <c r="Q306" s="3" t="b">
        <f>IFERROR(__xludf.DUMMYFUNCTION("""COMPUTED_VALUE"""),TRUE)</f>
        <v>1</v>
      </c>
      <c r="R306" s="3" t="str">
        <f>IFERROR(__xludf.DUMMYFUNCTION("""COMPUTED_VALUE"""),"LCP Low")</f>
        <v>LCP Low</v>
      </c>
      <c r="S306" s="3" t="str">
        <f>IFERROR(__xludf.DUMMYFUNCTION("""COMPUTED_VALUE"""),"Lever Champions")</f>
        <v>Lever Champions</v>
      </c>
      <c r="T306" s="3" t="b">
        <f>IFERROR(__xludf.DUMMYFUNCTION("""COMPUTED_VALUE"""),FALSE)</f>
        <v>0</v>
      </c>
      <c r="U306" s="3" t="b">
        <f>IFERROR(__xludf.DUMMYFUNCTION("""COMPUTED_VALUE"""),FALSE)</f>
        <v>0</v>
      </c>
      <c r="V306" s="3" t="b">
        <f>IFERROR(__xludf.DUMMYFUNCTION("""COMPUTED_VALUE"""),FALSE)</f>
        <v>0</v>
      </c>
      <c r="W306" s="3" t="str">
        <f>IFERROR(__xludf.DUMMYFUNCTION("""COMPUTED_VALUE"""),"LCP")</f>
        <v>LCP</v>
      </c>
      <c r="X306" s="3"/>
      <c r="Y306" s="3" t="str">
        <f>IFERROR(__xludf.DUMMYFUNCTION("""COMPUTED_VALUE"""),"GEP - Low")</f>
        <v>GEP - Low</v>
      </c>
      <c r="Z306" s="3" t="str">
        <f>IFERROR(__xludf.DUMMYFUNCTION("""COMPUTED_VALUE"""),"Commercial / CRM Transformation - CM &amp; IPS &amp; HIA")</f>
        <v>Commercial / CRM Transformation - CM &amp; IPS &amp; HIA</v>
      </c>
      <c r="AA306" s="3" t="b">
        <f>IFERROR(__xludf.DUMMYFUNCTION("""COMPUTED_VALUE"""),FALSE)</f>
        <v>0</v>
      </c>
    </row>
    <row r="307">
      <c r="A307" s="11">
        <f>IFERROR(__xludf.DUMMYFUNCTION("""COMPUTED_VALUE"""),1.00605001E8)</f>
        <v>100605001</v>
      </c>
      <c r="B307" s="3" t="str">
        <f>IFERROR(__xludf.DUMMYFUNCTION("""COMPUTED_VALUE"""),"Jinn Lin (On Leave)")</f>
        <v>Jinn Lin (On Leave)</v>
      </c>
      <c r="C307" s="3" t="str">
        <f>IFERROR(__xludf.DUMMYFUNCTION("""COMPUTED_VALUE"""),"Jinn-Feng  Lin")</f>
        <v>Jinn-Feng  Lin</v>
      </c>
      <c r="D307" s="3" t="str">
        <f>IFERROR(__xludf.DUMMYFUNCTION("""COMPUTED_VALUE"""),"Lin, Jinn-Feng")</f>
        <v>Lin, Jinn-Feng</v>
      </c>
      <c r="E307" s="3" t="str">
        <f>IFERROR(__xludf.DUMMYFUNCTION("""COMPUTED_VALUE"""),"Disability Leave")</f>
        <v>Disability Leave</v>
      </c>
      <c r="F307" s="3" t="str">
        <f>IFERROR(__xludf.DUMMYFUNCTION("""COMPUTED_VALUE"""),"jinn-feng.lin@pwc.com")</f>
        <v>jinn-feng.lin@pwc.com</v>
      </c>
      <c r="G307" s="3" t="str">
        <f>IFERROR(__xludf.DUMMYFUNCTION("""COMPUTED_VALUE"""),"Workforce")</f>
        <v>Workforce</v>
      </c>
      <c r="H307" s="3" t="str">
        <f>IFERROR(__xludf.DUMMYFUNCTION("""COMPUTED_VALUE"""),"HI X-Sector")</f>
        <v>HI X-Sector</v>
      </c>
      <c r="I307" s="3" t="str">
        <f>IFERROR(__xludf.DUMMYFUNCTION("""COMPUTED_VALUE"""),"Workforce - Rewards &amp; Well Being")</f>
        <v>Workforce - Rewards &amp; Well Being</v>
      </c>
      <c r="J307" s="3" t="str">
        <f>IFERROR(__xludf.DUMMYFUNCTION("""COMPUTED_VALUE"""),"Partner (On Leave)")</f>
        <v>Partner (On Leave)</v>
      </c>
      <c r="K307" s="12">
        <f>IFERROR(__xludf.DUMMYFUNCTION("""COMPUTED_VALUE"""),36787.0)</f>
        <v>36787</v>
      </c>
      <c r="L307" s="3" t="str">
        <f>IFERROR(__xludf.DUMMYFUNCTION("""COMPUTED_VALUE"""),"Chicago")</f>
        <v>Chicago</v>
      </c>
      <c r="M307" s="3" t="str">
        <f>IFERROR(__xludf.DUMMYFUNCTION("""COMPUTED_VALUE"""),"Chicago - One North Wacker Drive")</f>
        <v>Chicago - One North Wacker Drive</v>
      </c>
      <c r="N307" s="3" t="b">
        <f>IFERROR(__xludf.DUMMYFUNCTION("""COMPUTED_VALUE"""),FALSE)</f>
        <v>0</v>
      </c>
      <c r="O307" s="3" t="str">
        <f>IFERROR(__xludf.DUMMYFUNCTION("""COMPUTED_VALUE"""),"craig.odonnell@pwc.com")</f>
        <v>craig.odonnell@pwc.com</v>
      </c>
      <c r="P307" s="3" t="str">
        <f>IFERROR(__xludf.DUMMYFUNCTION("""COMPUTED_VALUE"""),"No")</f>
        <v>No</v>
      </c>
      <c r="Q307" s="3" t="b">
        <f>IFERROR(__xludf.DUMMYFUNCTION("""COMPUTED_VALUE"""),FALSE)</f>
        <v>0</v>
      </c>
      <c r="R307" s="3"/>
      <c r="S307" s="3"/>
      <c r="T307" s="3" t="b">
        <f>IFERROR(__xludf.DUMMYFUNCTION("""COMPUTED_VALUE"""),FALSE)</f>
        <v>0</v>
      </c>
      <c r="U307" s="3" t="b">
        <f>IFERROR(__xludf.DUMMYFUNCTION("""COMPUTED_VALUE"""),FALSE)</f>
        <v>0</v>
      </c>
      <c r="V307" s="3" t="b">
        <f>IFERROR(__xludf.DUMMYFUNCTION("""COMPUTED_VALUE"""),FALSE)</f>
        <v>0</v>
      </c>
      <c r="W307" s="3" t="str">
        <f>IFERROR(__xludf.DUMMYFUNCTION("""COMPUTED_VALUE"""),"#N/A")</f>
        <v>#N/A</v>
      </c>
      <c r="X307" s="3" t="str">
        <f>IFERROR(__xludf.DUMMYFUNCTION("""COMPUTED_VALUE"""),"#N/A")</f>
        <v>#N/A</v>
      </c>
      <c r="Y307" s="3" t="str">
        <f>IFERROR(__xludf.DUMMYFUNCTION("""COMPUTED_VALUE"""),"#N/A")</f>
        <v>#N/A</v>
      </c>
      <c r="Z307" s="3" t="str">
        <f>IFERROR(__xludf.DUMMYFUNCTION("""COMPUTED_VALUE"""),"Unknown")</f>
        <v>Unknown</v>
      </c>
      <c r="AA307" s="3" t="b">
        <f>IFERROR(__xludf.DUMMYFUNCTION("""COMPUTED_VALUE"""),FALSE)</f>
        <v>0</v>
      </c>
    </row>
    <row r="308">
      <c r="A308" s="11">
        <f>IFERROR(__xludf.DUMMYFUNCTION("""COMPUTED_VALUE"""),1.00619765E8)</f>
        <v>100619765</v>
      </c>
      <c r="B308" s="3" t="str">
        <f>IFERROR(__xludf.DUMMYFUNCTION("""COMPUTED_VALUE"""),"Joe Henderson")</f>
        <v>Joe Henderson</v>
      </c>
      <c r="C308" s="3" t="str">
        <f>IFERROR(__xludf.DUMMYFUNCTION("""COMPUTED_VALUE"""),"William Joe Henderson")</f>
        <v>William Joe Henderson</v>
      </c>
      <c r="D308" s="3" t="str">
        <f>IFERROR(__xludf.DUMMYFUNCTION("""COMPUTED_VALUE"""),"Henderson, William Joe")</f>
        <v>Henderson, William Joe</v>
      </c>
      <c r="E308" s="3" t="str">
        <f>IFERROR(__xludf.DUMMYFUNCTION("""COMPUTED_VALUE"""),"Active")</f>
        <v>Active</v>
      </c>
      <c r="F308" s="3" t="str">
        <f>IFERROR(__xludf.DUMMYFUNCTION("""COMPUTED_VALUE"""),"joe.henderson@pwc.com")</f>
        <v>joe.henderson@pwc.com</v>
      </c>
      <c r="G308" s="3" t="str">
        <f>IFERROR(__xludf.DUMMYFUNCTION("""COMPUTED_VALUE"""),"Workforce")</f>
        <v>Workforce</v>
      </c>
      <c r="H308" s="3" t="str">
        <f>IFERROR(__xludf.DUMMYFUNCTION("""COMPUTED_VALUE"""),"Manufacturing")</f>
        <v>Manufacturing</v>
      </c>
      <c r="I308" s="3" t="str">
        <f>IFERROR(__xludf.DUMMYFUNCTION("""COMPUTED_VALUE"""),"Workforce - HRT")</f>
        <v>Workforce - HRT</v>
      </c>
      <c r="J308" s="3" t="str">
        <f>IFERROR(__xludf.DUMMYFUNCTION("""COMPUTED_VALUE"""),"Managing Director")</f>
        <v>Managing Director</v>
      </c>
      <c r="K308" s="12">
        <f>IFERROR(__xludf.DUMMYFUNCTION("""COMPUTED_VALUE"""),41687.0)</f>
        <v>41687</v>
      </c>
      <c r="L308" s="3" t="str">
        <f>IFERROR(__xludf.DUMMYFUNCTION("""COMPUTED_VALUE"""),"Atlanta")</f>
        <v>Atlanta</v>
      </c>
      <c r="M308" s="3" t="str">
        <f>IFERROR(__xludf.DUMMYFUNCTION("""COMPUTED_VALUE"""),"Atlanta - 1075 Peachtree Street NE")</f>
        <v>Atlanta - 1075 Peachtree Street NE</v>
      </c>
      <c r="N308" s="3" t="b">
        <f>IFERROR(__xludf.DUMMYFUNCTION("""COMPUTED_VALUE"""),FALSE)</f>
        <v>0</v>
      </c>
      <c r="O308" s="3" t="str">
        <f>IFERROR(__xludf.DUMMYFUNCTION("""COMPUTED_VALUE"""),"david.eberhardt@pwc.com")</f>
        <v>david.eberhardt@pwc.com</v>
      </c>
      <c r="P308" s="3" t="str">
        <f>IFERROR(__xludf.DUMMYFUNCTION("""COMPUTED_VALUE"""),"No")</f>
        <v>No</v>
      </c>
      <c r="Q308" s="3" t="b">
        <f>IFERROR(__xludf.DUMMYFUNCTION("""COMPUTED_VALUE"""),FALSE)</f>
        <v>0</v>
      </c>
      <c r="R308" s="3"/>
      <c r="S308" s="3"/>
      <c r="T308" s="3" t="b">
        <f>IFERROR(__xludf.DUMMYFUNCTION("""COMPUTED_VALUE"""),FALSE)</f>
        <v>0</v>
      </c>
      <c r="U308" s="3" t="b">
        <f>IFERROR(__xludf.DUMMYFUNCTION("""COMPUTED_VALUE"""),FALSE)</f>
        <v>0</v>
      </c>
      <c r="V308" s="3" t="b">
        <f>IFERROR(__xludf.DUMMYFUNCTION("""COMPUTED_VALUE"""),FALSE)</f>
        <v>0</v>
      </c>
      <c r="W308" s="3" t="str">
        <f>IFERROR(__xludf.DUMMYFUNCTION("""COMPUTED_VALUE"""),"#N/A")</f>
        <v>#N/A</v>
      </c>
      <c r="X308" s="3" t="str">
        <f>IFERROR(__xludf.DUMMYFUNCTION("""COMPUTED_VALUE"""),"#N/A")</f>
        <v>#N/A</v>
      </c>
      <c r="Y308" s="3" t="str">
        <f>IFERROR(__xludf.DUMMYFUNCTION("""COMPUTED_VALUE"""),"#N/A")</f>
        <v>#N/A</v>
      </c>
      <c r="Z308" s="3" t="str">
        <f>IFERROR(__xludf.DUMMYFUNCTION("""COMPUTED_VALUE"""),"Unknown")</f>
        <v>Unknown</v>
      </c>
      <c r="AA308" s="3" t="b">
        <f>IFERROR(__xludf.DUMMYFUNCTION("""COMPUTED_VALUE"""),FALSE)</f>
        <v>0</v>
      </c>
    </row>
    <row r="309">
      <c r="A309" s="11">
        <f>IFERROR(__xludf.DUMMYFUNCTION("""COMPUTED_VALUE"""),1.00609226E8)</f>
        <v>100609226</v>
      </c>
      <c r="B309" s="3" t="str">
        <f>IFERROR(__xludf.DUMMYFUNCTION("""COMPUTED_VALUE"""),"Joe Lo")</f>
        <v>Joe Lo</v>
      </c>
      <c r="C309" s="3" t="str">
        <f>IFERROR(__xludf.DUMMYFUNCTION("""COMPUTED_VALUE"""),"Joseph K Lo")</f>
        <v>Joseph K Lo</v>
      </c>
      <c r="D309" s="3" t="str">
        <f>IFERROR(__xludf.DUMMYFUNCTION("""COMPUTED_VALUE"""),"Lo, Joseph K")</f>
        <v>Lo, Joseph K</v>
      </c>
      <c r="E309" s="3" t="str">
        <f>IFERROR(__xludf.DUMMYFUNCTION("""COMPUTED_VALUE"""),"Active")</f>
        <v>Active</v>
      </c>
      <c r="F309" s="3" t="str">
        <f>IFERROR(__xludf.DUMMYFUNCTION("""COMPUTED_VALUE"""),"joe.lo@pwc.com")</f>
        <v>joe.lo@pwc.com</v>
      </c>
      <c r="G309" s="3" t="str">
        <f>IFERROR(__xludf.DUMMYFUNCTION("""COMPUTED_VALUE"""),"Customer")</f>
        <v>Customer</v>
      </c>
      <c r="H309" s="3" t="str">
        <f>IFERROR(__xludf.DUMMYFUNCTION("""COMPUTED_VALUE"""),"TMT X-Sector")</f>
        <v>TMT X-Sector</v>
      </c>
      <c r="I309" s="3" t="str">
        <f>IFERROR(__xludf.DUMMYFUNCTION("""COMPUTED_VALUE"""),"Customer - Pricing &amp; Profitability")</f>
        <v>Customer - Pricing &amp; Profitability</v>
      </c>
      <c r="J309" s="3" t="str">
        <f>IFERROR(__xludf.DUMMYFUNCTION("""COMPUTED_VALUE"""),"Partner")</f>
        <v>Partner</v>
      </c>
      <c r="K309" s="12">
        <f>IFERROR(__xludf.DUMMYFUNCTION("""COMPUTED_VALUE"""),40777.0)</f>
        <v>40777</v>
      </c>
      <c r="L309" s="3" t="str">
        <f>IFERROR(__xludf.DUMMYFUNCTION("""COMPUTED_VALUE"""),"San Jose")</f>
        <v>San Jose</v>
      </c>
      <c r="M309" s="3" t="str">
        <f>IFERROR(__xludf.DUMMYFUNCTION("""COMPUTED_VALUE"""),"San Jose - 488 Almaden Boulevard")</f>
        <v>San Jose - 488 Almaden Boulevard</v>
      </c>
      <c r="N309" s="3" t="b">
        <f>IFERROR(__xludf.DUMMYFUNCTION("""COMPUTED_VALUE"""),FALSE)</f>
        <v>0</v>
      </c>
      <c r="O309" s="3" t="str">
        <f>IFERROR(__xludf.DUMMYFUNCTION("""COMPUTED_VALUE"""),"george.korizis@pwc.com")</f>
        <v>george.korizis@pwc.com</v>
      </c>
      <c r="P309" s="3" t="str">
        <f>IFERROR(__xludf.DUMMYFUNCTION("""COMPUTED_VALUE"""),"No")</f>
        <v>No</v>
      </c>
      <c r="Q309" s="3" t="b">
        <f>IFERROR(__xludf.DUMMYFUNCTION("""COMPUTED_VALUE"""),TRUE)</f>
        <v>1</v>
      </c>
      <c r="R309" s="3" t="str">
        <f>IFERROR(__xludf.DUMMYFUNCTION("""COMPUTED_VALUE"""),"LCP Low")</f>
        <v>LCP Low</v>
      </c>
      <c r="S309" s="3"/>
      <c r="T309" s="3" t="b">
        <f>IFERROR(__xludf.DUMMYFUNCTION("""COMPUTED_VALUE"""),FALSE)</f>
        <v>0</v>
      </c>
      <c r="U309" s="3" t="b">
        <f>IFERROR(__xludf.DUMMYFUNCTION("""COMPUTED_VALUE"""),FALSE)</f>
        <v>0</v>
      </c>
      <c r="V309" s="3" t="b">
        <f>IFERROR(__xludf.DUMMYFUNCTION("""COMPUTED_VALUE"""),FALSE)</f>
        <v>0</v>
      </c>
      <c r="W309" s="3" t="str">
        <f>IFERROR(__xludf.DUMMYFUNCTION("""COMPUTED_VALUE"""),"LCP")</f>
        <v>LCP</v>
      </c>
      <c r="X309" s="3" t="str">
        <f>IFERROR(__xludf.DUMMYFUNCTION("""COMPUTED_VALUE"""),"Investment")</f>
        <v>Investment</v>
      </c>
      <c r="Y309" s="3" t="str">
        <f>IFERROR(__xludf.DUMMYFUNCTION("""COMPUTED_VALUE"""),"GEP - Low")</f>
        <v>GEP - Low</v>
      </c>
      <c r="Z309" s="3" t="str">
        <f>IFERROR(__xludf.DUMMYFUNCTION("""COMPUTED_VALUE"""),"Commercial / CRM Transformation - FS &amp; TMT")</f>
        <v>Commercial / CRM Transformation - FS &amp; TMT</v>
      </c>
      <c r="AA309" s="3" t="b">
        <f>IFERROR(__xludf.DUMMYFUNCTION("""COMPUTED_VALUE"""),FALSE)</f>
        <v>0</v>
      </c>
    </row>
    <row r="310">
      <c r="A310" s="11">
        <f>IFERROR(__xludf.DUMMYFUNCTION("""COMPUTED_VALUE"""),1.00612715E8)</f>
        <v>100612715</v>
      </c>
      <c r="B310" s="3" t="str">
        <f>IFERROR(__xludf.DUMMYFUNCTION("""COMPUTED_VALUE"""),"Joe Palladino")</f>
        <v>Joe Palladino</v>
      </c>
      <c r="C310" s="3" t="str">
        <f>IFERROR(__xludf.DUMMYFUNCTION("""COMPUTED_VALUE"""),"Joseph T Palladino")</f>
        <v>Joseph T Palladino</v>
      </c>
      <c r="D310" s="3" t="str">
        <f>IFERROR(__xludf.DUMMYFUNCTION("""COMPUTED_VALUE"""),"Palladino, Joseph T")</f>
        <v>Palladino, Joseph T</v>
      </c>
      <c r="E310" s="3" t="str">
        <f>IFERROR(__xludf.DUMMYFUNCTION("""COMPUTED_VALUE"""),"Active")</f>
        <v>Active</v>
      </c>
      <c r="F310" s="3" t="str">
        <f>IFERROR(__xludf.DUMMYFUNCTION("""COMPUTED_VALUE"""),"joseph.t.palladino@pwc.com")</f>
        <v>joseph.t.palladino@pwc.com</v>
      </c>
      <c r="G310" s="3" t="str">
        <f>IFERROR(__xludf.DUMMYFUNCTION("""COMPUTED_VALUE"""),"Customer")</f>
        <v>Customer</v>
      </c>
      <c r="H310" s="3" t="str">
        <f>IFERROR(__xludf.DUMMYFUNCTION("""COMPUTED_VALUE"""),"TMT X-Sector")</f>
        <v>TMT X-Sector</v>
      </c>
      <c r="I310" s="3" t="str">
        <f>IFERROR(__xludf.DUMMYFUNCTION("""COMPUTED_VALUE"""),"Customer - Sales")</f>
        <v>Customer - Sales</v>
      </c>
      <c r="J310" s="3" t="str">
        <f>IFERROR(__xludf.DUMMYFUNCTION("""COMPUTED_VALUE"""),"Partner")</f>
        <v>Partner</v>
      </c>
      <c r="K310" s="12">
        <f>IFERROR(__xludf.DUMMYFUNCTION("""COMPUTED_VALUE"""),38207.0)</f>
        <v>38207</v>
      </c>
      <c r="L310" s="3" t="str">
        <f>IFERROR(__xludf.DUMMYFUNCTION("""COMPUTED_VALUE"""),"Philadelphia")</f>
        <v>Philadelphia</v>
      </c>
      <c r="M310" s="3" t="str">
        <f>IFERROR(__xludf.DUMMYFUNCTION("""COMPUTED_VALUE"""),"Philadelphia - Two Commerce Square, Suite 1800")</f>
        <v>Philadelphia - Two Commerce Square, Suite 1800</v>
      </c>
      <c r="N310" s="3" t="b">
        <f>IFERROR(__xludf.DUMMYFUNCTION("""COMPUTED_VALUE"""),FALSE)</f>
        <v>0</v>
      </c>
      <c r="O310" s="3" t="str">
        <f>IFERROR(__xludf.DUMMYFUNCTION("""COMPUTED_VALUE"""),"george.korizis@pwc.com")</f>
        <v>george.korizis@pwc.com</v>
      </c>
      <c r="P310" s="3" t="str">
        <f>IFERROR(__xludf.DUMMYFUNCTION("""COMPUTED_VALUE"""),"No")</f>
        <v>No</v>
      </c>
      <c r="Q310" s="3" t="b">
        <f>IFERROR(__xludf.DUMMYFUNCTION("""COMPUTED_VALUE"""),TRUE)</f>
        <v>1</v>
      </c>
      <c r="R310" s="3" t="str">
        <f>IFERROR(__xludf.DUMMYFUNCTION("""COMPUTED_VALUE"""),"LCP High")</f>
        <v>LCP High</v>
      </c>
      <c r="S310" s="3"/>
      <c r="T310" s="3" t="b">
        <f>IFERROR(__xludf.DUMMYFUNCTION("""COMPUTED_VALUE"""),FALSE)</f>
        <v>0</v>
      </c>
      <c r="U310" s="3" t="b">
        <f>IFERROR(__xludf.DUMMYFUNCTION("""COMPUTED_VALUE"""),FALSE)</f>
        <v>0</v>
      </c>
      <c r="V310" s="3" t="b">
        <f>IFERROR(__xludf.DUMMYFUNCTION("""COMPUTED_VALUE"""),FALSE)</f>
        <v>0</v>
      </c>
      <c r="W310" s="3" t="str">
        <f>IFERROR(__xludf.DUMMYFUNCTION("""COMPUTED_VALUE"""),"LCP")</f>
        <v>LCP</v>
      </c>
      <c r="X310" s="3"/>
      <c r="Y310" s="3" t="str">
        <f>IFERROR(__xludf.DUMMYFUNCTION("""COMPUTED_VALUE"""),"GEP - High")</f>
        <v>GEP - High</v>
      </c>
      <c r="Z310" s="3" t="str">
        <f>IFERROR(__xludf.DUMMYFUNCTION("""COMPUTED_VALUE"""),"Commercial / CRM Transformation - FS &amp; TMT")</f>
        <v>Commercial / CRM Transformation - FS &amp; TMT</v>
      </c>
      <c r="AA310" s="3" t="b">
        <f>IFERROR(__xludf.DUMMYFUNCTION("""COMPUTED_VALUE"""),FALSE)</f>
        <v>0</v>
      </c>
    </row>
    <row r="311">
      <c r="A311" s="11">
        <f>IFERROR(__xludf.DUMMYFUNCTION("""COMPUTED_VALUE"""),1.00941744E8)</f>
        <v>100941744</v>
      </c>
      <c r="B311" s="3" t="str">
        <f>IFERROR(__xludf.DUMMYFUNCTION("""COMPUTED_VALUE"""),"John Andrewes")</f>
        <v>John Andrewes</v>
      </c>
      <c r="C311" s="3" t="str">
        <f>IFERROR(__xludf.DUMMYFUNCTION("""COMPUTED_VALUE"""),"John R Andrewes")</f>
        <v>John R Andrewes</v>
      </c>
      <c r="D311" s="3" t="str">
        <f>IFERROR(__xludf.DUMMYFUNCTION("""COMPUTED_VALUE"""),"Andrewes, John R")</f>
        <v>Andrewes, John R</v>
      </c>
      <c r="E311" s="3" t="str">
        <f>IFERROR(__xludf.DUMMYFUNCTION("""COMPUTED_VALUE"""),"Active")</f>
        <v>Active</v>
      </c>
      <c r="F311" s="3" t="str">
        <f>IFERROR(__xludf.DUMMYFUNCTION("""COMPUTED_VALUE"""),"john.andrewes@pwc.com")</f>
        <v>john.andrewes@pwc.com</v>
      </c>
      <c r="G311" s="3" t="str">
        <f>IFERROR(__xludf.DUMMYFUNCTION("""COMPUTED_VALUE"""),"Health")</f>
        <v>Health</v>
      </c>
      <c r="H311" s="3" t="str">
        <f>IFERROR(__xludf.DUMMYFUNCTION("""COMPUTED_VALUE"""),"Health Services")</f>
        <v>Health Services</v>
      </c>
      <c r="I311" s="3" t="str">
        <f>IFERROR(__xludf.DUMMYFUNCTION("""COMPUTED_VALUE"""),"Health - Payer Clinical Transformation")</f>
        <v>Health - Payer Clinical Transformation</v>
      </c>
      <c r="J311" s="3" t="str">
        <f>IFERROR(__xludf.DUMMYFUNCTION("""COMPUTED_VALUE"""),"Managing Director")</f>
        <v>Managing Director</v>
      </c>
      <c r="K311" s="12">
        <f>IFERROR(__xludf.DUMMYFUNCTION("""COMPUTED_VALUE"""),43745.0)</f>
        <v>43745</v>
      </c>
      <c r="L311" s="3" t="str">
        <f>IFERROR(__xludf.DUMMYFUNCTION("""COMPUTED_VALUE"""),"Boston")</f>
        <v>Boston</v>
      </c>
      <c r="M311" s="3" t="str">
        <f>IFERROR(__xludf.DUMMYFUNCTION("""COMPUTED_VALUE"""),"Boston - 101 Seaport Boulevard")</f>
        <v>Boston - 101 Seaport Boulevard</v>
      </c>
      <c r="N311" s="3" t="b">
        <f>IFERROR(__xludf.DUMMYFUNCTION("""COMPUTED_VALUE"""),FALSE)</f>
        <v>0</v>
      </c>
      <c r="O311" s="3" t="str">
        <f>IFERROR(__xludf.DUMMYFUNCTION("""COMPUTED_VALUE"""),"thom.bales@pwc.com")</f>
        <v>thom.bales@pwc.com</v>
      </c>
      <c r="P311" s="3" t="str">
        <f>IFERROR(__xludf.DUMMYFUNCTION("""COMPUTED_VALUE"""),"No")</f>
        <v>No</v>
      </c>
      <c r="Q311" s="3" t="b">
        <f>IFERROR(__xludf.DUMMYFUNCTION("""COMPUTED_VALUE"""),TRUE)</f>
        <v>1</v>
      </c>
      <c r="R311" s="3" t="str">
        <f>IFERROR(__xludf.DUMMYFUNCTION("""COMPUTED_VALUE"""),"LCP Low")</f>
        <v>LCP Low</v>
      </c>
      <c r="S311" s="3"/>
      <c r="T311" s="3" t="b">
        <f>IFERROR(__xludf.DUMMYFUNCTION("""COMPUTED_VALUE"""),FALSE)</f>
        <v>0</v>
      </c>
      <c r="U311" s="3" t="b">
        <f>IFERROR(__xludf.DUMMYFUNCTION("""COMPUTED_VALUE"""),FALSE)</f>
        <v>0</v>
      </c>
      <c r="V311" s="3" t="b">
        <f>IFERROR(__xludf.DUMMYFUNCTION("""COMPUTED_VALUE"""),FALSE)</f>
        <v>0</v>
      </c>
      <c r="W311" s="3" t="str">
        <f>IFERROR(__xludf.DUMMYFUNCTION("""COMPUTED_VALUE"""),"LCP")</f>
        <v>LCP</v>
      </c>
      <c r="X311" s="3"/>
      <c r="Y311" s="3" t="str">
        <f>IFERROR(__xludf.DUMMYFUNCTION("""COMPUTED_VALUE"""),"GEP - Low")</f>
        <v>GEP - Low</v>
      </c>
      <c r="Z311" s="3" t="str">
        <f>IFERROR(__xludf.DUMMYFUNCTION("""COMPUTED_VALUE"""),"Payer Transformation")</f>
        <v>Payer Transformation</v>
      </c>
      <c r="AA311" s="3" t="b">
        <f>IFERROR(__xludf.DUMMYFUNCTION("""COMPUTED_VALUE"""),FALSE)</f>
        <v>0</v>
      </c>
    </row>
    <row r="312">
      <c r="A312" s="11">
        <f>IFERROR(__xludf.DUMMYFUNCTION("""COMPUTED_VALUE"""),1.00702554E8)</f>
        <v>100702554</v>
      </c>
      <c r="B312" s="3" t="str">
        <f>IFERROR(__xludf.DUMMYFUNCTION("""COMPUTED_VALUE"""),"John Bennett")</f>
        <v>John Bennett</v>
      </c>
      <c r="C312" s="3" t="str">
        <f>IFERROR(__xludf.DUMMYFUNCTION("""COMPUTED_VALUE"""),"John  Bennett")</f>
        <v>John  Bennett</v>
      </c>
      <c r="D312" s="3" t="str">
        <f>IFERROR(__xludf.DUMMYFUNCTION("""COMPUTED_VALUE"""),"Bennett, John")</f>
        <v>Bennett, John</v>
      </c>
      <c r="E312" s="3" t="str">
        <f>IFERROR(__xludf.DUMMYFUNCTION("""COMPUTED_VALUE"""),"Active")</f>
        <v>Active</v>
      </c>
      <c r="F312" s="3" t="str">
        <f>IFERROR(__xludf.DUMMYFUNCTION("""COMPUTED_VALUE"""),"john.b.bennett@pwc.com")</f>
        <v>john.b.bennett@pwc.com</v>
      </c>
      <c r="G312" s="3" t="str">
        <f>IFERROR(__xludf.DUMMYFUNCTION("""COMPUTED_VALUE"""),"Finance")</f>
        <v>Finance</v>
      </c>
      <c r="H312" s="3" t="str">
        <f>IFERROR(__xludf.DUMMYFUNCTION("""COMPUTED_VALUE"""),"CM X-Sector")</f>
        <v>CM X-Sector</v>
      </c>
      <c r="I312" s="3" t="str">
        <f>IFERROR(__xludf.DUMMYFUNCTION("""COMPUTED_VALUE"""),"Finance - Finance Strategy / Op Model / Global Business Services / Talent")</f>
        <v>Finance - Finance Strategy / Op Model / Global Business Services / Talent</v>
      </c>
      <c r="J312" s="3" t="str">
        <f>IFERROR(__xludf.DUMMYFUNCTION("""COMPUTED_VALUE"""),"Managing Director")</f>
        <v>Managing Director</v>
      </c>
      <c r="K312" s="12">
        <f>IFERROR(__xludf.DUMMYFUNCTION("""COMPUTED_VALUE"""),43395.0)</f>
        <v>43395</v>
      </c>
      <c r="L312" s="3" t="str">
        <f>IFERROR(__xludf.DUMMYFUNCTION("""COMPUTED_VALUE"""),"Phoenix")</f>
        <v>Phoenix</v>
      </c>
      <c r="M312" s="3" t="str">
        <f>IFERROR(__xludf.DUMMYFUNCTION("""COMPUTED_VALUE"""),"Phoenix - 1850 North Central Avenue")</f>
        <v>Phoenix - 1850 North Central Avenue</v>
      </c>
      <c r="N312" s="3" t="b">
        <f>IFERROR(__xludf.DUMMYFUNCTION("""COMPUTED_VALUE"""),FALSE)</f>
        <v>0</v>
      </c>
      <c r="O312" s="3" t="str">
        <f>IFERROR(__xludf.DUMMYFUNCTION("""COMPUTED_VALUE"""),"adam.kennedy@pwc.com")</f>
        <v>adam.kennedy@pwc.com</v>
      </c>
      <c r="P312" s="3" t="str">
        <f>IFERROR(__xludf.DUMMYFUNCTION("""COMPUTED_VALUE"""),"No")</f>
        <v>No</v>
      </c>
      <c r="Q312" s="3" t="b">
        <f>IFERROR(__xludf.DUMMYFUNCTION("""COMPUTED_VALUE"""),FALSE)</f>
        <v>0</v>
      </c>
      <c r="R312" s="3"/>
      <c r="S312" s="3"/>
      <c r="T312" s="3" t="b">
        <f>IFERROR(__xludf.DUMMYFUNCTION("""COMPUTED_VALUE"""),FALSE)</f>
        <v>0</v>
      </c>
      <c r="U312" s="3" t="b">
        <f>IFERROR(__xludf.DUMMYFUNCTION("""COMPUTED_VALUE"""),TRUE)</f>
        <v>1</v>
      </c>
      <c r="V312" s="3" t="b">
        <f>IFERROR(__xludf.DUMMYFUNCTION("""COMPUTED_VALUE"""),FALSE)</f>
        <v>0</v>
      </c>
      <c r="W312" s="3" t="str">
        <f>IFERROR(__xludf.DUMMYFUNCTION("""COMPUTED_VALUE"""),"Delivery")</f>
        <v>Delivery</v>
      </c>
      <c r="X312" s="3"/>
      <c r="Y312" s="3"/>
      <c r="Z312" s="3" t="str">
        <f>IFERROR(__xludf.DUMMYFUNCTION("""COMPUTED_VALUE"""),"Finance Transformation - CM")</f>
        <v>Finance Transformation - CM</v>
      </c>
      <c r="AA312" s="3" t="b">
        <f>IFERROR(__xludf.DUMMYFUNCTION("""COMPUTED_VALUE"""),FALSE)</f>
        <v>0</v>
      </c>
    </row>
    <row r="313">
      <c r="A313" s="11">
        <f>IFERROR(__xludf.DUMMYFUNCTION("""COMPUTED_VALUE"""),1.00889596E8)</f>
        <v>100889596</v>
      </c>
      <c r="B313" s="3" t="str">
        <f>IFERROR(__xludf.DUMMYFUNCTION("""COMPUTED_VALUE"""),"John Colaruotolo")</f>
        <v>John Colaruotolo</v>
      </c>
      <c r="C313" s="3" t="str">
        <f>IFERROR(__xludf.DUMMYFUNCTION("""COMPUTED_VALUE"""),"John  Colaruotolo")</f>
        <v>John  Colaruotolo</v>
      </c>
      <c r="D313" s="3" t="str">
        <f>IFERROR(__xludf.DUMMYFUNCTION("""COMPUTED_VALUE"""),"Colaruotolo, John")</f>
        <v>Colaruotolo, John</v>
      </c>
      <c r="E313" s="3" t="str">
        <f>IFERROR(__xludf.DUMMYFUNCTION("""COMPUTED_VALUE"""),"Active")</f>
        <v>Active</v>
      </c>
      <c r="F313" s="3" t="str">
        <f>IFERROR(__xludf.DUMMYFUNCTION("""COMPUTED_VALUE"""),"john.colaruotolo@pwc.com")</f>
        <v>john.colaruotolo@pwc.com</v>
      </c>
      <c r="G313" s="3" t="str">
        <f>IFERROR(__xludf.DUMMYFUNCTION("""COMPUTED_VALUE"""),"Workforce")</f>
        <v>Workforce</v>
      </c>
      <c r="H313" s="3" t="str">
        <f>IFERROR(__xludf.DUMMYFUNCTION("""COMPUTED_VALUE"""),"TMT X-Sector")</f>
        <v>TMT X-Sector</v>
      </c>
      <c r="I313" s="3" t="str">
        <f>IFERROR(__xludf.DUMMYFUNCTION("""COMPUTED_VALUE"""),"Workforce - Talent, Change &amp; Behaviors")</f>
        <v>Workforce - Talent, Change &amp; Behaviors</v>
      </c>
      <c r="J313" s="3" t="str">
        <f>IFERROR(__xludf.DUMMYFUNCTION("""COMPUTED_VALUE"""),"Managing Director")</f>
        <v>Managing Director</v>
      </c>
      <c r="K313" s="12">
        <f>IFERROR(__xludf.DUMMYFUNCTION("""COMPUTED_VALUE"""),43591.0)</f>
        <v>43591</v>
      </c>
      <c r="L313" s="3" t="str">
        <f>IFERROR(__xludf.DUMMYFUNCTION("""COMPUTED_VALUE"""),"Dallas")</f>
        <v>Dallas</v>
      </c>
      <c r="M313" s="3" t="str">
        <f>IFERROR(__xludf.DUMMYFUNCTION("""COMPUTED_VALUE"""),"Dallas - 2121 North Pearl Street")</f>
        <v>Dallas - 2121 North Pearl Street</v>
      </c>
      <c r="N313" s="3" t="b">
        <f>IFERROR(__xludf.DUMMYFUNCTION("""COMPUTED_VALUE"""),FALSE)</f>
        <v>0</v>
      </c>
      <c r="O313" s="3" t="str">
        <f>IFERROR(__xludf.DUMMYFUNCTION("""COMPUTED_VALUE"""),"craig.odonnell@pwc.com")</f>
        <v>craig.odonnell@pwc.com</v>
      </c>
      <c r="P313" s="3" t="str">
        <f>IFERROR(__xludf.DUMMYFUNCTION("""COMPUTED_VALUE"""),"No")</f>
        <v>No</v>
      </c>
      <c r="Q313" s="3" t="b">
        <f>IFERROR(__xludf.DUMMYFUNCTION("""COMPUTED_VALUE"""),FALSE)</f>
        <v>0</v>
      </c>
      <c r="R313" s="3"/>
      <c r="S313" s="3"/>
      <c r="T313" s="3" t="b">
        <f>IFERROR(__xludf.DUMMYFUNCTION("""COMPUTED_VALUE"""),FALSE)</f>
        <v>0</v>
      </c>
      <c r="U313" s="3" t="b">
        <f>IFERROR(__xludf.DUMMYFUNCTION("""COMPUTED_VALUE"""),FALSE)</f>
        <v>0</v>
      </c>
      <c r="V313" s="3" t="b">
        <f>IFERROR(__xludf.DUMMYFUNCTION("""COMPUTED_VALUE"""),FALSE)</f>
        <v>0</v>
      </c>
      <c r="W313" s="3" t="str">
        <f>IFERROR(__xludf.DUMMYFUNCTION("""COMPUTED_VALUE"""),"#N/A")</f>
        <v>#N/A</v>
      </c>
      <c r="X313" s="3" t="str">
        <f>IFERROR(__xludf.DUMMYFUNCTION("""COMPUTED_VALUE"""),"#N/A")</f>
        <v>#N/A</v>
      </c>
      <c r="Y313" s="3" t="str">
        <f>IFERROR(__xludf.DUMMYFUNCTION("""COMPUTED_VALUE"""),"#N/A")</f>
        <v>#N/A</v>
      </c>
      <c r="Z313" s="3" t="str">
        <f>IFERROR(__xludf.DUMMYFUNCTION("""COMPUTED_VALUE"""),"Unknown")</f>
        <v>Unknown</v>
      </c>
      <c r="AA313" s="3" t="b">
        <f>IFERROR(__xludf.DUMMYFUNCTION("""COMPUTED_VALUE"""),FALSE)</f>
        <v>0</v>
      </c>
    </row>
    <row r="314">
      <c r="A314" s="11">
        <f>IFERROR(__xludf.DUMMYFUNCTION("""COMPUTED_VALUE"""),1.00642499E8)</f>
        <v>100642499</v>
      </c>
      <c r="B314" s="3" t="str">
        <f>IFERROR(__xludf.DUMMYFUNCTION("""COMPUTED_VALUE"""),"John Dougherty")</f>
        <v>John Dougherty</v>
      </c>
      <c r="C314" s="3" t="str">
        <f>IFERROR(__xludf.DUMMYFUNCTION("""COMPUTED_VALUE"""),"John F Dougherty")</f>
        <v>John F Dougherty</v>
      </c>
      <c r="D314" s="3" t="str">
        <f>IFERROR(__xludf.DUMMYFUNCTION("""COMPUTED_VALUE"""),"Dougherty, John F")</f>
        <v>Dougherty, John F</v>
      </c>
      <c r="E314" s="3" t="str">
        <f>IFERROR(__xludf.DUMMYFUNCTION("""COMPUTED_VALUE"""),"Active")</f>
        <v>Active</v>
      </c>
      <c r="F314" s="3" t="str">
        <f>IFERROR(__xludf.DUMMYFUNCTION("""COMPUTED_VALUE"""),"john.f.dougherty@pwc.com")</f>
        <v>john.f.dougherty@pwc.com</v>
      </c>
      <c r="G314" s="3" t="str">
        <f>IFERROR(__xludf.DUMMYFUNCTION("""COMPUTED_VALUE"""),"Deals Transformation")</f>
        <v>Deals Transformation</v>
      </c>
      <c r="H314" s="3" t="str">
        <f>IFERROR(__xludf.DUMMYFUNCTION("""COMPUTED_VALUE"""),"CM X-Sector")</f>
        <v>CM X-Sector</v>
      </c>
      <c r="I314" s="3" t="str">
        <f>IFERROR(__xludf.DUMMYFUNCTION("""COMPUTED_VALUE"""),"DDV - Finance")</f>
        <v>DDV - Finance</v>
      </c>
      <c r="J314" s="3" t="str">
        <f>IFERROR(__xludf.DUMMYFUNCTION("""COMPUTED_VALUE"""),"Partner")</f>
        <v>Partner</v>
      </c>
      <c r="K314" s="12">
        <f>IFERROR(__xludf.DUMMYFUNCTION("""COMPUTED_VALUE"""),40049.0)</f>
        <v>40049</v>
      </c>
      <c r="L314" s="3" t="str">
        <f>IFERROR(__xludf.DUMMYFUNCTION("""COMPUTED_VALUE"""),"Philadelphia")</f>
        <v>Philadelphia</v>
      </c>
      <c r="M314" s="3" t="str">
        <f>IFERROR(__xludf.DUMMYFUNCTION("""COMPUTED_VALUE"""),"Philadelphia - Two Commerce Square, Suite 1800")</f>
        <v>Philadelphia - Two Commerce Square, Suite 1800</v>
      </c>
      <c r="N314" s="3" t="b">
        <f>IFERROR(__xludf.DUMMYFUNCTION("""COMPUTED_VALUE"""),FALSE)</f>
        <v>0</v>
      </c>
      <c r="O314" s="3" t="str">
        <f>IFERROR(__xludf.DUMMYFUNCTION("""COMPUTED_VALUE"""),"derek.b.townsend@pwc.com")</f>
        <v>derek.b.townsend@pwc.com</v>
      </c>
      <c r="P314" s="3" t="str">
        <f>IFERROR(__xludf.DUMMYFUNCTION("""COMPUTED_VALUE"""),"No")</f>
        <v>No</v>
      </c>
      <c r="Q314" s="3" t="b">
        <f>IFERROR(__xludf.DUMMYFUNCTION("""COMPUTED_VALUE"""),FALSE)</f>
        <v>0</v>
      </c>
      <c r="R314" s="3"/>
      <c r="S314" s="3"/>
      <c r="T314" s="3" t="b">
        <f>IFERROR(__xludf.DUMMYFUNCTION("""COMPUTED_VALUE"""),FALSE)</f>
        <v>0</v>
      </c>
      <c r="U314" s="3" t="b">
        <f>IFERROR(__xludf.DUMMYFUNCTION("""COMPUTED_VALUE"""),TRUE)</f>
        <v>1</v>
      </c>
      <c r="V314" s="3" t="b">
        <f>IFERROR(__xludf.DUMMYFUNCTION("""COMPUTED_VALUE"""),FALSE)</f>
        <v>0</v>
      </c>
      <c r="W314" s="3" t="str">
        <f>IFERROR(__xludf.DUMMYFUNCTION("""COMPUTED_VALUE"""),"Delivery")</f>
        <v>Delivery</v>
      </c>
      <c r="X314" s="3"/>
      <c r="Y314" s="3"/>
      <c r="Z314" s="3" t="str">
        <f>IFERROR(__xludf.DUMMYFUNCTION("""COMPUTED_VALUE"""),"Corporate M&amp;A Transformation - CM")</f>
        <v>Corporate M&amp;A Transformation - CM</v>
      </c>
      <c r="AA314" s="3" t="b">
        <f>IFERROR(__xludf.DUMMYFUNCTION("""COMPUTED_VALUE"""),FALSE)</f>
        <v>0</v>
      </c>
    </row>
    <row r="315">
      <c r="A315" s="11">
        <f>IFERROR(__xludf.DUMMYFUNCTION("""COMPUTED_VALUE"""),1.00659011E8)</f>
        <v>100659011</v>
      </c>
      <c r="B315" s="3" t="str">
        <f>IFERROR(__xludf.DUMMYFUNCTION("""COMPUTED_VALUE"""),"John Garvey")</f>
        <v>John Garvey</v>
      </c>
      <c r="C315" s="3" t="str">
        <f>IFERROR(__xludf.DUMMYFUNCTION("""COMPUTED_VALUE"""),"John P Garvey")</f>
        <v>John P Garvey</v>
      </c>
      <c r="D315" s="3" t="str">
        <f>IFERROR(__xludf.DUMMYFUNCTION("""COMPUTED_VALUE"""),"Garvey, John P")</f>
        <v>Garvey, John P</v>
      </c>
      <c r="E315" s="3" t="str">
        <f>IFERROR(__xludf.DUMMYFUNCTION("""COMPUTED_VALUE"""),"Active")</f>
        <v>Active</v>
      </c>
      <c r="F315" s="3" t="str">
        <f>IFERROR(__xludf.DUMMYFUNCTION("""COMPUTED_VALUE"""),"john.garvey@pwc.com")</f>
        <v>john.garvey@pwc.com</v>
      </c>
      <c r="G315" s="3" t="str">
        <f>IFERROR(__xludf.DUMMYFUNCTION("""COMPUTED_VALUE"""),"FS")</f>
        <v>FS</v>
      </c>
      <c r="H315" s="3" t="str">
        <f>IFERROR(__xludf.DUMMYFUNCTION("""COMPUTED_VALUE"""),"Banking and Capital Markets")</f>
        <v>Banking and Capital Markets</v>
      </c>
      <c r="I315" s="3" t="str">
        <f>IFERROR(__xludf.DUMMYFUNCTION("""COMPUTED_VALUE"""),"FS - Banking and Capital Markets")</f>
        <v>FS - Banking and Capital Markets</v>
      </c>
      <c r="J315" s="3" t="str">
        <f>IFERROR(__xludf.DUMMYFUNCTION("""COMPUTED_VALUE"""),"Partner")</f>
        <v>Partner</v>
      </c>
      <c r="K315" s="12">
        <f>IFERROR(__xludf.DUMMYFUNCTION("""COMPUTED_VALUE"""),38412.0)</f>
        <v>38412</v>
      </c>
      <c r="L315" s="3" t="str">
        <f>IFERROR(__xludf.DUMMYFUNCTION("""COMPUTED_VALUE"""),"New York")</f>
        <v>New York</v>
      </c>
      <c r="M315" s="3" t="str">
        <f>IFERROR(__xludf.DUMMYFUNCTION("""COMPUTED_VALUE"""),"New York - 300 Madison Avenue")</f>
        <v>New York - 300 Madison Avenue</v>
      </c>
      <c r="N315" s="3" t="b">
        <f>IFERROR(__xludf.DUMMYFUNCTION("""COMPUTED_VALUE"""),TRUE)</f>
        <v>1</v>
      </c>
      <c r="O315" s="3" t="str">
        <f>IFERROR(__xludf.DUMMYFUNCTION("""COMPUTED_VALUE"""),"alison.hoover@pwc.com")</f>
        <v>alison.hoover@pwc.com</v>
      </c>
      <c r="P315" s="3" t="str">
        <f>IFERROR(__xludf.DUMMYFUNCTION("""COMPUTED_VALUE"""),"No")</f>
        <v>No</v>
      </c>
      <c r="Q315" s="3" t="b">
        <f>IFERROR(__xludf.DUMMYFUNCTION("""COMPUTED_VALUE"""),TRUE)</f>
        <v>1</v>
      </c>
      <c r="R315" s="3" t="str">
        <f>IFERROR(__xludf.DUMMYFUNCTION("""COMPUTED_VALUE"""),"LCP High")</f>
        <v>LCP High</v>
      </c>
      <c r="S315" s="3"/>
      <c r="T315" s="3" t="b">
        <f>IFERROR(__xludf.DUMMYFUNCTION("""COMPUTED_VALUE"""),FALSE)</f>
        <v>0</v>
      </c>
      <c r="U315" s="3" t="b">
        <f>IFERROR(__xludf.DUMMYFUNCTION("""COMPUTED_VALUE"""),FALSE)</f>
        <v>0</v>
      </c>
      <c r="V315" s="3" t="b">
        <f>IFERROR(__xludf.DUMMYFUNCTION("""COMPUTED_VALUE"""),FALSE)</f>
        <v>0</v>
      </c>
      <c r="W315" s="3" t="str">
        <f>IFERROR(__xludf.DUMMYFUNCTION("""COMPUTED_VALUE"""),"LCP")</f>
        <v>LCP</v>
      </c>
      <c r="X315" s="3"/>
      <c r="Y315" s="3" t="str">
        <f>IFERROR(__xludf.DUMMYFUNCTION("""COMPUTED_VALUE"""),"GEP - High")</f>
        <v>GEP - High</v>
      </c>
      <c r="Z315" s="3" t="str">
        <f>IFERROR(__xludf.DUMMYFUNCTION("""COMPUTED_VALUE"""),"Capital Markets Transformation")</f>
        <v>Capital Markets Transformation</v>
      </c>
      <c r="AA315" s="3" t="b">
        <f>IFERROR(__xludf.DUMMYFUNCTION("""COMPUTED_VALUE"""),FALSE)</f>
        <v>0</v>
      </c>
    </row>
    <row r="316">
      <c r="A316" s="11">
        <f>IFERROR(__xludf.DUMMYFUNCTION("""COMPUTED_VALUE"""),1.00612834E8)</f>
        <v>100612834</v>
      </c>
      <c r="B316" s="3" t="str">
        <f>IFERROR(__xludf.DUMMYFUNCTION("""COMPUTED_VALUE"""),"John Giannotto")</f>
        <v>John Giannotto</v>
      </c>
      <c r="C316" s="3" t="str">
        <f>IFERROR(__xludf.DUMMYFUNCTION("""COMPUTED_VALUE"""),"John J Giannotto")</f>
        <v>John J Giannotto</v>
      </c>
      <c r="D316" s="3" t="str">
        <f>IFERROR(__xludf.DUMMYFUNCTION("""COMPUTED_VALUE"""),"Giannotto, John J")</f>
        <v>Giannotto, John J</v>
      </c>
      <c r="E316" s="3" t="str">
        <f>IFERROR(__xludf.DUMMYFUNCTION("""COMPUTED_VALUE"""),"Active")</f>
        <v>Active</v>
      </c>
      <c r="F316" s="3" t="str">
        <f>IFERROR(__xludf.DUMMYFUNCTION("""COMPUTED_VALUE"""),"john.giannotto@pwc.com")</f>
        <v>john.giannotto@pwc.com</v>
      </c>
      <c r="G316" s="3" t="str">
        <f>IFERROR(__xludf.DUMMYFUNCTION("""COMPUTED_VALUE"""),"FS")</f>
        <v>FS</v>
      </c>
      <c r="H316" s="3" t="str">
        <f>IFERROR(__xludf.DUMMYFUNCTION("""COMPUTED_VALUE"""),"Banking and Capital Markets")</f>
        <v>Banking and Capital Markets</v>
      </c>
      <c r="I316" s="3" t="str">
        <f>IFERROR(__xludf.DUMMYFUNCTION("""COMPUTED_VALUE"""),"FS - Banking and Capital Markets")</f>
        <v>FS - Banking and Capital Markets</v>
      </c>
      <c r="J316" s="3" t="str">
        <f>IFERROR(__xludf.DUMMYFUNCTION("""COMPUTED_VALUE"""),"Managing Director")</f>
        <v>Managing Director</v>
      </c>
      <c r="K316" s="12">
        <f>IFERROR(__xludf.DUMMYFUNCTION("""COMPUTED_VALUE"""),42576.0)</f>
        <v>42576</v>
      </c>
      <c r="L316" s="3" t="str">
        <f>IFERROR(__xludf.DUMMYFUNCTION("""COMPUTED_VALUE"""),"Florham Park")</f>
        <v>Florham Park</v>
      </c>
      <c r="M316" s="3" t="str">
        <f>IFERROR(__xludf.DUMMYFUNCTION("""COMPUTED_VALUE"""),"Florham Park - 400 Campus Drive")</f>
        <v>Florham Park - 400 Campus Drive</v>
      </c>
      <c r="N316" s="3" t="b">
        <f>IFERROR(__xludf.DUMMYFUNCTION("""COMPUTED_VALUE"""),FALSE)</f>
        <v>0</v>
      </c>
      <c r="O316" s="3" t="str">
        <f>IFERROR(__xludf.DUMMYFUNCTION("""COMPUTED_VALUE"""),"christopher.v.scarpati@pwc.com")</f>
        <v>christopher.v.scarpati@pwc.com</v>
      </c>
      <c r="P316" s="3" t="str">
        <f>IFERROR(__xludf.DUMMYFUNCTION("""COMPUTED_VALUE"""),"No")</f>
        <v>No</v>
      </c>
      <c r="Q316" s="3" t="b">
        <f>IFERROR(__xludf.DUMMYFUNCTION("""COMPUTED_VALUE"""),FALSE)</f>
        <v>0</v>
      </c>
      <c r="R316" s="3"/>
      <c r="S316" s="3"/>
      <c r="T316" s="3" t="b">
        <f>IFERROR(__xludf.DUMMYFUNCTION("""COMPUTED_VALUE"""),FALSE)</f>
        <v>0</v>
      </c>
      <c r="U316" s="3" t="b">
        <f>IFERROR(__xludf.DUMMYFUNCTION("""COMPUTED_VALUE"""),TRUE)</f>
        <v>1</v>
      </c>
      <c r="V316" s="3" t="b">
        <f>IFERROR(__xludf.DUMMYFUNCTION("""COMPUTED_VALUE"""),FALSE)</f>
        <v>0</v>
      </c>
      <c r="W316" s="3" t="str">
        <f>IFERROR(__xludf.DUMMYFUNCTION("""COMPUTED_VALUE"""),"Delivery")</f>
        <v>Delivery</v>
      </c>
      <c r="X316" s="3"/>
      <c r="Y316" s="3"/>
      <c r="Z316" s="3" t="str">
        <f>IFERROR(__xludf.DUMMYFUNCTION("""COMPUTED_VALUE"""),"Capital Markets Transformation")</f>
        <v>Capital Markets Transformation</v>
      </c>
      <c r="AA316" s="3" t="b">
        <f>IFERROR(__xludf.DUMMYFUNCTION("""COMPUTED_VALUE"""),FALSE)</f>
        <v>0</v>
      </c>
    </row>
    <row r="317">
      <c r="A317" s="11">
        <f>IFERROR(__xludf.DUMMYFUNCTION("""COMPUTED_VALUE"""),1.00657185E8)</f>
        <v>100657185</v>
      </c>
      <c r="B317" s="3" t="str">
        <f>IFERROR(__xludf.DUMMYFUNCTION("""COMPUTED_VALUE"""),"John Hutton")</f>
        <v>John Hutton</v>
      </c>
      <c r="C317" s="3" t="str">
        <f>IFERROR(__xludf.DUMMYFUNCTION("""COMPUTED_VALUE"""),"John R Hutton")</f>
        <v>John R Hutton</v>
      </c>
      <c r="D317" s="3" t="str">
        <f>IFERROR(__xludf.DUMMYFUNCTION("""COMPUTED_VALUE"""),"Hutton, John R")</f>
        <v>Hutton, John R</v>
      </c>
      <c r="E317" s="3" t="str">
        <f>IFERROR(__xludf.DUMMYFUNCTION("""COMPUTED_VALUE"""),"Active")</f>
        <v>Active</v>
      </c>
      <c r="F317" s="3" t="str">
        <f>IFERROR(__xludf.DUMMYFUNCTION("""COMPUTED_VALUE"""),"john.r.hutton@pwc.com")</f>
        <v>john.r.hutton@pwc.com</v>
      </c>
      <c r="G317" s="3" t="str">
        <f>IFERROR(__xludf.DUMMYFUNCTION("""COMPUTED_VALUE"""),"Workforce")</f>
        <v>Workforce</v>
      </c>
      <c r="H317" s="3" t="str">
        <f>IFERROR(__xludf.DUMMYFUNCTION("""COMPUTED_VALUE"""),"Power and Utilities")</f>
        <v>Power and Utilities</v>
      </c>
      <c r="I317" s="3" t="str">
        <f>IFERROR(__xludf.DUMMYFUNCTION("""COMPUTED_VALUE"""),"Workforce - Talent, Change &amp; Behaviors")</f>
        <v>Workforce - Talent, Change &amp; Behaviors</v>
      </c>
      <c r="J317" s="3" t="str">
        <f>IFERROR(__xludf.DUMMYFUNCTION("""COMPUTED_VALUE"""),"Partner")</f>
        <v>Partner</v>
      </c>
      <c r="K317" s="12">
        <f>IFERROR(__xludf.DUMMYFUNCTION("""COMPUTED_VALUE"""),42261.0)</f>
        <v>42261</v>
      </c>
      <c r="L317" s="3" t="str">
        <f>IFERROR(__xludf.DUMMYFUNCTION("""COMPUTED_VALUE"""),"Philadelphia")</f>
        <v>Philadelphia</v>
      </c>
      <c r="M317" s="3" t="str">
        <f>IFERROR(__xludf.DUMMYFUNCTION("""COMPUTED_VALUE"""),"Philadelphia - Two Commerce Square, Suite 1800")</f>
        <v>Philadelphia - Two Commerce Square, Suite 1800</v>
      </c>
      <c r="N317" s="3" t="b">
        <f>IFERROR(__xludf.DUMMYFUNCTION("""COMPUTED_VALUE"""),FALSE)</f>
        <v>0</v>
      </c>
      <c r="O317" s="3" t="str">
        <f>IFERROR(__xludf.DUMMYFUNCTION("""COMPUTED_VALUE"""),"craig.odonnell@pwc.com")</f>
        <v>craig.odonnell@pwc.com</v>
      </c>
      <c r="P317" s="3" t="str">
        <f>IFERROR(__xludf.DUMMYFUNCTION("""COMPUTED_VALUE"""),"No")</f>
        <v>No</v>
      </c>
      <c r="Q317" s="3" t="b">
        <f>IFERROR(__xludf.DUMMYFUNCTION("""COMPUTED_VALUE"""),FALSE)</f>
        <v>0</v>
      </c>
      <c r="R317" s="3"/>
      <c r="S317" s="3"/>
      <c r="T317" s="3" t="b">
        <f>IFERROR(__xludf.DUMMYFUNCTION("""COMPUTED_VALUE"""),FALSE)</f>
        <v>0</v>
      </c>
      <c r="U317" s="3" t="b">
        <f>IFERROR(__xludf.DUMMYFUNCTION("""COMPUTED_VALUE"""),FALSE)</f>
        <v>0</v>
      </c>
      <c r="V317" s="3" t="b">
        <f>IFERROR(__xludf.DUMMYFUNCTION("""COMPUTED_VALUE"""),FALSE)</f>
        <v>0</v>
      </c>
      <c r="W317" s="3" t="str">
        <f>IFERROR(__xludf.DUMMYFUNCTION("""COMPUTED_VALUE"""),"#N/A")</f>
        <v>#N/A</v>
      </c>
      <c r="X317" s="3" t="str">
        <f>IFERROR(__xludf.DUMMYFUNCTION("""COMPUTED_VALUE"""),"#N/A")</f>
        <v>#N/A</v>
      </c>
      <c r="Y317" s="3" t="str">
        <f>IFERROR(__xludf.DUMMYFUNCTION("""COMPUTED_VALUE"""),"#N/A")</f>
        <v>#N/A</v>
      </c>
      <c r="Z317" s="3" t="str">
        <f>IFERROR(__xludf.DUMMYFUNCTION("""COMPUTED_VALUE"""),"Unknown")</f>
        <v>Unknown</v>
      </c>
      <c r="AA317" s="3" t="b">
        <f>IFERROR(__xludf.DUMMYFUNCTION("""COMPUTED_VALUE"""),FALSE)</f>
        <v>0</v>
      </c>
    </row>
    <row r="318">
      <c r="A318" s="11">
        <f>IFERROR(__xludf.DUMMYFUNCTION("""COMPUTED_VALUE"""),1.00691029E8)</f>
        <v>100691029</v>
      </c>
      <c r="B318" s="3" t="str">
        <f>IFERROR(__xludf.DUMMYFUNCTION("""COMPUTED_VALUE"""),"John Jones")</f>
        <v>John Jones</v>
      </c>
      <c r="C318" s="3" t="str">
        <f>IFERROR(__xludf.DUMMYFUNCTION("""COMPUTED_VALUE"""),"John R Jones")</f>
        <v>John R Jones</v>
      </c>
      <c r="D318" s="3" t="str">
        <f>IFERROR(__xludf.DUMMYFUNCTION("""COMPUTED_VALUE"""),"Jones, John R")</f>
        <v>Jones, John R</v>
      </c>
      <c r="E318" s="3" t="str">
        <f>IFERROR(__xludf.DUMMYFUNCTION("""COMPUTED_VALUE"""),"Active")</f>
        <v>Active</v>
      </c>
      <c r="F318" s="3" t="str">
        <f>IFERROR(__xludf.DUMMYFUNCTION("""COMPUTED_VALUE"""),"john.r.jones@pwc.com")</f>
        <v>john.r.jones@pwc.com</v>
      </c>
      <c r="G318" s="3" t="str">
        <f>IFERROR(__xludf.DUMMYFUNCTION("""COMPUTED_VALUE"""),"Customer")</f>
        <v>Customer</v>
      </c>
      <c r="H318" s="3" t="str">
        <f>IFERROR(__xludf.DUMMYFUNCTION("""COMPUTED_VALUE"""),"Banking and Capital Markets")</f>
        <v>Banking and Capital Markets</v>
      </c>
      <c r="I318" s="3" t="str">
        <f>IFERROR(__xludf.DUMMYFUNCTION("""COMPUTED_VALUE"""),"Customer - Customer Strategy &amp; Experience")</f>
        <v>Customer - Customer Strategy &amp; Experience</v>
      </c>
      <c r="J318" s="3" t="str">
        <f>IFERROR(__xludf.DUMMYFUNCTION("""COMPUTED_VALUE"""),"Managing Director")</f>
        <v>Managing Director</v>
      </c>
      <c r="K318" s="12">
        <f>IFERROR(__xludf.DUMMYFUNCTION("""COMPUTED_VALUE"""),43304.0)</f>
        <v>43304</v>
      </c>
      <c r="L318" s="3" t="str">
        <f>IFERROR(__xludf.DUMMYFUNCTION("""COMPUTED_VALUE"""),"New York")</f>
        <v>New York</v>
      </c>
      <c r="M318" s="3" t="str">
        <f>IFERROR(__xludf.DUMMYFUNCTION("""COMPUTED_VALUE"""),"New York - 300 Madison Avenue")</f>
        <v>New York - 300 Madison Avenue</v>
      </c>
      <c r="N318" s="3" t="b">
        <f>IFERROR(__xludf.DUMMYFUNCTION("""COMPUTED_VALUE"""),FALSE)</f>
        <v>0</v>
      </c>
      <c r="O318" s="3" t="str">
        <f>IFERROR(__xludf.DUMMYFUNCTION("""COMPUTED_VALUE"""),"george.korizis@pwc.com")</f>
        <v>george.korizis@pwc.com</v>
      </c>
      <c r="P318" s="3" t="str">
        <f>IFERROR(__xludf.DUMMYFUNCTION("""COMPUTED_VALUE"""),"No")</f>
        <v>No</v>
      </c>
      <c r="Q318" s="3" t="b">
        <f>IFERROR(__xludf.DUMMYFUNCTION("""COMPUTED_VALUE"""),FALSE)</f>
        <v>0</v>
      </c>
      <c r="R318" s="3"/>
      <c r="S318" s="3"/>
      <c r="T318" s="3" t="b">
        <f>IFERROR(__xludf.DUMMYFUNCTION("""COMPUTED_VALUE"""),FALSE)</f>
        <v>0</v>
      </c>
      <c r="U318" s="3" t="b">
        <f>IFERROR(__xludf.DUMMYFUNCTION("""COMPUTED_VALUE"""),TRUE)</f>
        <v>1</v>
      </c>
      <c r="V318" s="3" t="b">
        <f>IFERROR(__xludf.DUMMYFUNCTION("""COMPUTED_VALUE"""),FALSE)</f>
        <v>0</v>
      </c>
      <c r="W318" s="3" t="str">
        <f>IFERROR(__xludf.DUMMYFUNCTION("""COMPUTED_VALUE"""),"Delivery")</f>
        <v>Delivery</v>
      </c>
      <c r="X318" s="3"/>
      <c r="Y318" s="3"/>
      <c r="Z318" s="3" t="str">
        <f>IFERROR(__xludf.DUMMYFUNCTION("""COMPUTED_VALUE"""),"Commercial / CRM Transformation - FS &amp; TMT")</f>
        <v>Commercial / CRM Transformation - FS &amp; TMT</v>
      </c>
      <c r="AA318" s="3" t="b">
        <f>IFERROR(__xludf.DUMMYFUNCTION("""COMPUTED_VALUE"""),FALSE)</f>
        <v>0</v>
      </c>
    </row>
    <row r="319">
      <c r="A319" s="11">
        <f>IFERROR(__xludf.DUMMYFUNCTION("""COMPUTED_VALUE"""),1.00619128E8)</f>
        <v>100619128</v>
      </c>
      <c r="B319" s="3" t="str">
        <f>IFERROR(__xludf.DUMMYFUNCTION("""COMPUTED_VALUE"""),"John Karren")</f>
        <v>John Karren</v>
      </c>
      <c r="C319" s="3" t="str">
        <f>IFERROR(__xludf.DUMMYFUNCTION("""COMPUTED_VALUE"""),"John T Karren")</f>
        <v>John T Karren</v>
      </c>
      <c r="D319" s="3" t="str">
        <f>IFERROR(__xludf.DUMMYFUNCTION("""COMPUTED_VALUE"""),"Karren, John T")</f>
        <v>Karren, John T</v>
      </c>
      <c r="E319" s="3" t="str">
        <f>IFERROR(__xludf.DUMMYFUNCTION("""COMPUTED_VALUE"""),"Active")</f>
        <v>Active</v>
      </c>
      <c r="F319" s="3" t="str">
        <f>IFERROR(__xludf.DUMMYFUNCTION("""COMPUTED_VALUE"""),"john.t.karren@pwc.com")</f>
        <v>john.t.karren@pwc.com</v>
      </c>
      <c r="G319" s="3" t="str">
        <f>IFERROR(__xludf.DUMMYFUNCTION("""COMPUTED_VALUE"""),"Workforce")</f>
        <v>Workforce</v>
      </c>
      <c r="H319" s="3" t="str">
        <f>IFERROR(__xludf.DUMMYFUNCTION("""COMPUTED_VALUE"""),"Manufacturing")</f>
        <v>Manufacturing</v>
      </c>
      <c r="I319" s="3" t="str">
        <f>IFERROR(__xludf.DUMMYFUNCTION("""COMPUTED_VALUE"""),"Workforce - Talent, Change &amp; Behaviors")</f>
        <v>Workforce - Talent, Change &amp; Behaviors</v>
      </c>
      <c r="J319" s="3" t="str">
        <f>IFERROR(__xludf.DUMMYFUNCTION("""COMPUTED_VALUE"""),"Partner")</f>
        <v>Partner</v>
      </c>
      <c r="K319" s="12">
        <f>IFERROR(__xludf.DUMMYFUNCTION("""COMPUTED_VALUE"""),38341.0)</f>
        <v>38341</v>
      </c>
      <c r="L319" s="3" t="str">
        <f>IFERROR(__xludf.DUMMYFUNCTION("""COMPUTED_VALUE"""),"Chicago")</f>
        <v>Chicago</v>
      </c>
      <c r="M319" s="3" t="str">
        <f>IFERROR(__xludf.DUMMYFUNCTION("""COMPUTED_VALUE"""),"Chicago - One North Wacker Drive")</f>
        <v>Chicago - One North Wacker Drive</v>
      </c>
      <c r="N319" s="3" t="b">
        <f>IFERROR(__xludf.DUMMYFUNCTION("""COMPUTED_VALUE"""),FALSE)</f>
        <v>0</v>
      </c>
      <c r="O319" s="3" t="str">
        <f>IFERROR(__xludf.DUMMYFUNCTION("""COMPUTED_VALUE"""),"craig.odonnell@pwc.com")</f>
        <v>craig.odonnell@pwc.com</v>
      </c>
      <c r="P319" s="3" t="str">
        <f>IFERROR(__xludf.DUMMYFUNCTION("""COMPUTED_VALUE"""),"No")</f>
        <v>No</v>
      </c>
      <c r="Q319" s="3" t="b">
        <f>IFERROR(__xludf.DUMMYFUNCTION("""COMPUTED_VALUE"""),FALSE)</f>
        <v>0</v>
      </c>
      <c r="R319" s="3"/>
      <c r="S319" s="3" t="str">
        <f>IFERROR(__xludf.DUMMYFUNCTION("""COMPUTED_VALUE"""),"Recruiting + Onboarding Success Champions")</f>
        <v>Recruiting + Onboarding Success Champions</v>
      </c>
      <c r="T319" s="3" t="b">
        <f>IFERROR(__xludf.DUMMYFUNCTION("""COMPUTED_VALUE"""),FALSE)</f>
        <v>0</v>
      </c>
      <c r="U319" s="3" t="b">
        <f>IFERROR(__xludf.DUMMYFUNCTION("""COMPUTED_VALUE"""),FALSE)</f>
        <v>0</v>
      </c>
      <c r="V319" s="3" t="b">
        <f>IFERROR(__xludf.DUMMYFUNCTION("""COMPUTED_VALUE"""),FALSE)</f>
        <v>0</v>
      </c>
      <c r="W319" s="3" t="str">
        <f>IFERROR(__xludf.DUMMYFUNCTION("""COMPUTED_VALUE"""),"#N/A")</f>
        <v>#N/A</v>
      </c>
      <c r="X319" s="3" t="str">
        <f>IFERROR(__xludf.DUMMYFUNCTION("""COMPUTED_VALUE"""),"#N/A")</f>
        <v>#N/A</v>
      </c>
      <c r="Y319" s="3" t="str">
        <f>IFERROR(__xludf.DUMMYFUNCTION("""COMPUTED_VALUE"""),"#N/A")</f>
        <v>#N/A</v>
      </c>
      <c r="Z319" s="3" t="str">
        <f>IFERROR(__xludf.DUMMYFUNCTION("""COMPUTED_VALUE"""),"Unknown")</f>
        <v>Unknown</v>
      </c>
      <c r="AA319" s="3" t="b">
        <f>IFERROR(__xludf.DUMMYFUNCTION("""COMPUTED_VALUE"""),FALSE)</f>
        <v>0</v>
      </c>
    </row>
    <row r="320">
      <c r="A320" s="11">
        <f>IFERROR(__xludf.DUMMYFUNCTION("""COMPUTED_VALUE"""),1.01131118E8)</f>
        <v>101131118</v>
      </c>
      <c r="B320" s="3" t="str">
        <f>IFERROR(__xludf.DUMMYFUNCTION("""COMPUTED_VALUE"""),"John Morris")</f>
        <v>John Morris</v>
      </c>
      <c r="C320" s="3" t="str">
        <f>IFERROR(__xludf.DUMMYFUNCTION("""COMPUTED_VALUE"""),"Johnathon Edward Morris")</f>
        <v>Johnathon Edward Morris</v>
      </c>
      <c r="D320" s="3" t="str">
        <f>IFERROR(__xludf.DUMMYFUNCTION("""COMPUTED_VALUE"""),"Morris, Johnathon Edward")</f>
        <v>Morris, Johnathon Edward</v>
      </c>
      <c r="E320" s="3" t="str">
        <f>IFERROR(__xludf.DUMMYFUNCTION("""COMPUTED_VALUE"""),"Active")</f>
        <v>Active</v>
      </c>
      <c r="F320" s="3" t="str">
        <f>IFERROR(__xludf.DUMMYFUNCTION("""COMPUTED_VALUE"""),"john.morris@pwc.com")</f>
        <v>john.morris@pwc.com</v>
      </c>
      <c r="G320" s="3" t="str">
        <f>IFERROR(__xludf.DUMMYFUNCTION("""COMPUTED_VALUE"""),"Ops")</f>
        <v>Ops</v>
      </c>
      <c r="H320" s="3" t="str">
        <f>IFERROR(__xludf.DUMMYFUNCTION("""COMPUTED_VALUE"""),"Power and Utilities")</f>
        <v>Power and Utilities</v>
      </c>
      <c r="I320" s="3" t="str">
        <f>IFERROR(__xludf.DUMMYFUNCTION("""COMPUTED_VALUE"""),"Ops - Sourcing &amp; Procurement (S&amp;P)")</f>
        <v>Ops - Sourcing &amp; Procurement (S&amp;P)</v>
      </c>
      <c r="J320" s="3" t="str">
        <f>IFERROR(__xludf.DUMMYFUNCTION("""COMPUTED_VALUE"""),"Partner")</f>
        <v>Partner</v>
      </c>
      <c r="K320" s="12">
        <f>IFERROR(__xludf.DUMMYFUNCTION("""COMPUTED_VALUE"""),44459.0)</f>
        <v>44459</v>
      </c>
      <c r="L320" s="3" t="str">
        <f>IFERROR(__xludf.DUMMYFUNCTION("""COMPUTED_VALUE"""),"Kansas City")</f>
        <v>Kansas City</v>
      </c>
      <c r="M320" s="3" t="str">
        <f>IFERROR(__xludf.DUMMYFUNCTION("""COMPUTED_VALUE"""),"Kansas City - 1100 Walnut Street")</f>
        <v>Kansas City - 1100 Walnut Street</v>
      </c>
      <c r="N320" s="3" t="b">
        <f>IFERROR(__xludf.DUMMYFUNCTION("""COMPUTED_VALUE"""),FALSE)</f>
        <v>0</v>
      </c>
      <c r="O320" s="3" t="str">
        <f>IFERROR(__xludf.DUMMYFUNCTION("""COMPUTED_VALUE"""),"matthew.r.comte@pwc.com")</f>
        <v>matthew.r.comte@pwc.com</v>
      </c>
      <c r="P320" s="3" t="str">
        <f>IFERROR(__xludf.DUMMYFUNCTION("""COMPUTED_VALUE"""),"FY22")</f>
        <v>FY22</v>
      </c>
      <c r="Q320" s="3" t="b">
        <f>IFERROR(__xludf.DUMMYFUNCTION("""COMPUTED_VALUE"""),FALSE)</f>
        <v>0</v>
      </c>
      <c r="R320" s="3"/>
      <c r="S320" s="3"/>
      <c r="T320" s="3" t="b">
        <f>IFERROR(__xludf.DUMMYFUNCTION("""COMPUTED_VALUE"""),FALSE)</f>
        <v>0</v>
      </c>
      <c r="U320" s="3" t="b">
        <f>IFERROR(__xludf.DUMMYFUNCTION("""COMPUTED_VALUE"""),TRUE)</f>
        <v>1</v>
      </c>
      <c r="V320" s="3" t="b">
        <f>IFERROR(__xludf.DUMMYFUNCTION("""COMPUTED_VALUE"""),FALSE)</f>
        <v>0</v>
      </c>
      <c r="W320" s="3" t="str">
        <f>IFERROR(__xludf.DUMMYFUNCTION("""COMPUTED_VALUE"""),"Catalyst")</f>
        <v>Catalyst</v>
      </c>
      <c r="X320" s="3"/>
      <c r="Y320" s="3" t="str">
        <f>IFERROR(__xludf.DUMMYFUNCTION("""COMPUTED_VALUE"""),"FY22")</f>
        <v>FY22</v>
      </c>
      <c r="Z320" s="3" t="str">
        <f>IFERROR(__xludf.DUMMYFUNCTION("""COMPUTED_VALUE"""),"EUM + Telecom Ops Transformation")</f>
        <v>EUM + Telecom Ops Transformation</v>
      </c>
      <c r="AA320" s="3" t="b">
        <f>IFERROR(__xludf.DUMMYFUNCTION("""COMPUTED_VALUE"""),FALSE)</f>
        <v>0</v>
      </c>
    </row>
    <row r="321">
      <c r="A321" s="11">
        <f>IFERROR(__xludf.DUMMYFUNCTION("""COMPUTED_VALUE"""),1.00898415E8)</f>
        <v>100898415</v>
      </c>
      <c r="B321" s="3" t="str">
        <f>IFERROR(__xludf.DUMMYFUNCTION("""COMPUTED_VALUE"""),"John Mulhall")</f>
        <v>John Mulhall</v>
      </c>
      <c r="C321" s="3" t="str">
        <f>IFERROR(__xludf.DUMMYFUNCTION("""COMPUTED_VALUE"""),"John Vincent Mulhall")</f>
        <v>John Vincent Mulhall</v>
      </c>
      <c r="D321" s="3" t="str">
        <f>IFERROR(__xludf.DUMMYFUNCTION("""COMPUTED_VALUE"""),"Mulhall, John Vincent")</f>
        <v>Mulhall, John Vincent</v>
      </c>
      <c r="E321" s="3" t="str">
        <f>IFERROR(__xludf.DUMMYFUNCTION("""COMPUTED_VALUE"""),"Active")</f>
        <v>Active</v>
      </c>
      <c r="F321" s="3" t="str">
        <f>IFERROR(__xludf.DUMMYFUNCTION("""COMPUTED_VALUE"""),"john.v.mulhall@pwc.com")</f>
        <v>john.v.mulhall@pwc.com</v>
      </c>
      <c r="G321" s="3" t="str">
        <f>IFERROR(__xludf.DUMMYFUNCTION("""COMPUTED_VALUE"""),"ESV")</f>
        <v>ESV</v>
      </c>
      <c r="H321" s="3" t="str">
        <f>IFERROR(__xludf.DUMMYFUNCTION("""COMPUTED_VALUE"""),"Insurance")</f>
        <v>Insurance</v>
      </c>
      <c r="I321" s="3" t="str">
        <f>IFERROR(__xludf.DUMMYFUNCTION("""COMPUTED_VALUE"""),"ESV - Insurance")</f>
        <v>ESV - Insurance</v>
      </c>
      <c r="J321" s="3" t="str">
        <f>IFERROR(__xludf.DUMMYFUNCTION("""COMPUTED_VALUE"""),"Partner")</f>
        <v>Partner</v>
      </c>
      <c r="K321" s="12">
        <f>IFERROR(__xludf.DUMMYFUNCTION("""COMPUTED_VALUE"""),43628.0)</f>
        <v>43628</v>
      </c>
      <c r="L321" s="3" t="str">
        <f>IFERROR(__xludf.DUMMYFUNCTION("""COMPUTED_VALUE"""),"Chicago")</f>
        <v>Chicago</v>
      </c>
      <c r="M321" s="3" t="str">
        <f>IFERROR(__xludf.DUMMYFUNCTION("""COMPUTED_VALUE"""),"Chicago - One North Wacker Drive")</f>
        <v>Chicago - One North Wacker Drive</v>
      </c>
      <c r="N321" s="3" t="b">
        <f>IFERROR(__xludf.DUMMYFUNCTION("""COMPUTED_VALUE"""),TRUE)</f>
        <v>1</v>
      </c>
      <c r="O321" s="3" t="str">
        <f>IFERROR(__xludf.DUMMYFUNCTION("""COMPUTED_VALUE"""),"sundar.subramanian@pwc.com")</f>
        <v>sundar.subramanian@pwc.com</v>
      </c>
      <c r="P321" s="3" t="str">
        <f>IFERROR(__xludf.DUMMYFUNCTION("""COMPUTED_VALUE"""),"No")</f>
        <v>No</v>
      </c>
      <c r="Q321" s="3" t="b">
        <f>IFERROR(__xludf.DUMMYFUNCTION("""COMPUTED_VALUE"""),TRUE)</f>
        <v>1</v>
      </c>
      <c r="R321" s="3" t="str">
        <f>IFERROR(__xludf.DUMMYFUNCTION("""COMPUTED_VALUE"""),"LCP Low")</f>
        <v>LCP Low</v>
      </c>
      <c r="S321" s="3"/>
      <c r="T321" s="3" t="b">
        <f>IFERROR(__xludf.DUMMYFUNCTION("""COMPUTED_VALUE"""),FALSE)</f>
        <v>0</v>
      </c>
      <c r="U321" s="3" t="b">
        <f>IFERROR(__xludf.DUMMYFUNCTION("""COMPUTED_VALUE"""),TRUE)</f>
        <v>1</v>
      </c>
      <c r="V321" s="3" t="b">
        <f>IFERROR(__xludf.DUMMYFUNCTION("""COMPUTED_VALUE"""),FALSE)</f>
        <v>0</v>
      </c>
      <c r="W321" s="3" t="str">
        <f>IFERROR(__xludf.DUMMYFUNCTION("""COMPUTED_VALUE"""),"LCP")</f>
        <v>LCP</v>
      </c>
      <c r="X321" s="3"/>
      <c r="Y321" s="3" t="str">
        <f>IFERROR(__xludf.DUMMYFUNCTION("""COMPUTED_VALUE"""),"GEP - Low")</f>
        <v>GEP - Low</v>
      </c>
      <c r="Z321" s="3" t="str">
        <f>IFERROR(__xludf.DUMMYFUNCTION("""COMPUTED_VALUE"""),"Enterprise Digital Transformation - Insurance")</f>
        <v>Enterprise Digital Transformation - Insurance</v>
      </c>
      <c r="AA321" s="3" t="b">
        <f>IFERROR(__xludf.DUMMYFUNCTION("""COMPUTED_VALUE"""),FALSE)</f>
        <v>0</v>
      </c>
    </row>
    <row r="322">
      <c r="A322" s="11">
        <f>IFERROR(__xludf.DUMMYFUNCTION("""COMPUTED_VALUE"""),1.00610483E8)</f>
        <v>100610483</v>
      </c>
      <c r="B322" s="3" t="str">
        <f>IFERROR(__xludf.DUMMYFUNCTION("""COMPUTED_VALUE"""),"John Rich")</f>
        <v>John Rich</v>
      </c>
      <c r="C322" s="3" t="str">
        <f>IFERROR(__xludf.DUMMYFUNCTION("""COMPUTED_VALUE"""),"John  Rich")</f>
        <v>John  Rich</v>
      </c>
      <c r="D322" s="3" t="str">
        <f>IFERROR(__xludf.DUMMYFUNCTION("""COMPUTED_VALUE"""),"Rich, John")</f>
        <v>Rich, John</v>
      </c>
      <c r="E322" s="3" t="str">
        <f>IFERROR(__xludf.DUMMYFUNCTION("""COMPUTED_VALUE"""),"Active")</f>
        <v>Active</v>
      </c>
      <c r="F322" s="3" t="str">
        <f>IFERROR(__xludf.DUMMYFUNCTION("""COMPUTED_VALUE"""),"john.rich@pwc.com")</f>
        <v>john.rich@pwc.com</v>
      </c>
      <c r="G322" s="3" t="str">
        <f>IFERROR(__xludf.DUMMYFUNCTION("""COMPUTED_VALUE"""),"Health")</f>
        <v>Health</v>
      </c>
      <c r="H322" s="3" t="str">
        <f>IFERROR(__xludf.DUMMYFUNCTION("""COMPUTED_VALUE"""),"Health Services")</f>
        <v>Health Services</v>
      </c>
      <c r="I322" s="3" t="str">
        <f>IFERROR(__xludf.DUMMYFUNCTION("""COMPUTED_VALUE"""),"Health - Provider Revenue Cycle")</f>
        <v>Health - Provider Revenue Cycle</v>
      </c>
      <c r="J322" s="3" t="str">
        <f>IFERROR(__xludf.DUMMYFUNCTION("""COMPUTED_VALUE"""),"Partner")</f>
        <v>Partner</v>
      </c>
      <c r="K322" s="12">
        <f>IFERROR(__xludf.DUMMYFUNCTION("""COMPUTED_VALUE"""),41540.0)</f>
        <v>41540</v>
      </c>
      <c r="L322" s="3" t="str">
        <f>IFERROR(__xludf.DUMMYFUNCTION("""COMPUTED_VALUE"""),"Dallas")</f>
        <v>Dallas</v>
      </c>
      <c r="M322" s="3" t="str">
        <f>IFERROR(__xludf.DUMMYFUNCTION("""COMPUTED_VALUE"""),"Dallas - 2121 North Pearl Street")</f>
        <v>Dallas - 2121 North Pearl Street</v>
      </c>
      <c r="N322" s="3" t="b">
        <f>IFERROR(__xludf.DUMMYFUNCTION("""COMPUTED_VALUE"""),FALSE)</f>
        <v>0</v>
      </c>
      <c r="O322" s="3" t="str">
        <f>IFERROR(__xludf.DUMMYFUNCTION("""COMPUTED_VALUE"""),"craig.e.gooch@pwc.com")</f>
        <v>craig.e.gooch@pwc.com</v>
      </c>
      <c r="P322" s="3" t="str">
        <f>IFERROR(__xludf.DUMMYFUNCTION("""COMPUTED_VALUE"""),"No")</f>
        <v>No</v>
      </c>
      <c r="Q322" s="3" t="b">
        <f>IFERROR(__xludf.DUMMYFUNCTION("""COMPUTED_VALUE"""),FALSE)</f>
        <v>0</v>
      </c>
      <c r="R322" s="3"/>
      <c r="S322" s="3"/>
      <c r="T322" s="3" t="b">
        <f>IFERROR(__xludf.DUMMYFUNCTION("""COMPUTED_VALUE"""),FALSE)</f>
        <v>0</v>
      </c>
      <c r="U322" s="3" t="b">
        <f>IFERROR(__xludf.DUMMYFUNCTION("""COMPUTED_VALUE"""),TRUE)</f>
        <v>1</v>
      </c>
      <c r="V322" s="3" t="b">
        <f>IFERROR(__xludf.DUMMYFUNCTION("""COMPUTED_VALUE"""),FALSE)</f>
        <v>0</v>
      </c>
      <c r="W322" s="3" t="str">
        <f>IFERROR(__xludf.DUMMYFUNCTION("""COMPUTED_VALUE"""),"Delivery")</f>
        <v>Delivery</v>
      </c>
      <c r="X322" s="3"/>
      <c r="Y322" s="3"/>
      <c r="Z322" s="3" t="str">
        <f>IFERROR(__xludf.DUMMYFUNCTION("""COMPUTED_VALUE"""),"Provider Transformation")</f>
        <v>Provider Transformation</v>
      </c>
      <c r="AA322" s="3" t="b">
        <f>IFERROR(__xludf.DUMMYFUNCTION("""COMPUTED_VALUE"""),FALSE)</f>
        <v>0</v>
      </c>
    </row>
    <row r="323">
      <c r="A323" s="11">
        <f>IFERROR(__xludf.DUMMYFUNCTION("""COMPUTED_VALUE"""),1.0097495E8)</f>
        <v>100974950</v>
      </c>
      <c r="B323" s="3" t="str">
        <f>IFERROR(__xludf.DUMMYFUNCTION("""COMPUTED_VALUE"""),"John Serice")</f>
        <v>John Serice</v>
      </c>
      <c r="C323" s="3" t="str">
        <f>IFERROR(__xludf.DUMMYFUNCTION("""COMPUTED_VALUE"""),"John  Serice")</f>
        <v>John  Serice</v>
      </c>
      <c r="D323" s="3" t="str">
        <f>IFERROR(__xludf.DUMMYFUNCTION("""COMPUTED_VALUE"""),"Serice, John")</f>
        <v>Serice, John</v>
      </c>
      <c r="E323" s="3" t="str">
        <f>IFERROR(__xludf.DUMMYFUNCTION("""COMPUTED_VALUE"""),"Active")</f>
        <v>Active</v>
      </c>
      <c r="F323" s="3" t="str">
        <f>IFERROR(__xludf.DUMMYFUNCTION("""COMPUTED_VALUE"""),"john.serice@pwc.com")</f>
        <v>john.serice@pwc.com</v>
      </c>
      <c r="G323" s="3" t="str">
        <f>IFERROR(__xludf.DUMMYFUNCTION("""COMPUTED_VALUE"""),"Ops")</f>
        <v>Ops</v>
      </c>
      <c r="H323" s="3" t="str">
        <f>IFERROR(__xludf.DUMMYFUNCTION("""COMPUTED_VALUE"""),"Energy")</f>
        <v>Energy</v>
      </c>
      <c r="I323" s="3" t="str">
        <f>IFERROR(__xludf.DUMMYFUNCTION("""COMPUTED_VALUE"""),"Ops - Org Strategy Strategy &amp; Solutions (OSS)")</f>
        <v>Ops - Org Strategy Strategy &amp; Solutions (OSS)</v>
      </c>
      <c r="J323" s="3" t="str">
        <f>IFERROR(__xludf.DUMMYFUNCTION("""COMPUTED_VALUE"""),"Managing Director (Job Vacate:06/30/2022)")</f>
        <v>Managing Director (Job Vacate:06/30/2022)</v>
      </c>
      <c r="K323" s="12">
        <f>IFERROR(__xludf.DUMMYFUNCTION("""COMPUTED_VALUE"""),43857.0)</f>
        <v>43857</v>
      </c>
      <c r="L323" s="3" t="str">
        <f>IFERROR(__xludf.DUMMYFUNCTION("""COMPUTED_VALUE"""),"Houston")</f>
        <v>Houston</v>
      </c>
      <c r="M323" s="3" t="str">
        <f>IFERROR(__xludf.DUMMYFUNCTION("""COMPUTED_VALUE"""),"Houston - 1000 Louisiana Street")</f>
        <v>Houston - 1000 Louisiana Street</v>
      </c>
      <c r="N323" s="3" t="b">
        <f>IFERROR(__xludf.DUMMYFUNCTION("""COMPUTED_VALUE"""),FALSE)</f>
        <v>0</v>
      </c>
      <c r="O323" s="3" t="str">
        <f>IFERROR(__xludf.DUMMYFUNCTION("""COMPUTED_VALUE"""),"reid.morrison@pwc.com")</f>
        <v>reid.morrison@pwc.com</v>
      </c>
      <c r="P323" s="3" t="str">
        <f>IFERROR(__xludf.DUMMYFUNCTION("""COMPUTED_VALUE"""),"No")</f>
        <v>No</v>
      </c>
      <c r="Q323" s="3" t="b">
        <f>IFERROR(__xludf.DUMMYFUNCTION("""COMPUTED_VALUE"""),FALSE)</f>
        <v>0</v>
      </c>
      <c r="R323" s="3"/>
      <c r="S323" s="3"/>
      <c r="T323" s="3" t="b">
        <f>IFERROR(__xludf.DUMMYFUNCTION("""COMPUTED_VALUE"""),FALSE)</f>
        <v>0</v>
      </c>
      <c r="U323" s="3" t="b">
        <f>IFERROR(__xludf.DUMMYFUNCTION("""COMPUTED_VALUE"""),TRUE)</f>
        <v>1</v>
      </c>
      <c r="V323" s="3" t="b">
        <f>IFERROR(__xludf.DUMMYFUNCTION("""COMPUTED_VALUE"""),FALSE)</f>
        <v>0</v>
      </c>
      <c r="W323" s="3" t="str">
        <f>IFERROR(__xludf.DUMMYFUNCTION("""COMPUTED_VALUE"""),"Delivery")</f>
        <v>Delivery</v>
      </c>
      <c r="X323" s="3"/>
      <c r="Y323" s="3"/>
      <c r="Z323" s="3" t="str">
        <f>IFERROR(__xludf.DUMMYFUNCTION("""COMPUTED_VALUE"""),"Enterprise Digital Transformation - CM &amp; IPS")</f>
        <v>Enterprise Digital Transformation - CM &amp; IPS</v>
      </c>
      <c r="AA323" s="3" t="b">
        <f>IFERROR(__xludf.DUMMYFUNCTION("""COMPUTED_VALUE"""),FALSE)</f>
        <v>0</v>
      </c>
    </row>
    <row r="324">
      <c r="A324" s="11">
        <f>IFERROR(__xludf.DUMMYFUNCTION("""COMPUTED_VALUE"""),1.0062597E8)</f>
        <v>100625970</v>
      </c>
      <c r="B324" s="3" t="str">
        <f>IFERROR(__xludf.DUMMYFUNCTION("""COMPUTED_VALUE"""),"John Swadener")</f>
        <v>John Swadener</v>
      </c>
      <c r="C324" s="3" t="str">
        <f>IFERROR(__xludf.DUMMYFUNCTION("""COMPUTED_VALUE"""),"John Rea Swadener")</f>
        <v>John Rea Swadener</v>
      </c>
      <c r="D324" s="3" t="str">
        <f>IFERROR(__xludf.DUMMYFUNCTION("""COMPUTED_VALUE"""),"Swadener, John Rea")</f>
        <v>Swadener, John Rea</v>
      </c>
      <c r="E324" s="3" t="str">
        <f>IFERROR(__xludf.DUMMYFUNCTION("""COMPUTED_VALUE"""),"Active")</f>
        <v>Active</v>
      </c>
      <c r="F324" s="3" t="str">
        <f>IFERROR(__xludf.DUMMYFUNCTION("""COMPUTED_VALUE"""),"john.r.swadener@pwc.com")</f>
        <v>john.r.swadener@pwc.com</v>
      </c>
      <c r="G324" s="3" t="str">
        <f>IFERROR(__xludf.DUMMYFUNCTION("""COMPUTED_VALUE"""),"Customer")</f>
        <v>Customer</v>
      </c>
      <c r="H324" s="3" t="str">
        <f>IFERROR(__xludf.DUMMYFUNCTION("""COMPUTED_VALUE"""),"Banking and Capital Markets")</f>
        <v>Banking and Capital Markets</v>
      </c>
      <c r="I324" s="3" t="str">
        <f>IFERROR(__xludf.DUMMYFUNCTION("""COMPUTED_VALUE"""),"Customer - Customer Strategy &amp; Experience")</f>
        <v>Customer - Customer Strategy &amp; Experience</v>
      </c>
      <c r="J324" s="3" t="str">
        <f>IFERROR(__xludf.DUMMYFUNCTION("""COMPUTED_VALUE"""),"Partner")</f>
        <v>Partner</v>
      </c>
      <c r="K324" s="12">
        <f>IFERROR(__xludf.DUMMYFUNCTION("""COMPUTED_VALUE"""),38928.0)</f>
        <v>38928</v>
      </c>
      <c r="L324" s="3" t="str">
        <f>IFERROR(__xludf.DUMMYFUNCTION("""COMPUTED_VALUE"""),"Hallandale Beach")</f>
        <v>Hallandale Beach</v>
      </c>
      <c r="M324" s="3" t="str">
        <f>IFERROR(__xludf.DUMMYFUNCTION("""COMPUTED_VALUE"""),"Hallandale Beach - 600 Silks Run")</f>
        <v>Hallandale Beach - 600 Silks Run</v>
      </c>
      <c r="N324" s="3" t="b">
        <f>IFERROR(__xludf.DUMMYFUNCTION("""COMPUTED_VALUE"""),FALSE)</f>
        <v>0</v>
      </c>
      <c r="O324" s="3" t="str">
        <f>IFERROR(__xludf.DUMMYFUNCTION("""COMPUTED_VALUE"""),"george.korizis@pwc.com")</f>
        <v>george.korizis@pwc.com</v>
      </c>
      <c r="P324" s="3" t="str">
        <f>IFERROR(__xludf.DUMMYFUNCTION("""COMPUTED_VALUE"""),"No")</f>
        <v>No</v>
      </c>
      <c r="Q324" s="3" t="b">
        <f>IFERROR(__xludf.DUMMYFUNCTION("""COMPUTED_VALUE"""),TRUE)</f>
        <v>1</v>
      </c>
      <c r="R324" s="3" t="str">
        <f>IFERROR(__xludf.DUMMYFUNCTION("""COMPUTED_VALUE"""),"LCP High")</f>
        <v>LCP High</v>
      </c>
      <c r="S324" s="3"/>
      <c r="T324" s="3" t="b">
        <f>IFERROR(__xludf.DUMMYFUNCTION("""COMPUTED_VALUE"""),FALSE)</f>
        <v>0</v>
      </c>
      <c r="U324" s="3" t="b">
        <f>IFERROR(__xludf.DUMMYFUNCTION("""COMPUTED_VALUE"""),FALSE)</f>
        <v>0</v>
      </c>
      <c r="V324" s="3" t="b">
        <f>IFERROR(__xludf.DUMMYFUNCTION("""COMPUTED_VALUE"""),FALSE)</f>
        <v>0</v>
      </c>
      <c r="W324" s="3" t="str">
        <f>IFERROR(__xludf.DUMMYFUNCTION("""COMPUTED_VALUE"""),"LCP")</f>
        <v>LCP</v>
      </c>
      <c r="X324" s="3"/>
      <c r="Y324" s="3" t="str">
        <f>IFERROR(__xludf.DUMMYFUNCTION("""COMPUTED_VALUE"""),"GEP - High")</f>
        <v>GEP - High</v>
      </c>
      <c r="Z324" s="3" t="str">
        <f>IFERROR(__xludf.DUMMYFUNCTION("""COMPUTED_VALUE"""),"Commercial / CRM Transformation - FS &amp; TMT")</f>
        <v>Commercial / CRM Transformation - FS &amp; TMT</v>
      </c>
      <c r="AA324" s="3" t="b">
        <f>IFERROR(__xludf.DUMMYFUNCTION("""COMPUTED_VALUE"""),FALSE)</f>
        <v>0</v>
      </c>
    </row>
    <row r="325">
      <c r="A325" s="11">
        <f>IFERROR(__xludf.DUMMYFUNCTION("""COMPUTED_VALUE"""),1.00596941E8)</f>
        <v>100596941</v>
      </c>
      <c r="B325" s="3" t="str">
        <f>IFERROR(__xludf.DUMMYFUNCTION("""COMPUTED_VALUE"""),"John Tvrdik")</f>
        <v>John Tvrdik</v>
      </c>
      <c r="C325" s="3" t="str">
        <f>IFERROR(__xludf.DUMMYFUNCTION("""COMPUTED_VALUE"""),"John  Tvrdik")</f>
        <v>John  Tvrdik</v>
      </c>
      <c r="D325" s="3" t="str">
        <f>IFERROR(__xludf.DUMMYFUNCTION("""COMPUTED_VALUE"""),"Tvrdik, John")</f>
        <v>Tvrdik, John</v>
      </c>
      <c r="E325" s="3" t="str">
        <f>IFERROR(__xludf.DUMMYFUNCTION("""COMPUTED_VALUE"""),"Active")</f>
        <v>Active</v>
      </c>
      <c r="F325" s="3" t="str">
        <f>IFERROR(__xludf.DUMMYFUNCTION("""COMPUTED_VALUE"""),"john.tvrdik@pwc.com")</f>
        <v>john.tvrdik@pwc.com</v>
      </c>
      <c r="G325" s="3" t="str">
        <f>IFERROR(__xludf.DUMMYFUNCTION("""COMPUTED_VALUE"""),"Finance")</f>
        <v>Finance</v>
      </c>
      <c r="H325" s="3" t="str">
        <f>IFERROR(__xludf.DUMMYFUNCTION("""COMPUTED_VALUE"""),"Manufacturing")</f>
        <v>Manufacturing</v>
      </c>
      <c r="I325" s="3" t="str">
        <f>IFERROR(__xludf.DUMMYFUNCTION("""COMPUTED_VALUE"""),"Finance - Finance Strategy / Op Model / Global Business Services / Talent")</f>
        <v>Finance - Finance Strategy / Op Model / Global Business Services / Talent</v>
      </c>
      <c r="J325" s="3" t="str">
        <f>IFERROR(__xludf.DUMMYFUNCTION("""COMPUTED_VALUE"""),"Partner")</f>
        <v>Partner</v>
      </c>
      <c r="K325" s="12">
        <f>IFERROR(__xludf.DUMMYFUNCTION("""COMPUTED_VALUE"""),32703.0)</f>
        <v>32703</v>
      </c>
      <c r="L325" s="3" t="str">
        <f>IFERROR(__xludf.DUMMYFUNCTION("""COMPUTED_VALUE"""),"St. Louis")</f>
        <v>St. Louis</v>
      </c>
      <c r="M325" s="3" t="str">
        <f>IFERROR(__xludf.DUMMYFUNCTION("""COMPUTED_VALUE"""),"St. Louis - 6 Cardinal Way")</f>
        <v>St. Louis - 6 Cardinal Way</v>
      </c>
      <c r="N325" s="3" t="b">
        <f>IFERROR(__xludf.DUMMYFUNCTION("""COMPUTED_VALUE"""),FALSE)</f>
        <v>0</v>
      </c>
      <c r="O325" s="3" t="str">
        <f>IFERROR(__xludf.DUMMYFUNCTION("""COMPUTED_VALUE"""),"kurtis.babczenko@pwc.com")</f>
        <v>kurtis.babczenko@pwc.com</v>
      </c>
      <c r="P325" s="3" t="str">
        <f>IFERROR(__xludf.DUMMYFUNCTION("""COMPUTED_VALUE"""),"No")</f>
        <v>No</v>
      </c>
      <c r="Q325" s="3" t="b">
        <f>IFERROR(__xludf.DUMMYFUNCTION("""COMPUTED_VALUE"""),TRUE)</f>
        <v>1</v>
      </c>
      <c r="R325" s="3" t="str">
        <f>IFERROR(__xludf.DUMMYFUNCTION("""COMPUTED_VALUE"""),"LCP High")</f>
        <v>LCP High</v>
      </c>
      <c r="S325" s="3"/>
      <c r="T325" s="3" t="b">
        <f>IFERROR(__xludf.DUMMYFUNCTION("""COMPUTED_VALUE"""),FALSE)</f>
        <v>0</v>
      </c>
      <c r="U325" s="3" t="b">
        <f>IFERROR(__xludf.DUMMYFUNCTION("""COMPUTED_VALUE"""),FALSE)</f>
        <v>0</v>
      </c>
      <c r="V325" s="3" t="b">
        <f>IFERROR(__xludf.DUMMYFUNCTION("""COMPUTED_VALUE"""),FALSE)</f>
        <v>0</v>
      </c>
      <c r="W325" s="3" t="str">
        <f>IFERROR(__xludf.DUMMYFUNCTION("""COMPUTED_VALUE"""),"LCP")</f>
        <v>LCP</v>
      </c>
      <c r="X325" s="3"/>
      <c r="Y325" s="3" t="str">
        <f>IFERROR(__xludf.DUMMYFUNCTION("""COMPUTED_VALUE"""),"GEP - High")</f>
        <v>GEP - High</v>
      </c>
      <c r="Z325" s="3" t="str">
        <f>IFERROR(__xludf.DUMMYFUNCTION("""COMPUTED_VALUE"""),"Finance Transformation IPS - IP")</f>
        <v>Finance Transformation IPS - IP</v>
      </c>
      <c r="AA325" s="3" t="b">
        <f>IFERROR(__xludf.DUMMYFUNCTION("""COMPUTED_VALUE"""),FALSE)</f>
        <v>0</v>
      </c>
    </row>
    <row r="326">
      <c r="A326" s="11">
        <f>IFERROR(__xludf.DUMMYFUNCTION("""COMPUTED_VALUE"""),1.00646908E8)</f>
        <v>100646908</v>
      </c>
      <c r="B326" s="3" t="str">
        <f>IFERROR(__xludf.DUMMYFUNCTION("""COMPUTED_VALUE"""),"Jon Glick")</f>
        <v>Jon Glick</v>
      </c>
      <c r="C326" s="3" t="str">
        <f>IFERROR(__xludf.DUMMYFUNCTION("""COMPUTED_VALUE"""),"Jon M Glick")</f>
        <v>Jon M Glick</v>
      </c>
      <c r="D326" s="3" t="str">
        <f>IFERROR(__xludf.DUMMYFUNCTION("""COMPUTED_VALUE"""),"Glick, Jon M")</f>
        <v>Glick, Jon M</v>
      </c>
      <c r="E326" s="3" t="str">
        <f>IFERROR(__xludf.DUMMYFUNCTION("""COMPUTED_VALUE"""),"Active")</f>
        <v>Active</v>
      </c>
      <c r="F326" s="3" t="str">
        <f>IFERROR(__xludf.DUMMYFUNCTION("""COMPUTED_VALUE"""),"jon.glick@pwc.com")</f>
        <v>jon.glick@pwc.com</v>
      </c>
      <c r="G326" s="3" t="str">
        <f>IFERROR(__xludf.DUMMYFUNCTION("""COMPUTED_VALUE"""),"Customer")</f>
        <v>Customer</v>
      </c>
      <c r="H326" s="3" t="str">
        <f>IFERROR(__xludf.DUMMYFUNCTION("""COMPUTED_VALUE"""),"CM X-Sector")</f>
        <v>CM X-Sector</v>
      </c>
      <c r="I326" s="3" t="str">
        <f>IFERROR(__xludf.DUMMYFUNCTION("""COMPUTED_VALUE"""),"Customer - Marketing")</f>
        <v>Customer - Marketing</v>
      </c>
      <c r="J326" s="3" t="str">
        <f>IFERROR(__xludf.DUMMYFUNCTION("""COMPUTED_VALUE"""),"Partner")</f>
        <v>Partner</v>
      </c>
      <c r="K326" s="12">
        <f>IFERROR(__xludf.DUMMYFUNCTION("""COMPUTED_VALUE"""),40485.0)</f>
        <v>40485</v>
      </c>
      <c r="L326" s="3" t="str">
        <f>IFERROR(__xludf.DUMMYFUNCTION("""COMPUTED_VALUE"""),"Chicago")</f>
        <v>Chicago</v>
      </c>
      <c r="M326" s="3" t="str">
        <f>IFERROR(__xludf.DUMMYFUNCTION("""COMPUTED_VALUE"""),"Chicago - One North Wacker Drive")</f>
        <v>Chicago - One North Wacker Drive</v>
      </c>
      <c r="N326" s="3" t="b">
        <f>IFERROR(__xludf.DUMMYFUNCTION("""COMPUTED_VALUE"""),FALSE)</f>
        <v>0</v>
      </c>
      <c r="O326" s="3" t="str">
        <f>IFERROR(__xludf.DUMMYFUNCTION("""COMPUTED_VALUE"""),"george.korizis@pwc.com")</f>
        <v>george.korizis@pwc.com</v>
      </c>
      <c r="P326" s="3" t="str">
        <f>IFERROR(__xludf.DUMMYFUNCTION("""COMPUTED_VALUE"""),"No")</f>
        <v>No</v>
      </c>
      <c r="Q326" s="3" t="b">
        <f>IFERROR(__xludf.DUMMYFUNCTION("""COMPUTED_VALUE"""),FALSE)</f>
        <v>0</v>
      </c>
      <c r="R326" s="3"/>
      <c r="S326" s="3"/>
      <c r="T326" s="3" t="b">
        <f>IFERROR(__xludf.DUMMYFUNCTION("""COMPUTED_VALUE"""),FALSE)</f>
        <v>0</v>
      </c>
      <c r="U326" s="3" t="b">
        <f>IFERROR(__xludf.DUMMYFUNCTION("""COMPUTED_VALUE"""),TRUE)</f>
        <v>1</v>
      </c>
      <c r="V326" s="3" t="b">
        <f>IFERROR(__xludf.DUMMYFUNCTION("""COMPUTED_VALUE"""),FALSE)</f>
        <v>0</v>
      </c>
      <c r="W326" s="3" t="str">
        <f>IFERROR(__xludf.DUMMYFUNCTION("""COMPUTED_VALUE"""),"Delivery")</f>
        <v>Delivery</v>
      </c>
      <c r="X326" s="3"/>
      <c r="Y326" s="3"/>
      <c r="Z326" s="3" t="str">
        <f>IFERROR(__xludf.DUMMYFUNCTION("""COMPUTED_VALUE"""),"Marketing Transformation")</f>
        <v>Marketing Transformation</v>
      </c>
      <c r="AA326" s="3" t="b">
        <f>IFERROR(__xludf.DUMMYFUNCTION("""COMPUTED_VALUE"""),FALSE)</f>
        <v>0</v>
      </c>
    </row>
    <row r="327">
      <c r="A327" s="11">
        <f>IFERROR(__xludf.DUMMYFUNCTION("""COMPUTED_VALUE"""),1.00652973E8)</f>
        <v>100652973</v>
      </c>
      <c r="B327" s="3" t="str">
        <f>IFERROR(__xludf.DUMMYFUNCTION("""COMPUTED_VALUE"""),"Jon Hagstrom (On Leave)")</f>
        <v>Jon Hagstrom (On Leave)</v>
      </c>
      <c r="C327" s="3" t="str">
        <f>IFERROR(__xludf.DUMMYFUNCTION("""COMPUTED_VALUE"""),"Jon  Hagstrom")</f>
        <v>Jon  Hagstrom</v>
      </c>
      <c r="D327" s="3" t="str">
        <f>IFERROR(__xludf.DUMMYFUNCTION("""COMPUTED_VALUE"""),"Hagstrom, Jon")</f>
        <v>Hagstrom, Jon</v>
      </c>
      <c r="E327" s="3" t="str">
        <f>IFERROR(__xludf.DUMMYFUNCTION("""COMPUTED_VALUE"""),"Disability Leave")</f>
        <v>Disability Leave</v>
      </c>
      <c r="F327" s="3" t="str">
        <f>IFERROR(__xludf.DUMMYFUNCTION("""COMPUTED_VALUE"""),"jon.hagstrom@pwc.com")</f>
        <v>jon.hagstrom@pwc.com</v>
      </c>
      <c r="G327" s="3" t="str">
        <f>IFERROR(__xludf.DUMMYFUNCTION("""COMPUTED_VALUE"""),"ESV")</f>
        <v>ESV</v>
      </c>
      <c r="H327" s="3" t="str">
        <f>IFERROR(__xludf.DUMMYFUNCTION("""COMPUTED_VALUE"""),"FS X-Sector")</f>
        <v>FS X-Sector</v>
      </c>
      <c r="I327" s="3" t="str">
        <f>IFERROR(__xludf.DUMMYFUNCTION("""COMPUTED_VALUE"""),"Unassigned")</f>
        <v>Unassigned</v>
      </c>
      <c r="J327" s="3" t="str">
        <f>IFERROR(__xludf.DUMMYFUNCTION("""COMPUTED_VALUE"""),"Managing Director (On Leave)")</f>
        <v>Managing Director (On Leave)</v>
      </c>
      <c r="K327" s="12">
        <f>IFERROR(__xludf.DUMMYFUNCTION("""COMPUTED_VALUE"""),42186.0)</f>
        <v>42186</v>
      </c>
      <c r="L327" s="3" t="str">
        <f>IFERROR(__xludf.DUMMYFUNCTION("""COMPUTED_VALUE"""),"New York")</f>
        <v>New York</v>
      </c>
      <c r="M327" s="3" t="str">
        <f>IFERROR(__xludf.DUMMYFUNCTION("""COMPUTED_VALUE"""),"#N/A")</f>
        <v>#N/A</v>
      </c>
      <c r="N327" s="3" t="b">
        <f>IFERROR(__xludf.DUMMYFUNCTION("""COMPUTED_VALUE"""),FALSE)</f>
        <v>0</v>
      </c>
      <c r="O327" s="3" t="str">
        <f>IFERROR(__xludf.DUMMYFUNCTION("""COMPUTED_VALUE"""),"")</f>
        <v/>
      </c>
      <c r="P327" s="3" t="str">
        <f>IFERROR(__xludf.DUMMYFUNCTION("""COMPUTED_VALUE"""),"No")</f>
        <v>No</v>
      </c>
      <c r="Q327" s="3" t="b">
        <f>IFERROR(__xludf.DUMMYFUNCTION("""COMPUTED_VALUE"""),FALSE)</f>
        <v>0</v>
      </c>
      <c r="R327" s="3"/>
      <c r="S327" s="3"/>
      <c r="T327" s="3" t="b">
        <f>IFERROR(__xludf.DUMMYFUNCTION("""COMPUTED_VALUE"""),FALSE)</f>
        <v>0</v>
      </c>
      <c r="U327" s="3" t="b">
        <f>IFERROR(__xludf.DUMMYFUNCTION("""COMPUTED_VALUE"""),FALSE)</f>
        <v>0</v>
      </c>
      <c r="V327" s="3" t="b">
        <f>IFERROR(__xludf.DUMMYFUNCTION("""COMPUTED_VALUE"""),FALSE)</f>
        <v>0</v>
      </c>
      <c r="W327" s="3" t="str">
        <f>IFERROR(__xludf.DUMMYFUNCTION("""COMPUTED_VALUE"""),"On Leave")</f>
        <v>On Leave</v>
      </c>
      <c r="X327" s="3"/>
      <c r="Y327" s="3"/>
      <c r="Z327" s="3" t="str">
        <f>IFERROR(__xludf.DUMMYFUNCTION("""COMPUTED_VALUE"""),"Enterprise Digital Transformation - BCM &amp; AWM")</f>
        <v>Enterprise Digital Transformation - BCM &amp; AWM</v>
      </c>
      <c r="AA327" s="3" t="b">
        <f>IFERROR(__xludf.DUMMYFUNCTION("""COMPUTED_VALUE"""),FALSE)</f>
        <v>0</v>
      </c>
    </row>
    <row r="328">
      <c r="A328" s="11">
        <f>IFERROR(__xludf.DUMMYFUNCTION("""COMPUTED_VALUE"""),1.00622716E8)</f>
        <v>100622716</v>
      </c>
      <c r="B328" s="3" t="str">
        <f>IFERROR(__xludf.DUMMYFUNCTION("""COMPUTED_VALUE"""),"Jon Howe")</f>
        <v>Jon Howe</v>
      </c>
      <c r="C328" s="3" t="str">
        <f>IFERROR(__xludf.DUMMYFUNCTION("""COMPUTED_VALUE"""),"Jon David Howe")</f>
        <v>Jon David Howe</v>
      </c>
      <c r="D328" s="3" t="str">
        <f>IFERROR(__xludf.DUMMYFUNCTION("""COMPUTED_VALUE"""),"Howe, Jon David")</f>
        <v>Howe, Jon David</v>
      </c>
      <c r="E328" s="3" t="str">
        <f>IFERROR(__xludf.DUMMYFUNCTION("""COMPUTED_VALUE"""),"Active")</f>
        <v>Active</v>
      </c>
      <c r="F328" s="3" t="str">
        <f>IFERROR(__xludf.DUMMYFUNCTION("""COMPUTED_VALUE"""),"jon.d.howe@pwc.com")</f>
        <v>jon.d.howe@pwc.com</v>
      </c>
      <c r="G328" s="3" t="str">
        <f>IFERROR(__xludf.DUMMYFUNCTION("""COMPUTED_VALUE"""),"Ops")</f>
        <v>Ops</v>
      </c>
      <c r="H328" s="3" t="str">
        <f>IFERROR(__xludf.DUMMYFUNCTION("""COMPUTED_VALUE"""),"Power and Utilities")</f>
        <v>Power and Utilities</v>
      </c>
      <c r="I328" s="3" t="str">
        <f>IFERROR(__xludf.DUMMYFUNCTION("""COMPUTED_VALUE"""),"Ops - Capital Project Excellence (CPE)")</f>
        <v>Ops - Capital Project Excellence (CPE)</v>
      </c>
      <c r="J328" s="3" t="str">
        <f>IFERROR(__xludf.DUMMYFUNCTION("""COMPUTED_VALUE"""),"Partner")</f>
        <v>Partner</v>
      </c>
      <c r="K328" s="12">
        <f>IFERROR(__xludf.DUMMYFUNCTION("""COMPUTED_VALUE"""),38809.0)</f>
        <v>38809</v>
      </c>
      <c r="L328" s="3" t="str">
        <f>IFERROR(__xludf.DUMMYFUNCTION("""COMPUTED_VALUE"""),"San Francisco")</f>
        <v>San Francisco</v>
      </c>
      <c r="M328" s="3" t="str">
        <f>IFERROR(__xludf.DUMMYFUNCTION("""COMPUTED_VALUE"""),"San Francisco - 405 Howard St")</f>
        <v>San Francisco - 405 Howard St</v>
      </c>
      <c r="N328" s="3" t="b">
        <f>IFERROR(__xludf.DUMMYFUNCTION("""COMPUTED_VALUE"""),FALSE)</f>
        <v>0</v>
      </c>
      <c r="O328" s="3" t="str">
        <f>IFERROR(__xludf.DUMMYFUNCTION("""COMPUTED_VALUE"""),"matthew.r.comte@pwc.com")</f>
        <v>matthew.r.comte@pwc.com</v>
      </c>
      <c r="P328" s="3" t="str">
        <f>IFERROR(__xludf.DUMMYFUNCTION("""COMPUTED_VALUE"""),"No")</f>
        <v>No</v>
      </c>
      <c r="Q328" s="3" t="b">
        <f>IFERROR(__xludf.DUMMYFUNCTION("""COMPUTED_VALUE"""),FALSE)</f>
        <v>0</v>
      </c>
      <c r="R328" s="3"/>
      <c r="S328" s="3"/>
      <c r="T328" s="3" t="b">
        <f>IFERROR(__xludf.DUMMYFUNCTION("""COMPUTED_VALUE"""),FALSE)</f>
        <v>0</v>
      </c>
      <c r="U328" s="3" t="b">
        <f>IFERROR(__xludf.DUMMYFUNCTION("""COMPUTED_VALUE"""),TRUE)</f>
        <v>1</v>
      </c>
      <c r="V328" s="3" t="b">
        <f>IFERROR(__xludf.DUMMYFUNCTION("""COMPUTED_VALUE"""),FALSE)</f>
        <v>0</v>
      </c>
      <c r="W328" s="3" t="str">
        <f>IFERROR(__xludf.DUMMYFUNCTION("""COMPUTED_VALUE"""),"Delivery")</f>
        <v>Delivery</v>
      </c>
      <c r="X328" s="3"/>
      <c r="Y328" s="3"/>
      <c r="Z328" s="3" t="str">
        <f>IFERROR(__xludf.DUMMYFUNCTION("""COMPUTED_VALUE"""),"IP + Technology Ops Transformation")</f>
        <v>IP + Technology Ops Transformation</v>
      </c>
      <c r="AA328" s="3" t="b">
        <f>IFERROR(__xludf.DUMMYFUNCTION("""COMPUTED_VALUE"""),FALSE)</f>
        <v>0</v>
      </c>
    </row>
    <row r="329">
      <c r="A329" s="11">
        <f>IFERROR(__xludf.DUMMYFUNCTION("""COMPUTED_VALUE"""),1.00658085E8)</f>
        <v>100658085</v>
      </c>
      <c r="B329" s="3" t="str">
        <f>IFERROR(__xludf.DUMMYFUNCTION("""COMPUTED_VALUE"""),"Jon Katzenbach")</f>
        <v>Jon Katzenbach</v>
      </c>
      <c r="C329" s="3" t="str">
        <f>IFERROR(__xludf.DUMMYFUNCTION("""COMPUTED_VALUE"""),"Jon  Katzenbach")</f>
        <v>Jon  Katzenbach</v>
      </c>
      <c r="D329" s="3" t="str">
        <f>IFERROR(__xludf.DUMMYFUNCTION("""COMPUTED_VALUE"""),"Katzenbach, Jon")</f>
        <v>Katzenbach, Jon</v>
      </c>
      <c r="E329" s="3" t="str">
        <f>IFERROR(__xludf.DUMMYFUNCTION("""COMPUTED_VALUE"""),"Active")</f>
        <v>Active</v>
      </c>
      <c r="F329" s="3" t="str">
        <f>IFERROR(__xludf.DUMMYFUNCTION("""COMPUTED_VALUE"""),"jon.katzenbach@pwc.com")</f>
        <v>jon.katzenbach@pwc.com</v>
      </c>
      <c r="G329" s="3" t="str">
        <f>IFERROR(__xludf.DUMMYFUNCTION("""COMPUTED_VALUE"""),"Workforce")</f>
        <v>Workforce</v>
      </c>
      <c r="H329" s="3" t="str">
        <f>IFERROR(__xludf.DUMMYFUNCTION("""COMPUTED_VALUE"""),"HI X-Sector")</f>
        <v>HI X-Sector</v>
      </c>
      <c r="I329" s="3" t="str">
        <f>IFERROR(__xludf.DUMMYFUNCTION("""COMPUTED_VALUE"""),"Workforce - Talent, Change &amp; Behaviors")</f>
        <v>Workforce - Talent, Change &amp; Behaviors</v>
      </c>
      <c r="J329" s="3" t="str">
        <f>IFERROR(__xludf.DUMMYFUNCTION("""COMPUTED_VALUE"""),"Managing Director")</f>
        <v>Managing Director</v>
      </c>
      <c r="K329" s="12">
        <f>IFERROR(__xludf.DUMMYFUNCTION("""COMPUTED_VALUE"""),42186.0)</f>
        <v>42186</v>
      </c>
      <c r="L329" s="3" t="str">
        <f>IFERROR(__xludf.DUMMYFUNCTION("""COMPUTED_VALUE"""),"Spartanburg")</f>
        <v>Spartanburg</v>
      </c>
      <c r="M329" s="3" t="str">
        <f>IFERROR(__xludf.DUMMYFUNCTION("""COMPUTED_VALUE"""),"Spartanburg - 320 East Main Street")</f>
        <v>Spartanburg - 320 East Main Street</v>
      </c>
      <c r="N329" s="3" t="b">
        <f>IFERROR(__xludf.DUMMYFUNCTION("""COMPUTED_VALUE"""),FALSE)</f>
        <v>0</v>
      </c>
      <c r="O329" s="3" t="str">
        <f>IFERROR(__xludf.DUMMYFUNCTION("""COMPUTED_VALUE"""),"patrick.pugh@pwc.com")</f>
        <v>patrick.pugh@pwc.com</v>
      </c>
      <c r="P329" s="3" t="str">
        <f>IFERROR(__xludf.DUMMYFUNCTION("""COMPUTED_VALUE"""),"No")</f>
        <v>No</v>
      </c>
      <c r="Q329" s="3" t="b">
        <f>IFERROR(__xludf.DUMMYFUNCTION("""COMPUTED_VALUE"""),FALSE)</f>
        <v>0</v>
      </c>
      <c r="R329" s="3"/>
      <c r="S329" s="3"/>
      <c r="T329" s="3" t="b">
        <f>IFERROR(__xludf.DUMMYFUNCTION("""COMPUTED_VALUE"""),FALSE)</f>
        <v>0</v>
      </c>
      <c r="U329" s="3" t="b">
        <f>IFERROR(__xludf.DUMMYFUNCTION("""COMPUTED_VALUE"""),FALSE)</f>
        <v>0</v>
      </c>
      <c r="V329" s="3" t="b">
        <f>IFERROR(__xludf.DUMMYFUNCTION("""COMPUTED_VALUE"""),FALSE)</f>
        <v>0</v>
      </c>
      <c r="W329" s="3" t="str">
        <f>IFERROR(__xludf.DUMMYFUNCTION("""COMPUTED_VALUE"""),"#N/A")</f>
        <v>#N/A</v>
      </c>
      <c r="X329" s="3" t="str">
        <f>IFERROR(__xludf.DUMMYFUNCTION("""COMPUTED_VALUE"""),"#N/A")</f>
        <v>#N/A</v>
      </c>
      <c r="Y329" s="3" t="str">
        <f>IFERROR(__xludf.DUMMYFUNCTION("""COMPUTED_VALUE"""),"#N/A")</f>
        <v>#N/A</v>
      </c>
      <c r="Z329" s="3" t="str">
        <f>IFERROR(__xludf.DUMMYFUNCTION("""COMPUTED_VALUE"""),"Unknown")</f>
        <v>Unknown</v>
      </c>
      <c r="AA329" s="3" t="b">
        <f>IFERROR(__xludf.DUMMYFUNCTION("""COMPUTED_VALUE"""),FALSE)</f>
        <v>0</v>
      </c>
    </row>
    <row r="330">
      <c r="A330" s="11">
        <f>IFERROR(__xludf.DUMMYFUNCTION("""COMPUTED_VALUE"""),1.00603613E8)</f>
        <v>100603613</v>
      </c>
      <c r="B330" s="3" t="str">
        <f>IFERROR(__xludf.DUMMYFUNCTION("""COMPUTED_VALUE"""),"Jon Souder")</f>
        <v>Jon Souder</v>
      </c>
      <c r="C330" s="3" t="str">
        <f>IFERROR(__xludf.DUMMYFUNCTION("""COMPUTED_VALUE"""),"Jon  Souder")</f>
        <v>Jon  Souder</v>
      </c>
      <c r="D330" s="3" t="str">
        <f>IFERROR(__xludf.DUMMYFUNCTION("""COMPUTED_VALUE"""),"Souder, Jon")</f>
        <v>Souder, Jon</v>
      </c>
      <c r="E330" s="3" t="str">
        <f>IFERROR(__xludf.DUMMYFUNCTION("""COMPUTED_VALUE"""),"Active")</f>
        <v>Active</v>
      </c>
      <c r="F330" s="3" t="str">
        <f>IFERROR(__xludf.DUMMYFUNCTION("""COMPUTED_VALUE"""),"jon.souder@pwc.com")</f>
        <v>jon.souder@pwc.com</v>
      </c>
      <c r="G330" s="3" t="str">
        <f>IFERROR(__xludf.DUMMYFUNCTION("""COMPUTED_VALUE"""),"Health")</f>
        <v>Health</v>
      </c>
      <c r="H330" s="3" t="str">
        <f>IFERROR(__xludf.DUMMYFUNCTION("""COMPUTED_VALUE"""),"Health Services")</f>
        <v>Health Services</v>
      </c>
      <c r="I330" s="3" t="str">
        <f>IFERROR(__xludf.DUMMYFUNCTION("""COMPUTED_VALUE"""),"Health - Provider FFG")</f>
        <v>Health - Provider FFG</v>
      </c>
      <c r="J330" s="3" t="str">
        <f>IFERROR(__xludf.DUMMYFUNCTION("""COMPUTED_VALUE"""),"Partner")</f>
        <v>Partner</v>
      </c>
      <c r="K330" s="12">
        <f>IFERROR(__xludf.DUMMYFUNCTION("""COMPUTED_VALUE"""),41162.0)</f>
        <v>41162</v>
      </c>
      <c r="L330" s="3" t="str">
        <f>IFERROR(__xludf.DUMMYFUNCTION("""COMPUTED_VALUE"""),"Dallas")</f>
        <v>Dallas</v>
      </c>
      <c r="M330" s="3" t="str">
        <f>IFERROR(__xludf.DUMMYFUNCTION("""COMPUTED_VALUE"""),"Dallas - 2121 North Pearl Street")</f>
        <v>Dallas - 2121 North Pearl Street</v>
      </c>
      <c r="N330" s="3" t="b">
        <f>IFERROR(__xludf.DUMMYFUNCTION("""COMPUTED_VALUE"""),FALSE)</f>
        <v>0</v>
      </c>
      <c r="O330" s="3" t="str">
        <f>IFERROR(__xludf.DUMMYFUNCTION("""COMPUTED_VALUE"""),"craig.e.gooch@pwc.com")</f>
        <v>craig.e.gooch@pwc.com</v>
      </c>
      <c r="P330" s="3" t="str">
        <f>IFERROR(__xludf.DUMMYFUNCTION("""COMPUTED_VALUE"""),"No")</f>
        <v>No</v>
      </c>
      <c r="Q330" s="3" t="b">
        <f>IFERROR(__xludf.DUMMYFUNCTION("""COMPUTED_VALUE"""),FALSE)</f>
        <v>0</v>
      </c>
      <c r="R330" s="3"/>
      <c r="S330" s="3"/>
      <c r="T330" s="3" t="b">
        <f>IFERROR(__xludf.DUMMYFUNCTION("""COMPUTED_VALUE"""),FALSE)</f>
        <v>0</v>
      </c>
      <c r="U330" s="3" t="b">
        <f>IFERROR(__xludf.DUMMYFUNCTION("""COMPUTED_VALUE"""),TRUE)</f>
        <v>1</v>
      </c>
      <c r="V330" s="3" t="b">
        <f>IFERROR(__xludf.DUMMYFUNCTION("""COMPUTED_VALUE"""),FALSE)</f>
        <v>0</v>
      </c>
      <c r="W330" s="3" t="str">
        <f>IFERROR(__xludf.DUMMYFUNCTION("""COMPUTED_VALUE"""),"Delivery")</f>
        <v>Delivery</v>
      </c>
      <c r="X330" s="3"/>
      <c r="Y330" s="3"/>
      <c r="Z330" s="3" t="str">
        <f>IFERROR(__xludf.DUMMYFUNCTION("""COMPUTED_VALUE"""),"Provider Transformation")</f>
        <v>Provider Transformation</v>
      </c>
      <c r="AA330" s="3" t="b">
        <f>IFERROR(__xludf.DUMMYFUNCTION("""COMPUTED_VALUE"""),FALSE)</f>
        <v>0</v>
      </c>
    </row>
    <row r="331">
      <c r="A331" s="11">
        <f>IFERROR(__xludf.DUMMYFUNCTION("""COMPUTED_VALUE"""),1.0066064E8)</f>
        <v>100660640</v>
      </c>
      <c r="B331" s="3" t="str">
        <f>IFERROR(__xludf.DUMMYFUNCTION("""COMPUTED_VALUE"""),"Jonathan Kletzel")</f>
        <v>Jonathan Kletzel</v>
      </c>
      <c r="C331" s="3" t="str">
        <f>IFERROR(__xludf.DUMMYFUNCTION("""COMPUTED_VALUE"""),"Jonathan  Kletzel")</f>
        <v>Jonathan  Kletzel</v>
      </c>
      <c r="D331" s="3" t="str">
        <f>IFERROR(__xludf.DUMMYFUNCTION("""COMPUTED_VALUE"""),"Kletzel, Jonathan")</f>
        <v>Kletzel, Jonathan</v>
      </c>
      <c r="E331" s="3" t="str">
        <f>IFERROR(__xludf.DUMMYFUNCTION("""COMPUTED_VALUE"""),"Active")</f>
        <v>Active</v>
      </c>
      <c r="F331" s="3" t="str">
        <f>IFERROR(__xludf.DUMMYFUNCTION("""COMPUTED_VALUE"""),"jonathan.kletzel@pwc.com")</f>
        <v>jonathan.kletzel@pwc.com</v>
      </c>
      <c r="G331" s="3" t="str">
        <f>IFERROR(__xludf.DUMMYFUNCTION("""COMPUTED_VALUE"""),"Customer")</f>
        <v>Customer</v>
      </c>
      <c r="H331" s="3" t="str">
        <f>IFERROR(__xludf.DUMMYFUNCTION("""COMPUTED_VALUE"""),"CM X-Sector")</f>
        <v>CM X-Sector</v>
      </c>
      <c r="I331" s="3" t="str">
        <f>IFERROR(__xludf.DUMMYFUNCTION("""COMPUTED_VALUE"""),"Customer - Customer Strategy &amp; Experience")</f>
        <v>Customer - Customer Strategy &amp; Experience</v>
      </c>
      <c r="J331" s="3" t="str">
        <f>IFERROR(__xludf.DUMMYFUNCTION("""COMPUTED_VALUE"""),"Partner")</f>
        <v>Partner</v>
      </c>
      <c r="K331" s="12">
        <f>IFERROR(__xludf.DUMMYFUNCTION("""COMPUTED_VALUE"""),40485.0)</f>
        <v>40485</v>
      </c>
      <c r="L331" s="3" t="str">
        <f>IFERROR(__xludf.DUMMYFUNCTION("""COMPUTED_VALUE"""),"Chicago")</f>
        <v>Chicago</v>
      </c>
      <c r="M331" s="3" t="str">
        <f>IFERROR(__xludf.DUMMYFUNCTION("""COMPUTED_VALUE"""),"Chicago - One North Wacker Drive")</f>
        <v>Chicago - One North Wacker Drive</v>
      </c>
      <c r="N331" s="3" t="b">
        <f>IFERROR(__xludf.DUMMYFUNCTION("""COMPUTED_VALUE"""),TRUE)</f>
        <v>1</v>
      </c>
      <c r="O331" s="3" t="str">
        <f>IFERROR(__xludf.DUMMYFUNCTION("""COMPUTED_VALUE"""),"george.korizis@pwc.com")</f>
        <v>george.korizis@pwc.com</v>
      </c>
      <c r="P331" s="3" t="str">
        <f>IFERROR(__xludf.DUMMYFUNCTION("""COMPUTED_VALUE"""),"No")</f>
        <v>No</v>
      </c>
      <c r="Q331" s="3" t="b">
        <f>IFERROR(__xludf.DUMMYFUNCTION("""COMPUTED_VALUE"""),TRUE)</f>
        <v>1</v>
      </c>
      <c r="R331" s="3" t="str">
        <f>IFERROR(__xludf.DUMMYFUNCTION("""COMPUTED_VALUE"""),"LCP Low")</f>
        <v>LCP Low</v>
      </c>
      <c r="S331" s="3"/>
      <c r="T331" s="3" t="b">
        <f>IFERROR(__xludf.DUMMYFUNCTION("""COMPUTED_VALUE"""),FALSE)</f>
        <v>0</v>
      </c>
      <c r="U331" s="3" t="b">
        <f>IFERROR(__xludf.DUMMYFUNCTION("""COMPUTED_VALUE"""),FALSE)</f>
        <v>0</v>
      </c>
      <c r="V331" s="3" t="b">
        <f>IFERROR(__xludf.DUMMYFUNCTION("""COMPUTED_VALUE"""),FALSE)</f>
        <v>0</v>
      </c>
      <c r="W331" s="3" t="str">
        <f>IFERROR(__xludf.DUMMYFUNCTION("""COMPUTED_VALUE"""),"LCP")</f>
        <v>LCP</v>
      </c>
      <c r="X331" s="3"/>
      <c r="Y331" s="3" t="str">
        <f>IFERROR(__xludf.DUMMYFUNCTION("""COMPUTED_VALUE"""),"GEP - Low")</f>
        <v>GEP - Low</v>
      </c>
      <c r="Z331" s="3" t="str">
        <f>IFERROR(__xludf.DUMMYFUNCTION("""COMPUTED_VALUE"""),"Commercial / CRM Transformation - CM &amp; IPS &amp; HIA")</f>
        <v>Commercial / CRM Transformation - CM &amp; IPS &amp; HIA</v>
      </c>
      <c r="AA331" s="3" t="b">
        <f>IFERROR(__xludf.DUMMYFUNCTION("""COMPUTED_VALUE"""),FALSE)</f>
        <v>0</v>
      </c>
    </row>
    <row r="332">
      <c r="A332" s="11">
        <f>IFERROR(__xludf.DUMMYFUNCTION("""COMPUTED_VALUE"""),1.00616269E8)</f>
        <v>100616269</v>
      </c>
      <c r="B332" s="3" t="str">
        <f>IFERROR(__xludf.DUMMYFUNCTION("""COMPUTED_VALUE"""),"Jose Reyes")</f>
        <v>Jose Reyes</v>
      </c>
      <c r="C332" s="3" t="str">
        <f>IFERROR(__xludf.DUMMYFUNCTION("""COMPUTED_VALUE"""),"Jose M Reyes")</f>
        <v>Jose M Reyes</v>
      </c>
      <c r="D332" s="3" t="str">
        <f>IFERROR(__xludf.DUMMYFUNCTION("""COMPUTED_VALUE"""),"Reyes, Jose M")</f>
        <v>Reyes, Jose M</v>
      </c>
      <c r="E332" s="3" t="str">
        <f>IFERROR(__xludf.DUMMYFUNCTION("""COMPUTED_VALUE"""),"Active")</f>
        <v>Active</v>
      </c>
      <c r="F332" s="3" t="str">
        <f>IFERROR(__xludf.DUMMYFUNCTION("""COMPUTED_VALUE"""),"jose.m.reyes@pwc.com")</f>
        <v>jose.m.reyes@pwc.com</v>
      </c>
      <c r="G332" s="3" t="str">
        <f>IFERROR(__xludf.DUMMYFUNCTION("""COMPUTED_VALUE"""),"Customer")</f>
        <v>Customer</v>
      </c>
      <c r="H332" s="3" t="str">
        <f>IFERROR(__xludf.DUMMYFUNCTION("""COMPUTED_VALUE"""),"HI X-Sector")</f>
        <v>HI X-Sector</v>
      </c>
      <c r="I332" s="3" t="str">
        <f>IFERROR(__xludf.DUMMYFUNCTION("""COMPUTED_VALUE"""),"Customer - Customer Strategy &amp; Experience")</f>
        <v>Customer - Customer Strategy &amp; Experience</v>
      </c>
      <c r="J332" s="3" t="str">
        <f>IFERROR(__xludf.DUMMYFUNCTION("""COMPUTED_VALUE"""),"Partner")</f>
        <v>Partner</v>
      </c>
      <c r="K332" s="12">
        <f>IFERROR(__xludf.DUMMYFUNCTION("""COMPUTED_VALUE"""),41645.0)</f>
        <v>41645</v>
      </c>
      <c r="L332" s="3" t="str">
        <f>IFERROR(__xludf.DUMMYFUNCTION("""COMPUTED_VALUE"""),"Hallandale Beach")</f>
        <v>Hallandale Beach</v>
      </c>
      <c r="M332" s="3" t="str">
        <f>IFERROR(__xludf.DUMMYFUNCTION("""COMPUTED_VALUE"""),"Hallandale Beach - 600 Silks Run")</f>
        <v>Hallandale Beach - 600 Silks Run</v>
      </c>
      <c r="N332" s="3" t="b">
        <f>IFERROR(__xludf.DUMMYFUNCTION("""COMPUTED_VALUE"""),FALSE)</f>
        <v>0</v>
      </c>
      <c r="O332" s="3" t="str">
        <f>IFERROR(__xludf.DUMMYFUNCTION("""COMPUTED_VALUE"""),"george.korizis@pwc.com")</f>
        <v>george.korizis@pwc.com</v>
      </c>
      <c r="P332" s="3" t="str">
        <f>IFERROR(__xludf.DUMMYFUNCTION("""COMPUTED_VALUE"""),"No")</f>
        <v>No</v>
      </c>
      <c r="Q332" s="3" t="b">
        <f>IFERROR(__xludf.DUMMYFUNCTION("""COMPUTED_VALUE"""),FALSE)</f>
        <v>0</v>
      </c>
      <c r="R332" s="3"/>
      <c r="S332" s="3"/>
      <c r="T332" s="3" t="b">
        <f>IFERROR(__xludf.DUMMYFUNCTION("""COMPUTED_VALUE"""),TRUE)</f>
        <v>1</v>
      </c>
      <c r="U332" s="3" t="b">
        <f>IFERROR(__xludf.DUMMYFUNCTION("""COMPUTED_VALUE"""),FALSE)</f>
        <v>0</v>
      </c>
      <c r="V332" s="3" t="b">
        <f>IFERROR(__xludf.DUMMYFUNCTION("""COMPUTED_VALUE"""),FALSE)</f>
        <v>0</v>
      </c>
      <c r="W332" s="3" t="str">
        <f>IFERROR(__xludf.DUMMYFUNCTION("""COMPUTED_VALUE"""),"Delivery")</f>
        <v>Delivery</v>
      </c>
      <c r="X332" s="3"/>
      <c r="Y332" s="3" t="str">
        <f>IFERROR(__xludf.DUMMYFUNCTION("""COMPUTED_VALUE"""),"Rainmaker")</f>
        <v>Rainmaker</v>
      </c>
      <c r="Z332" s="3" t="str">
        <f>IFERROR(__xludf.DUMMYFUNCTION("""COMPUTED_VALUE"""),"Marketing Transformation")</f>
        <v>Marketing Transformation</v>
      </c>
      <c r="AA332" s="3" t="b">
        <f>IFERROR(__xludf.DUMMYFUNCTION("""COMPUTED_VALUE"""),FALSE)</f>
        <v>0</v>
      </c>
    </row>
    <row r="333">
      <c r="A333" s="11">
        <f>IFERROR(__xludf.DUMMYFUNCTION("""COMPUTED_VALUE"""),1.01144348E8)</f>
        <v>101144348</v>
      </c>
      <c r="B333" s="3" t="str">
        <f>IFERROR(__xludf.DUMMYFUNCTION("""COMPUTED_VALUE"""),"Joseph Calandro")</f>
        <v>Joseph Calandro</v>
      </c>
      <c r="C333" s="3" t="str">
        <f>IFERROR(__xludf.DUMMYFUNCTION("""COMPUTED_VALUE"""),"Joseph  Calandro")</f>
        <v>Joseph  Calandro</v>
      </c>
      <c r="D333" s="3" t="str">
        <f>IFERROR(__xludf.DUMMYFUNCTION("""COMPUTED_VALUE"""),"Calandro, Joseph")</f>
        <v>Calandro, Joseph</v>
      </c>
      <c r="E333" s="3" t="str">
        <f>IFERROR(__xludf.DUMMYFUNCTION("""COMPUTED_VALUE"""),"Active")</f>
        <v>Active</v>
      </c>
      <c r="F333" s="3" t="str">
        <f>IFERROR(__xludf.DUMMYFUNCTION("""COMPUTED_VALUE"""),"calandro.joseph@pwc.com")</f>
        <v>calandro.joseph@pwc.com</v>
      </c>
      <c r="G333" s="3" t="str">
        <f>IFERROR(__xludf.DUMMYFUNCTION("""COMPUTED_VALUE"""),"ESV")</f>
        <v>ESV</v>
      </c>
      <c r="H333" s="3" t="str">
        <f>IFERROR(__xludf.DUMMYFUNCTION("""COMPUTED_VALUE"""),"Insurance")</f>
        <v>Insurance</v>
      </c>
      <c r="I333" s="3" t="str">
        <f>IFERROR(__xludf.DUMMYFUNCTION("""COMPUTED_VALUE"""),"ESV - Insurance")</f>
        <v>ESV - Insurance</v>
      </c>
      <c r="J333" s="3" t="str">
        <f>IFERROR(__xludf.DUMMYFUNCTION("""COMPUTED_VALUE"""),"Managing Director")</f>
        <v>Managing Director</v>
      </c>
      <c r="K333" s="12">
        <f>IFERROR(__xludf.DUMMYFUNCTION("""COMPUTED_VALUE"""),44481.0)</f>
        <v>44481</v>
      </c>
      <c r="L333" s="3" t="str">
        <f>IFERROR(__xludf.DUMMYFUNCTION("""COMPUTED_VALUE"""),"Philadelphia")</f>
        <v>Philadelphia</v>
      </c>
      <c r="M333" s="3" t="str">
        <f>IFERROR(__xludf.DUMMYFUNCTION("""COMPUTED_VALUE"""),"Philadelphia - Two Commerce Square, Suite 1800")</f>
        <v>Philadelphia - Two Commerce Square, Suite 1800</v>
      </c>
      <c r="N333" s="3" t="b">
        <f>IFERROR(__xludf.DUMMYFUNCTION("""COMPUTED_VALUE"""),FALSE)</f>
        <v>0</v>
      </c>
      <c r="O333" s="3" t="str">
        <f>IFERROR(__xludf.DUMMYFUNCTION("""COMPUTED_VALUE"""),"john.v.mulhall@pwc.com")</f>
        <v>john.v.mulhall@pwc.com</v>
      </c>
      <c r="P333" s="3" t="str">
        <f>IFERROR(__xludf.DUMMYFUNCTION("""COMPUTED_VALUE"""),"FY22")</f>
        <v>FY22</v>
      </c>
      <c r="Q333" s="3" t="b">
        <f>IFERROR(__xludf.DUMMYFUNCTION("""COMPUTED_VALUE"""),FALSE)</f>
        <v>0</v>
      </c>
      <c r="R333" s="3"/>
      <c r="S333" s="3"/>
      <c r="T333" s="3" t="b">
        <f>IFERROR(__xludf.DUMMYFUNCTION("""COMPUTED_VALUE"""),FALSE)</f>
        <v>0</v>
      </c>
      <c r="U333" s="3" t="b">
        <f>IFERROR(__xludf.DUMMYFUNCTION("""COMPUTED_VALUE"""),TRUE)</f>
        <v>1</v>
      </c>
      <c r="V333" s="3" t="b">
        <f>IFERROR(__xludf.DUMMYFUNCTION("""COMPUTED_VALUE"""),FALSE)</f>
        <v>0</v>
      </c>
      <c r="W333" s="3" t="str">
        <f>IFERROR(__xludf.DUMMYFUNCTION("""COMPUTED_VALUE"""),"Catalyst")</f>
        <v>Catalyst</v>
      </c>
      <c r="X333" s="3"/>
      <c r="Y333" s="3" t="str">
        <f>IFERROR(__xludf.DUMMYFUNCTION("""COMPUTED_VALUE"""),"FY22")</f>
        <v>FY22</v>
      </c>
      <c r="Z333" s="3" t="str">
        <f>IFERROR(__xludf.DUMMYFUNCTION("""COMPUTED_VALUE"""),"Enterprise Digital Transformation - BCM &amp; AWM")</f>
        <v>Enterprise Digital Transformation - BCM &amp; AWM</v>
      </c>
      <c r="AA333" s="3" t="b">
        <f>IFERROR(__xludf.DUMMYFUNCTION("""COMPUTED_VALUE"""),FALSE)</f>
        <v>0</v>
      </c>
    </row>
    <row r="334">
      <c r="A334" s="11">
        <f>IFERROR(__xludf.DUMMYFUNCTION("""COMPUTED_VALUE"""),1.01246871E8)</f>
        <v>101246871</v>
      </c>
      <c r="B334" s="3" t="str">
        <f>IFERROR(__xludf.DUMMYFUNCTION("""COMPUTED_VALUE"""),"Joseph Doering")</f>
        <v>Joseph Doering</v>
      </c>
      <c r="C334" s="3" t="str">
        <f>IFERROR(__xludf.DUMMYFUNCTION("""COMPUTED_VALUE"""),"Joseph Doering")</f>
        <v>Joseph Doering</v>
      </c>
      <c r="D334" s="3" t="str">
        <f>IFERROR(__xludf.DUMMYFUNCTION("""COMPUTED_VALUE"""),"Doering, Joseph")</f>
        <v>Doering, Joseph</v>
      </c>
      <c r="E334" s="3" t="str">
        <f>IFERROR(__xludf.DUMMYFUNCTION("""COMPUTED_VALUE"""),"Active")</f>
        <v>Active</v>
      </c>
      <c r="F334" s="3" t="str">
        <f>IFERROR(__xludf.DUMMYFUNCTION("""COMPUTED_VALUE"""),"joseph.doering@pwc.com")</f>
        <v>joseph.doering@pwc.com</v>
      </c>
      <c r="G334" s="3" t="str">
        <f>IFERROR(__xludf.DUMMYFUNCTION("""COMPUTED_VALUE"""),"ESV")</f>
        <v>ESV</v>
      </c>
      <c r="H334" s="3" t="str">
        <f>IFERROR(__xludf.DUMMYFUNCTION("""COMPUTED_VALUE"""),"TMT X-Sector")</f>
        <v>TMT X-Sector</v>
      </c>
      <c r="I334" s="3" t="str">
        <f>IFERROR(__xludf.DUMMYFUNCTION("""COMPUTED_VALUE"""),"Unknown")</f>
        <v>Unknown</v>
      </c>
      <c r="J334" s="3" t="str">
        <f>IFERROR(__xludf.DUMMYFUNCTION("""COMPUTED_VALUE"""),"Partner")</f>
        <v>Partner</v>
      </c>
      <c r="K334" s="12">
        <f>IFERROR(__xludf.DUMMYFUNCTION("""COMPUTED_VALUE"""),44704.0)</f>
        <v>44704</v>
      </c>
      <c r="L334" s="3" t="str">
        <f>IFERROR(__xludf.DUMMYFUNCTION("""COMPUTED_VALUE"""),"Kansas City")</f>
        <v>Kansas City</v>
      </c>
      <c r="M334" s="3" t="str">
        <f>IFERROR(__xludf.DUMMYFUNCTION("""COMPUTED_VALUE"""),"Unknown")</f>
        <v>Unknown</v>
      </c>
      <c r="N334" s="3" t="str">
        <f>IFERROR(__xludf.DUMMYFUNCTION("""COMPUTED_VALUE"""),"Unknown")</f>
        <v>Unknown</v>
      </c>
      <c r="O334" s="3" t="str">
        <f>IFERROR(__xludf.DUMMYFUNCTION("""COMPUTED_VALUE"""),"Unknown")</f>
        <v>Unknown</v>
      </c>
      <c r="P334" s="3" t="str">
        <f>IFERROR(__xludf.DUMMYFUNCTION("""COMPUTED_VALUE"""),"FY22")</f>
        <v>FY22</v>
      </c>
      <c r="Q334" s="3" t="str">
        <f>IFERROR(__xludf.DUMMYFUNCTION("""COMPUTED_VALUE"""),"Unknown")</f>
        <v>Unknown</v>
      </c>
      <c r="R334" s="3" t="str">
        <f>IFERROR(__xludf.DUMMYFUNCTION("""COMPUTED_VALUE"""),"Unknown")</f>
        <v>Unknown</v>
      </c>
      <c r="S334" s="3"/>
      <c r="T334" s="3" t="str">
        <f>IFERROR(__xludf.DUMMYFUNCTION("""COMPUTED_VALUE"""),"Unknown")</f>
        <v>Unknown</v>
      </c>
      <c r="U334" s="3" t="str">
        <f>IFERROR(__xludf.DUMMYFUNCTION("""COMPUTED_VALUE"""),"Unknown")</f>
        <v>Unknown</v>
      </c>
      <c r="V334" s="3" t="str">
        <f>IFERROR(__xludf.DUMMYFUNCTION("""COMPUTED_VALUE"""),"Unknown")</f>
        <v>Unknown</v>
      </c>
      <c r="W334" s="3" t="str">
        <f>IFERROR(__xludf.DUMMYFUNCTION("""COMPUTED_VALUE"""),"Catalyst")</f>
        <v>Catalyst</v>
      </c>
      <c r="X334" s="3" t="str">
        <f>IFERROR(__xludf.DUMMYFUNCTION("""COMPUTED_VALUE"""),"Unknown")</f>
        <v>Unknown</v>
      </c>
      <c r="Y334" s="3" t="str">
        <f>IFERROR(__xludf.DUMMYFUNCTION("""COMPUTED_VALUE"""),"Unknown")</f>
        <v>Unknown</v>
      </c>
      <c r="Z334" s="3" t="str">
        <f>IFERROR(__xludf.DUMMYFUNCTION("""COMPUTED_VALUE"""),"Unknown")</f>
        <v>Unknown</v>
      </c>
      <c r="AA334" s="3" t="str">
        <f>IFERROR(__xludf.DUMMYFUNCTION("""COMPUTED_VALUE"""),"Unknown")</f>
        <v>Unknown</v>
      </c>
    </row>
    <row r="335">
      <c r="A335" s="11">
        <f>IFERROR(__xludf.DUMMYFUNCTION("""COMPUTED_VALUE"""),1.00904601E8)</f>
        <v>100904601</v>
      </c>
      <c r="B335" s="3" t="str">
        <f>IFERROR(__xludf.DUMMYFUNCTION("""COMPUTED_VALUE"""),"Joseph Joy")</f>
        <v>Joseph Joy</v>
      </c>
      <c r="C335" s="3" t="str">
        <f>IFERROR(__xludf.DUMMYFUNCTION("""COMPUTED_VALUE"""),"Joseph  Joy")</f>
        <v>Joseph  Joy</v>
      </c>
      <c r="D335" s="3" t="str">
        <f>IFERROR(__xludf.DUMMYFUNCTION("""COMPUTED_VALUE"""),"Joy, Joseph")</f>
        <v>Joy, Joseph</v>
      </c>
      <c r="E335" s="3" t="str">
        <f>IFERROR(__xludf.DUMMYFUNCTION("""COMPUTED_VALUE"""),"Active")</f>
        <v>Active</v>
      </c>
      <c r="F335" s="3" t="str">
        <f>IFERROR(__xludf.DUMMYFUNCTION("""COMPUTED_VALUE"""),"joseph.joy@pwc.com")</f>
        <v>joseph.joy@pwc.com</v>
      </c>
      <c r="G335" s="3" t="str">
        <f>IFERROR(__xludf.DUMMYFUNCTION("""COMPUTED_VALUE"""),"Deals Transformation")</f>
        <v>Deals Transformation</v>
      </c>
      <c r="H335" s="3" t="str">
        <f>IFERROR(__xludf.DUMMYFUNCTION("""COMPUTED_VALUE"""),"TMT X-Sector")</f>
        <v>TMT X-Sector</v>
      </c>
      <c r="I335" s="3" t="str">
        <f>IFERROR(__xludf.DUMMYFUNCTION("""COMPUTED_VALUE"""),"DDV - IT")</f>
        <v>DDV - IT</v>
      </c>
      <c r="J335" s="3" t="str">
        <f>IFERROR(__xludf.DUMMYFUNCTION("""COMPUTED_VALUE"""),"Partner")</f>
        <v>Partner</v>
      </c>
      <c r="K335" s="12">
        <f>IFERROR(__xludf.DUMMYFUNCTION("""COMPUTED_VALUE"""),43619.0)</f>
        <v>43619</v>
      </c>
      <c r="L335" s="3" t="str">
        <f>IFERROR(__xludf.DUMMYFUNCTION("""COMPUTED_VALUE"""),"San Jose")</f>
        <v>San Jose</v>
      </c>
      <c r="M335" s="3" t="str">
        <f>IFERROR(__xludf.DUMMYFUNCTION("""COMPUTED_VALUE"""),"San Jose - 488 Almaden Boulevard")</f>
        <v>San Jose - 488 Almaden Boulevard</v>
      </c>
      <c r="N335" s="3" t="b">
        <f>IFERROR(__xludf.DUMMYFUNCTION("""COMPUTED_VALUE"""),TRUE)</f>
        <v>1</v>
      </c>
      <c r="O335" s="3" t="str">
        <f>IFERROR(__xludf.DUMMYFUNCTION("""COMPUTED_VALUE"""),"derek.b.townsend@pwc.com")</f>
        <v>derek.b.townsend@pwc.com</v>
      </c>
      <c r="P335" s="3" t="str">
        <f>IFERROR(__xludf.DUMMYFUNCTION("""COMPUTED_VALUE"""),"No")</f>
        <v>No</v>
      </c>
      <c r="Q335" s="3" t="b">
        <f>IFERROR(__xludf.DUMMYFUNCTION("""COMPUTED_VALUE"""),FALSE)</f>
        <v>0</v>
      </c>
      <c r="R335" s="3"/>
      <c r="S335" s="3"/>
      <c r="T335" s="3" t="b">
        <f>IFERROR(__xludf.DUMMYFUNCTION("""COMPUTED_VALUE"""),FALSE)</f>
        <v>0</v>
      </c>
      <c r="U335" s="3" t="b">
        <f>IFERROR(__xludf.DUMMYFUNCTION("""COMPUTED_VALUE"""),FALSE)</f>
        <v>0</v>
      </c>
      <c r="V335" s="3" t="b">
        <f>IFERROR(__xludf.DUMMYFUNCTION("""COMPUTED_VALUE"""),FALSE)</f>
        <v>0</v>
      </c>
      <c r="W335" s="3" t="str">
        <f>IFERROR(__xludf.DUMMYFUNCTION("""COMPUTED_VALUE"""),"Delivery")</f>
        <v>Delivery</v>
      </c>
      <c r="X335" s="3" t="str">
        <f>IFERROR(__xludf.DUMMYFUNCTION("""COMPUTED_VALUE"""),"Investment")</f>
        <v>Investment</v>
      </c>
      <c r="Y335" s="3"/>
      <c r="Z335" s="3" t="str">
        <f>IFERROR(__xludf.DUMMYFUNCTION("""COMPUTED_VALUE"""),"Corporate M&amp;A Transformation - TMT")</f>
        <v>Corporate M&amp;A Transformation - TMT</v>
      </c>
      <c r="AA335" s="3" t="b">
        <f>IFERROR(__xludf.DUMMYFUNCTION("""COMPUTED_VALUE"""),FALSE)</f>
        <v>0</v>
      </c>
    </row>
    <row r="336">
      <c r="A336" s="11">
        <f>IFERROR(__xludf.DUMMYFUNCTION("""COMPUTED_VALUE"""),1.00639477E8)</f>
        <v>100639477</v>
      </c>
      <c r="B336" s="3" t="str">
        <f>IFERROR(__xludf.DUMMYFUNCTION("""COMPUTED_VALUE"""),"Joseph Lamano")</f>
        <v>Joseph Lamano</v>
      </c>
      <c r="C336" s="3" t="str">
        <f>IFERROR(__xludf.DUMMYFUNCTION("""COMPUTED_VALUE"""),"Joseph F Lamano")</f>
        <v>Joseph F Lamano</v>
      </c>
      <c r="D336" s="3" t="str">
        <f>IFERROR(__xludf.DUMMYFUNCTION("""COMPUTED_VALUE"""),"Lamano, Joseph F")</f>
        <v>Lamano, Joseph F</v>
      </c>
      <c r="E336" s="3" t="str">
        <f>IFERROR(__xludf.DUMMYFUNCTION("""COMPUTED_VALUE"""),"Active")</f>
        <v>Active</v>
      </c>
      <c r="F336" s="3" t="str">
        <f>IFERROR(__xludf.DUMMYFUNCTION("""COMPUTED_VALUE"""),"joseph.lamano@pwc.com")</f>
        <v>joseph.lamano@pwc.com</v>
      </c>
      <c r="G336" s="3" t="str">
        <f>IFERROR(__xludf.DUMMYFUNCTION("""COMPUTED_VALUE"""),"Customer")</f>
        <v>Customer</v>
      </c>
      <c r="H336" s="3" t="str">
        <f>IFERROR(__xludf.DUMMYFUNCTION("""COMPUTED_VALUE"""),"CM X-Sector")</f>
        <v>CM X-Sector</v>
      </c>
      <c r="I336" s="3" t="str">
        <f>IFERROR(__xludf.DUMMYFUNCTION("""COMPUTED_VALUE"""),"Customer - Marketing")</f>
        <v>Customer - Marketing</v>
      </c>
      <c r="J336" s="3" t="str">
        <f>IFERROR(__xludf.DUMMYFUNCTION("""COMPUTED_VALUE"""),"Partner")</f>
        <v>Partner</v>
      </c>
      <c r="K336" s="12">
        <f>IFERROR(__xludf.DUMMYFUNCTION("""COMPUTED_VALUE"""),39980.0)</f>
        <v>39980</v>
      </c>
      <c r="L336" s="3" t="str">
        <f>IFERROR(__xludf.DUMMYFUNCTION("""COMPUTED_VALUE"""),"New York")</f>
        <v>New York</v>
      </c>
      <c r="M336" s="3" t="str">
        <f>IFERROR(__xludf.DUMMYFUNCTION("""COMPUTED_VALUE"""),"New York - 300 Madison Avenue")</f>
        <v>New York - 300 Madison Avenue</v>
      </c>
      <c r="N336" s="3" t="b">
        <f>IFERROR(__xludf.DUMMYFUNCTION("""COMPUTED_VALUE"""),FALSE)</f>
        <v>0</v>
      </c>
      <c r="O336" s="3" t="str">
        <f>IFERROR(__xludf.DUMMYFUNCTION("""COMPUTED_VALUE"""),"george.korizis@pwc.com")</f>
        <v>george.korizis@pwc.com</v>
      </c>
      <c r="P336" s="3" t="str">
        <f>IFERROR(__xludf.DUMMYFUNCTION("""COMPUTED_VALUE"""),"No")</f>
        <v>No</v>
      </c>
      <c r="Q336" s="3" t="b">
        <f>IFERROR(__xludf.DUMMYFUNCTION("""COMPUTED_VALUE"""),FALSE)</f>
        <v>0</v>
      </c>
      <c r="R336" s="3"/>
      <c r="S336" s="3"/>
      <c r="T336" s="3" t="b">
        <f>IFERROR(__xludf.DUMMYFUNCTION("""COMPUTED_VALUE"""),FALSE)</f>
        <v>0</v>
      </c>
      <c r="U336" s="3" t="b">
        <f>IFERROR(__xludf.DUMMYFUNCTION("""COMPUTED_VALUE"""),TRUE)</f>
        <v>1</v>
      </c>
      <c r="V336" s="3" t="b">
        <f>IFERROR(__xludf.DUMMYFUNCTION("""COMPUTED_VALUE"""),FALSE)</f>
        <v>0</v>
      </c>
      <c r="W336" s="3" t="str">
        <f>IFERROR(__xludf.DUMMYFUNCTION("""COMPUTED_VALUE"""),"Delivery")</f>
        <v>Delivery</v>
      </c>
      <c r="X336" s="3"/>
      <c r="Y336" s="3"/>
      <c r="Z336" s="3" t="str">
        <f>IFERROR(__xludf.DUMMYFUNCTION("""COMPUTED_VALUE"""),"Marketing Transformation")</f>
        <v>Marketing Transformation</v>
      </c>
      <c r="AA336" s="3" t="b">
        <f>IFERROR(__xludf.DUMMYFUNCTION("""COMPUTED_VALUE"""),FALSE)</f>
        <v>0</v>
      </c>
    </row>
    <row r="337">
      <c r="A337" s="11">
        <f>IFERROR(__xludf.DUMMYFUNCTION("""COMPUTED_VALUE"""),1.00910211E8)</f>
        <v>100910211</v>
      </c>
      <c r="B337" s="3" t="str">
        <f>IFERROR(__xludf.DUMMYFUNCTION("""COMPUTED_VALUE"""),"Joseph Rahaim")</f>
        <v>Joseph Rahaim</v>
      </c>
      <c r="C337" s="3" t="str">
        <f>IFERROR(__xludf.DUMMYFUNCTION("""COMPUTED_VALUE"""),"Joseph W. Rahaim")</f>
        <v>Joseph W. Rahaim</v>
      </c>
      <c r="D337" s="3" t="str">
        <f>IFERROR(__xludf.DUMMYFUNCTION("""COMPUTED_VALUE"""),"Rahaim, Joseph W.")</f>
        <v>Rahaim, Joseph W.</v>
      </c>
      <c r="E337" s="3" t="str">
        <f>IFERROR(__xludf.DUMMYFUNCTION("""COMPUTED_VALUE"""),"Active")</f>
        <v>Active</v>
      </c>
      <c r="F337" s="3" t="str">
        <f>IFERROR(__xludf.DUMMYFUNCTION("""COMPUTED_VALUE"""),"joseph.rahaim@pwc.com")</f>
        <v>joseph.rahaim@pwc.com</v>
      </c>
      <c r="G337" s="3" t="str">
        <f>IFERROR(__xludf.DUMMYFUNCTION("""COMPUTED_VALUE"""),"Deals Transformation")</f>
        <v>Deals Transformation</v>
      </c>
      <c r="H337" s="3" t="str">
        <f>IFERROR(__xludf.DUMMYFUNCTION("""COMPUTED_VALUE"""),"Banking and Capital Markets")</f>
        <v>Banking and Capital Markets</v>
      </c>
      <c r="I337" s="3" t="str">
        <f>IFERROR(__xludf.DUMMYFUNCTION("""COMPUTED_VALUE"""),"DDV - ISD (Integration, Separation, Divestitures)")</f>
        <v>DDV - ISD (Integration, Separation, Divestitures)</v>
      </c>
      <c r="J337" s="3" t="str">
        <f>IFERROR(__xludf.DUMMYFUNCTION("""COMPUTED_VALUE"""),"Managing Director")</f>
        <v>Managing Director</v>
      </c>
      <c r="K337" s="12">
        <f>IFERROR(__xludf.DUMMYFUNCTION("""COMPUTED_VALUE"""),43640.0)</f>
        <v>43640</v>
      </c>
      <c r="L337" s="3" t="str">
        <f>IFERROR(__xludf.DUMMYFUNCTION("""COMPUTED_VALUE"""),"New York")</f>
        <v>New York</v>
      </c>
      <c r="M337" s="3" t="str">
        <f>IFERROR(__xludf.DUMMYFUNCTION("""COMPUTED_VALUE"""),"New York - 300 Madison Avenue")</f>
        <v>New York - 300 Madison Avenue</v>
      </c>
      <c r="N337" s="3" t="b">
        <f>IFERROR(__xludf.DUMMYFUNCTION("""COMPUTED_VALUE"""),FALSE)</f>
        <v>0</v>
      </c>
      <c r="O337" s="3" t="str">
        <f>IFERROR(__xludf.DUMMYFUNCTION("""COMPUTED_VALUE"""),"paul.g.kennedy@pwc.com")</f>
        <v>paul.g.kennedy@pwc.com</v>
      </c>
      <c r="P337" s="3" t="str">
        <f>IFERROR(__xludf.DUMMYFUNCTION("""COMPUTED_VALUE"""),"No")</f>
        <v>No</v>
      </c>
      <c r="Q337" s="3" t="b">
        <f>IFERROR(__xludf.DUMMYFUNCTION("""COMPUTED_VALUE"""),FALSE)</f>
        <v>0</v>
      </c>
      <c r="R337" s="3"/>
      <c r="S337" s="3"/>
      <c r="T337" s="3" t="b">
        <f>IFERROR(__xludf.DUMMYFUNCTION("""COMPUTED_VALUE"""),FALSE)</f>
        <v>0</v>
      </c>
      <c r="U337" s="3" t="b">
        <f>IFERROR(__xludf.DUMMYFUNCTION("""COMPUTED_VALUE"""),TRUE)</f>
        <v>1</v>
      </c>
      <c r="V337" s="3" t="b">
        <f>IFERROR(__xludf.DUMMYFUNCTION("""COMPUTED_VALUE"""),FALSE)</f>
        <v>0</v>
      </c>
      <c r="W337" s="3" t="str">
        <f>IFERROR(__xludf.DUMMYFUNCTION("""COMPUTED_VALUE"""),"Delivery")</f>
        <v>Delivery</v>
      </c>
      <c r="X337" s="3"/>
      <c r="Y337" s="3"/>
      <c r="Z337" s="3" t="str">
        <f>IFERROR(__xludf.DUMMYFUNCTION("""COMPUTED_VALUE"""),"Corporate M&amp;A Transformation - FS")</f>
        <v>Corporate M&amp;A Transformation - FS</v>
      </c>
      <c r="AA337" s="3" t="b">
        <f>IFERROR(__xludf.DUMMYFUNCTION("""COMPUTED_VALUE"""),FALSE)</f>
        <v>0</v>
      </c>
    </row>
    <row r="338">
      <c r="A338" s="11">
        <f>IFERROR(__xludf.DUMMYFUNCTION("""COMPUTED_VALUE"""),1.01090224E8)</f>
        <v>101090224</v>
      </c>
      <c r="B338" s="3" t="str">
        <f>IFERROR(__xludf.DUMMYFUNCTION("""COMPUTED_VALUE"""),"Josette Beran")</f>
        <v>Josette Beran</v>
      </c>
      <c r="C338" s="3" t="str">
        <f>IFERROR(__xludf.DUMMYFUNCTION("""COMPUTED_VALUE"""),"Josette Marie Beran")</f>
        <v>Josette Marie Beran</v>
      </c>
      <c r="D338" s="3" t="str">
        <f>IFERROR(__xludf.DUMMYFUNCTION("""COMPUTED_VALUE"""),"Beran, Josette Marie")</f>
        <v>Beran, Josette Marie</v>
      </c>
      <c r="E338" s="3" t="str">
        <f>IFERROR(__xludf.DUMMYFUNCTION("""COMPUTED_VALUE"""),"Active")</f>
        <v>Active</v>
      </c>
      <c r="F338" s="3" t="str">
        <f>IFERROR(__xludf.DUMMYFUNCTION("""COMPUTED_VALUE"""),"josette.m.beran@pwc.com")</f>
        <v>josette.m.beran@pwc.com</v>
      </c>
      <c r="G338" s="3" t="str">
        <f>IFERROR(__xludf.DUMMYFUNCTION("""COMPUTED_VALUE"""),"ESV")</f>
        <v>ESV</v>
      </c>
      <c r="H338" s="3" t="str">
        <f>IFERROR(__xludf.DUMMYFUNCTION("""COMPUTED_VALUE"""),"Health Services")</f>
        <v>Health Services</v>
      </c>
      <c r="I338" s="3" t="str">
        <f>IFERROR(__xludf.DUMMYFUNCTION("""COMPUTED_VALUE"""),"ESV - Health Services")</f>
        <v>ESV - Health Services</v>
      </c>
      <c r="J338" s="3" t="str">
        <f>IFERROR(__xludf.DUMMYFUNCTION("""COMPUTED_VALUE"""),"Managing Director")</f>
        <v>Managing Director</v>
      </c>
      <c r="K338" s="12">
        <f>IFERROR(__xludf.DUMMYFUNCTION("""COMPUTED_VALUE"""),44389.0)</f>
        <v>44389</v>
      </c>
      <c r="L338" s="3" t="str">
        <f>IFERROR(__xludf.DUMMYFUNCTION("""COMPUTED_VALUE"""),"Cleveland")</f>
        <v>Cleveland</v>
      </c>
      <c r="M338" s="3" t="str">
        <f>IFERROR(__xludf.DUMMYFUNCTION("""COMPUTED_VALUE"""),"Cleveland - 200 Public Square")</f>
        <v>Cleveland - 200 Public Square</v>
      </c>
      <c r="N338" s="3" t="b">
        <f>IFERROR(__xludf.DUMMYFUNCTION("""COMPUTED_VALUE"""),FALSE)</f>
        <v>0</v>
      </c>
      <c r="O338" s="3" t="str">
        <f>IFERROR(__xludf.DUMMYFUNCTION("""COMPUTED_VALUE"""),"paul.leinwand@pwc.com")</f>
        <v>paul.leinwand@pwc.com</v>
      </c>
      <c r="P338" s="3" t="str">
        <f>IFERROR(__xludf.DUMMYFUNCTION("""COMPUTED_VALUE"""),"FY22")</f>
        <v>FY22</v>
      </c>
      <c r="Q338" s="3" t="b">
        <f>IFERROR(__xludf.DUMMYFUNCTION("""COMPUTED_VALUE"""),FALSE)</f>
        <v>0</v>
      </c>
      <c r="R338" s="3"/>
      <c r="S338" s="3"/>
      <c r="T338" s="3" t="b">
        <f>IFERROR(__xludf.DUMMYFUNCTION("""COMPUTED_VALUE"""),FALSE)</f>
        <v>0</v>
      </c>
      <c r="U338" s="3" t="b">
        <f>IFERROR(__xludf.DUMMYFUNCTION("""COMPUTED_VALUE"""),TRUE)</f>
        <v>1</v>
      </c>
      <c r="V338" s="3" t="b">
        <f>IFERROR(__xludf.DUMMYFUNCTION("""COMPUTED_VALUE"""),FALSE)</f>
        <v>0</v>
      </c>
      <c r="W338" s="3" t="str">
        <f>IFERROR(__xludf.DUMMYFUNCTION("""COMPUTED_VALUE"""),"Catalyst")</f>
        <v>Catalyst</v>
      </c>
      <c r="X338" s="3"/>
      <c r="Y338" s="3" t="str">
        <f>IFERROR(__xludf.DUMMYFUNCTION("""COMPUTED_VALUE"""),"FY22")</f>
        <v>FY22</v>
      </c>
      <c r="Z338" s="3" t="str">
        <f>IFERROR(__xludf.DUMMYFUNCTION("""COMPUTED_VALUE"""),"Enterprise Digital Transformation - Health Services")</f>
        <v>Enterprise Digital Transformation - Health Services</v>
      </c>
      <c r="AA338" s="3" t="b">
        <f>IFERROR(__xludf.DUMMYFUNCTION("""COMPUTED_VALUE"""),FALSE)</f>
        <v>0</v>
      </c>
    </row>
    <row r="339">
      <c r="A339" s="11">
        <f>IFERROR(__xludf.DUMMYFUNCTION("""COMPUTED_VALUE"""),1.00636461E8)</f>
        <v>100636461</v>
      </c>
      <c r="B339" s="3" t="str">
        <f>IFERROR(__xludf.DUMMYFUNCTION("""COMPUTED_VALUE"""),"Josh Horowitz")</f>
        <v>Josh Horowitz</v>
      </c>
      <c r="C339" s="3" t="str">
        <f>IFERROR(__xludf.DUMMYFUNCTION("""COMPUTED_VALUE"""),"Joshua  Horowitz")</f>
        <v>Joshua  Horowitz</v>
      </c>
      <c r="D339" s="3" t="str">
        <f>IFERROR(__xludf.DUMMYFUNCTION("""COMPUTED_VALUE"""),"Horowitz, Joshua")</f>
        <v>Horowitz, Joshua</v>
      </c>
      <c r="E339" s="3" t="str">
        <f>IFERROR(__xludf.DUMMYFUNCTION("""COMPUTED_VALUE"""),"Active")</f>
        <v>Active</v>
      </c>
      <c r="F339" s="3" t="str">
        <f>IFERROR(__xludf.DUMMYFUNCTION("""COMPUTED_VALUE"""),"joshua.horowitz@pwc.com")</f>
        <v>joshua.horowitz@pwc.com</v>
      </c>
      <c r="G339" s="3" t="str">
        <f>IFERROR(__xludf.DUMMYFUNCTION("""COMPUTED_VALUE"""),"FS")</f>
        <v>FS</v>
      </c>
      <c r="H339" s="3" t="str">
        <f>IFERROR(__xludf.DUMMYFUNCTION("""COMPUTED_VALUE"""),"Banking and Capital Markets")</f>
        <v>Banking and Capital Markets</v>
      </c>
      <c r="I339" s="3" t="str">
        <f>IFERROR(__xludf.DUMMYFUNCTION("""COMPUTED_VALUE"""),"FS - Banking and Capital Markets")</f>
        <v>FS - Banking and Capital Markets</v>
      </c>
      <c r="J339" s="3" t="str">
        <f>IFERROR(__xludf.DUMMYFUNCTION("""COMPUTED_VALUE"""),"Partner")</f>
        <v>Partner</v>
      </c>
      <c r="K339" s="12">
        <f>IFERROR(__xludf.DUMMYFUNCTION("""COMPUTED_VALUE"""),39699.0)</f>
        <v>39699</v>
      </c>
      <c r="L339" s="3" t="str">
        <f>IFERROR(__xludf.DUMMYFUNCTION("""COMPUTED_VALUE"""),"New York")</f>
        <v>New York</v>
      </c>
      <c r="M339" s="3" t="str">
        <f>IFERROR(__xludf.DUMMYFUNCTION("""COMPUTED_VALUE"""),"New York - 300 Madison Avenue")</f>
        <v>New York - 300 Madison Avenue</v>
      </c>
      <c r="N339" s="3" t="b">
        <f>IFERROR(__xludf.DUMMYFUNCTION("""COMPUTED_VALUE"""),FALSE)</f>
        <v>0</v>
      </c>
      <c r="O339" s="3" t="str">
        <f>IFERROR(__xludf.DUMMYFUNCTION("""COMPUTED_VALUE"""),"alison.hoover@pwc.com")</f>
        <v>alison.hoover@pwc.com</v>
      </c>
      <c r="P339" s="3" t="str">
        <f>IFERROR(__xludf.DUMMYFUNCTION("""COMPUTED_VALUE"""),"No")</f>
        <v>No</v>
      </c>
      <c r="Q339" s="3" t="b">
        <f>IFERROR(__xludf.DUMMYFUNCTION("""COMPUTED_VALUE"""),FALSE)</f>
        <v>0</v>
      </c>
      <c r="R339" s="3"/>
      <c r="S339" s="3"/>
      <c r="T339" s="3" t="b">
        <f>IFERROR(__xludf.DUMMYFUNCTION("""COMPUTED_VALUE"""),FALSE)</f>
        <v>0</v>
      </c>
      <c r="U339" s="3" t="b">
        <f>IFERROR(__xludf.DUMMYFUNCTION("""COMPUTED_VALUE"""),TRUE)</f>
        <v>1</v>
      </c>
      <c r="V339" s="3" t="b">
        <f>IFERROR(__xludf.DUMMYFUNCTION("""COMPUTED_VALUE"""),FALSE)</f>
        <v>0</v>
      </c>
      <c r="W339" s="3" t="str">
        <f>IFERROR(__xludf.DUMMYFUNCTION("""COMPUTED_VALUE"""),"Delivery")</f>
        <v>Delivery</v>
      </c>
      <c r="X339" s="3" t="str">
        <f>IFERROR(__xludf.DUMMYFUNCTION("""COMPUTED_VALUE"""),"Investment")</f>
        <v>Investment</v>
      </c>
      <c r="Y339" s="3"/>
      <c r="Z339" s="3" t="str">
        <f>IFERROR(__xludf.DUMMYFUNCTION("""COMPUTED_VALUE"""),"Capital Markets Transformation")</f>
        <v>Capital Markets Transformation</v>
      </c>
      <c r="AA339" s="3" t="b">
        <f>IFERROR(__xludf.DUMMYFUNCTION("""COMPUTED_VALUE"""),FALSE)</f>
        <v>0</v>
      </c>
    </row>
    <row r="340">
      <c r="A340" s="11">
        <f>IFERROR(__xludf.DUMMYFUNCTION("""COMPUTED_VALUE"""),1.00587866E8)</f>
        <v>100587866</v>
      </c>
      <c r="B340" s="3" t="str">
        <f>IFERROR(__xludf.DUMMYFUNCTION("""COMPUTED_VALUE"""),"Joshua Carter")</f>
        <v>Joshua Carter</v>
      </c>
      <c r="C340" s="3" t="str">
        <f>IFERROR(__xludf.DUMMYFUNCTION("""COMPUTED_VALUE"""),"Joshua K Carter")</f>
        <v>Joshua K Carter</v>
      </c>
      <c r="D340" s="3" t="str">
        <f>IFERROR(__xludf.DUMMYFUNCTION("""COMPUTED_VALUE"""),"Carter, Joshua K")</f>
        <v>Carter, Joshua K</v>
      </c>
      <c r="E340" s="3" t="str">
        <f>IFERROR(__xludf.DUMMYFUNCTION("""COMPUTED_VALUE"""),"Active")</f>
        <v>Active</v>
      </c>
      <c r="F340" s="3" t="str">
        <f>IFERROR(__xludf.DUMMYFUNCTION("""COMPUTED_VALUE"""),"joshua.carter@pwc.com")</f>
        <v>joshua.carter@pwc.com</v>
      </c>
      <c r="G340" s="3" t="str">
        <f>IFERROR(__xludf.DUMMYFUNCTION("""COMPUTED_VALUE"""),"Deals Transformation")</f>
        <v>Deals Transformation</v>
      </c>
      <c r="H340" s="3" t="str">
        <f>IFERROR(__xludf.DUMMYFUNCTION("""COMPUTED_VALUE"""),"Banking and Capital Markets")</f>
        <v>Banking and Capital Markets</v>
      </c>
      <c r="I340" s="3" t="str">
        <f>IFERROR(__xludf.DUMMYFUNCTION("""COMPUTED_VALUE"""),"DDV - ISD (Integration, Separation, Divestitures)")</f>
        <v>DDV - ISD (Integration, Separation, Divestitures)</v>
      </c>
      <c r="J340" s="3" t="str">
        <f>IFERROR(__xludf.DUMMYFUNCTION("""COMPUTED_VALUE"""),"Partner")</f>
        <v>Partner</v>
      </c>
      <c r="K340" s="12">
        <f>IFERROR(__xludf.DUMMYFUNCTION("""COMPUTED_VALUE"""),36017.0)</f>
        <v>36017</v>
      </c>
      <c r="L340" s="3" t="str">
        <f>IFERROR(__xludf.DUMMYFUNCTION("""COMPUTED_VALUE"""),"Chicago")</f>
        <v>Chicago</v>
      </c>
      <c r="M340" s="3" t="str">
        <f>IFERROR(__xludf.DUMMYFUNCTION("""COMPUTED_VALUE"""),"Chicago - One North Wacker Drive")</f>
        <v>Chicago - One North Wacker Drive</v>
      </c>
      <c r="N340" s="3" t="b">
        <f>IFERROR(__xludf.DUMMYFUNCTION("""COMPUTED_VALUE"""),FALSE)</f>
        <v>0</v>
      </c>
      <c r="O340" s="3" t="str">
        <f>IFERROR(__xludf.DUMMYFUNCTION("""COMPUTED_VALUE"""),"derek.b.townsend@pwc.com")</f>
        <v>derek.b.townsend@pwc.com</v>
      </c>
      <c r="P340" s="3" t="str">
        <f>IFERROR(__xludf.DUMMYFUNCTION("""COMPUTED_VALUE"""),"No")</f>
        <v>No</v>
      </c>
      <c r="Q340" s="3" t="b">
        <f>IFERROR(__xludf.DUMMYFUNCTION("""COMPUTED_VALUE"""),TRUE)</f>
        <v>1</v>
      </c>
      <c r="R340" s="3" t="str">
        <f>IFERROR(__xludf.DUMMYFUNCTION("""COMPUTED_VALUE"""),"LCP High")</f>
        <v>LCP High</v>
      </c>
      <c r="S340" s="3"/>
      <c r="T340" s="3" t="b">
        <f>IFERROR(__xludf.DUMMYFUNCTION("""COMPUTED_VALUE"""),FALSE)</f>
        <v>0</v>
      </c>
      <c r="U340" s="3" t="b">
        <f>IFERROR(__xludf.DUMMYFUNCTION("""COMPUTED_VALUE"""),FALSE)</f>
        <v>0</v>
      </c>
      <c r="V340" s="3" t="b">
        <f>IFERROR(__xludf.DUMMYFUNCTION("""COMPUTED_VALUE"""),FALSE)</f>
        <v>0</v>
      </c>
      <c r="W340" s="3" t="str">
        <f>IFERROR(__xludf.DUMMYFUNCTION("""COMPUTED_VALUE"""),"LCP")</f>
        <v>LCP</v>
      </c>
      <c r="X340" s="3"/>
      <c r="Y340" s="3" t="str">
        <f>IFERROR(__xludf.DUMMYFUNCTION("""COMPUTED_VALUE"""),"GEP - High")</f>
        <v>GEP - High</v>
      </c>
      <c r="Z340" s="3" t="str">
        <f>IFERROR(__xludf.DUMMYFUNCTION("""COMPUTED_VALUE"""),"Corporate M&amp;A Transformation - FS")</f>
        <v>Corporate M&amp;A Transformation - FS</v>
      </c>
      <c r="AA340" s="3" t="b">
        <f>IFERROR(__xludf.DUMMYFUNCTION("""COMPUTED_VALUE"""),FALSE)</f>
        <v>0</v>
      </c>
    </row>
    <row r="341">
      <c r="A341" s="11">
        <f>IFERROR(__xludf.DUMMYFUNCTION("""COMPUTED_VALUE"""),1.00647935E8)</f>
        <v>100647935</v>
      </c>
      <c r="B341" s="3" t="str">
        <f>IFERROR(__xludf.DUMMYFUNCTION("""COMPUTED_VALUE"""),"Joshua Schwartz")</f>
        <v>Joshua Schwartz</v>
      </c>
      <c r="C341" s="3" t="str">
        <f>IFERROR(__xludf.DUMMYFUNCTION("""COMPUTED_VALUE"""),"Joshua Todd Schwartz")</f>
        <v>Joshua Todd Schwartz</v>
      </c>
      <c r="D341" s="3" t="str">
        <f>IFERROR(__xludf.DUMMYFUNCTION("""COMPUTED_VALUE"""),"Schwartz, Joshua Todd")</f>
        <v>Schwartz, Joshua Todd</v>
      </c>
      <c r="E341" s="3" t="str">
        <f>IFERROR(__xludf.DUMMYFUNCTION("""COMPUTED_VALUE"""),"Active")</f>
        <v>Active</v>
      </c>
      <c r="F341" s="3" t="str">
        <f>IFERROR(__xludf.DUMMYFUNCTION("""COMPUTED_VALUE"""),"joshua.schwartz@pwc.com")</f>
        <v>joshua.schwartz@pwc.com</v>
      </c>
      <c r="G341" s="3" t="str">
        <f>IFERROR(__xludf.DUMMYFUNCTION("""COMPUTED_VALUE"""),"FS")</f>
        <v>FS</v>
      </c>
      <c r="H341" s="3" t="str">
        <f>IFERROR(__xludf.DUMMYFUNCTION("""COMPUTED_VALUE"""),"Insurance")</f>
        <v>Insurance</v>
      </c>
      <c r="I341" s="3" t="str">
        <f>IFERROR(__xludf.DUMMYFUNCTION("""COMPUTED_VALUE"""),"FS - Insurance")</f>
        <v>FS - Insurance</v>
      </c>
      <c r="J341" s="3" t="str">
        <f>IFERROR(__xludf.DUMMYFUNCTION("""COMPUTED_VALUE"""),"Partner")</f>
        <v>Partner</v>
      </c>
      <c r="K341" s="12">
        <f>IFERROR(__xludf.DUMMYFUNCTION("""COMPUTED_VALUE"""),40485.0)</f>
        <v>40485</v>
      </c>
      <c r="L341" s="3" t="str">
        <f>IFERROR(__xludf.DUMMYFUNCTION("""COMPUTED_VALUE"""),"Hallandale Beach")</f>
        <v>Hallandale Beach</v>
      </c>
      <c r="M341" s="3" t="str">
        <f>IFERROR(__xludf.DUMMYFUNCTION("""COMPUTED_VALUE"""),"Hallandale Beach - 600 Silks Run")</f>
        <v>Hallandale Beach - 600 Silks Run</v>
      </c>
      <c r="N341" s="3" t="b">
        <f>IFERROR(__xludf.DUMMYFUNCTION("""COMPUTED_VALUE"""),FALSE)</f>
        <v>0</v>
      </c>
      <c r="O341" s="3" t="str">
        <f>IFERROR(__xludf.DUMMYFUNCTION("""COMPUTED_VALUE"""),"alison.hoover@pwc.com")</f>
        <v>alison.hoover@pwc.com</v>
      </c>
      <c r="P341" s="3" t="str">
        <f>IFERROR(__xludf.DUMMYFUNCTION("""COMPUTED_VALUE"""),"No")</f>
        <v>No</v>
      </c>
      <c r="Q341" s="3" t="b">
        <f>IFERROR(__xludf.DUMMYFUNCTION("""COMPUTED_VALUE"""),TRUE)</f>
        <v>1</v>
      </c>
      <c r="R341" s="3" t="str">
        <f>IFERROR(__xludf.DUMMYFUNCTION("""COMPUTED_VALUE"""),"LCP Low")</f>
        <v>LCP Low</v>
      </c>
      <c r="S341" s="3"/>
      <c r="T341" s="3" t="b">
        <f>IFERROR(__xludf.DUMMYFUNCTION("""COMPUTED_VALUE"""),FALSE)</f>
        <v>0</v>
      </c>
      <c r="U341" s="3" t="b">
        <f>IFERROR(__xludf.DUMMYFUNCTION("""COMPUTED_VALUE"""),FALSE)</f>
        <v>0</v>
      </c>
      <c r="V341" s="3" t="b">
        <f>IFERROR(__xludf.DUMMYFUNCTION("""COMPUTED_VALUE"""),FALSE)</f>
        <v>0</v>
      </c>
      <c r="W341" s="3" t="str">
        <f>IFERROR(__xludf.DUMMYFUNCTION("""COMPUTED_VALUE"""),"LCP")</f>
        <v>LCP</v>
      </c>
      <c r="X341" s="3"/>
      <c r="Y341" s="3" t="str">
        <f>IFERROR(__xludf.DUMMYFUNCTION("""COMPUTED_VALUE"""),"GEP - Low")</f>
        <v>GEP - Low</v>
      </c>
      <c r="Z341" s="3" t="str">
        <f>IFERROR(__xludf.DUMMYFUNCTION("""COMPUTED_VALUE"""),"Insurance Transformation")</f>
        <v>Insurance Transformation</v>
      </c>
      <c r="AA341" s="3" t="b">
        <f>IFERROR(__xludf.DUMMYFUNCTION("""COMPUTED_VALUE"""),FALSE)</f>
        <v>0</v>
      </c>
    </row>
    <row r="342">
      <c r="A342" s="11">
        <f>IFERROR(__xludf.DUMMYFUNCTION("""COMPUTED_VALUE"""),1.0059101E8)</f>
        <v>100591010</v>
      </c>
      <c r="B342" s="3" t="str">
        <f>IFERROR(__xludf.DUMMYFUNCTION("""COMPUTED_VALUE"""),"Joye Wegryn")</f>
        <v>Joye Wegryn</v>
      </c>
      <c r="C342" s="3" t="str">
        <f>IFERROR(__xludf.DUMMYFUNCTION("""COMPUTED_VALUE"""),"Joye R Wegryn")</f>
        <v>Joye R Wegryn</v>
      </c>
      <c r="D342" s="3" t="str">
        <f>IFERROR(__xludf.DUMMYFUNCTION("""COMPUTED_VALUE"""),"Wegryn, Joye R")</f>
        <v>Wegryn, Joye R</v>
      </c>
      <c r="E342" s="3" t="str">
        <f>IFERROR(__xludf.DUMMYFUNCTION("""COMPUTED_VALUE"""),"Active")</f>
        <v>Active</v>
      </c>
      <c r="F342" s="3" t="str">
        <f>IFERROR(__xludf.DUMMYFUNCTION("""COMPUTED_VALUE"""),"joye.r.wegryn@pwc.com")</f>
        <v>joye.r.wegryn@pwc.com</v>
      </c>
      <c r="G342" s="3" t="str">
        <f>IFERROR(__xludf.DUMMYFUNCTION("""COMPUTED_VALUE"""),"Health")</f>
        <v>Health</v>
      </c>
      <c r="H342" s="3" t="str">
        <f>IFERROR(__xludf.DUMMYFUNCTION("""COMPUTED_VALUE"""),"Health Services")</f>
        <v>Health Services</v>
      </c>
      <c r="I342" s="3" t="str">
        <f>IFERROR(__xludf.DUMMYFUNCTION("""COMPUTED_VALUE"""),"Health - Provider Revenue Cycle")</f>
        <v>Health - Provider Revenue Cycle</v>
      </c>
      <c r="J342" s="3" t="str">
        <f>IFERROR(__xludf.DUMMYFUNCTION("""COMPUTED_VALUE"""),"Partner")</f>
        <v>Partner</v>
      </c>
      <c r="K342" s="12">
        <f>IFERROR(__xludf.DUMMYFUNCTION("""COMPUTED_VALUE"""),33875.0)</f>
        <v>33875</v>
      </c>
      <c r="L342" s="3" t="str">
        <f>IFERROR(__xludf.DUMMYFUNCTION("""COMPUTED_VALUE"""),"Hartford")</f>
        <v>Hartford</v>
      </c>
      <c r="M342" s="3" t="str">
        <f>IFERROR(__xludf.DUMMYFUNCTION("""COMPUTED_VALUE"""),"Hartford - CityPlace1, 185 Asylum Street")</f>
        <v>Hartford - CityPlace1, 185 Asylum Street</v>
      </c>
      <c r="N342" s="3" t="b">
        <f>IFERROR(__xludf.DUMMYFUNCTION("""COMPUTED_VALUE"""),FALSE)</f>
        <v>0</v>
      </c>
      <c r="O342" s="3" t="str">
        <f>IFERROR(__xludf.DUMMYFUNCTION("""COMPUTED_VALUE"""),"craig.e.gooch@pwc.com")</f>
        <v>craig.e.gooch@pwc.com</v>
      </c>
      <c r="P342" s="3" t="str">
        <f>IFERROR(__xludf.DUMMYFUNCTION("""COMPUTED_VALUE"""),"No")</f>
        <v>No</v>
      </c>
      <c r="Q342" s="3" t="b">
        <f>IFERROR(__xludf.DUMMYFUNCTION("""COMPUTED_VALUE"""),FALSE)</f>
        <v>0</v>
      </c>
      <c r="R342" s="3"/>
      <c r="S342" s="3"/>
      <c r="T342" s="3" t="b">
        <f>IFERROR(__xludf.DUMMYFUNCTION("""COMPUTED_VALUE"""),FALSE)</f>
        <v>0</v>
      </c>
      <c r="U342" s="3" t="b">
        <f>IFERROR(__xludf.DUMMYFUNCTION("""COMPUTED_VALUE"""),TRUE)</f>
        <v>1</v>
      </c>
      <c r="V342" s="3" t="b">
        <f>IFERROR(__xludf.DUMMYFUNCTION("""COMPUTED_VALUE"""),FALSE)</f>
        <v>0</v>
      </c>
      <c r="W342" s="3" t="str">
        <f>IFERROR(__xludf.DUMMYFUNCTION("""COMPUTED_VALUE"""),"Delivery")</f>
        <v>Delivery</v>
      </c>
      <c r="X342" s="3"/>
      <c r="Y342" s="3"/>
      <c r="Z342" s="3" t="str">
        <f>IFERROR(__xludf.DUMMYFUNCTION("""COMPUTED_VALUE"""),"Provider Transformation")</f>
        <v>Provider Transformation</v>
      </c>
      <c r="AA342" s="3" t="b">
        <f>IFERROR(__xludf.DUMMYFUNCTION("""COMPUTED_VALUE"""),FALSE)</f>
        <v>0</v>
      </c>
    </row>
    <row r="343">
      <c r="A343" s="11">
        <f>IFERROR(__xludf.DUMMYFUNCTION("""COMPUTED_VALUE"""),1.00645232E8)</f>
        <v>100645232</v>
      </c>
      <c r="B343" s="3" t="str">
        <f>IFERROR(__xludf.DUMMYFUNCTION("""COMPUTED_VALUE"""),"Julia Lamm")</f>
        <v>Julia Lamm</v>
      </c>
      <c r="C343" s="3" t="str">
        <f>IFERROR(__xludf.DUMMYFUNCTION("""COMPUTED_VALUE"""),"Julia Warren Lamm")</f>
        <v>Julia Warren Lamm</v>
      </c>
      <c r="D343" s="3" t="str">
        <f>IFERROR(__xludf.DUMMYFUNCTION("""COMPUTED_VALUE"""),"Lamm, Julia Warren")</f>
        <v>Lamm, Julia Warren</v>
      </c>
      <c r="E343" s="3" t="str">
        <f>IFERROR(__xludf.DUMMYFUNCTION("""COMPUTED_VALUE"""),"Active")</f>
        <v>Active</v>
      </c>
      <c r="F343" s="3" t="str">
        <f>IFERROR(__xludf.DUMMYFUNCTION("""COMPUTED_VALUE"""),"julia.w.lamm@pwc.com")</f>
        <v>julia.w.lamm@pwc.com</v>
      </c>
      <c r="G343" s="3" t="str">
        <f>IFERROR(__xludf.DUMMYFUNCTION("""COMPUTED_VALUE"""),"Workforce")</f>
        <v>Workforce</v>
      </c>
      <c r="H343" s="3" t="str">
        <f>IFERROR(__xludf.DUMMYFUNCTION("""COMPUTED_VALUE"""),"Banking and Capital Markets")</f>
        <v>Banking and Capital Markets</v>
      </c>
      <c r="I343" s="3" t="str">
        <f>IFERROR(__xludf.DUMMYFUNCTION("""COMPUTED_VALUE"""),"Workforce - Talent, Change &amp; Behaviors")</f>
        <v>Workforce - Talent, Change &amp; Behaviors</v>
      </c>
      <c r="J343" s="3" t="str">
        <f>IFERROR(__xludf.DUMMYFUNCTION("""COMPUTED_VALUE"""),"Partner")</f>
        <v>Partner</v>
      </c>
      <c r="K343" s="12">
        <f>IFERROR(__xludf.DUMMYFUNCTION("""COMPUTED_VALUE"""),40735.0)</f>
        <v>40735</v>
      </c>
      <c r="L343" s="3" t="str">
        <f>IFERROR(__xludf.DUMMYFUNCTION("""COMPUTED_VALUE"""),"New York")</f>
        <v>New York</v>
      </c>
      <c r="M343" s="3" t="str">
        <f>IFERROR(__xludf.DUMMYFUNCTION("""COMPUTED_VALUE"""),"New York - 300 Madison Avenue")</f>
        <v>New York - 300 Madison Avenue</v>
      </c>
      <c r="N343" s="3" t="b">
        <f>IFERROR(__xludf.DUMMYFUNCTION("""COMPUTED_VALUE"""),FALSE)</f>
        <v>0</v>
      </c>
      <c r="O343" s="3" t="str">
        <f>IFERROR(__xludf.DUMMYFUNCTION("""COMPUTED_VALUE"""),"craig.odonnell@pwc.com")</f>
        <v>craig.odonnell@pwc.com</v>
      </c>
      <c r="P343" s="3" t="str">
        <f>IFERROR(__xludf.DUMMYFUNCTION("""COMPUTED_VALUE"""),"No")</f>
        <v>No</v>
      </c>
      <c r="Q343" s="3" t="b">
        <f>IFERROR(__xludf.DUMMYFUNCTION("""COMPUTED_VALUE"""),FALSE)</f>
        <v>0</v>
      </c>
      <c r="R343" s="3"/>
      <c r="S343" s="3"/>
      <c r="T343" s="3" t="b">
        <f>IFERROR(__xludf.DUMMYFUNCTION("""COMPUTED_VALUE"""),FALSE)</f>
        <v>0</v>
      </c>
      <c r="U343" s="3" t="b">
        <f>IFERROR(__xludf.DUMMYFUNCTION("""COMPUTED_VALUE"""),FALSE)</f>
        <v>0</v>
      </c>
      <c r="V343" s="3" t="b">
        <f>IFERROR(__xludf.DUMMYFUNCTION("""COMPUTED_VALUE"""),FALSE)</f>
        <v>0</v>
      </c>
      <c r="W343" s="3" t="str">
        <f>IFERROR(__xludf.DUMMYFUNCTION("""COMPUTED_VALUE"""),"#N/A")</f>
        <v>#N/A</v>
      </c>
      <c r="X343" s="3" t="str">
        <f>IFERROR(__xludf.DUMMYFUNCTION("""COMPUTED_VALUE"""),"#N/A")</f>
        <v>#N/A</v>
      </c>
      <c r="Y343" s="3" t="str">
        <f>IFERROR(__xludf.DUMMYFUNCTION("""COMPUTED_VALUE"""),"#N/A")</f>
        <v>#N/A</v>
      </c>
      <c r="Z343" s="3" t="str">
        <f>IFERROR(__xludf.DUMMYFUNCTION("""COMPUTED_VALUE"""),"Unknown")</f>
        <v>Unknown</v>
      </c>
      <c r="AA343" s="3" t="b">
        <f>IFERROR(__xludf.DUMMYFUNCTION("""COMPUTED_VALUE"""),FALSE)</f>
        <v>0</v>
      </c>
    </row>
    <row r="344">
      <c r="A344" s="11">
        <f>IFERROR(__xludf.DUMMYFUNCTION("""COMPUTED_VALUE"""),1.00587219E8)</f>
        <v>100587219</v>
      </c>
      <c r="B344" s="3" t="str">
        <f>IFERROR(__xludf.DUMMYFUNCTION("""COMPUTED_VALUE"""),"Julie Bogas")</f>
        <v>Julie Bogas</v>
      </c>
      <c r="C344" s="3" t="str">
        <f>IFERROR(__xludf.DUMMYFUNCTION("""COMPUTED_VALUE"""),"Julie L Bogas")</f>
        <v>Julie L Bogas</v>
      </c>
      <c r="D344" s="3" t="str">
        <f>IFERROR(__xludf.DUMMYFUNCTION("""COMPUTED_VALUE"""),"Bogas, Julie L")</f>
        <v>Bogas, Julie L</v>
      </c>
      <c r="E344" s="3" t="str">
        <f>IFERROR(__xludf.DUMMYFUNCTION("""COMPUTED_VALUE"""),"Active")</f>
        <v>Active</v>
      </c>
      <c r="F344" s="3" t="str">
        <f>IFERROR(__xludf.DUMMYFUNCTION("""COMPUTED_VALUE"""),"julie.bogas@pwc.com")</f>
        <v>julie.bogas@pwc.com</v>
      </c>
      <c r="G344" s="3" t="str">
        <f>IFERROR(__xludf.DUMMYFUNCTION("""COMPUTED_VALUE"""),"ESV")</f>
        <v>ESV</v>
      </c>
      <c r="H344" s="3" t="str">
        <f>IFERROR(__xludf.DUMMYFUNCTION("""COMPUTED_VALUE"""),"CM X-Sector")</f>
        <v>CM X-Sector</v>
      </c>
      <c r="I344" s="3" t="str">
        <f>IFERROR(__xludf.DUMMYFUNCTION("""COMPUTED_VALUE"""),"ESV - ESG")</f>
        <v>ESV - ESG</v>
      </c>
      <c r="J344" s="3" t="str">
        <f>IFERROR(__xludf.DUMMYFUNCTION("""COMPUTED_VALUE"""),"Partner")</f>
        <v>Partner</v>
      </c>
      <c r="K344" s="12">
        <f>IFERROR(__xludf.DUMMYFUNCTION("""COMPUTED_VALUE"""),36752.0)</f>
        <v>36752</v>
      </c>
      <c r="L344" s="3" t="str">
        <f>IFERROR(__xludf.DUMMYFUNCTION("""COMPUTED_VALUE"""),"Detroit")</f>
        <v>Detroit</v>
      </c>
      <c r="M344" s="3" t="str">
        <f>IFERROR(__xludf.DUMMYFUNCTION("""COMPUTED_VALUE"""),"Detroit - 500 Woodward Avenue")</f>
        <v>Detroit - 500 Woodward Avenue</v>
      </c>
      <c r="N344" s="3" t="b">
        <f>IFERROR(__xludf.DUMMYFUNCTION("""COMPUTED_VALUE"""),FALSE)</f>
        <v>0</v>
      </c>
      <c r="O344" s="3" t="str">
        <f>IFERROR(__xludf.DUMMYFUNCTION("""COMPUTED_VALUE"""),"sundar.subramanian@pwc.com")</f>
        <v>sundar.subramanian@pwc.com</v>
      </c>
      <c r="P344" s="3" t="str">
        <f>IFERROR(__xludf.DUMMYFUNCTION("""COMPUTED_VALUE"""),"No")</f>
        <v>No</v>
      </c>
      <c r="Q344" s="3" t="b">
        <f>IFERROR(__xludf.DUMMYFUNCTION("""COMPUTED_VALUE"""),FALSE)</f>
        <v>0</v>
      </c>
      <c r="R344" s="3"/>
      <c r="S344" s="3"/>
      <c r="T344" s="3" t="b">
        <f>IFERROR(__xludf.DUMMYFUNCTION("""COMPUTED_VALUE"""),FALSE)</f>
        <v>0</v>
      </c>
      <c r="U344" s="3" t="b">
        <f>IFERROR(__xludf.DUMMYFUNCTION("""COMPUTED_VALUE"""),TRUE)</f>
        <v>1</v>
      </c>
      <c r="V344" s="3" t="b">
        <f>IFERROR(__xludf.DUMMYFUNCTION("""COMPUTED_VALUE"""),FALSE)</f>
        <v>0</v>
      </c>
      <c r="W344" s="3" t="str">
        <f>IFERROR(__xludf.DUMMYFUNCTION("""COMPUTED_VALUE"""),"Delivery")</f>
        <v>Delivery</v>
      </c>
      <c r="X344" s="3" t="str">
        <f>IFERROR(__xludf.DUMMYFUNCTION("""COMPUTED_VALUE"""),"Investment")</f>
        <v>Investment</v>
      </c>
      <c r="Y344" s="3"/>
      <c r="Z344" s="3" t="str">
        <f>IFERROR(__xludf.DUMMYFUNCTION("""COMPUTED_VALUE"""),"ESG")</f>
        <v>ESG</v>
      </c>
      <c r="AA344" s="3" t="b">
        <f>IFERROR(__xludf.DUMMYFUNCTION("""COMPUTED_VALUE"""),FALSE)</f>
        <v>0</v>
      </c>
    </row>
    <row r="345">
      <c r="A345" s="11">
        <f>IFERROR(__xludf.DUMMYFUNCTION("""COMPUTED_VALUE"""),1.00649566E8)</f>
        <v>100649566</v>
      </c>
      <c r="B345" s="3" t="str">
        <f>IFERROR(__xludf.DUMMYFUNCTION("""COMPUTED_VALUE"""),"Juneen Kirk")</f>
        <v>Juneen Kirk</v>
      </c>
      <c r="C345" s="3" t="str">
        <f>IFERROR(__xludf.DUMMYFUNCTION("""COMPUTED_VALUE"""),"Juneen Louise Belknap Kirk")</f>
        <v>Juneen Louise Belknap Kirk</v>
      </c>
      <c r="D345" s="3" t="str">
        <f>IFERROR(__xludf.DUMMYFUNCTION("""COMPUTED_VALUE"""),"Kirk, Juneen Louise Belknap")</f>
        <v>Kirk, Juneen Louise Belknap</v>
      </c>
      <c r="E345" s="3" t="str">
        <f>IFERROR(__xludf.DUMMYFUNCTION("""COMPUTED_VALUE"""),"Active")</f>
        <v>Active</v>
      </c>
      <c r="F345" s="3" t="str">
        <f>IFERROR(__xludf.DUMMYFUNCTION("""COMPUTED_VALUE"""),"juneen.belknap@pwc.com")</f>
        <v>juneen.belknap@pwc.com</v>
      </c>
      <c r="G345" s="3" t="str">
        <f>IFERROR(__xludf.DUMMYFUNCTION("""COMPUTED_VALUE"""),"Customer")</f>
        <v>Customer</v>
      </c>
      <c r="H345" s="3" t="str">
        <f>IFERROR(__xludf.DUMMYFUNCTION("""COMPUTED_VALUE"""),"Insurance")</f>
        <v>Insurance</v>
      </c>
      <c r="I345" s="3" t="str">
        <f>IFERROR(__xludf.DUMMYFUNCTION("""COMPUTED_VALUE"""),"Customer - Customer Strategy &amp; Experience")</f>
        <v>Customer - Customer Strategy &amp; Experience</v>
      </c>
      <c r="J345" s="3" t="str">
        <f>IFERROR(__xludf.DUMMYFUNCTION("""COMPUTED_VALUE"""),"Partner")</f>
        <v>Partner</v>
      </c>
      <c r="K345" s="12">
        <f>IFERROR(__xludf.DUMMYFUNCTION("""COMPUTED_VALUE"""),40485.0)</f>
        <v>40485</v>
      </c>
      <c r="L345" s="3" t="str">
        <f>IFERROR(__xludf.DUMMYFUNCTION("""COMPUTED_VALUE"""),"Tampa")</f>
        <v>Tampa</v>
      </c>
      <c r="M345" s="3" t="str">
        <f>IFERROR(__xludf.DUMMYFUNCTION("""COMPUTED_VALUE"""),"Orlando - Virtual")</f>
        <v>Orlando - Virtual</v>
      </c>
      <c r="N345" s="3" t="b">
        <f>IFERROR(__xludf.DUMMYFUNCTION("""COMPUTED_VALUE"""),FALSE)</f>
        <v>0</v>
      </c>
      <c r="O345" s="3" t="str">
        <f>IFERROR(__xludf.DUMMYFUNCTION("""COMPUTED_VALUE"""),"george.korizis@pwc.com")</f>
        <v>george.korizis@pwc.com</v>
      </c>
      <c r="P345" s="3" t="str">
        <f>IFERROR(__xludf.DUMMYFUNCTION("""COMPUTED_VALUE"""),"No")</f>
        <v>No</v>
      </c>
      <c r="Q345" s="3" t="b">
        <f>IFERROR(__xludf.DUMMYFUNCTION("""COMPUTED_VALUE"""),TRUE)</f>
        <v>1</v>
      </c>
      <c r="R345" s="3" t="str">
        <f>IFERROR(__xludf.DUMMYFUNCTION("""COMPUTED_VALUE"""),"LCP Low")</f>
        <v>LCP Low</v>
      </c>
      <c r="S345" s="3" t="str">
        <f>IFERROR(__xludf.DUMMYFUNCTION("""COMPUTED_VALUE"""),"Solution Innovation Champions")</f>
        <v>Solution Innovation Champions</v>
      </c>
      <c r="T345" s="3" t="b">
        <f>IFERROR(__xludf.DUMMYFUNCTION("""COMPUTED_VALUE"""),FALSE)</f>
        <v>0</v>
      </c>
      <c r="U345" s="3" t="b">
        <f>IFERROR(__xludf.DUMMYFUNCTION("""COMPUTED_VALUE"""),FALSE)</f>
        <v>0</v>
      </c>
      <c r="V345" s="3" t="b">
        <f>IFERROR(__xludf.DUMMYFUNCTION("""COMPUTED_VALUE"""),FALSE)</f>
        <v>0</v>
      </c>
      <c r="W345" s="3" t="str">
        <f>IFERROR(__xludf.DUMMYFUNCTION("""COMPUTED_VALUE"""),"LCP")</f>
        <v>LCP</v>
      </c>
      <c r="X345" s="3"/>
      <c r="Y345" s="3" t="str">
        <f>IFERROR(__xludf.DUMMYFUNCTION("""COMPUTED_VALUE"""),"GEP - Low")</f>
        <v>GEP - Low</v>
      </c>
      <c r="Z345" s="3" t="str">
        <f>IFERROR(__xludf.DUMMYFUNCTION("""COMPUTED_VALUE"""),"Insurance Transformation")</f>
        <v>Insurance Transformation</v>
      </c>
      <c r="AA345" s="3" t="b">
        <f>IFERROR(__xludf.DUMMYFUNCTION("""COMPUTED_VALUE"""),FALSE)</f>
        <v>0</v>
      </c>
    </row>
    <row r="346">
      <c r="A346" s="11">
        <f>IFERROR(__xludf.DUMMYFUNCTION("""COMPUTED_VALUE"""),1.00901211E8)</f>
        <v>100901211</v>
      </c>
      <c r="B346" s="3" t="str">
        <f>IFERROR(__xludf.DUMMYFUNCTION("""COMPUTED_VALUE"""),"Justin Hall")</f>
        <v>Justin Hall</v>
      </c>
      <c r="C346" s="3" t="str">
        <f>IFERROR(__xludf.DUMMYFUNCTION("""COMPUTED_VALUE"""),"Justin James Hall")</f>
        <v>Justin James Hall</v>
      </c>
      <c r="D346" s="3" t="str">
        <f>IFERROR(__xludf.DUMMYFUNCTION("""COMPUTED_VALUE"""),"Hall, Justin James")</f>
        <v>Hall, Justin James</v>
      </c>
      <c r="E346" s="3" t="str">
        <f>IFERROR(__xludf.DUMMYFUNCTION("""COMPUTED_VALUE"""),"Active")</f>
        <v>Active</v>
      </c>
      <c r="F346" s="3" t="str">
        <f>IFERROR(__xludf.DUMMYFUNCTION("""COMPUTED_VALUE"""),"justin.j.hall@pwc.com")</f>
        <v>justin.j.hall@pwc.com</v>
      </c>
      <c r="G346" s="3" t="str">
        <f>IFERROR(__xludf.DUMMYFUNCTION("""COMPUTED_VALUE"""),"Workforce")</f>
        <v>Workforce</v>
      </c>
      <c r="H346" s="3" t="str">
        <f>IFERROR(__xludf.DUMMYFUNCTION("""COMPUTED_VALUE"""),"TMT X-Sector")</f>
        <v>TMT X-Sector</v>
      </c>
      <c r="I346" s="3" t="str">
        <f>IFERROR(__xludf.DUMMYFUNCTION("""COMPUTED_VALUE"""),"Workforce - Talent, Change &amp; Behaviors")</f>
        <v>Workforce - Talent, Change &amp; Behaviors</v>
      </c>
      <c r="J346" s="3" t="str">
        <f>IFERROR(__xludf.DUMMYFUNCTION("""COMPUTED_VALUE"""),"Partner")</f>
        <v>Partner</v>
      </c>
      <c r="K346" s="12">
        <f>IFERROR(__xludf.DUMMYFUNCTION("""COMPUTED_VALUE"""),43602.0)</f>
        <v>43602</v>
      </c>
      <c r="L346" s="3" t="str">
        <f>IFERROR(__xludf.DUMMYFUNCTION("""COMPUTED_VALUE"""),"Atlanta")</f>
        <v>Atlanta</v>
      </c>
      <c r="M346" s="3" t="str">
        <f>IFERROR(__xludf.DUMMYFUNCTION("""COMPUTED_VALUE"""),"Atlanta - 1075 Peachtree Street NE")</f>
        <v>Atlanta - 1075 Peachtree Street NE</v>
      </c>
      <c r="N346" s="3" t="b">
        <f>IFERROR(__xludf.DUMMYFUNCTION("""COMPUTED_VALUE"""),FALSE)</f>
        <v>0</v>
      </c>
      <c r="O346" s="3" t="str">
        <f>IFERROR(__xludf.DUMMYFUNCTION("""COMPUTED_VALUE"""),"craig.odonnell@pwc.com")</f>
        <v>craig.odonnell@pwc.com</v>
      </c>
      <c r="P346" s="3" t="str">
        <f>IFERROR(__xludf.DUMMYFUNCTION("""COMPUTED_VALUE"""),"No")</f>
        <v>No</v>
      </c>
      <c r="Q346" s="3" t="b">
        <f>IFERROR(__xludf.DUMMYFUNCTION("""COMPUTED_VALUE"""),FALSE)</f>
        <v>0</v>
      </c>
      <c r="R346" s="3"/>
      <c r="S346" s="3"/>
      <c r="T346" s="3" t="b">
        <f>IFERROR(__xludf.DUMMYFUNCTION("""COMPUTED_VALUE"""),FALSE)</f>
        <v>0</v>
      </c>
      <c r="U346" s="3" t="b">
        <f>IFERROR(__xludf.DUMMYFUNCTION("""COMPUTED_VALUE"""),FALSE)</f>
        <v>0</v>
      </c>
      <c r="V346" s="3" t="b">
        <f>IFERROR(__xludf.DUMMYFUNCTION("""COMPUTED_VALUE"""),FALSE)</f>
        <v>0</v>
      </c>
      <c r="W346" s="3" t="str">
        <f>IFERROR(__xludf.DUMMYFUNCTION("""COMPUTED_VALUE"""),"#N/A")</f>
        <v>#N/A</v>
      </c>
      <c r="X346" s="3" t="str">
        <f>IFERROR(__xludf.DUMMYFUNCTION("""COMPUTED_VALUE"""),"#N/A")</f>
        <v>#N/A</v>
      </c>
      <c r="Y346" s="3" t="str">
        <f>IFERROR(__xludf.DUMMYFUNCTION("""COMPUTED_VALUE"""),"#N/A")</f>
        <v>#N/A</v>
      </c>
      <c r="Z346" s="3" t="str">
        <f>IFERROR(__xludf.DUMMYFUNCTION("""COMPUTED_VALUE"""),"Unknown")</f>
        <v>Unknown</v>
      </c>
      <c r="AA346" s="3" t="b">
        <f>IFERROR(__xludf.DUMMYFUNCTION("""COMPUTED_VALUE"""),FALSE)</f>
        <v>0</v>
      </c>
    </row>
    <row r="347">
      <c r="A347" s="11">
        <f>IFERROR(__xludf.DUMMYFUNCTION("""COMPUTED_VALUE"""),1.00650375E8)</f>
        <v>100650375</v>
      </c>
      <c r="B347" s="3" t="str">
        <f>IFERROR(__xludf.DUMMYFUNCTION("""COMPUTED_VALUE"""),"Justin Kaufman")</f>
        <v>Justin Kaufman</v>
      </c>
      <c r="C347" s="3" t="str">
        <f>IFERROR(__xludf.DUMMYFUNCTION("""COMPUTED_VALUE"""),"Justin Brett Kaufman")</f>
        <v>Justin Brett Kaufman</v>
      </c>
      <c r="D347" s="3" t="str">
        <f>IFERROR(__xludf.DUMMYFUNCTION("""COMPUTED_VALUE"""),"Kaufman, Justin Brett")</f>
        <v>Kaufman, Justin Brett</v>
      </c>
      <c r="E347" s="3" t="str">
        <f>IFERROR(__xludf.DUMMYFUNCTION("""COMPUTED_VALUE"""),"Active")</f>
        <v>Active</v>
      </c>
      <c r="F347" s="3" t="str">
        <f>IFERROR(__xludf.DUMMYFUNCTION("""COMPUTED_VALUE"""),"justin.kaufman@pwc.com")</f>
        <v>justin.kaufman@pwc.com</v>
      </c>
      <c r="G347" s="3" t="str">
        <f>IFERROR(__xludf.DUMMYFUNCTION("""COMPUTED_VALUE"""),"FS")</f>
        <v>FS</v>
      </c>
      <c r="H347" s="3" t="str">
        <f>IFERROR(__xludf.DUMMYFUNCTION("""COMPUTED_VALUE"""),"Asset and Wealth Management")</f>
        <v>Asset and Wealth Management</v>
      </c>
      <c r="I347" s="3" t="str">
        <f>IFERROR(__xludf.DUMMYFUNCTION("""COMPUTED_VALUE"""),"FS - Asset Wealth Management")</f>
        <v>FS - Asset Wealth Management</v>
      </c>
      <c r="J347" s="3" t="str">
        <f>IFERROR(__xludf.DUMMYFUNCTION("""COMPUTED_VALUE"""),"Partner")</f>
        <v>Partner</v>
      </c>
      <c r="K347" s="12">
        <f>IFERROR(__xludf.DUMMYFUNCTION("""COMPUTED_VALUE"""),40485.0)</f>
        <v>40485</v>
      </c>
      <c r="L347" s="3" t="str">
        <f>IFERROR(__xludf.DUMMYFUNCTION("""COMPUTED_VALUE"""),"Pittsburgh")</f>
        <v>Pittsburgh</v>
      </c>
      <c r="M347" s="3" t="str">
        <f>IFERROR(__xludf.DUMMYFUNCTION("""COMPUTED_VALUE"""),"Pittsburgh - 301 Grant St")</f>
        <v>Pittsburgh - 301 Grant St</v>
      </c>
      <c r="N347" s="3" t="b">
        <f>IFERROR(__xludf.DUMMYFUNCTION("""COMPUTED_VALUE"""),FALSE)</f>
        <v>0</v>
      </c>
      <c r="O347" s="3" t="str">
        <f>IFERROR(__xludf.DUMMYFUNCTION("""COMPUTED_VALUE"""),"alison.hoover@pwc.com")</f>
        <v>alison.hoover@pwc.com</v>
      </c>
      <c r="P347" s="3" t="str">
        <f>IFERROR(__xludf.DUMMYFUNCTION("""COMPUTED_VALUE"""),"No")</f>
        <v>No</v>
      </c>
      <c r="Q347" s="3" t="b">
        <f>IFERROR(__xludf.DUMMYFUNCTION("""COMPUTED_VALUE"""),TRUE)</f>
        <v>1</v>
      </c>
      <c r="R347" s="3" t="str">
        <f>IFERROR(__xludf.DUMMYFUNCTION("""COMPUTED_VALUE"""),"LCP Low")</f>
        <v>LCP Low</v>
      </c>
      <c r="S347" s="3"/>
      <c r="T347" s="3" t="b">
        <f>IFERROR(__xludf.DUMMYFUNCTION("""COMPUTED_VALUE"""),FALSE)</f>
        <v>0</v>
      </c>
      <c r="U347" s="3" t="b">
        <f>IFERROR(__xludf.DUMMYFUNCTION("""COMPUTED_VALUE"""),TRUE)</f>
        <v>1</v>
      </c>
      <c r="V347" s="3" t="b">
        <f>IFERROR(__xludf.DUMMYFUNCTION("""COMPUTED_VALUE"""),FALSE)</f>
        <v>0</v>
      </c>
      <c r="W347" s="3" t="str">
        <f>IFERROR(__xludf.DUMMYFUNCTION("""COMPUTED_VALUE"""),"LCP")</f>
        <v>LCP</v>
      </c>
      <c r="X347" s="3" t="str">
        <f>IFERROR(__xludf.DUMMYFUNCTION("""COMPUTED_VALUE"""),"Investment")</f>
        <v>Investment</v>
      </c>
      <c r="Y347" s="3" t="str">
        <f>IFERROR(__xludf.DUMMYFUNCTION("""COMPUTED_VALUE"""),"GEP - Low")</f>
        <v>GEP - Low</v>
      </c>
      <c r="Z347" s="3" t="str">
        <f>IFERROR(__xludf.DUMMYFUNCTION("""COMPUTED_VALUE"""),"AWM Transformation")</f>
        <v>AWM Transformation</v>
      </c>
      <c r="AA347" s="3" t="b">
        <f>IFERROR(__xludf.DUMMYFUNCTION("""COMPUTED_VALUE"""),FALSE)</f>
        <v>0</v>
      </c>
    </row>
    <row r="348">
      <c r="A348" s="11">
        <f>IFERROR(__xludf.DUMMYFUNCTION("""COMPUTED_VALUE"""),1.00652846E8)</f>
        <v>100652846</v>
      </c>
      <c r="B348" s="3" t="str">
        <f>IFERROR(__xludf.DUMMYFUNCTION("""COMPUTED_VALUE"""),"Justin O'Connor")</f>
        <v>Justin O'Connor</v>
      </c>
      <c r="C348" s="3" t="str">
        <f>IFERROR(__xludf.DUMMYFUNCTION("""COMPUTED_VALUE"""),"Justin P O'Connor")</f>
        <v>Justin P O'Connor</v>
      </c>
      <c r="D348" s="3" t="str">
        <f>IFERROR(__xludf.DUMMYFUNCTION("""COMPUTED_VALUE"""),"O'Connor, Justin P")</f>
        <v>O'Connor, Justin P</v>
      </c>
      <c r="E348" s="3" t="str">
        <f>IFERROR(__xludf.DUMMYFUNCTION("""COMPUTED_VALUE"""),"Active")</f>
        <v>Active</v>
      </c>
      <c r="F348" s="3" t="str">
        <f>IFERROR(__xludf.DUMMYFUNCTION("""COMPUTED_VALUE"""),"justin.oconnor@pwc.com")</f>
        <v>justin.oconnor@pwc.com</v>
      </c>
      <c r="G348" s="3" t="str">
        <f>IFERROR(__xludf.DUMMYFUNCTION("""COMPUTED_VALUE"""),"FS")</f>
        <v>FS</v>
      </c>
      <c r="H348" s="3" t="str">
        <f>IFERROR(__xludf.DUMMYFUNCTION("""COMPUTED_VALUE"""),"Banking and Capital Markets")</f>
        <v>Banking and Capital Markets</v>
      </c>
      <c r="I348" s="3" t="str">
        <f>IFERROR(__xludf.DUMMYFUNCTION("""COMPUTED_VALUE"""),"FS - Banking and Capital Markets")</f>
        <v>FS - Banking and Capital Markets</v>
      </c>
      <c r="J348" s="3" t="str">
        <f>IFERROR(__xludf.DUMMYFUNCTION("""COMPUTED_VALUE"""),"Partner")</f>
        <v>Partner</v>
      </c>
      <c r="K348" s="12">
        <f>IFERROR(__xludf.DUMMYFUNCTION("""COMPUTED_VALUE"""),40515.0)</f>
        <v>40515</v>
      </c>
      <c r="L348" s="3" t="str">
        <f>IFERROR(__xludf.DUMMYFUNCTION("""COMPUTED_VALUE"""),"San Francisco")</f>
        <v>San Francisco</v>
      </c>
      <c r="M348" s="3" t="str">
        <f>IFERROR(__xludf.DUMMYFUNCTION("""COMPUTED_VALUE"""),"San Francisco - 405 Howard St")</f>
        <v>San Francisco - 405 Howard St</v>
      </c>
      <c r="N348" s="3" t="b">
        <f>IFERROR(__xludf.DUMMYFUNCTION("""COMPUTED_VALUE"""),TRUE)</f>
        <v>1</v>
      </c>
      <c r="O348" s="3" t="str">
        <f>IFERROR(__xludf.DUMMYFUNCTION("""COMPUTED_VALUE"""),"alison.hoover@pwc.com")</f>
        <v>alison.hoover@pwc.com</v>
      </c>
      <c r="P348" s="3" t="str">
        <f>IFERROR(__xludf.DUMMYFUNCTION("""COMPUTED_VALUE"""),"No")</f>
        <v>No</v>
      </c>
      <c r="Q348" s="3" t="b">
        <f>IFERROR(__xludf.DUMMYFUNCTION("""COMPUTED_VALUE"""),FALSE)</f>
        <v>0</v>
      </c>
      <c r="R348" s="3"/>
      <c r="S348" s="3"/>
      <c r="T348" s="3" t="b">
        <f>IFERROR(__xludf.DUMMYFUNCTION("""COMPUTED_VALUE"""),FALSE)</f>
        <v>0</v>
      </c>
      <c r="U348" s="3" t="b">
        <f>IFERROR(__xludf.DUMMYFUNCTION("""COMPUTED_VALUE"""),TRUE)</f>
        <v>1</v>
      </c>
      <c r="V348" s="3" t="b">
        <f>IFERROR(__xludf.DUMMYFUNCTION("""COMPUTED_VALUE"""),FALSE)</f>
        <v>0</v>
      </c>
      <c r="W348" s="3" t="str">
        <f>IFERROR(__xludf.DUMMYFUNCTION("""COMPUTED_VALUE"""),"Delivery")</f>
        <v>Delivery</v>
      </c>
      <c r="X348" s="3" t="str">
        <f>IFERROR(__xludf.DUMMYFUNCTION("""COMPUTED_VALUE"""),"Investment")</f>
        <v>Investment</v>
      </c>
      <c r="Y348" s="3"/>
      <c r="Z348" s="3" t="str">
        <f>IFERROR(__xludf.DUMMYFUNCTION("""COMPUTED_VALUE"""),"Banking Transformation")</f>
        <v>Banking Transformation</v>
      </c>
      <c r="AA348" s="3" t="b">
        <f>IFERROR(__xludf.DUMMYFUNCTION("""COMPUTED_VALUE"""),FALSE)</f>
        <v>0</v>
      </c>
    </row>
    <row r="349">
      <c r="A349" s="11">
        <f>IFERROR(__xludf.DUMMYFUNCTION("""COMPUTED_VALUE"""),1.00650568E8)</f>
        <v>100650568</v>
      </c>
      <c r="B349" s="3" t="str">
        <f>IFERROR(__xludf.DUMMYFUNCTION("""COMPUTED_VALUE"""),"K.B. Clausen")</f>
        <v>K.B. Clausen</v>
      </c>
      <c r="C349" s="3" t="str">
        <f>IFERROR(__xludf.DUMMYFUNCTION("""COMPUTED_VALUE"""),"Kim  Clausen")</f>
        <v>Kim  Clausen</v>
      </c>
      <c r="D349" s="3" t="str">
        <f>IFERROR(__xludf.DUMMYFUNCTION("""COMPUTED_VALUE"""),"Clausen, Kim")</f>
        <v>Clausen, Kim</v>
      </c>
      <c r="E349" s="3" t="str">
        <f>IFERROR(__xludf.DUMMYFUNCTION("""COMPUTED_VALUE"""),"Active")</f>
        <v>Active</v>
      </c>
      <c r="F349" s="3" t="str">
        <f>IFERROR(__xludf.DUMMYFUNCTION("""COMPUTED_VALUE"""),"kb.clausen@pwc.com")</f>
        <v>kb.clausen@pwc.com</v>
      </c>
      <c r="G349" s="3" t="str">
        <f>IFERROR(__xludf.DUMMYFUNCTION("""COMPUTED_VALUE"""),"Ops")</f>
        <v>Ops</v>
      </c>
      <c r="H349" s="3" t="str">
        <f>IFERROR(__xludf.DUMMYFUNCTION("""COMPUTED_VALUE"""),"CM X-Sector")</f>
        <v>CM X-Sector</v>
      </c>
      <c r="I349" s="3" t="str">
        <f>IFERROR(__xludf.DUMMYFUNCTION("""COMPUTED_VALUE"""),"Ops - Org Strategy Strategy &amp; Solutions (OSS)")</f>
        <v>Ops - Org Strategy Strategy &amp; Solutions (OSS)</v>
      </c>
      <c r="J349" s="3" t="str">
        <f>IFERROR(__xludf.DUMMYFUNCTION("""COMPUTED_VALUE"""),"Partner")</f>
        <v>Partner</v>
      </c>
      <c r="K349" s="12">
        <f>IFERROR(__xludf.DUMMYFUNCTION("""COMPUTED_VALUE"""),42186.0)</f>
        <v>42186</v>
      </c>
      <c r="L349" s="3" t="str">
        <f>IFERROR(__xludf.DUMMYFUNCTION("""COMPUTED_VALUE"""),"Boston")</f>
        <v>Boston</v>
      </c>
      <c r="M349" s="3" t="str">
        <f>IFERROR(__xludf.DUMMYFUNCTION("""COMPUTED_VALUE"""),"Boston - 101 Seaport Boulevard")</f>
        <v>Boston - 101 Seaport Boulevard</v>
      </c>
      <c r="N349" s="3" t="b">
        <f>IFERROR(__xludf.DUMMYFUNCTION("""COMPUTED_VALUE"""),FALSE)</f>
        <v>0</v>
      </c>
      <c r="O349" s="3" t="str">
        <f>IFERROR(__xludf.DUMMYFUNCTION("""COMPUTED_VALUE"""),"matthew.r.comte@pwc.com")</f>
        <v>matthew.r.comte@pwc.com</v>
      </c>
      <c r="P349" s="3" t="str">
        <f>IFERROR(__xludf.DUMMYFUNCTION("""COMPUTED_VALUE"""),"No")</f>
        <v>No</v>
      </c>
      <c r="Q349" s="3" t="b">
        <f>IFERROR(__xludf.DUMMYFUNCTION("""COMPUTED_VALUE"""),FALSE)</f>
        <v>0</v>
      </c>
      <c r="R349" s="3"/>
      <c r="S349" s="3"/>
      <c r="T349" s="3" t="b">
        <f>IFERROR(__xludf.DUMMYFUNCTION("""COMPUTED_VALUE"""),FALSE)</f>
        <v>0</v>
      </c>
      <c r="U349" s="3" t="b">
        <f>IFERROR(__xludf.DUMMYFUNCTION("""COMPUTED_VALUE"""),TRUE)</f>
        <v>1</v>
      </c>
      <c r="V349" s="3" t="b">
        <f>IFERROR(__xludf.DUMMYFUNCTION("""COMPUTED_VALUE"""),FALSE)</f>
        <v>0</v>
      </c>
      <c r="W349" s="3" t="str">
        <f>IFERROR(__xludf.DUMMYFUNCTION("""COMPUTED_VALUE"""),"Delivery")</f>
        <v>Delivery</v>
      </c>
      <c r="X349" s="3" t="str">
        <f>IFERROR(__xludf.DUMMYFUNCTION("""COMPUTED_VALUE"""),"Investment")</f>
        <v>Investment</v>
      </c>
      <c r="Y349" s="3" t="str">
        <f>IFERROR(__xludf.DUMMYFUNCTION("""COMPUTED_VALUE"""),"Investment")</f>
        <v>Investment</v>
      </c>
      <c r="Z349" s="3" t="str">
        <f>IFERROR(__xludf.DUMMYFUNCTION("""COMPUTED_VALUE"""),"CM Ops Transformation")</f>
        <v>CM Ops Transformation</v>
      </c>
      <c r="AA349" s="3" t="b">
        <f>IFERROR(__xludf.DUMMYFUNCTION("""COMPUTED_VALUE"""),FALSE)</f>
        <v>0</v>
      </c>
    </row>
    <row r="350">
      <c r="A350" s="11">
        <f>IFERROR(__xludf.DUMMYFUNCTION("""COMPUTED_VALUE"""),1.00629293E8)</f>
        <v>100629293</v>
      </c>
      <c r="B350" s="3" t="str">
        <f>IFERROR(__xludf.DUMMYFUNCTION("""COMPUTED_VALUE"""),"Kabid Choudhury")</f>
        <v>Kabid Choudhury</v>
      </c>
      <c r="C350" s="3" t="str">
        <f>IFERROR(__xludf.DUMMYFUNCTION("""COMPUTED_VALUE"""),"Kabid  Choudhury")</f>
        <v>Kabid  Choudhury</v>
      </c>
      <c r="D350" s="3" t="str">
        <f>IFERROR(__xludf.DUMMYFUNCTION("""COMPUTED_VALUE"""),"Choudhury, Kabid")</f>
        <v>Choudhury, Kabid</v>
      </c>
      <c r="E350" s="3" t="str">
        <f>IFERROR(__xludf.DUMMYFUNCTION("""COMPUTED_VALUE"""),"Active")</f>
        <v>Active</v>
      </c>
      <c r="F350" s="3" t="str">
        <f>IFERROR(__xludf.DUMMYFUNCTION("""COMPUTED_VALUE"""),"kabid.choudhury@pwc.com")</f>
        <v>kabid.choudhury@pwc.com</v>
      </c>
      <c r="G350" s="3" t="str">
        <f>IFERROR(__xludf.DUMMYFUNCTION("""COMPUTED_VALUE"""),"Finance")</f>
        <v>Finance</v>
      </c>
      <c r="H350" s="3" t="str">
        <f>IFERROR(__xludf.DUMMYFUNCTION("""COMPUTED_VALUE"""),"Manufacturing")</f>
        <v>Manufacturing</v>
      </c>
      <c r="I350" s="3" t="str">
        <f>IFERROR(__xludf.DUMMYFUNCTION("""COMPUTED_VALUE"""),"Finance - Enterprise Performance Management")</f>
        <v>Finance - Enterprise Performance Management</v>
      </c>
      <c r="J350" s="3" t="str">
        <f>IFERROR(__xludf.DUMMYFUNCTION("""COMPUTED_VALUE"""),"Partner")</f>
        <v>Partner</v>
      </c>
      <c r="K350" s="12">
        <f>IFERROR(__xludf.DUMMYFUNCTION("""COMPUTED_VALUE"""),41974.0)</f>
        <v>41974</v>
      </c>
      <c r="L350" s="3" t="str">
        <f>IFERROR(__xludf.DUMMYFUNCTION("""COMPUTED_VALUE"""),"Chicago")</f>
        <v>Chicago</v>
      </c>
      <c r="M350" s="3" t="str">
        <f>IFERROR(__xludf.DUMMYFUNCTION("""COMPUTED_VALUE"""),"Chicago - One North Wacker Drive")</f>
        <v>Chicago - One North Wacker Drive</v>
      </c>
      <c r="N350" s="3" t="b">
        <f>IFERROR(__xludf.DUMMYFUNCTION("""COMPUTED_VALUE"""),FALSE)</f>
        <v>0</v>
      </c>
      <c r="O350" s="3" t="str">
        <f>IFERROR(__xludf.DUMMYFUNCTION("""COMPUTED_VALUE"""),"kurtis.babczenko@pwc.com")</f>
        <v>kurtis.babczenko@pwc.com</v>
      </c>
      <c r="P350" s="3" t="str">
        <f>IFERROR(__xludf.DUMMYFUNCTION("""COMPUTED_VALUE"""),"No")</f>
        <v>No</v>
      </c>
      <c r="Q350" s="3" t="b">
        <f>IFERROR(__xludf.DUMMYFUNCTION("""COMPUTED_VALUE"""),FALSE)</f>
        <v>0</v>
      </c>
      <c r="R350" s="3"/>
      <c r="S350" s="3"/>
      <c r="T350" s="3" t="b">
        <f>IFERROR(__xludf.DUMMYFUNCTION("""COMPUTED_VALUE"""),FALSE)</f>
        <v>0</v>
      </c>
      <c r="U350" s="3" t="b">
        <f>IFERROR(__xludf.DUMMYFUNCTION("""COMPUTED_VALUE"""),TRUE)</f>
        <v>1</v>
      </c>
      <c r="V350" s="3" t="b">
        <f>IFERROR(__xludf.DUMMYFUNCTION("""COMPUTED_VALUE"""),FALSE)</f>
        <v>0</v>
      </c>
      <c r="W350" s="3" t="str">
        <f>IFERROR(__xludf.DUMMYFUNCTION("""COMPUTED_VALUE"""),"Delivery")</f>
        <v>Delivery</v>
      </c>
      <c r="X350" s="3"/>
      <c r="Y350" s="3"/>
      <c r="Z350" s="3" t="str">
        <f>IFERROR(__xludf.DUMMYFUNCTION("""COMPUTED_VALUE"""),"Finance Transformation IPS - IP")</f>
        <v>Finance Transformation IPS - IP</v>
      </c>
      <c r="AA350" s="3" t="b">
        <f>IFERROR(__xludf.DUMMYFUNCTION("""COMPUTED_VALUE"""),FALSE)</f>
        <v>0</v>
      </c>
    </row>
    <row r="351">
      <c r="A351" s="11">
        <f>IFERROR(__xludf.DUMMYFUNCTION("""COMPUTED_VALUE"""),1.01238285E8)</f>
        <v>101238285</v>
      </c>
      <c r="B351" s="3" t="str">
        <f>IFERROR(__xludf.DUMMYFUNCTION("""COMPUTED_VALUE"""),"Kalvin Davies")</f>
        <v>Kalvin Davies</v>
      </c>
      <c r="C351" s="3" t="str">
        <f>IFERROR(__xludf.DUMMYFUNCTION("""COMPUTED_VALUE"""),"Unknown")</f>
        <v>Unknown</v>
      </c>
      <c r="D351" s="3" t="str">
        <f>IFERROR(__xludf.DUMMYFUNCTION("""COMPUTED_VALUE"""),"Unknown")</f>
        <v>Unknown</v>
      </c>
      <c r="E351" s="3" t="str">
        <f>IFERROR(__xludf.DUMMYFUNCTION("""COMPUTED_VALUE"""),"Active")</f>
        <v>Active</v>
      </c>
      <c r="F351" s="3" t="str">
        <f>IFERROR(__xludf.DUMMYFUNCTION("""COMPUTED_VALUE"""),"kalvin.davies@pwc.com")</f>
        <v>kalvin.davies@pwc.com</v>
      </c>
      <c r="G351" s="3" t="str">
        <f>IFERROR(__xludf.DUMMYFUNCTION("""COMPUTED_VALUE"""),"Workforce")</f>
        <v>Workforce</v>
      </c>
      <c r="H351" s="3" t="str">
        <f>IFERROR(__xludf.DUMMYFUNCTION("""COMPUTED_VALUE"""),"Not Applicable")</f>
        <v>Not Applicable</v>
      </c>
      <c r="I351" s="3" t="str">
        <f>IFERROR(__xludf.DUMMYFUNCTION("""COMPUTED_VALUE"""),"Workforce - HRT")</f>
        <v>Workforce - HRT</v>
      </c>
      <c r="J351" s="3" t="str">
        <f>IFERROR(__xludf.DUMMYFUNCTION("""COMPUTED_VALUE"""),"Managing Director")</f>
        <v>Managing Director</v>
      </c>
      <c r="K351" s="12">
        <f>IFERROR(__xludf.DUMMYFUNCTION("""COMPUTED_VALUE"""),44683.0)</f>
        <v>44683</v>
      </c>
      <c r="L351" s="3" t="str">
        <f>IFERROR(__xludf.DUMMYFUNCTION("""COMPUTED_VALUE"""),"San Diego")</f>
        <v>San Diego</v>
      </c>
      <c r="M351" s="3" t="str">
        <f>IFERROR(__xludf.DUMMYFUNCTION("""COMPUTED_VALUE"""),"#N/A")</f>
        <v>#N/A</v>
      </c>
      <c r="N351" s="3" t="str">
        <f>IFERROR(__xludf.DUMMYFUNCTION("""COMPUTED_VALUE"""),"Unknown")</f>
        <v>Unknown</v>
      </c>
      <c r="O351" s="3" t="str">
        <f>IFERROR(__xludf.DUMMYFUNCTION("""COMPUTED_VALUE"""),"Unknown")</f>
        <v>Unknown</v>
      </c>
      <c r="P351" s="3" t="str">
        <f>IFERROR(__xludf.DUMMYFUNCTION("""COMPUTED_VALUE"""),"FY22")</f>
        <v>FY22</v>
      </c>
      <c r="Q351" s="3" t="str">
        <f>IFERROR(__xludf.DUMMYFUNCTION("""COMPUTED_VALUE"""),"Unknown")</f>
        <v>Unknown</v>
      </c>
      <c r="R351" s="3" t="str">
        <f>IFERROR(__xludf.DUMMYFUNCTION("""COMPUTED_VALUE"""),"Unknown")</f>
        <v>Unknown</v>
      </c>
      <c r="S351" s="3" t="str">
        <f>IFERROR(__xludf.DUMMYFUNCTION("""COMPUTED_VALUE"""),"Unknown")</f>
        <v>Unknown</v>
      </c>
      <c r="T351" s="3" t="str">
        <f>IFERROR(__xludf.DUMMYFUNCTION("""COMPUTED_VALUE"""),"Unknown")</f>
        <v>Unknown</v>
      </c>
      <c r="U351" s="3" t="b">
        <f>IFERROR(__xludf.DUMMYFUNCTION("""COMPUTED_VALUE"""),TRUE)</f>
        <v>1</v>
      </c>
      <c r="V351" s="3" t="str">
        <f>IFERROR(__xludf.DUMMYFUNCTION("""COMPUTED_VALUE"""),"Unknown")</f>
        <v>Unknown</v>
      </c>
      <c r="W351" s="3" t="str">
        <f>IFERROR(__xludf.DUMMYFUNCTION("""COMPUTED_VALUE"""),"Catalyst")</f>
        <v>Catalyst</v>
      </c>
      <c r="X351" s="3" t="str">
        <f>IFERROR(__xludf.DUMMYFUNCTION("""COMPUTED_VALUE"""),"Unknown")</f>
        <v>Unknown</v>
      </c>
      <c r="Y351" s="3" t="str">
        <f>IFERROR(__xludf.DUMMYFUNCTION("""COMPUTED_VALUE"""),"FY22")</f>
        <v>FY22</v>
      </c>
      <c r="Z351" s="3" t="str">
        <f>IFERROR(__xludf.DUMMYFUNCTION("""COMPUTED_VALUE"""),"#N/A")</f>
        <v>#N/A</v>
      </c>
      <c r="AA351" s="3" t="b">
        <f>IFERROR(__xludf.DUMMYFUNCTION("""COMPUTED_VALUE"""),FALSE)</f>
        <v>0</v>
      </c>
    </row>
    <row r="352">
      <c r="A352" s="11">
        <f>IFERROR(__xludf.DUMMYFUNCTION("""COMPUTED_VALUE"""),1.00637597E8)</f>
        <v>100637597</v>
      </c>
      <c r="B352" s="3" t="str">
        <f>IFERROR(__xludf.DUMMYFUNCTION("""COMPUTED_VALUE"""),"Kareem Elwakil")</f>
        <v>Kareem Elwakil</v>
      </c>
      <c r="C352" s="3" t="str">
        <f>IFERROR(__xludf.DUMMYFUNCTION("""COMPUTED_VALUE"""),"Kareem  Elwakil")</f>
        <v>Kareem  Elwakil</v>
      </c>
      <c r="D352" s="3" t="str">
        <f>IFERROR(__xludf.DUMMYFUNCTION("""COMPUTED_VALUE"""),"Elwakil, Kareem")</f>
        <v>Elwakil, Kareem</v>
      </c>
      <c r="E352" s="3" t="str">
        <f>IFERROR(__xludf.DUMMYFUNCTION("""COMPUTED_VALUE"""),"Active")</f>
        <v>Active</v>
      </c>
      <c r="F352" s="3" t="str">
        <f>IFERROR(__xludf.DUMMYFUNCTION("""COMPUTED_VALUE"""),"kareem.elwakil@pwc.com")</f>
        <v>kareem.elwakil@pwc.com</v>
      </c>
      <c r="G352" s="3" t="str">
        <f>IFERROR(__xludf.DUMMYFUNCTION("""COMPUTED_VALUE"""),"Ops")</f>
        <v>Ops</v>
      </c>
      <c r="H352" s="3" t="str">
        <f>IFERROR(__xludf.DUMMYFUNCTION("""COMPUTED_VALUE"""),"Pharma and Life Sciences")</f>
        <v>Pharma and Life Sciences</v>
      </c>
      <c r="I352" s="3" t="str">
        <f>IFERROR(__xludf.DUMMYFUNCTION("""COMPUTED_VALUE"""),"Ops - Connected Supply Chain (CSC)")</f>
        <v>Ops - Connected Supply Chain (CSC)</v>
      </c>
      <c r="J352" s="3" t="str">
        <f>IFERROR(__xludf.DUMMYFUNCTION("""COMPUTED_VALUE"""),"Partner")</f>
        <v>Partner</v>
      </c>
      <c r="K352" s="12">
        <f>IFERROR(__xludf.DUMMYFUNCTION("""COMPUTED_VALUE"""),42065.0)</f>
        <v>42065</v>
      </c>
      <c r="L352" s="3" t="str">
        <f>IFERROR(__xludf.DUMMYFUNCTION("""COMPUTED_VALUE"""),"New York")</f>
        <v>New York</v>
      </c>
      <c r="M352" s="3" t="str">
        <f>IFERROR(__xludf.DUMMYFUNCTION("""COMPUTED_VALUE"""),"New York - 300 Madison Avenue")</f>
        <v>New York - 300 Madison Avenue</v>
      </c>
      <c r="N352" s="3" t="b">
        <f>IFERROR(__xludf.DUMMYFUNCTION("""COMPUTED_VALUE"""),FALSE)</f>
        <v>0</v>
      </c>
      <c r="O352" s="3" t="str">
        <f>IFERROR(__xludf.DUMMYFUNCTION("""COMPUTED_VALUE"""),"matthew.r.comte@pwc.com")</f>
        <v>matthew.r.comte@pwc.com</v>
      </c>
      <c r="P352" s="3" t="str">
        <f>IFERROR(__xludf.DUMMYFUNCTION("""COMPUTED_VALUE"""),"No")</f>
        <v>No</v>
      </c>
      <c r="Q352" s="3" t="b">
        <f>IFERROR(__xludf.DUMMYFUNCTION("""COMPUTED_VALUE"""),FALSE)</f>
        <v>0</v>
      </c>
      <c r="R352" s="3"/>
      <c r="S352" s="3"/>
      <c r="T352" s="3" t="b">
        <f>IFERROR(__xludf.DUMMYFUNCTION("""COMPUTED_VALUE"""),FALSE)</f>
        <v>0</v>
      </c>
      <c r="U352" s="3" t="b">
        <f>IFERROR(__xludf.DUMMYFUNCTION("""COMPUTED_VALUE"""),TRUE)</f>
        <v>1</v>
      </c>
      <c r="V352" s="3" t="b">
        <f>IFERROR(__xludf.DUMMYFUNCTION("""COMPUTED_VALUE"""),FALSE)</f>
        <v>0</v>
      </c>
      <c r="W352" s="3" t="str">
        <f>IFERROR(__xludf.DUMMYFUNCTION("""COMPUTED_VALUE"""),"Delivery")</f>
        <v>Delivery</v>
      </c>
      <c r="X352" s="3" t="str">
        <f>IFERROR(__xludf.DUMMYFUNCTION("""COMPUTED_VALUE"""),"Investment")</f>
        <v>Investment</v>
      </c>
      <c r="Y352" s="3" t="str">
        <f>IFERROR(__xludf.DUMMYFUNCTION("""COMPUTED_VALUE"""),"Investment")</f>
        <v>Investment</v>
      </c>
      <c r="Z352" s="3" t="str">
        <f>IFERROR(__xludf.DUMMYFUNCTION("""COMPUTED_VALUE"""),"PLS Ops Transformation")</f>
        <v>PLS Ops Transformation</v>
      </c>
      <c r="AA352" s="3" t="b">
        <f>IFERROR(__xludf.DUMMYFUNCTION("""COMPUTED_VALUE"""),FALSE)</f>
        <v>0</v>
      </c>
    </row>
    <row r="353">
      <c r="A353" s="11">
        <f>IFERROR(__xludf.DUMMYFUNCTION("""COMPUTED_VALUE"""),1.00644939E8)</f>
        <v>100644939</v>
      </c>
      <c r="B353" s="3" t="str">
        <f>IFERROR(__xludf.DUMMYFUNCTION("""COMPUTED_VALUE"""),"Kareem Mohamednur")</f>
        <v>Kareem Mohamednur</v>
      </c>
      <c r="C353" s="3" t="str">
        <f>IFERROR(__xludf.DUMMYFUNCTION("""COMPUTED_VALUE"""),"Kareem Clifford Mohamednur")</f>
        <v>Kareem Clifford Mohamednur</v>
      </c>
      <c r="D353" s="3" t="str">
        <f>IFERROR(__xludf.DUMMYFUNCTION("""COMPUTED_VALUE"""),"Mohamednur, Kareem Clifford")</f>
        <v>Mohamednur, Kareem Clifford</v>
      </c>
      <c r="E353" s="3" t="str">
        <f>IFERROR(__xludf.DUMMYFUNCTION("""COMPUTED_VALUE"""),"Active")</f>
        <v>Active</v>
      </c>
      <c r="F353" s="3" t="str">
        <f>IFERROR(__xludf.DUMMYFUNCTION("""COMPUTED_VALUE"""),"kareem.c.mohamednur@pwc.com")</f>
        <v>kareem.c.mohamednur@pwc.com</v>
      </c>
      <c r="G353" s="3" t="str">
        <f>IFERROR(__xludf.DUMMYFUNCTION("""COMPUTED_VALUE"""),"Ops")</f>
        <v>Ops</v>
      </c>
      <c r="H353" s="3" t="str">
        <f>IFERROR(__xludf.DUMMYFUNCTION("""COMPUTED_VALUE"""),"CM X-Sector")</f>
        <v>CM X-Sector</v>
      </c>
      <c r="I353" s="3" t="str">
        <f>IFERROR(__xludf.DUMMYFUNCTION("""COMPUTED_VALUE"""),"Ops - Sourcing &amp; Procurement (S&amp;P)")</f>
        <v>Ops - Sourcing &amp; Procurement (S&amp;P)</v>
      </c>
      <c r="J353" s="3" t="str">
        <f>IFERROR(__xludf.DUMMYFUNCTION("""COMPUTED_VALUE"""),"Partner")</f>
        <v>Partner</v>
      </c>
      <c r="K353" s="12">
        <f>IFERROR(__xludf.DUMMYFUNCTION("""COMPUTED_VALUE"""),40162.0)</f>
        <v>40162</v>
      </c>
      <c r="L353" s="3" t="str">
        <f>IFERROR(__xludf.DUMMYFUNCTION("""COMPUTED_VALUE"""),"Chicago")</f>
        <v>Chicago</v>
      </c>
      <c r="M353" s="3" t="str">
        <f>IFERROR(__xludf.DUMMYFUNCTION("""COMPUTED_VALUE"""),"Chicago - One North Wacker Drive")</f>
        <v>Chicago - One North Wacker Drive</v>
      </c>
      <c r="N353" s="3" t="b">
        <f>IFERROR(__xludf.DUMMYFUNCTION("""COMPUTED_VALUE"""),FALSE)</f>
        <v>0</v>
      </c>
      <c r="O353" s="3" t="str">
        <f>IFERROR(__xludf.DUMMYFUNCTION("""COMPUTED_VALUE"""),"matthew.r.comte@pwc.com")</f>
        <v>matthew.r.comte@pwc.com</v>
      </c>
      <c r="P353" s="3" t="str">
        <f>IFERROR(__xludf.DUMMYFUNCTION("""COMPUTED_VALUE"""),"No")</f>
        <v>No</v>
      </c>
      <c r="Q353" s="3" t="b">
        <f>IFERROR(__xludf.DUMMYFUNCTION("""COMPUTED_VALUE"""),FALSE)</f>
        <v>0</v>
      </c>
      <c r="R353" s="3"/>
      <c r="S353" s="3"/>
      <c r="T353" s="3" t="b">
        <f>IFERROR(__xludf.DUMMYFUNCTION("""COMPUTED_VALUE"""),FALSE)</f>
        <v>0</v>
      </c>
      <c r="U353" s="3" t="b">
        <f>IFERROR(__xludf.DUMMYFUNCTION("""COMPUTED_VALUE"""),TRUE)</f>
        <v>1</v>
      </c>
      <c r="V353" s="3" t="b">
        <f>IFERROR(__xludf.DUMMYFUNCTION("""COMPUTED_VALUE"""),FALSE)</f>
        <v>0</v>
      </c>
      <c r="W353" s="3" t="str">
        <f>IFERROR(__xludf.DUMMYFUNCTION("""COMPUTED_VALUE"""),"Delivery")</f>
        <v>Delivery</v>
      </c>
      <c r="X353" s="3"/>
      <c r="Y353" s="3"/>
      <c r="Z353" s="3" t="str">
        <f>IFERROR(__xludf.DUMMYFUNCTION("""COMPUTED_VALUE"""),"CM Ops Transformation")</f>
        <v>CM Ops Transformation</v>
      </c>
      <c r="AA353" s="3" t="b">
        <f>IFERROR(__xludf.DUMMYFUNCTION("""COMPUTED_VALUE"""),FALSE)</f>
        <v>0</v>
      </c>
    </row>
    <row r="354">
      <c r="A354" s="11">
        <f>IFERROR(__xludf.DUMMYFUNCTION("""COMPUTED_VALUE"""),1.00646519E8)</f>
        <v>100646519</v>
      </c>
      <c r="B354" s="3" t="str">
        <f>IFERROR(__xludf.DUMMYFUNCTION("""COMPUTED_VALUE"""),"Karen Brennan-Holton")</f>
        <v>Karen Brennan-Holton</v>
      </c>
      <c r="C354" s="3" t="str">
        <f>IFERROR(__xludf.DUMMYFUNCTION("""COMPUTED_VALUE"""),"Karen  Brennan-Holton")</f>
        <v>Karen  Brennan-Holton</v>
      </c>
      <c r="D354" s="3" t="str">
        <f>IFERROR(__xludf.DUMMYFUNCTION("""COMPUTED_VALUE"""),"Brennan-Holton, Karen")</f>
        <v>Brennan-Holton, Karen</v>
      </c>
      <c r="E354" s="3" t="str">
        <f>IFERROR(__xludf.DUMMYFUNCTION("""COMPUTED_VALUE"""),"Active")</f>
        <v>Active</v>
      </c>
      <c r="F354" s="3" t="str">
        <f>IFERROR(__xludf.DUMMYFUNCTION("""COMPUTED_VALUE"""),"karen.brennan-holton@pwc.com")</f>
        <v>karen.brennan-holton@pwc.com</v>
      </c>
      <c r="G354" s="3" t="str">
        <f>IFERROR(__xludf.DUMMYFUNCTION("""COMPUTED_VALUE"""),"Workforce")</f>
        <v>Workforce</v>
      </c>
      <c r="H354" s="3" t="str">
        <f>IFERROR(__xludf.DUMMYFUNCTION("""COMPUTED_VALUE"""),"Power and Utilities")</f>
        <v>Power and Utilities</v>
      </c>
      <c r="I354" s="3" t="str">
        <f>IFERROR(__xludf.DUMMYFUNCTION("""COMPUTED_VALUE"""),"Workforce - Talent, Change &amp; Behaviors")</f>
        <v>Workforce - Talent, Change &amp; Behaviors</v>
      </c>
      <c r="J354" s="3" t="str">
        <f>IFERROR(__xludf.DUMMYFUNCTION("""COMPUTED_VALUE"""),"Partner")</f>
        <v>Partner</v>
      </c>
      <c r="K354" s="12">
        <f>IFERROR(__xludf.DUMMYFUNCTION("""COMPUTED_VALUE"""),42114.0)</f>
        <v>42114</v>
      </c>
      <c r="L354" s="3" t="str">
        <f>IFERROR(__xludf.DUMMYFUNCTION("""COMPUTED_VALUE"""),"Atlanta")</f>
        <v>Atlanta</v>
      </c>
      <c r="M354" s="3" t="str">
        <f>IFERROR(__xludf.DUMMYFUNCTION("""COMPUTED_VALUE"""),"Atlanta - 1075 Peachtree Street NE")</f>
        <v>Atlanta - 1075 Peachtree Street NE</v>
      </c>
      <c r="N354" s="3" t="b">
        <f>IFERROR(__xludf.DUMMYFUNCTION("""COMPUTED_VALUE"""),FALSE)</f>
        <v>0</v>
      </c>
      <c r="O354" s="3" t="str">
        <f>IFERROR(__xludf.DUMMYFUNCTION("""COMPUTED_VALUE"""),"craig.odonnell@pwc.com")</f>
        <v>craig.odonnell@pwc.com</v>
      </c>
      <c r="P354" s="3" t="str">
        <f>IFERROR(__xludf.DUMMYFUNCTION("""COMPUTED_VALUE"""),"No")</f>
        <v>No</v>
      </c>
      <c r="Q354" s="3" t="b">
        <f>IFERROR(__xludf.DUMMYFUNCTION("""COMPUTED_VALUE"""),FALSE)</f>
        <v>0</v>
      </c>
      <c r="R354" s="3"/>
      <c r="S354" s="3"/>
      <c r="T354" s="3" t="b">
        <f>IFERROR(__xludf.DUMMYFUNCTION("""COMPUTED_VALUE"""),FALSE)</f>
        <v>0</v>
      </c>
      <c r="U354" s="3" t="b">
        <f>IFERROR(__xludf.DUMMYFUNCTION("""COMPUTED_VALUE"""),FALSE)</f>
        <v>0</v>
      </c>
      <c r="V354" s="3" t="b">
        <f>IFERROR(__xludf.DUMMYFUNCTION("""COMPUTED_VALUE"""),FALSE)</f>
        <v>0</v>
      </c>
      <c r="W354" s="3" t="str">
        <f>IFERROR(__xludf.DUMMYFUNCTION("""COMPUTED_VALUE"""),"#N/A")</f>
        <v>#N/A</v>
      </c>
      <c r="X354" s="3" t="str">
        <f>IFERROR(__xludf.DUMMYFUNCTION("""COMPUTED_VALUE"""),"#N/A")</f>
        <v>#N/A</v>
      </c>
      <c r="Y354" s="3" t="str">
        <f>IFERROR(__xludf.DUMMYFUNCTION("""COMPUTED_VALUE"""),"#N/A")</f>
        <v>#N/A</v>
      </c>
      <c r="Z354" s="3" t="str">
        <f>IFERROR(__xludf.DUMMYFUNCTION("""COMPUTED_VALUE"""),"Unknown")</f>
        <v>Unknown</v>
      </c>
      <c r="AA354" s="3" t="b">
        <f>IFERROR(__xludf.DUMMYFUNCTION("""COMPUTED_VALUE"""),TRUE)</f>
        <v>1</v>
      </c>
    </row>
    <row r="355">
      <c r="A355" s="11">
        <f>IFERROR(__xludf.DUMMYFUNCTION("""COMPUTED_VALUE"""),1.00615124E8)</f>
        <v>100615124</v>
      </c>
      <c r="B355" s="3" t="str">
        <f>IFERROR(__xludf.DUMMYFUNCTION("""COMPUTED_VALUE"""),"Karl Colasante")</f>
        <v>Karl Colasante</v>
      </c>
      <c r="C355" s="3" t="str">
        <f>IFERROR(__xludf.DUMMYFUNCTION("""COMPUTED_VALUE"""),"Karl  Colasante")</f>
        <v>Karl  Colasante</v>
      </c>
      <c r="D355" s="3" t="str">
        <f>IFERROR(__xludf.DUMMYFUNCTION("""COMPUTED_VALUE"""),"Colasante, Karl")</f>
        <v>Colasante, Karl</v>
      </c>
      <c r="E355" s="3" t="str">
        <f>IFERROR(__xludf.DUMMYFUNCTION("""COMPUTED_VALUE"""),"Active")</f>
        <v>Active</v>
      </c>
      <c r="F355" s="3" t="str">
        <f>IFERROR(__xludf.DUMMYFUNCTION("""COMPUTED_VALUE"""),"karl.colasante@pwc.com")</f>
        <v>karl.colasante@pwc.com</v>
      </c>
      <c r="G355" s="3" t="str">
        <f>IFERROR(__xludf.DUMMYFUNCTION("""COMPUTED_VALUE"""),"Health")</f>
        <v>Health</v>
      </c>
      <c r="H355" s="3" t="str">
        <f>IFERROR(__xludf.DUMMYFUNCTION("""COMPUTED_VALUE"""),"Health Services")</f>
        <v>Health Services</v>
      </c>
      <c r="I355" s="3" t="str">
        <f>IFERROR(__xludf.DUMMYFUNCTION("""COMPUTED_VALUE"""),"Health - Provider ERP")</f>
        <v>Health - Provider ERP</v>
      </c>
      <c r="J355" s="3" t="str">
        <f>IFERROR(__xludf.DUMMYFUNCTION("""COMPUTED_VALUE"""),"Partner")</f>
        <v>Partner</v>
      </c>
      <c r="K355" s="12">
        <f>IFERROR(__xludf.DUMMYFUNCTION("""COMPUTED_VALUE"""),38572.0)</f>
        <v>38572</v>
      </c>
      <c r="L355" s="3" t="str">
        <f>IFERROR(__xludf.DUMMYFUNCTION("""COMPUTED_VALUE"""),"Philadelphia")</f>
        <v>Philadelphia</v>
      </c>
      <c r="M355" s="3" t="str">
        <f>IFERROR(__xludf.DUMMYFUNCTION("""COMPUTED_VALUE"""),"Philadelphia - Two Commerce Square, Suite 1800")</f>
        <v>Philadelphia - Two Commerce Square, Suite 1800</v>
      </c>
      <c r="N355" s="3" t="b">
        <f>IFERROR(__xludf.DUMMYFUNCTION("""COMPUTED_VALUE"""),FALSE)</f>
        <v>0</v>
      </c>
      <c r="O355" s="3" t="str">
        <f>IFERROR(__xludf.DUMMYFUNCTION("""COMPUTED_VALUE"""),"craig.e.gooch@pwc.com")</f>
        <v>craig.e.gooch@pwc.com</v>
      </c>
      <c r="P355" s="3" t="str">
        <f>IFERROR(__xludf.DUMMYFUNCTION("""COMPUTED_VALUE"""),"No")</f>
        <v>No</v>
      </c>
      <c r="Q355" s="3" t="b">
        <f>IFERROR(__xludf.DUMMYFUNCTION("""COMPUTED_VALUE"""),FALSE)</f>
        <v>0</v>
      </c>
      <c r="R355" s="3"/>
      <c r="S355" s="3"/>
      <c r="T355" s="3" t="b">
        <f>IFERROR(__xludf.DUMMYFUNCTION("""COMPUTED_VALUE"""),FALSE)</f>
        <v>0</v>
      </c>
      <c r="U355" s="3" t="b">
        <f>IFERROR(__xludf.DUMMYFUNCTION("""COMPUTED_VALUE"""),TRUE)</f>
        <v>1</v>
      </c>
      <c r="V355" s="3" t="b">
        <f>IFERROR(__xludf.DUMMYFUNCTION("""COMPUTED_VALUE"""),FALSE)</f>
        <v>0</v>
      </c>
      <c r="W355" s="3" t="str">
        <f>IFERROR(__xludf.DUMMYFUNCTION("""COMPUTED_VALUE"""),"Delivery")</f>
        <v>Delivery</v>
      </c>
      <c r="X355" s="3"/>
      <c r="Y355" s="3"/>
      <c r="Z355" s="3" t="str">
        <f>IFERROR(__xludf.DUMMYFUNCTION("""COMPUTED_VALUE"""),"Provider Transformation")</f>
        <v>Provider Transformation</v>
      </c>
      <c r="AA355" s="3" t="b">
        <f>IFERROR(__xludf.DUMMYFUNCTION("""COMPUTED_VALUE"""),FALSE)</f>
        <v>0</v>
      </c>
    </row>
    <row r="356">
      <c r="A356" s="11">
        <f>IFERROR(__xludf.DUMMYFUNCTION("""COMPUTED_VALUE"""),1.00585952E8)</f>
        <v>100585952</v>
      </c>
      <c r="B356" s="3" t="str">
        <f>IFERROR(__xludf.DUMMYFUNCTION("""COMPUTED_VALUE"""),"Katherine Huh")</f>
        <v>Katherine Huh</v>
      </c>
      <c r="C356" s="3" t="str">
        <f>IFERROR(__xludf.DUMMYFUNCTION("""COMPUTED_VALUE"""),"Katherine  Huh")</f>
        <v>Katherine  Huh</v>
      </c>
      <c r="D356" s="3" t="str">
        <f>IFERROR(__xludf.DUMMYFUNCTION("""COMPUTED_VALUE"""),"Huh, Katherine")</f>
        <v>Huh, Katherine</v>
      </c>
      <c r="E356" s="3" t="str">
        <f>IFERROR(__xludf.DUMMYFUNCTION("""COMPUTED_VALUE"""),"Active")</f>
        <v>Active</v>
      </c>
      <c r="F356" s="3" t="str">
        <f>IFERROR(__xludf.DUMMYFUNCTION("""COMPUTED_VALUE"""),"katherine.huh@pwc.com")</f>
        <v>katherine.huh@pwc.com</v>
      </c>
      <c r="G356" s="3" t="str">
        <f>IFERROR(__xludf.DUMMYFUNCTION("""COMPUTED_VALUE"""),"FS")</f>
        <v>FS</v>
      </c>
      <c r="H356" s="3" t="str">
        <f>IFERROR(__xludf.DUMMYFUNCTION("""COMPUTED_VALUE"""),"Asset and Wealth Management")</f>
        <v>Asset and Wealth Management</v>
      </c>
      <c r="I356" s="3" t="str">
        <f>IFERROR(__xludf.DUMMYFUNCTION("""COMPUTED_VALUE"""),"FS - Asset Wealth Management")</f>
        <v>FS - Asset Wealth Management</v>
      </c>
      <c r="J356" s="3" t="str">
        <f>IFERROR(__xludf.DUMMYFUNCTION("""COMPUTED_VALUE"""),"Partner")</f>
        <v>Partner</v>
      </c>
      <c r="K356" s="12">
        <f>IFERROR(__xludf.DUMMYFUNCTION("""COMPUTED_VALUE"""),40840.0)</f>
        <v>40840</v>
      </c>
      <c r="L356" s="3" t="str">
        <f>IFERROR(__xludf.DUMMYFUNCTION("""COMPUTED_VALUE"""),"New York")</f>
        <v>New York</v>
      </c>
      <c r="M356" s="3" t="str">
        <f>IFERROR(__xludf.DUMMYFUNCTION("""COMPUTED_VALUE"""),"New York - 300 Madison Avenue")</f>
        <v>New York - 300 Madison Avenue</v>
      </c>
      <c r="N356" s="3" t="b">
        <f>IFERROR(__xludf.DUMMYFUNCTION("""COMPUTED_VALUE"""),FALSE)</f>
        <v>0</v>
      </c>
      <c r="O356" s="3" t="str">
        <f>IFERROR(__xludf.DUMMYFUNCTION("""COMPUTED_VALUE"""),"alison.hoover@pwc.com")</f>
        <v>alison.hoover@pwc.com</v>
      </c>
      <c r="P356" s="3" t="str">
        <f>IFERROR(__xludf.DUMMYFUNCTION("""COMPUTED_VALUE"""),"No")</f>
        <v>No</v>
      </c>
      <c r="Q356" s="3" t="b">
        <f>IFERROR(__xludf.DUMMYFUNCTION("""COMPUTED_VALUE"""),FALSE)</f>
        <v>0</v>
      </c>
      <c r="R356" s="3"/>
      <c r="S356" s="3"/>
      <c r="T356" s="3" t="b">
        <f>IFERROR(__xludf.DUMMYFUNCTION("""COMPUTED_VALUE"""),FALSE)</f>
        <v>0</v>
      </c>
      <c r="U356" s="3" t="b">
        <f>IFERROR(__xludf.DUMMYFUNCTION("""COMPUTED_VALUE"""),TRUE)</f>
        <v>1</v>
      </c>
      <c r="V356" s="3" t="b">
        <f>IFERROR(__xludf.DUMMYFUNCTION("""COMPUTED_VALUE"""),FALSE)</f>
        <v>0</v>
      </c>
      <c r="W356" s="3" t="str">
        <f>IFERROR(__xludf.DUMMYFUNCTION("""COMPUTED_VALUE"""),"Delivery")</f>
        <v>Delivery</v>
      </c>
      <c r="X356" s="3"/>
      <c r="Y356" s="3"/>
      <c r="Z356" s="3" t="str">
        <f>IFERROR(__xludf.DUMMYFUNCTION("""COMPUTED_VALUE"""),"AWM Transformation")</f>
        <v>AWM Transformation</v>
      </c>
      <c r="AA356" s="3" t="b">
        <f>IFERROR(__xludf.DUMMYFUNCTION("""COMPUTED_VALUE"""),FALSE)</f>
        <v>0</v>
      </c>
    </row>
    <row r="357">
      <c r="A357" s="11">
        <f>IFERROR(__xludf.DUMMYFUNCTION("""COMPUTED_VALUE"""),1.00618376E8)</f>
        <v>100618376</v>
      </c>
      <c r="B357" s="3" t="str">
        <f>IFERROR(__xludf.DUMMYFUNCTION("""COMPUTED_VALUE"""),"Kathryn Burg Plaza")</f>
        <v>Kathryn Burg Plaza</v>
      </c>
      <c r="C357" s="3" t="str">
        <f>IFERROR(__xludf.DUMMYFUNCTION("""COMPUTED_VALUE"""),"Kathryn Burg Plaza")</f>
        <v>Kathryn Burg Plaza</v>
      </c>
      <c r="D357" s="3" t="str">
        <f>IFERROR(__xludf.DUMMYFUNCTION("""COMPUTED_VALUE"""),"Plaza, Kathryn Burg")</f>
        <v>Plaza, Kathryn Burg</v>
      </c>
      <c r="E357" s="3" t="str">
        <f>IFERROR(__xludf.DUMMYFUNCTION("""COMPUTED_VALUE"""),"Active")</f>
        <v>Active</v>
      </c>
      <c r="F357" s="3" t="str">
        <f>IFERROR(__xludf.DUMMYFUNCTION("""COMPUTED_VALUE"""),"kathryn.burg.plaza@pwc.com")</f>
        <v>kathryn.burg.plaza@pwc.com</v>
      </c>
      <c r="G357" s="3" t="str">
        <f>IFERROR(__xludf.DUMMYFUNCTION("""COMPUTED_VALUE"""),"Health")</f>
        <v>Health</v>
      </c>
      <c r="H357" s="3" t="str">
        <f>IFERROR(__xludf.DUMMYFUNCTION("""COMPUTED_VALUE"""),"Health Services")</f>
        <v>Health Services</v>
      </c>
      <c r="I357" s="3" t="str">
        <f>IFERROR(__xludf.DUMMYFUNCTION("""COMPUTED_VALUE"""),"Health - Provider Revenue Cycle")</f>
        <v>Health - Provider Revenue Cycle</v>
      </c>
      <c r="J357" s="3" t="str">
        <f>IFERROR(__xludf.DUMMYFUNCTION("""COMPUTED_VALUE"""),"Partner")</f>
        <v>Partner</v>
      </c>
      <c r="K357" s="12">
        <f>IFERROR(__xludf.DUMMYFUNCTION("""COMPUTED_VALUE"""),38389.0)</f>
        <v>38389</v>
      </c>
      <c r="L357" s="3" t="str">
        <f>IFERROR(__xludf.DUMMYFUNCTION("""COMPUTED_VALUE"""),"Philadelphia")</f>
        <v>Philadelphia</v>
      </c>
      <c r="M357" s="3" t="str">
        <f>IFERROR(__xludf.DUMMYFUNCTION("""COMPUTED_VALUE"""),"Philadelphia - Two Commerce Square, Suite 1800")</f>
        <v>Philadelphia - Two Commerce Square, Suite 1800</v>
      </c>
      <c r="N357" s="3" t="b">
        <f>IFERROR(__xludf.DUMMYFUNCTION("""COMPUTED_VALUE"""),FALSE)</f>
        <v>0</v>
      </c>
      <c r="O357" s="3" t="str">
        <f>IFERROR(__xludf.DUMMYFUNCTION("""COMPUTED_VALUE"""),"craig.e.gooch@pwc.com")</f>
        <v>craig.e.gooch@pwc.com</v>
      </c>
      <c r="P357" s="3" t="str">
        <f>IFERROR(__xludf.DUMMYFUNCTION("""COMPUTED_VALUE"""),"No")</f>
        <v>No</v>
      </c>
      <c r="Q357" s="3" t="b">
        <f>IFERROR(__xludf.DUMMYFUNCTION("""COMPUTED_VALUE"""),FALSE)</f>
        <v>0</v>
      </c>
      <c r="R357" s="3"/>
      <c r="S357" s="3"/>
      <c r="T357" s="3" t="b">
        <f>IFERROR(__xludf.DUMMYFUNCTION("""COMPUTED_VALUE"""),FALSE)</f>
        <v>0</v>
      </c>
      <c r="U357" s="3" t="b">
        <f>IFERROR(__xludf.DUMMYFUNCTION("""COMPUTED_VALUE"""),TRUE)</f>
        <v>1</v>
      </c>
      <c r="V357" s="3" t="b">
        <f>IFERROR(__xludf.DUMMYFUNCTION("""COMPUTED_VALUE"""),FALSE)</f>
        <v>0</v>
      </c>
      <c r="W357" s="3" t="str">
        <f>IFERROR(__xludf.DUMMYFUNCTION("""COMPUTED_VALUE"""),"Delivery")</f>
        <v>Delivery</v>
      </c>
      <c r="X357" s="3"/>
      <c r="Y357" s="3"/>
      <c r="Z357" s="3" t="str">
        <f>IFERROR(__xludf.DUMMYFUNCTION("""COMPUTED_VALUE"""),"Provider Transformation")</f>
        <v>Provider Transformation</v>
      </c>
      <c r="AA357" s="3" t="b">
        <f>IFERROR(__xludf.DUMMYFUNCTION("""COMPUTED_VALUE"""),FALSE)</f>
        <v>0</v>
      </c>
    </row>
    <row r="358">
      <c r="A358" s="11">
        <f>IFERROR(__xludf.DUMMYFUNCTION("""COMPUTED_VALUE"""),1.00634698E8)</f>
        <v>100634698</v>
      </c>
      <c r="B358" s="3" t="str">
        <f>IFERROR(__xludf.DUMMYFUNCTION("""COMPUTED_VALUE"""),"Katie McGonigal")</f>
        <v>Katie McGonigal</v>
      </c>
      <c r="C358" s="3" t="str">
        <f>IFERROR(__xludf.DUMMYFUNCTION("""COMPUTED_VALUE"""),"Katherine Karch McGonigal")</f>
        <v>Katherine Karch McGonigal</v>
      </c>
      <c r="D358" s="3" t="str">
        <f>IFERROR(__xludf.DUMMYFUNCTION("""COMPUTED_VALUE"""),"McGonigal, Katherine Karch")</f>
        <v>McGonigal, Katherine Karch</v>
      </c>
      <c r="E358" s="3" t="str">
        <f>IFERROR(__xludf.DUMMYFUNCTION("""COMPUTED_VALUE"""),"Active")</f>
        <v>Active</v>
      </c>
      <c r="F358" s="3" t="str">
        <f>IFERROR(__xludf.DUMMYFUNCTION("""COMPUTED_VALUE"""),"katie.mcgonigal@pwc.com")</f>
        <v>katie.mcgonigal@pwc.com</v>
      </c>
      <c r="G358" s="3" t="str">
        <f>IFERROR(__xludf.DUMMYFUNCTION("""COMPUTED_VALUE"""),"Workforce")</f>
        <v>Workforce</v>
      </c>
      <c r="H358" s="3" t="str">
        <f>IFERROR(__xludf.DUMMYFUNCTION("""COMPUTED_VALUE"""),"CM X-Sector")</f>
        <v>CM X-Sector</v>
      </c>
      <c r="I358" s="3" t="str">
        <f>IFERROR(__xludf.DUMMYFUNCTION("""COMPUTED_VALUE"""),"Workforce - Deals")</f>
        <v>Workforce - Deals</v>
      </c>
      <c r="J358" s="3" t="str">
        <f>IFERROR(__xludf.DUMMYFUNCTION("""COMPUTED_VALUE"""),"Partner")</f>
        <v>Partner</v>
      </c>
      <c r="K358" s="12">
        <f>IFERROR(__xludf.DUMMYFUNCTION("""COMPUTED_VALUE"""),39615.0)</f>
        <v>39615</v>
      </c>
      <c r="L358" s="3" t="str">
        <f>IFERROR(__xludf.DUMMYFUNCTION("""COMPUTED_VALUE"""),"Chicago")</f>
        <v>Chicago</v>
      </c>
      <c r="M358" s="3" t="str">
        <f>IFERROR(__xludf.DUMMYFUNCTION("""COMPUTED_VALUE"""),"Chicago - One North Wacker Drive")</f>
        <v>Chicago - One North Wacker Drive</v>
      </c>
      <c r="N358" s="3" t="b">
        <f>IFERROR(__xludf.DUMMYFUNCTION("""COMPUTED_VALUE"""),FALSE)</f>
        <v>0</v>
      </c>
      <c r="O358" s="3" t="str">
        <f>IFERROR(__xludf.DUMMYFUNCTION("""COMPUTED_VALUE"""),"craig.odonnell@pwc.com")</f>
        <v>craig.odonnell@pwc.com</v>
      </c>
      <c r="P358" s="3" t="str">
        <f>IFERROR(__xludf.DUMMYFUNCTION("""COMPUTED_VALUE"""),"No")</f>
        <v>No</v>
      </c>
      <c r="Q358" s="3" t="b">
        <f>IFERROR(__xludf.DUMMYFUNCTION("""COMPUTED_VALUE"""),FALSE)</f>
        <v>0</v>
      </c>
      <c r="R358" s="3"/>
      <c r="S358" s="3"/>
      <c r="T358" s="3" t="b">
        <f>IFERROR(__xludf.DUMMYFUNCTION("""COMPUTED_VALUE"""),FALSE)</f>
        <v>0</v>
      </c>
      <c r="U358" s="3" t="b">
        <f>IFERROR(__xludf.DUMMYFUNCTION("""COMPUTED_VALUE"""),FALSE)</f>
        <v>0</v>
      </c>
      <c r="V358" s="3" t="b">
        <f>IFERROR(__xludf.DUMMYFUNCTION("""COMPUTED_VALUE"""),FALSE)</f>
        <v>0</v>
      </c>
      <c r="W358" s="3" t="str">
        <f>IFERROR(__xludf.DUMMYFUNCTION("""COMPUTED_VALUE"""),"#N/A")</f>
        <v>#N/A</v>
      </c>
      <c r="X358" s="3" t="str">
        <f>IFERROR(__xludf.DUMMYFUNCTION("""COMPUTED_VALUE"""),"#N/A")</f>
        <v>#N/A</v>
      </c>
      <c r="Y358" s="3" t="str">
        <f>IFERROR(__xludf.DUMMYFUNCTION("""COMPUTED_VALUE"""),"#N/A")</f>
        <v>#N/A</v>
      </c>
      <c r="Z358" s="3" t="str">
        <f>IFERROR(__xludf.DUMMYFUNCTION("""COMPUTED_VALUE"""),"Unknown")</f>
        <v>Unknown</v>
      </c>
      <c r="AA358" s="3" t="b">
        <f>IFERROR(__xludf.DUMMYFUNCTION("""COMPUTED_VALUE"""),FALSE)</f>
        <v>0</v>
      </c>
    </row>
    <row r="359">
      <c r="A359" s="11">
        <f>IFERROR(__xludf.DUMMYFUNCTION("""COMPUTED_VALUE"""),1.00650382E8)</f>
        <v>100650382</v>
      </c>
      <c r="B359" s="3" t="str">
        <f>IFERROR(__xludf.DUMMYFUNCTION("""COMPUTED_VALUE"""),"Katya Reuk")</f>
        <v>Katya Reuk</v>
      </c>
      <c r="C359" s="3" t="str">
        <f>IFERROR(__xludf.DUMMYFUNCTION("""COMPUTED_VALUE"""),"Ekaterina  Reuk")</f>
        <v>Ekaterina  Reuk</v>
      </c>
      <c r="D359" s="3" t="str">
        <f>IFERROR(__xludf.DUMMYFUNCTION("""COMPUTED_VALUE"""),"Reuk, Ekaterina")</f>
        <v>Reuk, Ekaterina</v>
      </c>
      <c r="E359" s="3" t="str">
        <f>IFERROR(__xludf.DUMMYFUNCTION("""COMPUTED_VALUE"""),"Active")</f>
        <v>Active</v>
      </c>
      <c r="F359" s="3" t="str">
        <f>IFERROR(__xludf.DUMMYFUNCTION("""COMPUTED_VALUE"""),"katya.reuk@pwc.com")</f>
        <v>katya.reuk@pwc.com</v>
      </c>
      <c r="G359" s="3" t="str">
        <f>IFERROR(__xludf.DUMMYFUNCTION("""COMPUTED_VALUE"""),"ESV")</f>
        <v>ESV</v>
      </c>
      <c r="H359" s="3" t="str">
        <f>IFERROR(__xludf.DUMMYFUNCTION("""COMPUTED_VALUE"""),"TMT X-Sector")</f>
        <v>TMT X-Sector</v>
      </c>
      <c r="I359" s="3" t="str">
        <f>IFERROR(__xludf.DUMMYFUNCTION("""COMPUTED_VALUE"""),"ESV - TMT")</f>
        <v>ESV - TMT</v>
      </c>
      <c r="J359" s="3" t="str">
        <f>IFERROR(__xludf.DUMMYFUNCTION("""COMPUTED_VALUE"""),"Partner")</f>
        <v>Partner</v>
      </c>
      <c r="K359" s="12">
        <f>IFERROR(__xludf.DUMMYFUNCTION("""COMPUTED_VALUE"""),42186.0)</f>
        <v>42186</v>
      </c>
      <c r="L359" s="3" t="str">
        <f>IFERROR(__xludf.DUMMYFUNCTION("""COMPUTED_VALUE"""),"San Francisco")</f>
        <v>San Francisco</v>
      </c>
      <c r="M359" s="3" t="str">
        <f>IFERROR(__xludf.DUMMYFUNCTION("""COMPUTED_VALUE"""),"San Francisco - 405 Howard St")</f>
        <v>San Francisco - 405 Howard St</v>
      </c>
      <c r="N359" s="3" t="b">
        <f>IFERROR(__xludf.DUMMYFUNCTION("""COMPUTED_VALUE"""),FALSE)</f>
        <v>0</v>
      </c>
      <c r="O359" s="3" t="str">
        <f>IFERROR(__xludf.DUMMYFUNCTION("""COMPUTED_VALUE"""),"sundar.subramanian@pwc.com")</f>
        <v>sundar.subramanian@pwc.com</v>
      </c>
      <c r="P359" s="3" t="str">
        <f>IFERROR(__xludf.DUMMYFUNCTION("""COMPUTED_VALUE"""),"No")</f>
        <v>No</v>
      </c>
      <c r="Q359" s="3" t="b">
        <f>IFERROR(__xludf.DUMMYFUNCTION("""COMPUTED_VALUE"""),FALSE)</f>
        <v>0</v>
      </c>
      <c r="R359" s="3"/>
      <c r="S359" s="3" t="str">
        <f>IFERROR(__xludf.DUMMYFUNCTION("""COMPUTED_VALUE"""),"Diversity &amp; Inclusion Champions")</f>
        <v>Diversity &amp; Inclusion Champions</v>
      </c>
      <c r="T359" s="3" t="b">
        <f>IFERROR(__xludf.DUMMYFUNCTION("""COMPUTED_VALUE"""),FALSE)</f>
        <v>0</v>
      </c>
      <c r="U359" s="3" t="b">
        <f>IFERROR(__xludf.DUMMYFUNCTION("""COMPUTED_VALUE"""),TRUE)</f>
        <v>1</v>
      </c>
      <c r="V359" s="3" t="b">
        <f>IFERROR(__xludf.DUMMYFUNCTION("""COMPUTED_VALUE"""),FALSE)</f>
        <v>0</v>
      </c>
      <c r="W359" s="3" t="str">
        <f>IFERROR(__xludf.DUMMYFUNCTION("""COMPUTED_VALUE"""),"Delivery")</f>
        <v>Delivery</v>
      </c>
      <c r="X359" s="3" t="str">
        <f>IFERROR(__xludf.DUMMYFUNCTION("""COMPUTED_VALUE"""),"Investment")</f>
        <v>Investment</v>
      </c>
      <c r="Y359" s="3"/>
      <c r="Z359" s="3" t="str">
        <f>IFERROR(__xludf.DUMMYFUNCTION("""COMPUTED_VALUE"""),"Enterprise Digital Transformation - TMT")</f>
        <v>Enterprise Digital Transformation - TMT</v>
      </c>
      <c r="AA359" s="3" t="b">
        <f>IFERROR(__xludf.DUMMYFUNCTION("""COMPUTED_VALUE"""),FALSE)</f>
        <v>0</v>
      </c>
    </row>
    <row r="360">
      <c r="A360" s="11">
        <f>IFERROR(__xludf.DUMMYFUNCTION("""COMPUTED_VALUE"""),1.01200304E8)</f>
        <v>101200304</v>
      </c>
      <c r="B360" s="3" t="str">
        <f>IFERROR(__xludf.DUMMYFUNCTION("""COMPUTED_VALUE"""),"Kaushik Ramasubramaniam")</f>
        <v>Kaushik Ramasubramaniam</v>
      </c>
      <c r="C360" s="3" t="str">
        <f>IFERROR(__xludf.DUMMYFUNCTION("""COMPUTED_VALUE"""),"Kaushik  Ramasubramaniam")</f>
        <v>Kaushik  Ramasubramaniam</v>
      </c>
      <c r="D360" s="3" t="str">
        <f>IFERROR(__xludf.DUMMYFUNCTION("""COMPUTED_VALUE"""),"Ramasubramaniam, Kaushik")</f>
        <v>Ramasubramaniam, Kaushik</v>
      </c>
      <c r="E360" s="3" t="str">
        <f>IFERROR(__xludf.DUMMYFUNCTION("""COMPUTED_VALUE"""),"Active")</f>
        <v>Active</v>
      </c>
      <c r="F360" s="3" t="str">
        <f>IFERROR(__xludf.DUMMYFUNCTION("""COMPUTED_VALUE"""),"kaushik.ramasubramaniam@pwc.com")</f>
        <v>kaushik.ramasubramaniam@pwc.com</v>
      </c>
      <c r="G360" s="3" t="str">
        <f>IFERROR(__xludf.DUMMYFUNCTION("""COMPUTED_VALUE"""),"Deals Transformation")</f>
        <v>Deals Transformation</v>
      </c>
      <c r="H360" s="3" t="str">
        <f>IFERROR(__xludf.DUMMYFUNCTION("""COMPUTED_VALUE"""),"TMT X-Sector")</f>
        <v>TMT X-Sector</v>
      </c>
      <c r="I360" s="3" t="str">
        <f>IFERROR(__xludf.DUMMYFUNCTION("""COMPUTED_VALUE"""),"DDV - IT")</f>
        <v>DDV - IT</v>
      </c>
      <c r="J360" s="3" t="str">
        <f>IFERROR(__xludf.DUMMYFUNCTION("""COMPUTED_VALUE"""),"Partner")</f>
        <v>Partner</v>
      </c>
      <c r="K360" s="12">
        <f>IFERROR(__xludf.DUMMYFUNCTION("""COMPUTED_VALUE"""),44599.0)</f>
        <v>44599</v>
      </c>
      <c r="L360" s="3" t="str">
        <f>IFERROR(__xludf.DUMMYFUNCTION("""COMPUTED_VALUE"""),"Denver")</f>
        <v>Denver</v>
      </c>
      <c r="M360" s="3" t="str">
        <f>IFERROR(__xludf.DUMMYFUNCTION("""COMPUTED_VALUE"""),"Denver - 1900 Sixteenth Street")</f>
        <v>Denver - 1900 Sixteenth Street</v>
      </c>
      <c r="N360" s="3" t="b">
        <f>IFERROR(__xludf.DUMMYFUNCTION("""COMPUTED_VALUE"""),FALSE)</f>
        <v>0</v>
      </c>
      <c r="O360" s="3" t="str">
        <f>IFERROR(__xludf.DUMMYFUNCTION("""COMPUTED_VALUE"""),"derek.b.townsend@pwc.com")</f>
        <v>derek.b.townsend@pwc.com</v>
      </c>
      <c r="P360" s="3" t="str">
        <f>IFERROR(__xludf.DUMMYFUNCTION("""COMPUTED_VALUE"""),"FY22")</f>
        <v>FY22</v>
      </c>
      <c r="Q360" s="3" t="b">
        <f>IFERROR(__xludf.DUMMYFUNCTION("""COMPUTED_VALUE"""),FALSE)</f>
        <v>0</v>
      </c>
      <c r="R360" s="3"/>
      <c r="S360" s="3"/>
      <c r="T360" s="3" t="b">
        <f>IFERROR(__xludf.DUMMYFUNCTION("""COMPUTED_VALUE"""),FALSE)</f>
        <v>0</v>
      </c>
      <c r="U360" s="3" t="b">
        <f>IFERROR(__xludf.DUMMYFUNCTION("""COMPUTED_VALUE"""),TRUE)</f>
        <v>1</v>
      </c>
      <c r="V360" s="3" t="b">
        <f>IFERROR(__xludf.DUMMYFUNCTION("""COMPUTED_VALUE"""),FALSE)</f>
        <v>0</v>
      </c>
      <c r="W360" s="3" t="str">
        <f>IFERROR(__xludf.DUMMYFUNCTION("""COMPUTED_VALUE"""),"Catalyst")</f>
        <v>Catalyst</v>
      </c>
      <c r="X360" s="3"/>
      <c r="Y360" s="3" t="str">
        <f>IFERROR(__xludf.DUMMYFUNCTION("""COMPUTED_VALUE"""),"FY22")</f>
        <v>FY22</v>
      </c>
      <c r="Z360" s="3" t="str">
        <f>IFERROR(__xludf.DUMMYFUNCTION("""COMPUTED_VALUE"""),"")</f>
        <v/>
      </c>
      <c r="AA360" s="3" t="b">
        <f>IFERROR(__xludf.DUMMYFUNCTION("""COMPUTED_VALUE"""),FALSE)</f>
        <v>0</v>
      </c>
    </row>
    <row r="361">
      <c r="A361" s="11">
        <f>IFERROR(__xludf.DUMMYFUNCTION("""COMPUTED_VALUE"""),1.00609078E8)</f>
        <v>100609078</v>
      </c>
      <c r="B361" s="3" t="str">
        <f>IFERROR(__xludf.DUMMYFUNCTION("""COMPUTED_VALUE"""),"Kayvan Shahabi")</f>
        <v>Kayvan Shahabi</v>
      </c>
      <c r="C361" s="3" t="str">
        <f>IFERROR(__xludf.DUMMYFUNCTION("""COMPUTED_VALUE"""),"Kayvan  Shahabi")</f>
        <v>Kayvan  Shahabi</v>
      </c>
      <c r="D361" s="3" t="str">
        <f>IFERROR(__xludf.DUMMYFUNCTION("""COMPUTED_VALUE"""),"Shahabi, Kayvan")</f>
        <v>Shahabi, Kayvan</v>
      </c>
      <c r="E361" s="3" t="str">
        <f>IFERROR(__xludf.DUMMYFUNCTION("""COMPUTED_VALUE"""),"Active")</f>
        <v>Active</v>
      </c>
      <c r="F361" s="3" t="str">
        <f>IFERROR(__xludf.DUMMYFUNCTION("""COMPUTED_VALUE"""),"kayvan.shahabi@pwc.com")</f>
        <v>kayvan.shahabi@pwc.com</v>
      </c>
      <c r="G361" s="3" t="str">
        <f>IFERROR(__xludf.DUMMYFUNCTION("""COMPUTED_VALUE"""),"Workforce")</f>
        <v>Workforce</v>
      </c>
      <c r="H361" s="3" t="str">
        <f>IFERROR(__xludf.DUMMYFUNCTION("""COMPUTED_VALUE"""),"TMT X-Sector")</f>
        <v>TMT X-Sector</v>
      </c>
      <c r="I361" s="3" t="str">
        <f>IFERROR(__xludf.DUMMYFUNCTION("""COMPUTED_VALUE"""),"Workforce - Talent, Change &amp; Behaviors")</f>
        <v>Workforce - Talent, Change &amp; Behaviors</v>
      </c>
      <c r="J361" s="3" t="str">
        <f>IFERROR(__xludf.DUMMYFUNCTION("""COMPUTED_VALUE"""),"Partner")</f>
        <v>Partner</v>
      </c>
      <c r="K361" s="12">
        <f>IFERROR(__xludf.DUMMYFUNCTION("""COMPUTED_VALUE"""),40777.0)</f>
        <v>40777</v>
      </c>
      <c r="L361" s="3" t="str">
        <f>IFERROR(__xludf.DUMMYFUNCTION("""COMPUTED_VALUE"""),"Boston")</f>
        <v>Boston</v>
      </c>
      <c r="M361" s="3" t="str">
        <f>IFERROR(__xludf.DUMMYFUNCTION("""COMPUTED_VALUE"""),"Boston - 101 Seaport Boulevard")</f>
        <v>Boston - 101 Seaport Boulevard</v>
      </c>
      <c r="N361" s="3" t="b">
        <f>IFERROR(__xludf.DUMMYFUNCTION("""COMPUTED_VALUE"""),FALSE)</f>
        <v>0</v>
      </c>
      <c r="O361" s="3" t="str">
        <f>IFERROR(__xludf.DUMMYFUNCTION("""COMPUTED_VALUE"""),"craig.odonnell@pwc.com")</f>
        <v>craig.odonnell@pwc.com</v>
      </c>
      <c r="P361" s="3" t="str">
        <f>IFERROR(__xludf.DUMMYFUNCTION("""COMPUTED_VALUE"""),"No")</f>
        <v>No</v>
      </c>
      <c r="Q361" s="3" t="b">
        <f>IFERROR(__xludf.DUMMYFUNCTION("""COMPUTED_VALUE"""),TRUE)</f>
        <v>1</v>
      </c>
      <c r="R361" s="3" t="str">
        <f>IFERROR(__xludf.DUMMYFUNCTION("""COMPUTED_VALUE"""),"LCP Low")</f>
        <v>LCP Low</v>
      </c>
      <c r="S361" s="3" t="str">
        <f>IFERROR(__xludf.DUMMYFUNCTION("""COMPUTED_VALUE"""),"Recruiting + Onboarding Success Champions")</f>
        <v>Recruiting + Onboarding Success Champions</v>
      </c>
      <c r="T361" s="3" t="b">
        <f>IFERROR(__xludf.DUMMYFUNCTION("""COMPUTED_VALUE"""),FALSE)</f>
        <v>0</v>
      </c>
      <c r="U361" s="3" t="b">
        <f>IFERROR(__xludf.DUMMYFUNCTION("""COMPUTED_VALUE"""),FALSE)</f>
        <v>0</v>
      </c>
      <c r="V361" s="3" t="b">
        <f>IFERROR(__xludf.DUMMYFUNCTION("""COMPUTED_VALUE"""),FALSE)</f>
        <v>0</v>
      </c>
      <c r="W361" s="3" t="str">
        <f>IFERROR(__xludf.DUMMYFUNCTION("""COMPUTED_VALUE"""),"LCP")</f>
        <v>LCP</v>
      </c>
      <c r="X361" s="3" t="str">
        <f>IFERROR(__xludf.DUMMYFUNCTION("""COMPUTED_VALUE"""),"#N/A")</f>
        <v>#N/A</v>
      </c>
      <c r="Y361" s="3" t="str">
        <f>IFERROR(__xludf.DUMMYFUNCTION("""COMPUTED_VALUE"""),"#N/A")</f>
        <v>#N/A</v>
      </c>
      <c r="Z361" s="3" t="str">
        <f>IFERROR(__xludf.DUMMYFUNCTION("""COMPUTED_VALUE"""),"Unknown")</f>
        <v>Unknown</v>
      </c>
      <c r="AA361" s="3" t="b">
        <f>IFERROR(__xludf.DUMMYFUNCTION("""COMPUTED_VALUE"""),FALSE)</f>
        <v>0</v>
      </c>
    </row>
    <row r="362">
      <c r="A362" s="11">
        <f>IFERROR(__xludf.DUMMYFUNCTION("""COMPUTED_VALUE"""),1.00658522E8)</f>
        <v>100658522</v>
      </c>
      <c r="B362" s="3" t="str">
        <f>IFERROR(__xludf.DUMMYFUNCTION("""COMPUTED_VALUE"""),"Keith Considine")</f>
        <v>Keith Considine</v>
      </c>
      <c r="C362" s="3" t="str">
        <f>IFERROR(__xludf.DUMMYFUNCTION("""COMPUTED_VALUE"""),"Keith  Considine")</f>
        <v>Keith  Considine</v>
      </c>
      <c r="D362" s="3" t="str">
        <f>IFERROR(__xludf.DUMMYFUNCTION("""COMPUTED_VALUE"""),"Considine, Keith")</f>
        <v>Considine, Keith</v>
      </c>
      <c r="E362" s="3" t="str">
        <f>IFERROR(__xludf.DUMMYFUNCTION("""COMPUTED_VALUE"""),"Active")</f>
        <v>Active</v>
      </c>
      <c r="F362" s="3" t="str">
        <f>IFERROR(__xludf.DUMMYFUNCTION("""COMPUTED_VALUE"""),"keith.considine@pwc.com")</f>
        <v>keith.considine@pwc.com</v>
      </c>
      <c r="G362" s="3" t="str">
        <f>IFERROR(__xludf.DUMMYFUNCTION("""COMPUTED_VALUE"""),"Finance")</f>
        <v>Finance</v>
      </c>
      <c r="H362" s="3" t="str">
        <f>IFERROR(__xludf.DUMMYFUNCTION("""COMPUTED_VALUE"""),"Energy")</f>
        <v>Energy</v>
      </c>
      <c r="I362" s="3" t="str">
        <f>IFERROR(__xludf.DUMMYFUNCTION("""COMPUTED_VALUE"""),"Finance - Finance Strategy / Op Model / Global Business Services / Talent")</f>
        <v>Finance - Finance Strategy / Op Model / Global Business Services / Talent</v>
      </c>
      <c r="J362" s="3" t="str">
        <f>IFERROR(__xludf.DUMMYFUNCTION("""COMPUTED_VALUE"""),"Partner")</f>
        <v>Partner</v>
      </c>
      <c r="K362" s="12">
        <f>IFERROR(__xludf.DUMMYFUNCTION("""COMPUTED_VALUE"""),37683.0)</f>
        <v>37683</v>
      </c>
      <c r="L362" s="3" t="str">
        <f>IFERROR(__xludf.DUMMYFUNCTION("""COMPUTED_VALUE"""),"Houston")</f>
        <v>Houston</v>
      </c>
      <c r="M362" s="3" t="str">
        <f>IFERROR(__xludf.DUMMYFUNCTION("""COMPUTED_VALUE"""),"Houston - 1000 Louisiana Street")</f>
        <v>Houston - 1000 Louisiana Street</v>
      </c>
      <c r="N362" s="3" t="b">
        <f>IFERROR(__xludf.DUMMYFUNCTION("""COMPUTED_VALUE"""),TRUE)</f>
        <v>1</v>
      </c>
      <c r="O362" s="3" t="str">
        <f>IFERROR(__xludf.DUMMYFUNCTION("""COMPUTED_VALUE"""),"kurtis.babczenko@pwc.com")</f>
        <v>kurtis.babczenko@pwc.com</v>
      </c>
      <c r="P362" s="3" t="str">
        <f>IFERROR(__xludf.DUMMYFUNCTION("""COMPUTED_VALUE"""),"No")</f>
        <v>No</v>
      </c>
      <c r="Q362" s="3" t="b">
        <f>IFERROR(__xludf.DUMMYFUNCTION("""COMPUTED_VALUE"""),TRUE)</f>
        <v>1</v>
      </c>
      <c r="R362" s="3" t="str">
        <f>IFERROR(__xludf.DUMMYFUNCTION("""COMPUTED_VALUE"""),"LCP Low")</f>
        <v>LCP Low</v>
      </c>
      <c r="S362" s="3"/>
      <c r="T362" s="3" t="b">
        <f>IFERROR(__xludf.DUMMYFUNCTION("""COMPUTED_VALUE"""),FALSE)</f>
        <v>0</v>
      </c>
      <c r="U362" s="3" t="b">
        <f>IFERROR(__xludf.DUMMYFUNCTION("""COMPUTED_VALUE"""),FALSE)</f>
        <v>0</v>
      </c>
      <c r="V362" s="3" t="b">
        <f>IFERROR(__xludf.DUMMYFUNCTION("""COMPUTED_VALUE"""),FALSE)</f>
        <v>0</v>
      </c>
      <c r="W362" s="3" t="str">
        <f>IFERROR(__xludf.DUMMYFUNCTION("""COMPUTED_VALUE"""),"LCP")</f>
        <v>LCP</v>
      </c>
      <c r="X362" s="3"/>
      <c r="Y362" s="3" t="str">
        <f>IFERROR(__xludf.DUMMYFUNCTION("""COMPUTED_VALUE"""),"GEP - Low")</f>
        <v>GEP - Low</v>
      </c>
      <c r="Z362" s="3" t="str">
        <f>IFERROR(__xludf.DUMMYFUNCTION("""COMPUTED_VALUE"""),"Finance Transformation IPS - EUM / PU")</f>
        <v>Finance Transformation IPS - EUM / PU</v>
      </c>
      <c r="AA362" s="3" t="b">
        <f>IFERROR(__xludf.DUMMYFUNCTION("""COMPUTED_VALUE"""),FALSE)</f>
        <v>0</v>
      </c>
    </row>
    <row r="363">
      <c r="A363" s="11">
        <f>IFERROR(__xludf.DUMMYFUNCTION("""COMPUTED_VALUE"""),1.00653269E8)</f>
        <v>100653269</v>
      </c>
      <c r="B363" s="3" t="str">
        <f>IFERROR(__xludf.DUMMYFUNCTION("""COMPUTED_VALUE"""),"Keith Fengler")</f>
        <v>Keith Fengler</v>
      </c>
      <c r="C363" s="3" t="str">
        <f>IFERROR(__xludf.DUMMYFUNCTION("""COMPUTED_VALUE"""),"Keith Gregory Fengler")</f>
        <v>Keith Gregory Fengler</v>
      </c>
      <c r="D363" s="3" t="str">
        <f>IFERROR(__xludf.DUMMYFUNCTION("""COMPUTED_VALUE"""),"Fengler, Keith Gregory")</f>
        <v>Fengler, Keith Gregory</v>
      </c>
      <c r="E363" s="3" t="str">
        <f>IFERROR(__xludf.DUMMYFUNCTION("""COMPUTED_VALUE"""),"Active")</f>
        <v>Active</v>
      </c>
      <c r="F363" s="3" t="str">
        <f>IFERROR(__xludf.DUMMYFUNCTION("""COMPUTED_VALUE"""),"keith.fengler@pwc.com")</f>
        <v>keith.fengler@pwc.com</v>
      </c>
      <c r="G363" s="3" t="str">
        <f>IFERROR(__xludf.DUMMYFUNCTION("""COMPUTED_VALUE"""),"Customer")</f>
        <v>Customer</v>
      </c>
      <c r="H363" s="3" t="str">
        <f>IFERROR(__xludf.DUMMYFUNCTION("""COMPUTED_VALUE"""),"HI X-Sector")</f>
        <v>HI X-Sector</v>
      </c>
      <c r="I363" s="3" t="str">
        <f>IFERROR(__xludf.DUMMYFUNCTION("""COMPUTED_VALUE"""),"Customer - Service")</f>
        <v>Customer - Service</v>
      </c>
      <c r="J363" s="3" t="str">
        <f>IFERROR(__xludf.DUMMYFUNCTION("""COMPUTED_VALUE"""),"Partner")</f>
        <v>Partner</v>
      </c>
      <c r="K363" s="12">
        <f>IFERROR(__xludf.DUMMYFUNCTION("""COMPUTED_VALUE"""),42186.0)</f>
        <v>42186</v>
      </c>
      <c r="L363" s="3" t="str">
        <f>IFERROR(__xludf.DUMMYFUNCTION("""COMPUTED_VALUE"""),"Boston")</f>
        <v>Boston</v>
      </c>
      <c r="M363" s="3" t="str">
        <f>IFERROR(__xludf.DUMMYFUNCTION("""COMPUTED_VALUE"""),"Boston - 101 Seaport Boulevard")</f>
        <v>Boston - 101 Seaport Boulevard</v>
      </c>
      <c r="N363" s="3" t="b">
        <f>IFERROR(__xludf.DUMMYFUNCTION("""COMPUTED_VALUE"""),FALSE)</f>
        <v>0</v>
      </c>
      <c r="O363" s="3" t="str">
        <f>IFERROR(__xludf.DUMMYFUNCTION("""COMPUTED_VALUE"""),"george.korizis@pwc.com")</f>
        <v>george.korizis@pwc.com</v>
      </c>
      <c r="P363" s="3" t="str">
        <f>IFERROR(__xludf.DUMMYFUNCTION("""COMPUTED_VALUE"""),"No")</f>
        <v>No</v>
      </c>
      <c r="Q363" s="3" t="b">
        <f>IFERROR(__xludf.DUMMYFUNCTION("""COMPUTED_VALUE"""),TRUE)</f>
        <v>1</v>
      </c>
      <c r="R363" s="3" t="str">
        <f>IFERROR(__xludf.DUMMYFUNCTION("""COMPUTED_VALUE"""),"LCP Low")</f>
        <v>LCP Low</v>
      </c>
      <c r="S363" s="3"/>
      <c r="T363" s="3" t="b">
        <f>IFERROR(__xludf.DUMMYFUNCTION("""COMPUTED_VALUE"""),FALSE)</f>
        <v>0</v>
      </c>
      <c r="U363" s="3" t="b">
        <f>IFERROR(__xludf.DUMMYFUNCTION("""COMPUTED_VALUE"""),FALSE)</f>
        <v>0</v>
      </c>
      <c r="V363" s="3" t="b">
        <f>IFERROR(__xludf.DUMMYFUNCTION("""COMPUTED_VALUE"""),FALSE)</f>
        <v>0</v>
      </c>
      <c r="W363" s="3" t="str">
        <f>IFERROR(__xludf.DUMMYFUNCTION("""COMPUTED_VALUE"""),"LCP")</f>
        <v>LCP</v>
      </c>
      <c r="X363" s="3"/>
      <c r="Y363" s="3" t="str">
        <f>IFERROR(__xludf.DUMMYFUNCTION("""COMPUTED_VALUE"""),"GEP - Low")</f>
        <v>GEP - Low</v>
      </c>
      <c r="Z363" s="3" t="str">
        <f>IFERROR(__xludf.DUMMYFUNCTION("""COMPUTED_VALUE"""),"Commercial / CRM Transformation - CM &amp; IPS &amp; HIA")</f>
        <v>Commercial / CRM Transformation - CM &amp; IPS &amp; HIA</v>
      </c>
      <c r="AA363" s="3" t="b">
        <f>IFERROR(__xludf.DUMMYFUNCTION("""COMPUTED_VALUE"""),FALSE)</f>
        <v>0</v>
      </c>
    </row>
    <row r="364">
      <c r="A364" s="11">
        <f>IFERROR(__xludf.DUMMYFUNCTION("""COMPUTED_VALUE"""),1.00635215E8)</f>
        <v>100635215</v>
      </c>
      <c r="B364" s="3" t="str">
        <f>IFERROR(__xludf.DUMMYFUNCTION("""COMPUTED_VALUE"""),"Keith Mauger")</f>
        <v>Keith Mauger</v>
      </c>
      <c r="C364" s="3" t="str">
        <f>IFERROR(__xludf.DUMMYFUNCTION("""COMPUTED_VALUE"""),"Keith  Mauger")</f>
        <v>Keith  Mauger</v>
      </c>
      <c r="D364" s="3" t="str">
        <f>IFERROR(__xludf.DUMMYFUNCTION("""COMPUTED_VALUE"""),"Mauger, Keith")</f>
        <v>Mauger, Keith</v>
      </c>
      <c r="E364" s="3" t="str">
        <f>IFERROR(__xludf.DUMMYFUNCTION("""COMPUTED_VALUE"""),"Active")</f>
        <v>Active</v>
      </c>
      <c r="F364" s="3" t="str">
        <f>IFERROR(__xludf.DUMMYFUNCTION("""COMPUTED_VALUE"""),"keith.mauger@pwc.com")</f>
        <v>keith.mauger@pwc.com</v>
      </c>
      <c r="G364" s="3" t="str">
        <f>IFERROR(__xludf.DUMMYFUNCTION("""COMPUTED_VALUE"""),"Health")</f>
        <v>Health</v>
      </c>
      <c r="H364" s="3" t="str">
        <f>IFERROR(__xludf.DUMMYFUNCTION("""COMPUTED_VALUE"""),"Health Services")</f>
        <v>Health Services</v>
      </c>
      <c r="I364" s="3" t="str">
        <f>IFERROR(__xludf.DUMMYFUNCTION("""COMPUTED_VALUE"""),"Health - Provider Revenue Cycle")</f>
        <v>Health - Provider Revenue Cycle</v>
      </c>
      <c r="J364" s="3" t="str">
        <f>IFERROR(__xludf.DUMMYFUNCTION("""COMPUTED_VALUE"""),"Managing Director")</f>
        <v>Managing Director</v>
      </c>
      <c r="K364" s="12">
        <f>IFERROR(__xludf.DUMMYFUNCTION("""COMPUTED_VALUE"""),43017.0)</f>
        <v>43017</v>
      </c>
      <c r="L364" s="3" t="str">
        <f>IFERROR(__xludf.DUMMYFUNCTION("""COMPUTED_VALUE"""),"Columbus")</f>
        <v>Columbus</v>
      </c>
      <c r="M364" s="3" t="str">
        <f>IFERROR(__xludf.DUMMYFUNCTION("""COMPUTED_VALUE"""),"Columbus - 41 South High Street")</f>
        <v>Columbus - 41 South High Street</v>
      </c>
      <c r="N364" s="3" t="b">
        <f>IFERROR(__xludf.DUMMYFUNCTION("""COMPUTED_VALUE"""),FALSE)</f>
        <v>0</v>
      </c>
      <c r="O364" s="3" t="str">
        <f>IFERROR(__xludf.DUMMYFUNCTION("""COMPUTED_VALUE"""),"craig.e.gooch@pwc.com")</f>
        <v>craig.e.gooch@pwc.com</v>
      </c>
      <c r="P364" s="3" t="str">
        <f>IFERROR(__xludf.DUMMYFUNCTION("""COMPUTED_VALUE"""),"No")</f>
        <v>No</v>
      </c>
      <c r="Q364" s="3" t="b">
        <f>IFERROR(__xludf.DUMMYFUNCTION("""COMPUTED_VALUE"""),FALSE)</f>
        <v>0</v>
      </c>
      <c r="R364" s="3"/>
      <c r="S364" s="3"/>
      <c r="T364" s="3" t="b">
        <f>IFERROR(__xludf.DUMMYFUNCTION("""COMPUTED_VALUE"""),FALSE)</f>
        <v>0</v>
      </c>
      <c r="U364" s="3" t="b">
        <f>IFERROR(__xludf.DUMMYFUNCTION("""COMPUTED_VALUE"""),TRUE)</f>
        <v>1</v>
      </c>
      <c r="V364" s="3" t="b">
        <f>IFERROR(__xludf.DUMMYFUNCTION("""COMPUTED_VALUE"""),FALSE)</f>
        <v>0</v>
      </c>
      <c r="W364" s="3" t="str">
        <f>IFERROR(__xludf.DUMMYFUNCTION("""COMPUTED_VALUE"""),"Delivery")</f>
        <v>Delivery</v>
      </c>
      <c r="X364" s="3"/>
      <c r="Y364" s="3"/>
      <c r="Z364" s="3" t="str">
        <f>IFERROR(__xludf.DUMMYFUNCTION("""COMPUTED_VALUE"""),"Provider Transformation")</f>
        <v>Provider Transformation</v>
      </c>
      <c r="AA364" s="3" t="b">
        <f>IFERROR(__xludf.DUMMYFUNCTION("""COMPUTED_VALUE"""),FALSE)</f>
        <v>0</v>
      </c>
    </row>
    <row r="365">
      <c r="A365" s="11">
        <f>IFERROR(__xludf.DUMMYFUNCTION("""COMPUTED_VALUE"""),1.01080198E8)</f>
        <v>101080198</v>
      </c>
      <c r="B365" s="3" t="str">
        <f>IFERROR(__xludf.DUMMYFUNCTION("""COMPUTED_VALUE"""),"Keith Morris")</f>
        <v>Keith Morris</v>
      </c>
      <c r="C365" s="3" t="str">
        <f>IFERROR(__xludf.DUMMYFUNCTION("""COMPUTED_VALUE"""),"Keith David Morris")</f>
        <v>Keith David Morris</v>
      </c>
      <c r="D365" s="3" t="str">
        <f>IFERROR(__xludf.DUMMYFUNCTION("""COMPUTED_VALUE"""),"Morris, Keith David")</f>
        <v>Morris, Keith David</v>
      </c>
      <c r="E365" s="3" t="str">
        <f>IFERROR(__xludf.DUMMYFUNCTION("""COMPUTED_VALUE"""),"Active")</f>
        <v>Active</v>
      </c>
      <c r="F365" s="3" t="str">
        <f>IFERROR(__xludf.DUMMYFUNCTION("""COMPUTED_VALUE"""),"keith.d.morris@pwc.com")</f>
        <v>keith.d.morris@pwc.com</v>
      </c>
      <c r="G365" s="3" t="str">
        <f>IFERROR(__xludf.DUMMYFUNCTION("""COMPUTED_VALUE"""),"Health")</f>
        <v>Health</v>
      </c>
      <c r="H365" s="3" t="str">
        <f>IFERROR(__xludf.DUMMYFUNCTION("""COMPUTED_VALUE"""),"Pharma and Life Sciences")</f>
        <v>Pharma and Life Sciences</v>
      </c>
      <c r="I365" s="3" t="str">
        <f>IFERROR(__xludf.DUMMYFUNCTION("""COMPUTED_VALUE"""),"Health - R&amp;D Future of Clinical Trials")</f>
        <v>Health - R&amp;D Future of Clinical Trials</v>
      </c>
      <c r="J365" s="3" t="str">
        <f>IFERROR(__xludf.DUMMYFUNCTION("""COMPUTED_VALUE"""),"Managing Director")</f>
        <v>Managing Director</v>
      </c>
      <c r="K365" s="12">
        <f>IFERROR(__xludf.DUMMYFUNCTION("""COMPUTED_VALUE"""),44389.0)</f>
        <v>44389</v>
      </c>
      <c r="L365" s="3" t="str">
        <f>IFERROR(__xludf.DUMMYFUNCTION("""COMPUTED_VALUE"""),"Raleigh")</f>
        <v>Raleigh</v>
      </c>
      <c r="M365" s="3" t="str">
        <f>IFERROR(__xludf.DUMMYFUNCTION("""COMPUTED_VALUE"""),"Raleigh - 4208 Six Forks Road")</f>
        <v>Raleigh - 4208 Six Forks Road</v>
      </c>
      <c r="N365" s="3" t="b">
        <f>IFERROR(__xludf.DUMMYFUNCTION("""COMPUTED_VALUE"""),FALSE)</f>
        <v>0</v>
      </c>
      <c r="O365" s="3" t="str">
        <f>IFERROR(__xludf.DUMMYFUNCTION("""COMPUTED_VALUE"""),"anup.kharode@pwc.com")</f>
        <v>anup.kharode@pwc.com</v>
      </c>
      <c r="P365" s="3" t="str">
        <f>IFERROR(__xludf.DUMMYFUNCTION("""COMPUTED_VALUE"""),"FY21 2nd Half")</f>
        <v>FY21 2nd Half</v>
      </c>
      <c r="Q365" s="3" t="b">
        <f>IFERROR(__xludf.DUMMYFUNCTION("""COMPUTED_VALUE"""),FALSE)</f>
        <v>0</v>
      </c>
      <c r="R365" s="3"/>
      <c r="S365" s="3"/>
      <c r="T365" s="3" t="b">
        <f>IFERROR(__xludf.DUMMYFUNCTION("""COMPUTED_VALUE"""),FALSE)</f>
        <v>0</v>
      </c>
      <c r="U365" s="3" t="b">
        <f>IFERROR(__xludf.DUMMYFUNCTION("""COMPUTED_VALUE"""),TRUE)</f>
        <v>1</v>
      </c>
      <c r="V365" s="3" t="b">
        <f>IFERROR(__xludf.DUMMYFUNCTION("""COMPUTED_VALUE"""),FALSE)</f>
        <v>0</v>
      </c>
      <c r="W365" s="3" t="str">
        <f>IFERROR(__xludf.DUMMYFUNCTION("""COMPUTED_VALUE"""),"Catalyst")</f>
        <v>Catalyst</v>
      </c>
      <c r="X365" s="3"/>
      <c r="Y365" s="3" t="str">
        <f>IFERROR(__xludf.DUMMYFUNCTION("""COMPUTED_VALUE"""),"FY21 2nd Half")</f>
        <v>FY21 2nd Half</v>
      </c>
      <c r="Z365" s="3" t="str">
        <f>IFERROR(__xludf.DUMMYFUNCTION("""COMPUTED_VALUE"""),"Clinical R&amp;D")</f>
        <v>Clinical R&amp;D</v>
      </c>
      <c r="AA365" s="3" t="b">
        <f>IFERROR(__xludf.DUMMYFUNCTION("""COMPUTED_VALUE"""),TRUE)</f>
        <v>1</v>
      </c>
    </row>
    <row r="366">
      <c r="A366" s="11">
        <f>IFERROR(__xludf.DUMMYFUNCTION("""COMPUTED_VALUE"""),1.00597826E8)</f>
        <v>100597826</v>
      </c>
      <c r="B366" s="3" t="str">
        <f>IFERROR(__xludf.DUMMYFUNCTION("""COMPUTED_VALUE"""),"Kelly Pedersen")</f>
        <v>Kelly Pedersen</v>
      </c>
      <c r="C366" s="3" t="str">
        <f>IFERROR(__xludf.DUMMYFUNCTION("""COMPUTED_VALUE"""),"Kelly  Pedersen")</f>
        <v>Kelly  Pedersen</v>
      </c>
      <c r="D366" s="3" t="str">
        <f>IFERROR(__xludf.DUMMYFUNCTION("""COMPUTED_VALUE"""),"Pedersen, Kelly")</f>
        <v>Pedersen, Kelly</v>
      </c>
      <c r="E366" s="3" t="str">
        <f>IFERROR(__xludf.DUMMYFUNCTION("""COMPUTED_VALUE"""),"Active")</f>
        <v>Active</v>
      </c>
      <c r="F366" s="3" t="str">
        <f>IFERROR(__xludf.DUMMYFUNCTION("""COMPUTED_VALUE"""),"kelly.pedersen@pwc.com")</f>
        <v>kelly.pedersen@pwc.com</v>
      </c>
      <c r="G366" s="3" t="str">
        <f>IFERROR(__xludf.DUMMYFUNCTION("""COMPUTED_VALUE"""),"Ops")</f>
        <v>Ops</v>
      </c>
      <c r="H366" s="3" t="str">
        <f>IFERROR(__xludf.DUMMYFUNCTION("""COMPUTED_VALUE"""),"CM X-Sector")</f>
        <v>CM X-Sector</v>
      </c>
      <c r="I366" s="3" t="str">
        <f>IFERROR(__xludf.DUMMYFUNCTION("""COMPUTED_VALUE"""),"Ops - Org Strategy Strategy &amp; Solutions (OSS)")</f>
        <v>Ops - Org Strategy Strategy &amp; Solutions (OSS)</v>
      </c>
      <c r="J366" s="3" t="str">
        <f>IFERROR(__xludf.DUMMYFUNCTION("""COMPUTED_VALUE"""),"Partner")</f>
        <v>Partner</v>
      </c>
      <c r="K366" s="12">
        <f>IFERROR(__xludf.DUMMYFUNCTION("""COMPUTED_VALUE"""),43157.0)</f>
        <v>43157</v>
      </c>
      <c r="L366" s="3" t="str">
        <f>IFERROR(__xludf.DUMMYFUNCTION("""COMPUTED_VALUE"""),"San Francisco")</f>
        <v>San Francisco</v>
      </c>
      <c r="M366" s="3" t="str">
        <f>IFERROR(__xludf.DUMMYFUNCTION("""COMPUTED_VALUE"""),"San Francisco - 405 Howard St")</f>
        <v>San Francisco - 405 Howard St</v>
      </c>
      <c r="N366" s="3" t="b">
        <f>IFERROR(__xludf.DUMMYFUNCTION("""COMPUTED_VALUE"""),FALSE)</f>
        <v>0</v>
      </c>
      <c r="O366" s="3" t="str">
        <f>IFERROR(__xludf.DUMMYFUNCTION("""COMPUTED_VALUE"""),"matthew.r.comte@pwc.com")</f>
        <v>matthew.r.comte@pwc.com</v>
      </c>
      <c r="P366" s="3" t="str">
        <f>IFERROR(__xludf.DUMMYFUNCTION("""COMPUTED_VALUE"""),"No")</f>
        <v>No</v>
      </c>
      <c r="Q366" s="3" t="b">
        <f>IFERROR(__xludf.DUMMYFUNCTION("""COMPUTED_VALUE"""),TRUE)</f>
        <v>1</v>
      </c>
      <c r="R366" s="3" t="str">
        <f>IFERROR(__xludf.DUMMYFUNCTION("""COMPUTED_VALUE"""),"LCP Low")</f>
        <v>LCP Low</v>
      </c>
      <c r="S366" s="3"/>
      <c r="T366" s="3" t="b">
        <f>IFERROR(__xludf.DUMMYFUNCTION("""COMPUTED_VALUE"""),FALSE)</f>
        <v>0</v>
      </c>
      <c r="U366" s="3" t="b">
        <f>IFERROR(__xludf.DUMMYFUNCTION("""COMPUTED_VALUE"""),FALSE)</f>
        <v>0</v>
      </c>
      <c r="V366" s="3" t="b">
        <f>IFERROR(__xludf.DUMMYFUNCTION("""COMPUTED_VALUE"""),FALSE)</f>
        <v>0</v>
      </c>
      <c r="W366" s="3" t="str">
        <f>IFERROR(__xludf.DUMMYFUNCTION("""COMPUTED_VALUE"""),"LCP")</f>
        <v>LCP</v>
      </c>
      <c r="X366" s="3" t="str">
        <f>IFERROR(__xludf.DUMMYFUNCTION("""COMPUTED_VALUE"""),"Investment")</f>
        <v>Investment</v>
      </c>
      <c r="Y366" s="3" t="str">
        <f>IFERROR(__xludf.DUMMYFUNCTION("""COMPUTED_VALUE"""),"GEP - Low")</f>
        <v>GEP - Low</v>
      </c>
      <c r="Z366" s="3" t="str">
        <f>IFERROR(__xludf.DUMMYFUNCTION("""COMPUTED_VALUE"""),"CM Ops Transformation")</f>
        <v>CM Ops Transformation</v>
      </c>
      <c r="AA366" s="3" t="b">
        <f>IFERROR(__xludf.DUMMYFUNCTION("""COMPUTED_VALUE"""),FALSE)</f>
        <v>0</v>
      </c>
    </row>
    <row r="367">
      <c r="A367" s="11">
        <f>IFERROR(__xludf.DUMMYFUNCTION("""COMPUTED_VALUE"""),1.00595346E8)</f>
        <v>100595346</v>
      </c>
      <c r="B367" s="3" t="str">
        <f>IFERROR(__xludf.DUMMYFUNCTION("""COMPUTED_VALUE"""),"Ken Evola")</f>
        <v>Ken Evola</v>
      </c>
      <c r="C367" s="3" t="str">
        <f>IFERROR(__xludf.DUMMYFUNCTION("""COMPUTED_VALUE"""),"Kenneth  Evola")</f>
        <v>Kenneth  Evola</v>
      </c>
      <c r="D367" s="3" t="str">
        <f>IFERROR(__xludf.DUMMYFUNCTION("""COMPUTED_VALUE"""),"Evola, Kenneth")</f>
        <v>Evola, Kenneth</v>
      </c>
      <c r="E367" s="3" t="str">
        <f>IFERROR(__xludf.DUMMYFUNCTION("""COMPUTED_VALUE"""),"Active")</f>
        <v>Active</v>
      </c>
      <c r="F367" s="3" t="str">
        <f>IFERROR(__xludf.DUMMYFUNCTION("""COMPUTED_VALUE"""),"kenneth.evola@pwc.com")</f>
        <v>kenneth.evola@pwc.com</v>
      </c>
      <c r="G367" s="3" t="str">
        <f>IFERROR(__xludf.DUMMYFUNCTION("""COMPUTED_VALUE"""),"FS")</f>
        <v>FS</v>
      </c>
      <c r="H367" s="3" t="str">
        <f>IFERROR(__xludf.DUMMYFUNCTION("""COMPUTED_VALUE"""),"Banking and Capital Markets")</f>
        <v>Banking and Capital Markets</v>
      </c>
      <c r="I367" s="3" t="str">
        <f>IFERROR(__xludf.DUMMYFUNCTION("""COMPUTED_VALUE"""),"FS - Banking and Capital Markets")</f>
        <v>FS - Banking and Capital Markets</v>
      </c>
      <c r="J367" s="3" t="str">
        <f>IFERROR(__xludf.DUMMYFUNCTION("""COMPUTED_VALUE"""),"Managing Director")</f>
        <v>Managing Director</v>
      </c>
      <c r="K367" s="12">
        <f>IFERROR(__xludf.DUMMYFUNCTION("""COMPUTED_VALUE"""),32045.0)</f>
        <v>32045</v>
      </c>
      <c r="L367" s="3" t="str">
        <f>IFERROR(__xludf.DUMMYFUNCTION("""COMPUTED_VALUE"""),"Charlotte")</f>
        <v>Charlotte</v>
      </c>
      <c r="M367" s="3" t="str">
        <f>IFERROR(__xludf.DUMMYFUNCTION("""COMPUTED_VALUE"""),"Charlotte - 214 North Tryon Street")</f>
        <v>Charlotte - 214 North Tryon Street</v>
      </c>
      <c r="N367" s="3" t="b">
        <f>IFERROR(__xludf.DUMMYFUNCTION("""COMPUTED_VALUE"""),FALSE)</f>
        <v>0</v>
      </c>
      <c r="O367" s="3" t="str">
        <f>IFERROR(__xludf.DUMMYFUNCTION("""COMPUTED_VALUE"""),"sean.viergutz@pwc.com")</f>
        <v>sean.viergutz@pwc.com</v>
      </c>
      <c r="P367" s="3" t="str">
        <f>IFERROR(__xludf.DUMMYFUNCTION("""COMPUTED_VALUE"""),"No")</f>
        <v>No</v>
      </c>
      <c r="Q367" s="3" t="b">
        <f>IFERROR(__xludf.DUMMYFUNCTION("""COMPUTED_VALUE"""),FALSE)</f>
        <v>0</v>
      </c>
      <c r="R367" s="3"/>
      <c r="S367" s="3"/>
      <c r="T367" s="3" t="b">
        <f>IFERROR(__xludf.DUMMYFUNCTION("""COMPUTED_VALUE"""),FALSE)</f>
        <v>0</v>
      </c>
      <c r="U367" s="3" t="b">
        <f>IFERROR(__xludf.DUMMYFUNCTION("""COMPUTED_VALUE"""),FALSE)</f>
        <v>0</v>
      </c>
      <c r="V367" s="3" t="b">
        <f>IFERROR(__xludf.DUMMYFUNCTION("""COMPUTED_VALUE"""),FALSE)</f>
        <v>0</v>
      </c>
      <c r="W367" s="3" t="str">
        <f>IFERROR(__xludf.DUMMYFUNCTION("""COMPUTED_VALUE"""),"Delivery")</f>
        <v>Delivery</v>
      </c>
      <c r="X367" s="3"/>
      <c r="Y367" s="3"/>
      <c r="Z367" s="3" t="str">
        <f>IFERROR(__xludf.DUMMYFUNCTION("""COMPUTED_VALUE"""),"")</f>
        <v/>
      </c>
      <c r="AA367" s="3" t="b">
        <f>IFERROR(__xludf.DUMMYFUNCTION("""COMPUTED_VALUE"""),FALSE)</f>
        <v>0</v>
      </c>
    </row>
    <row r="368">
      <c r="A368" s="11">
        <f>IFERROR(__xludf.DUMMYFUNCTION("""COMPUTED_VALUE"""),1.00625415E8)</f>
        <v>100625415</v>
      </c>
      <c r="B368" s="3" t="str">
        <f>IFERROR(__xludf.DUMMYFUNCTION("""COMPUTED_VALUE"""),"Kenneth LaManna")</f>
        <v>Kenneth LaManna</v>
      </c>
      <c r="C368" s="3" t="str">
        <f>IFERROR(__xludf.DUMMYFUNCTION("""COMPUTED_VALUE"""),"Kenneth C LaManna")</f>
        <v>Kenneth C LaManna</v>
      </c>
      <c r="D368" s="3" t="str">
        <f>IFERROR(__xludf.DUMMYFUNCTION("""COMPUTED_VALUE"""),"LaManna, Kenneth C")</f>
        <v>LaManna, Kenneth C</v>
      </c>
      <c r="E368" s="3" t="str">
        <f>IFERROR(__xludf.DUMMYFUNCTION("""COMPUTED_VALUE"""),"Active")</f>
        <v>Active</v>
      </c>
      <c r="F368" s="3" t="str">
        <f>IFERROR(__xludf.DUMMYFUNCTION("""COMPUTED_VALUE"""),"kenneth.lamanna@pwc.com")</f>
        <v>kenneth.lamanna@pwc.com</v>
      </c>
      <c r="G368" s="3" t="str">
        <f>IFERROR(__xludf.DUMMYFUNCTION("""COMPUTED_VALUE"""),"Finance")</f>
        <v>Finance</v>
      </c>
      <c r="H368" s="3" t="str">
        <f>IFERROR(__xludf.DUMMYFUNCTION("""COMPUTED_VALUE"""),"Banking and Capital Markets")</f>
        <v>Banking and Capital Markets</v>
      </c>
      <c r="I368" s="3" t="str">
        <f>IFERROR(__xludf.DUMMYFUNCTION("""COMPUTED_VALUE"""),"Finance - Deals")</f>
        <v>Finance - Deals</v>
      </c>
      <c r="J368" s="3" t="str">
        <f>IFERROR(__xludf.DUMMYFUNCTION("""COMPUTED_VALUE"""),"Partner")</f>
        <v>Partner</v>
      </c>
      <c r="K368" s="12">
        <f>IFERROR(__xludf.DUMMYFUNCTION("""COMPUTED_VALUE"""),38789.0)</f>
        <v>38789</v>
      </c>
      <c r="L368" s="3" t="str">
        <f>IFERROR(__xludf.DUMMYFUNCTION("""COMPUTED_VALUE"""),"Atlanta")</f>
        <v>Atlanta</v>
      </c>
      <c r="M368" s="3" t="str">
        <f>IFERROR(__xludf.DUMMYFUNCTION("""COMPUTED_VALUE"""),"Atlanta - 1075 Peachtree Street NE")</f>
        <v>Atlanta - 1075 Peachtree Street NE</v>
      </c>
      <c r="N368" s="3" t="b">
        <f>IFERROR(__xludf.DUMMYFUNCTION("""COMPUTED_VALUE"""),FALSE)</f>
        <v>0</v>
      </c>
      <c r="O368" s="3" t="str">
        <f>IFERROR(__xludf.DUMMYFUNCTION("""COMPUTED_VALUE"""),"kurtis.babczenko@pwc.com")</f>
        <v>kurtis.babczenko@pwc.com</v>
      </c>
      <c r="P368" s="3" t="str">
        <f>IFERROR(__xludf.DUMMYFUNCTION("""COMPUTED_VALUE"""),"No")</f>
        <v>No</v>
      </c>
      <c r="Q368" s="3" t="b">
        <f>IFERROR(__xludf.DUMMYFUNCTION("""COMPUTED_VALUE"""),FALSE)</f>
        <v>0</v>
      </c>
      <c r="R368" s="3"/>
      <c r="S368" s="3"/>
      <c r="T368" s="3" t="b">
        <f>IFERROR(__xludf.DUMMYFUNCTION("""COMPUTED_VALUE"""),FALSE)</f>
        <v>0</v>
      </c>
      <c r="U368" s="3" t="b">
        <f>IFERROR(__xludf.DUMMYFUNCTION("""COMPUTED_VALUE"""),TRUE)</f>
        <v>1</v>
      </c>
      <c r="V368" s="3" t="b">
        <f>IFERROR(__xludf.DUMMYFUNCTION("""COMPUTED_VALUE"""),FALSE)</f>
        <v>0</v>
      </c>
      <c r="W368" s="3" t="str">
        <f>IFERROR(__xludf.DUMMYFUNCTION("""COMPUTED_VALUE"""),"Delivery")</f>
        <v>Delivery</v>
      </c>
      <c r="X368" s="3" t="str">
        <f>IFERROR(__xludf.DUMMYFUNCTION("""COMPUTED_VALUE"""),"Investment")</f>
        <v>Investment</v>
      </c>
      <c r="Y368" s="3"/>
      <c r="Z368" s="3" t="str">
        <f>IFERROR(__xludf.DUMMYFUNCTION("""COMPUTED_VALUE"""),"Finance Transformation - Banking")</f>
        <v>Finance Transformation - Banking</v>
      </c>
      <c r="AA368" s="3" t="b">
        <f>IFERROR(__xludf.DUMMYFUNCTION("""COMPUTED_VALUE"""),FALSE)</f>
        <v>0</v>
      </c>
    </row>
    <row r="369">
      <c r="A369" s="11">
        <f>IFERROR(__xludf.DUMMYFUNCTION("""COMPUTED_VALUE"""),1.00653499E8)</f>
        <v>100653499</v>
      </c>
      <c r="B369" s="3" t="str">
        <f>IFERROR(__xludf.DUMMYFUNCTION("""COMPUTED_VALUE"""),"Kenny Chan")</f>
        <v>Kenny Chan</v>
      </c>
      <c r="C369" s="3" t="str">
        <f>IFERROR(__xludf.DUMMYFUNCTION("""COMPUTED_VALUE"""),"Kenny Wai Yin Chan")</f>
        <v>Kenny Wai Yin Chan</v>
      </c>
      <c r="D369" s="3" t="str">
        <f>IFERROR(__xludf.DUMMYFUNCTION("""COMPUTED_VALUE"""),"Chan, Kenny Wai Yin")</f>
        <v>Chan, Kenny Wai Yin</v>
      </c>
      <c r="E369" s="3" t="str">
        <f>IFERROR(__xludf.DUMMYFUNCTION("""COMPUTED_VALUE"""),"Active")</f>
        <v>Active</v>
      </c>
      <c r="F369" s="3" t="str">
        <f>IFERROR(__xludf.DUMMYFUNCTION("""COMPUTED_VALUE"""),"kenny.chan@pwc.com")</f>
        <v>kenny.chan@pwc.com</v>
      </c>
      <c r="G369" s="3" t="str">
        <f>IFERROR(__xludf.DUMMYFUNCTION("""COMPUTED_VALUE"""),"Health")</f>
        <v>Health</v>
      </c>
      <c r="H369" s="3" t="str">
        <f>IFERROR(__xludf.DUMMYFUNCTION("""COMPUTED_VALUE"""),"Health Services")</f>
        <v>Health Services</v>
      </c>
      <c r="I369" s="3" t="str">
        <f>IFERROR(__xludf.DUMMYFUNCTION("""COMPUTED_VALUE"""),"Health - Payer CO&amp;I")</f>
        <v>Health - Payer CO&amp;I</v>
      </c>
      <c r="J369" s="3" t="str">
        <f>IFERROR(__xludf.DUMMYFUNCTION("""COMPUTED_VALUE"""),"Partner")</f>
        <v>Partner</v>
      </c>
      <c r="K369" s="12">
        <f>IFERROR(__xludf.DUMMYFUNCTION("""COMPUTED_VALUE"""),42186.0)</f>
        <v>42186</v>
      </c>
      <c r="L369" s="3" t="str">
        <f>IFERROR(__xludf.DUMMYFUNCTION("""COMPUTED_VALUE"""),"San Francisco")</f>
        <v>San Francisco</v>
      </c>
      <c r="M369" s="3" t="str">
        <f>IFERROR(__xludf.DUMMYFUNCTION("""COMPUTED_VALUE"""),"San Francisco - 405 Howard St")</f>
        <v>San Francisco - 405 Howard St</v>
      </c>
      <c r="N369" s="3" t="b">
        <f>IFERROR(__xludf.DUMMYFUNCTION("""COMPUTED_VALUE"""),FALSE)</f>
        <v>0</v>
      </c>
      <c r="O369" s="3" t="str">
        <f>IFERROR(__xludf.DUMMYFUNCTION("""COMPUTED_VALUE"""),"craig.e.gooch@pwc.com")</f>
        <v>craig.e.gooch@pwc.com</v>
      </c>
      <c r="P369" s="3" t="str">
        <f>IFERROR(__xludf.DUMMYFUNCTION("""COMPUTED_VALUE"""),"No")</f>
        <v>No</v>
      </c>
      <c r="Q369" s="3" t="b">
        <f>IFERROR(__xludf.DUMMYFUNCTION("""COMPUTED_VALUE"""),TRUE)</f>
        <v>1</v>
      </c>
      <c r="R369" s="3" t="str">
        <f>IFERROR(__xludf.DUMMYFUNCTION("""COMPUTED_VALUE"""),"LCP Low")</f>
        <v>LCP Low</v>
      </c>
      <c r="S369" s="3" t="str">
        <f>IFERROR(__xludf.DUMMYFUNCTION("""COMPUTED_VALUE"""),"Lever Champions")</f>
        <v>Lever Champions</v>
      </c>
      <c r="T369" s="3" t="b">
        <f>IFERROR(__xludf.DUMMYFUNCTION("""COMPUTED_VALUE"""),FALSE)</f>
        <v>0</v>
      </c>
      <c r="U369" s="3" t="b">
        <f>IFERROR(__xludf.DUMMYFUNCTION("""COMPUTED_VALUE"""),TRUE)</f>
        <v>1</v>
      </c>
      <c r="V369" s="3" t="b">
        <f>IFERROR(__xludf.DUMMYFUNCTION("""COMPUTED_VALUE"""),FALSE)</f>
        <v>0</v>
      </c>
      <c r="W369" s="3" t="str">
        <f>IFERROR(__xludf.DUMMYFUNCTION("""COMPUTED_VALUE"""),"LCP")</f>
        <v>LCP</v>
      </c>
      <c r="X369" s="3"/>
      <c r="Y369" s="3" t="str">
        <f>IFERROR(__xludf.DUMMYFUNCTION("""COMPUTED_VALUE"""),"GEP - Low")</f>
        <v>GEP - Low</v>
      </c>
      <c r="Z369" s="3" t="str">
        <f>IFERROR(__xludf.DUMMYFUNCTION("""COMPUTED_VALUE"""),"Payer Transformation")</f>
        <v>Payer Transformation</v>
      </c>
      <c r="AA369" s="3" t="b">
        <f>IFERROR(__xludf.DUMMYFUNCTION("""COMPUTED_VALUE"""),FALSE)</f>
        <v>0</v>
      </c>
    </row>
    <row r="370">
      <c r="A370" s="11">
        <f>IFERROR(__xludf.DUMMYFUNCTION("""COMPUTED_VALUE"""),1.01143743E8)</f>
        <v>101143743</v>
      </c>
      <c r="B370" s="3" t="str">
        <f>IFERROR(__xludf.DUMMYFUNCTION("""COMPUTED_VALUE"""),"Ketan Awalegaonkar")</f>
        <v>Ketan Awalegaonkar</v>
      </c>
      <c r="C370" s="3" t="str">
        <f>IFERROR(__xludf.DUMMYFUNCTION("""COMPUTED_VALUE"""),"Ketan  Awalegaonkar")</f>
        <v>Ketan  Awalegaonkar</v>
      </c>
      <c r="D370" s="3" t="str">
        <f>IFERROR(__xludf.DUMMYFUNCTION("""COMPUTED_VALUE"""),"Awalegaonkar, Ketan")</f>
        <v>Awalegaonkar, Ketan</v>
      </c>
      <c r="E370" s="3" t="str">
        <f>IFERROR(__xludf.DUMMYFUNCTION("""COMPUTED_VALUE"""),"Active")</f>
        <v>Active</v>
      </c>
      <c r="F370" s="3" t="str">
        <f>IFERROR(__xludf.DUMMYFUNCTION("""COMPUTED_VALUE"""),"ketan.awalegaonkar@pwc.com")</f>
        <v>ketan.awalegaonkar@pwc.com</v>
      </c>
      <c r="G370" s="3" t="str">
        <f>IFERROR(__xludf.DUMMYFUNCTION("""COMPUTED_VALUE"""),"ESV")</f>
        <v>ESV</v>
      </c>
      <c r="H370" s="3" t="str">
        <f>IFERROR(__xludf.DUMMYFUNCTION("""COMPUTED_VALUE"""),"IMA X-Sector")</f>
        <v>IMA X-Sector</v>
      </c>
      <c r="I370" s="3" t="str">
        <f>IFERROR(__xludf.DUMMYFUNCTION("""COMPUTED_VALUE"""),"ESV - IPS")</f>
        <v>ESV - IPS</v>
      </c>
      <c r="J370" s="3" t="str">
        <f>IFERROR(__xludf.DUMMYFUNCTION("""COMPUTED_VALUE"""),"Partner")</f>
        <v>Partner</v>
      </c>
      <c r="K370" s="12">
        <f>IFERROR(__xludf.DUMMYFUNCTION("""COMPUTED_VALUE"""),44473.0)</f>
        <v>44473</v>
      </c>
      <c r="L370" s="3" t="str">
        <f>IFERROR(__xludf.DUMMYFUNCTION("""COMPUTED_VALUE"""),"Chicago")</f>
        <v>Chicago</v>
      </c>
      <c r="M370" s="3" t="str">
        <f>IFERROR(__xludf.DUMMYFUNCTION("""COMPUTED_VALUE"""),"Chicago - One North Wacker Drive")</f>
        <v>Chicago - One North Wacker Drive</v>
      </c>
      <c r="N370" s="3" t="b">
        <f>IFERROR(__xludf.DUMMYFUNCTION("""COMPUTED_VALUE"""),FALSE)</f>
        <v>0</v>
      </c>
      <c r="O370" s="3" t="str">
        <f>IFERROR(__xludf.DUMMYFUNCTION("""COMPUTED_VALUE"""),"mike.connolly@pwc.com")</f>
        <v>mike.connolly@pwc.com</v>
      </c>
      <c r="P370" s="3" t="str">
        <f>IFERROR(__xludf.DUMMYFUNCTION("""COMPUTED_VALUE"""),"FY22")</f>
        <v>FY22</v>
      </c>
      <c r="Q370" s="3" t="b">
        <f>IFERROR(__xludf.DUMMYFUNCTION("""COMPUTED_VALUE"""),FALSE)</f>
        <v>0</v>
      </c>
      <c r="R370" s="3"/>
      <c r="S370" s="3"/>
      <c r="T370" s="3" t="b">
        <f>IFERROR(__xludf.DUMMYFUNCTION("""COMPUTED_VALUE"""),TRUE)</f>
        <v>1</v>
      </c>
      <c r="U370" s="3" t="b">
        <f>IFERROR(__xludf.DUMMYFUNCTION("""COMPUTED_VALUE"""),FALSE)</f>
        <v>0</v>
      </c>
      <c r="V370" s="3" t="b">
        <f>IFERROR(__xludf.DUMMYFUNCTION("""COMPUTED_VALUE"""),TRUE)</f>
        <v>1</v>
      </c>
      <c r="W370" s="3" t="str">
        <f>IFERROR(__xludf.DUMMYFUNCTION("""COMPUTED_VALUE"""),"Catalyst")</f>
        <v>Catalyst</v>
      </c>
      <c r="X370" s="3"/>
      <c r="Y370" s="3" t="str">
        <f>IFERROR(__xludf.DUMMYFUNCTION("""COMPUTED_VALUE"""),"FY22")</f>
        <v>FY22</v>
      </c>
      <c r="Z370" s="3" t="str">
        <f>IFERROR(__xludf.DUMMYFUNCTION("""COMPUTED_VALUE"""),"Not Assigned")</f>
        <v>Not Assigned</v>
      </c>
      <c r="AA370" s="3" t="b">
        <f>IFERROR(__xludf.DUMMYFUNCTION("""COMPUTED_VALUE"""),FALSE)</f>
        <v>0</v>
      </c>
    </row>
    <row r="371">
      <c r="A371" s="3">
        <f>IFERROR(__xludf.DUMMYFUNCTION("""COMPUTED_VALUE"""),1.01241965E8)</f>
        <v>101241965</v>
      </c>
      <c r="B371" s="3" t="str">
        <f>IFERROR(__xludf.DUMMYFUNCTION("""COMPUTED_VALUE"""),"Ketan Patel")</f>
        <v>Ketan Patel</v>
      </c>
      <c r="C371" s="3" t="str">
        <f>IFERROR(__xludf.DUMMYFUNCTION("""COMPUTED_VALUE"""),"Ketan Patel")</f>
        <v>Ketan Patel</v>
      </c>
      <c r="D371" s="3" t="str">
        <f>IFERROR(__xludf.DUMMYFUNCTION("""COMPUTED_VALUE"""),"Patel, Ketan")</f>
        <v>Patel, Ketan</v>
      </c>
      <c r="E371" s="3" t="str">
        <f>IFERROR(__xludf.DUMMYFUNCTION("""COMPUTED_VALUE"""),"Active")</f>
        <v>Active</v>
      </c>
      <c r="F371" s="3" t="str">
        <f>IFERROR(__xludf.DUMMYFUNCTION("""COMPUTED_VALUE"""),"ketan.v.patel@pwc.com")</f>
        <v>ketan.v.patel@pwc.com</v>
      </c>
      <c r="G371" s="3" t="str">
        <f>IFERROR(__xludf.DUMMYFUNCTION("""COMPUTED_VALUE"""),"Health")</f>
        <v>Health</v>
      </c>
      <c r="H371" s="3" t="str">
        <f>IFERROR(__xludf.DUMMYFUNCTION("""COMPUTED_VALUE"""),"Health Services")</f>
        <v>Health Services</v>
      </c>
      <c r="I371" s="3" t="str">
        <f>IFERROR(__xludf.DUMMYFUNCTION("""COMPUTED_VALUE"""),"Unknown")</f>
        <v>Unknown</v>
      </c>
      <c r="J371" s="3" t="str">
        <f>IFERROR(__xludf.DUMMYFUNCTION("""COMPUTED_VALUE"""),"Partner")</f>
        <v>Partner</v>
      </c>
      <c r="K371" s="12">
        <f>IFERROR(__xludf.DUMMYFUNCTION("""COMPUTED_VALUE"""),44697.0)</f>
        <v>44697</v>
      </c>
      <c r="L371" s="3" t="str">
        <f>IFERROR(__xludf.DUMMYFUNCTION("""COMPUTED_VALUE"""),"Houston")</f>
        <v>Houston</v>
      </c>
      <c r="M371" s="3" t="str">
        <f>IFERROR(__xludf.DUMMYFUNCTION("""COMPUTED_VALUE"""),"Unknown")</f>
        <v>Unknown</v>
      </c>
      <c r="N371" s="3" t="str">
        <f>IFERROR(__xludf.DUMMYFUNCTION("""COMPUTED_VALUE"""),"Unknown")</f>
        <v>Unknown</v>
      </c>
      <c r="O371" s="3" t="str">
        <f>IFERROR(__xludf.DUMMYFUNCTION("""COMPUTED_VALUE"""),"Unknown")</f>
        <v>Unknown</v>
      </c>
      <c r="P371" s="3" t="str">
        <f>IFERROR(__xludf.DUMMYFUNCTION("""COMPUTED_VALUE"""),"FY22")</f>
        <v>FY22</v>
      </c>
      <c r="Q371" s="3" t="str">
        <f>IFERROR(__xludf.DUMMYFUNCTION("""COMPUTED_VALUE"""),"Unknown")</f>
        <v>Unknown</v>
      </c>
      <c r="R371" s="3" t="str">
        <f>IFERROR(__xludf.DUMMYFUNCTION("""COMPUTED_VALUE"""),"Unknown")</f>
        <v>Unknown</v>
      </c>
      <c r="S371" s="3"/>
      <c r="T371" s="3" t="str">
        <f>IFERROR(__xludf.DUMMYFUNCTION("""COMPUTED_VALUE"""),"Unknown")</f>
        <v>Unknown</v>
      </c>
      <c r="U371" s="3" t="str">
        <f>IFERROR(__xludf.DUMMYFUNCTION("""COMPUTED_VALUE"""),"Unknown")</f>
        <v>Unknown</v>
      </c>
      <c r="V371" s="3" t="str">
        <f>IFERROR(__xludf.DUMMYFUNCTION("""COMPUTED_VALUE"""),"Unknown")</f>
        <v>Unknown</v>
      </c>
      <c r="W371" s="3" t="str">
        <f>IFERROR(__xludf.DUMMYFUNCTION("""COMPUTED_VALUE"""),"Catalyst")</f>
        <v>Catalyst</v>
      </c>
      <c r="X371" s="3" t="str">
        <f>IFERROR(__xludf.DUMMYFUNCTION("""COMPUTED_VALUE"""),"Unknown")</f>
        <v>Unknown</v>
      </c>
      <c r="Y371" s="3" t="str">
        <f>IFERROR(__xludf.DUMMYFUNCTION("""COMPUTED_VALUE"""),"Unknown")</f>
        <v>Unknown</v>
      </c>
      <c r="Z371" s="3" t="str">
        <f>IFERROR(__xludf.DUMMYFUNCTION("""COMPUTED_VALUE"""),"Unknown")</f>
        <v>Unknown</v>
      </c>
      <c r="AA371" s="3" t="str">
        <f>IFERROR(__xludf.DUMMYFUNCTION("""COMPUTED_VALUE"""),"Unknown")</f>
        <v>Unknown</v>
      </c>
    </row>
    <row r="372">
      <c r="A372" s="11">
        <f>IFERROR(__xludf.DUMMYFUNCTION("""COMPUTED_VALUE"""),1.00650344E8)</f>
        <v>100650344</v>
      </c>
      <c r="B372" s="3" t="str">
        <f>IFERROR(__xludf.DUMMYFUNCTION("""COMPUTED_VALUE"""),"Kevin Caceres")</f>
        <v>Kevin Caceres</v>
      </c>
      <c r="C372" s="3" t="str">
        <f>IFERROR(__xludf.DUMMYFUNCTION("""COMPUTED_VALUE"""),"Kevin Ricardo Caceres")</f>
        <v>Kevin Ricardo Caceres</v>
      </c>
      <c r="D372" s="3" t="str">
        <f>IFERROR(__xludf.DUMMYFUNCTION("""COMPUTED_VALUE"""),"Caceres, Kevin Ricardo")</f>
        <v>Caceres, Kevin Ricardo</v>
      </c>
      <c r="E372" s="3" t="str">
        <f>IFERROR(__xludf.DUMMYFUNCTION("""COMPUTED_VALUE"""),"Active")</f>
        <v>Active</v>
      </c>
      <c r="F372" s="3" t="str">
        <f>IFERROR(__xludf.DUMMYFUNCTION("""COMPUTED_VALUE"""),"kevin.caceres@pwc.com")</f>
        <v>kevin.caceres@pwc.com</v>
      </c>
      <c r="G372" s="3" t="str">
        <f>IFERROR(__xludf.DUMMYFUNCTION("""COMPUTED_VALUE"""),"FS")</f>
        <v>FS</v>
      </c>
      <c r="H372" s="3" t="str">
        <f>IFERROR(__xludf.DUMMYFUNCTION("""COMPUTED_VALUE"""),"Insurance")</f>
        <v>Insurance</v>
      </c>
      <c r="I372" s="3" t="str">
        <f>IFERROR(__xludf.DUMMYFUNCTION("""COMPUTED_VALUE"""),"FS - Insurance")</f>
        <v>FS - Insurance</v>
      </c>
      <c r="J372" s="3" t="str">
        <f>IFERROR(__xludf.DUMMYFUNCTION("""COMPUTED_VALUE"""),"Partner")</f>
        <v>Partner</v>
      </c>
      <c r="K372" s="12">
        <f>IFERROR(__xludf.DUMMYFUNCTION("""COMPUTED_VALUE"""),40485.0)</f>
        <v>40485</v>
      </c>
      <c r="L372" s="3" t="str">
        <f>IFERROR(__xludf.DUMMYFUNCTION("""COMPUTED_VALUE"""),"Chicago")</f>
        <v>Chicago</v>
      </c>
      <c r="M372" s="3" t="str">
        <f>IFERROR(__xludf.DUMMYFUNCTION("""COMPUTED_VALUE"""),"Chicago - One North Wacker Drive")</f>
        <v>Chicago - One North Wacker Drive</v>
      </c>
      <c r="N372" s="3" t="b">
        <f>IFERROR(__xludf.DUMMYFUNCTION("""COMPUTED_VALUE"""),FALSE)</f>
        <v>0</v>
      </c>
      <c r="O372" s="3" t="str">
        <f>IFERROR(__xludf.DUMMYFUNCTION("""COMPUTED_VALUE"""),"alison.hoover@pwc.com")</f>
        <v>alison.hoover@pwc.com</v>
      </c>
      <c r="P372" s="3" t="str">
        <f>IFERROR(__xludf.DUMMYFUNCTION("""COMPUTED_VALUE"""),"No")</f>
        <v>No</v>
      </c>
      <c r="Q372" s="3" t="b">
        <f>IFERROR(__xludf.DUMMYFUNCTION("""COMPUTED_VALUE"""),TRUE)</f>
        <v>1</v>
      </c>
      <c r="R372" s="3" t="str">
        <f>IFERROR(__xludf.DUMMYFUNCTION("""COMPUTED_VALUE"""),"LCP High")</f>
        <v>LCP High</v>
      </c>
      <c r="S372" s="3" t="str">
        <f>IFERROR(__xludf.DUMMYFUNCTION("""COMPUTED_VALUE"""),"Lever Champions")</f>
        <v>Lever Champions</v>
      </c>
      <c r="T372" s="3" t="b">
        <f>IFERROR(__xludf.DUMMYFUNCTION("""COMPUTED_VALUE"""),FALSE)</f>
        <v>0</v>
      </c>
      <c r="U372" s="3" t="b">
        <f>IFERROR(__xludf.DUMMYFUNCTION("""COMPUTED_VALUE"""),FALSE)</f>
        <v>0</v>
      </c>
      <c r="V372" s="3" t="b">
        <f>IFERROR(__xludf.DUMMYFUNCTION("""COMPUTED_VALUE"""),FALSE)</f>
        <v>0</v>
      </c>
      <c r="W372" s="3" t="str">
        <f>IFERROR(__xludf.DUMMYFUNCTION("""COMPUTED_VALUE"""),"LCP")</f>
        <v>LCP</v>
      </c>
      <c r="X372" s="3"/>
      <c r="Y372" s="3" t="str">
        <f>IFERROR(__xludf.DUMMYFUNCTION("""COMPUTED_VALUE"""),"GEP - High")</f>
        <v>GEP - High</v>
      </c>
      <c r="Z372" s="3" t="str">
        <f>IFERROR(__xludf.DUMMYFUNCTION("""COMPUTED_VALUE"""),"Insurance Transformation")</f>
        <v>Insurance Transformation</v>
      </c>
      <c r="AA372" s="3" t="b">
        <f>IFERROR(__xludf.DUMMYFUNCTION("""COMPUTED_VALUE"""),FALSE)</f>
        <v>0</v>
      </c>
    </row>
    <row r="373">
      <c r="A373" s="11">
        <f>IFERROR(__xludf.DUMMYFUNCTION("""COMPUTED_VALUE"""),1.0062606E8)</f>
        <v>100626060</v>
      </c>
      <c r="B373" s="3" t="str">
        <f>IFERROR(__xludf.DUMMYFUNCTION("""COMPUTED_VALUE"""),"Kevin Fossee")</f>
        <v>Kevin Fossee</v>
      </c>
      <c r="C373" s="3" t="str">
        <f>IFERROR(__xludf.DUMMYFUNCTION("""COMPUTED_VALUE"""),"Kevin  Fossee")</f>
        <v>Kevin  Fossee</v>
      </c>
      <c r="D373" s="3" t="str">
        <f>IFERROR(__xludf.DUMMYFUNCTION("""COMPUTED_VALUE"""),"Fossee, Kevin")</f>
        <v>Fossee, Kevin</v>
      </c>
      <c r="E373" s="3" t="str">
        <f>IFERROR(__xludf.DUMMYFUNCTION("""COMPUTED_VALUE"""),"Active")</f>
        <v>Active</v>
      </c>
      <c r="F373" s="3" t="str">
        <f>IFERROR(__xludf.DUMMYFUNCTION("""COMPUTED_VALUE"""),"kevin.fossee@pwc.com")</f>
        <v>kevin.fossee@pwc.com</v>
      </c>
      <c r="G373" s="3" t="str">
        <f>IFERROR(__xludf.DUMMYFUNCTION("""COMPUTED_VALUE"""),"FS")</f>
        <v>FS</v>
      </c>
      <c r="H373" s="3" t="str">
        <f>IFERROR(__xludf.DUMMYFUNCTION("""COMPUTED_VALUE"""),"Asset and Wealth Management")</f>
        <v>Asset and Wealth Management</v>
      </c>
      <c r="I373" s="3" t="str">
        <f>IFERROR(__xludf.DUMMYFUNCTION("""COMPUTED_VALUE"""),"FS - Asset Wealth Management")</f>
        <v>FS - Asset Wealth Management</v>
      </c>
      <c r="J373" s="3" t="str">
        <f>IFERROR(__xludf.DUMMYFUNCTION("""COMPUTED_VALUE"""),"Partner")</f>
        <v>Partner</v>
      </c>
      <c r="K373" s="12">
        <f>IFERROR(__xludf.DUMMYFUNCTION("""COMPUTED_VALUE"""),41805.0)</f>
        <v>41805</v>
      </c>
      <c r="L373" s="3" t="str">
        <f>IFERROR(__xludf.DUMMYFUNCTION("""COMPUTED_VALUE"""),"Los Angeles")</f>
        <v>Los Angeles</v>
      </c>
      <c r="M373" s="3" t="str">
        <f>IFERROR(__xludf.DUMMYFUNCTION("""COMPUTED_VALUE"""),"Los Angeles - 601 South Figueroa Street")</f>
        <v>Los Angeles - 601 South Figueroa Street</v>
      </c>
      <c r="N373" s="3" t="b">
        <f>IFERROR(__xludf.DUMMYFUNCTION("""COMPUTED_VALUE"""),FALSE)</f>
        <v>0</v>
      </c>
      <c r="O373" s="3" t="str">
        <f>IFERROR(__xludf.DUMMYFUNCTION("""COMPUTED_VALUE"""),"alison.hoover@pwc.com")</f>
        <v>alison.hoover@pwc.com</v>
      </c>
      <c r="P373" s="3" t="str">
        <f>IFERROR(__xludf.DUMMYFUNCTION("""COMPUTED_VALUE"""),"No")</f>
        <v>No</v>
      </c>
      <c r="Q373" s="3" t="b">
        <f>IFERROR(__xludf.DUMMYFUNCTION("""COMPUTED_VALUE"""),FALSE)</f>
        <v>0</v>
      </c>
      <c r="R373" s="3"/>
      <c r="S373" s="3"/>
      <c r="T373" s="3" t="b">
        <f>IFERROR(__xludf.DUMMYFUNCTION("""COMPUTED_VALUE"""),FALSE)</f>
        <v>0</v>
      </c>
      <c r="U373" s="3" t="b">
        <f>IFERROR(__xludf.DUMMYFUNCTION("""COMPUTED_VALUE"""),TRUE)</f>
        <v>1</v>
      </c>
      <c r="V373" s="3" t="b">
        <f>IFERROR(__xludf.DUMMYFUNCTION("""COMPUTED_VALUE"""),FALSE)</f>
        <v>0</v>
      </c>
      <c r="W373" s="3" t="str">
        <f>IFERROR(__xludf.DUMMYFUNCTION("""COMPUTED_VALUE"""),"Delivery")</f>
        <v>Delivery</v>
      </c>
      <c r="X373" s="3"/>
      <c r="Y373" s="3"/>
      <c r="Z373" s="3" t="str">
        <f>IFERROR(__xludf.DUMMYFUNCTION("""COMPUTED_VALUE"""),"AWM Transformation")</f>
        <v>AWM Transformation</v>
      </c>
      <c r="AA373" s="3" t="b">
        <f>IFERROR(__xludf.DUMMYFUNCTION("""COMPUTED_VALUE"""),FALSE)</f>
        <v>0</v>
      </c>
    </row>
    <row r="374">
      <c r="A374" s="11">
        <f>IFERROR(__xludf.DUMMYFUNCTION("""COMPUTED_VALUE"""),1.00623735E8)</f>
        <v>100623735</v>
      </c>
      <c r="B374" s="3" t="str">
        <f>IFERROR(__xludf.DUMMYFUNCTION("""COMPUTED_VALUE"""),"Kevin Kloske")</f>
        <v>Kevin Kloske</v>
      </c>
      <c r="C374" s="3" t="str">
        <f>IFERROR(__xludf.DUMMYFUNCTION("""COMPUTED_VALUE"""),"Kevin  Kloske")</f>
        <v>Kevin  Kloske</v>
      </c>
      <c r="D374" s="3" t="str">
        <f>IFERROR(__xludf.DUMMYFUNCTION("""COMPUTED_VALUE"""),"Kloske, Kevin")</f>
        <v>Kloske, Kevin</v>
      </c>
      <c r="E374" s="3" t="str">
        <f>IFERROR(__xludf.DUMMYFUNCTION("""COMPUTED_VALUE"""),"Active")</f>
        <v>Active</v>
      </c>
      <c r="F374" s="3" t="str">
        <f>IFERROR(__xludf.DUMMYFUNCTION("""COMPUTED_VALUE"""),"kevin.kloske@pwc.com")</f>
        <v>kevin.kloske@pwc.com</v>
      </c>
      <c r="G374" s="3" t="str">
        <f>IFERROR(__xludf.DUMMYFUNCTION("""COMPUTED_VALUE"""),"Deals Transformation")</f>
        <v>Deals Transformation</v>
      </c>
      <c r="H374" s="3" t="str">
        <f>IFERROR(__xludf.DUMMYFUNCTION("""COMPUTED_VALUE"""),"Aerospace and Defence")</f>
        <v>Aerospace and Defence</v>
      </c>
      <c r="I374" s="3" t="str">
        <f>IFERROR(__xludf.DUMMYFUNCTION("""COMPUTED_VALUE"""),"DDV - ISD (Integration, Separation, Divestitures)")</f>
        <v>DDV - ISD (Integration, Separation, Divestitures)</v>
      </c>
      <c r="J374" s="3" t="str">
        <f>IFERROR(__xludf.DUMMYFUNCTION("""COMPUTED_VALUE"""),"Partner")</f>
        <v>Partner</v>
      </c>
      <c r="K374" s="12">
        <f>IFERROR(__xludf.DUMMYFUNCTION("""COMPUTED_VALUE"""),38908.0)</f>
        <v>38908</v>
      </c>
      <c r="L374" s="3" t="str">
        <f>IFERROR(__xludf.DUMMYFUNCTION("""COMPUTED_VALUE"""),"New York")</f>
        <v>New York</v>
      </c>
      <c r="M374" s="3" t="str">
        <f>IFERROR(__xludf.DUMMYFUNCTION("""COMPUTED_VALUE"""),"New York - 300 Madison Avenue")</f>
        <v>New York - 300 Madison Avenue</v>
      </c>
      <c r="N374" s="3" t="b">
        <f>IFERROR(__xludf.DUMMYFUNCTION("""COMPUTED_VALUE"""),FALSE)</f>
        <v>0</v>
      </c>
      <c r="O374" s="3" t="str">
        <f>IFERROR(__xludf.DUMMYFUNCTION("""COMPUTED_VALUE"""),"derek.b.townsend@pwc.com")</f>
        <v>derek.b.townsend@pwc.com</v>
      </c>
      <c r="P374" s="3" t="str">
        <f>IFERROR(__xludf.DUMMYFUNCTION("""COMPUTED_VALUE"""),"No")</f>
        <v>No</v>
      </c>
      <c r="Q374" s="3" t="b">
        <f>IFERROR(__xludf.DUMMYFUNCTION("""COMPUTED_VALUE"""),FALSE)</f>
        <v>0</v>
      </c>
      <c r="R374" s="3"/>
      <c r="S374" s="3"/>
      <c r="T374" s="3" t="b">
        <f>IFERROR(__xludf.DUMMYFUNCTION("""COMPUTED_VALUE"""),FALSE)</f>
        <v>0</v>
      </c>
      <c r="U374" s="3" t="b">
        <f>IFERROR(__xludf.DUMMYFUNCTION("""COMPUTED_VALUE"""),FALSE)</f>
        <v>0</v>
      </c>
      <c r="V374" s="3" t="b">
        <f>IFERROR(__xludf.DUMMYFUNCTION("""COMPUTED_VALUE"""),FALSE)</f>
        <v>0</v>
      </c>
      <c r="W374" s="3" t="str">
        <f>IFERROR(__xludf.DUMMYFUNCTION("""COMPUTED_VALUE"""),"Delivery")</f>
        <v>Delivery</v>
      </c>
      <c r="X374" s="3"/>
      <c r="Y374" s="3" t="str">
        <f>IFERROR(__xludf.DUMMYFUNCTION("""COMPUTED_VALUE"""),"Point Partner")</f>
        <v>Point Partner</v>
      </c>
      <c r="Z374" s="3" t="str">
        <f>IFERROR(__xludf.DUMMYFUNCTION("""COMPUTED_VALUE"""),"PE M&amp;A Transformation")</f>
        <v>PE M&amp;A Transformation</v>
      </c>
      <c r="AA374" s="3" t="b">
        <f>IFERROR(__xludf.DUMMYFUNCTION("""COMPUTED_VALUE"""),FALSE)</f>
        <v>0</v>
      </c>
    </row>
    <row r="375">
      <c r="A375" s="11">
        <f>IFERROR(__xludf.DUMMYFUNCTION("""COMPUTED_VALUE"""),1.00608771E8)</f>
        <v>100608771</v>
      </c>
      <c r="B375" s="3" t="str">
        <f>IFERROR(__xludf.DUMMYFUNCTION("""COMPUTED_VALUE"""),"Kevin Lewis")</f>
        <v>Kevin Lewis</v>
      </c>
      <c r="C375" s="3" t="str">
        <f>IFERROR(__xludf.DUMMYFUNCTION("""COMPUTED_VALUE"""),"Kevin T Lewis")</f>
        <v>Kevin T Lewis</v>
      </c>
      <c r="D375" s="3" t="str">
        <f>IFERROR(__xludf.DUMMYFUNCTION("""COMPUTED_VALUE"""),"Lewis, Kevin T")</f>
        <v>Lewis, Kevin T</v>
      </c>
      <c r="E375" s="3" t="str">
        <f>IFERROR(__xludf.DUMMYFUNCTION("""COMPUTED_VALUE"""),"Active")</f>
        <v>Active</v>
      </c>
      <c r="F375" s="3" t="str">
        <f>IFERROR(__xludf.DUMMYFUNCTION("""COMPUTED_VALUE"""),"kevin.t.lewis@pwc.com")</f>
        <v>kevin.t.lewis@pwc.com</v>
      </c>
      <c r="G375" s="3" t="str">
        <f>IFERROR(__xludf.DUMMYFUNCTION("""COMPUTED_VALUE"""),"Ops")</f>
        <v>Ops</v>
      </c>
      <c r="H375" s="3" t="str">
        <f>IFERROR(__xludf.DUMMYFUNCTION("""COMPUTED_VALUE"""),"Pharma and Life Sciences")</f>
        <v>Pharma and Life Sciences</v>
      </c>
      <c r="I375" s="3" t="str">
        <f>IFERROR(__xludf.DUMMYFUNCTION("""COMPUTED_VALUE"""),"Ops - Product Development &amp; Manufacturing (PDM)")</f>
        <v>Ops - Product Development &amp; Manufacturing (PDM)</v>
      </c>
      <c r="J375" s="3" t="str">
        <f>IFERROR(__xludf.DUMMYFUNCTION("""COMPUTED_VALUE"""),"Partner")</f>
        <v>Partner</v>
      </c>
      <c r="K375" s="12">
        <f>IFERROR(__xludf.DUMMYFUNCTION("""COMPUTED_VALUE"""),40777.0)</f>
        <v>40777</v>
      </c>
      <c r="L375" s="3" t="str">
        <f>IFERROR(__xludf.DUMMYFUNCTION("""COMPUTED_VALUE"""),"Boston")</f>
        <v>Boston</v>
      </c>
      <c r="M375" s="3" t="str">
        <f>IFERROR(__xludf.DUMMYFUNCTION("""COMPUTED_VALUE"""),"Boston - 101 Seaport Boulevard")</f>
        <v>Boston - 101 Seaport Boulevard</v>
      </c>
      <c r="N375" s="3" t="b">
        <f>IFERROR(__xludf.DUMMYFUNCTION("""COMPUTED_VALUE"""),FALSE)</f>
        <v>0</v>
      </c>
      <c r="O375" s="3" t="str">
        <f>IFERROR(__xludf.DUMMYFUNCTION("""COMPUTED_VALUE"""),"matthew.r.comte@pwc.com")</f>
        <v>matthew.r.comte@pwc.com</v>
      </c>
      <c r="P375" s="3" t="str">
        <f>IFERROR(__xludf.DUMMYFUNCTION("""COMPUTED_VALUE"""),"No")</f>
        <v>No</v>
      </c>
      <c r="Q375" s="3" t="b">
        <f>IFERROR(__xludf.DUMMYFUNCTION("""COMPUTED_VALUE"""),FALSE)</f>
        <v>0</v>
      </c>
      <c r="R375" s="3"/>
      <c r="S375" s="3"/>
      <c r="T375" s="3" t="b">
        <f>IFERROR(__xludf.DUMMYFUNCTION("""COMPUTED_VALUE"""),FALSE)</f>
        <v>0</v>
      </c>
      <c r="U375" s="3" t="b">
        <f>IFERROR(__xludf.DUMMYFUNCTION("""COMPUTED_VALUE"""),FALSE)</f>
        <v>0</v>
      </c>
      <c r="V375" s="3" t="b">
        <f>IFERROR(__xludf.DUMMYFUNCTION("""COMPUTED_VALUE"""),FALSE)</f>
        <v>0</v>
      </c>
      <c r="W375" s="3" t="str">
        <f>IFERROR(__xludf.DUMMYFUNCTION("""COMPUTED_VALUE"""),"Delivery")</f>
        <v>Delivery</v>
      </c>
      <c r="X375" s="3"/>
      <c r="Y375" s="3" t="str">
        <f>IFERROR(__xludf.DUMMYFUNCTION("""COMPUTED_VALUE"""),"Point Partner")</f>
        <v>Point Partner</v>
      </c>
      <c r="Z375" s="3" t="str">
        <f>IFERROR(__xludf.DUMMYFUNCTION("""COMPUTED_VALUE"""),"PLS Ops Transformation")</f>
        <v>PLS Ops Transformation</v>
      </c>
      <c r="AA375" s="3" t="b">
        <f>IFERROR(__xludf.DUMMYFUNCTION("""COMPUTED_VALUE"""),FALSE)</f>
        <v>0</v>
      </c>
    </row>
    <row r="376">
      <c r="A376" s="11">
        <f>IFERROR(__xludf.DUMMYFUNCTION("""COMPUTED_VALUE"""),1.0105484E8)</f>
        <v>101054840</v>
      </c>
      <c r="B376" s="3" t="str">
        <f>IFERROR(__xludf.DUMMYFUNCTION("""COMPUTED_VALUE"""),"Kevin McLellan")</f>
        <v>Kevin McLellan</v>
      </c>
      <c r="C376" s="3" t="str">
        <f>IFERROR(__xludf.DUMMYFUNCTION("""COMPUTED_VALUE"""),"Kevin B McLellan")</f>
        <v>Kevin B McLellan</v>
      </c>
      <c r="D376" s="3" t="str">
        <f>IFERROR(__xludf.DUMMYFUNCTION("""COMPUTED_VALUE"""),"McLellan, Kevin B")</f>
        <v>McLellan, Kevin B</v>
      </c>
      <c r="E376" s="3" t="str">
        <f>IFERROR(__xludf.DUMMYFUNCTION("""COMPUTED_VALUE"""),"Active")</f>
        <v>Active</v>
      </c>
      <c r="F376" s="3" t="str">
        <f>IFERROR(__xludf.DUMMYFUNCTION("""COMPUTED_VALUE"""),"kevin.b.mclellan@pwc.com")</f>
        <v>kevin.b.mclellan@pwc.com</v>
      </c>
      <c r="G376" s="3" t="str">
        <f>IFERROR(__xludf.DUMMYFUNCTION("""COMPUTED_VALUE"""),"ESV")</f>
        <v>ESV</v>
      </c>
      <c r="H376" s="3" t="str">
        <f>IFERROR(__xludf.DUMMYFUNCTION("""COMPUTED_VALUE"""),"Pharma and Life Sciences")</f>
        <v>Pharma and Life Sciences</v>
      </c>
      <c r="I376" s="3" t="str">
        <f>IFERROR(__xludf.DUMMYFUNCTION("""COMPUTED_VALUE"""),"ESV - PLS")</f>
        <v>ESV - PLS</v>
      </c>
      <c r="J376" s="3" t="str">
        <f>IFERROR(__xludf.DUMMYFUNCTION("""COMPUTED_VALUE"""),"Partner")</f>
        <v>Partner</v>
      </c>
      <c r="K376" s="12">
        <f>IFERROR(__xludf.DUMMYFUNCTION("""COMPUTED_VALUE"""),44250.0)</f>
        <v>44250</v>
      </c>
      <c r="L376" s="3" t="str">
        <f>IFERROR(__xludf.DUMMYFUNCTION("""COMPUTED_VALUE"""),"Boston")</f>
        <v>Boston</v>
      </c>
      <c r="M376" s="3" t="str">
        <f>IFERROR(__xludf.DUMMYFUNCTION("""COMPUTED_VALUE"""),"Boston - 101 Seaport Boulevard")</f>
        <v>Boston - 101 Seaport Boulevard</v>
      </c>
      <c r="N376" s="3" t="b">
        <f>IFERROR(__xludf.DUMMYFUNCTION("""COMPUTED_VALUE"""),FALSE)</f>
        <v>0</v>
      </c>
      <c r="O376" s="3" t="str">
        <f>IFERROR(__xludf.DUMMYFUNCTION("""COMPUTED_VALUE"""),"sundar.subramanian@pwc.com")</f>
        <v>sundar.subramanian@pwc.com</v>
      </c>
      <c r="P376" s="3" t="str">
        <f>IFERROR(__xludf.DUMMYFUNCTION("""COMPUTED_VALUE"""),"FY21 2nd Half")</f>
        <v>FY21 2nd Half</v>
      </c>
      <c r="Q376" s="3" t="b">
        <f>IFERROR(__xludf.DUMMYFUNCTION("""COMPUTED_VALUE"""),FALSE)</f>
        <v>0</v>
      </c>
      <c r="R376" s="3"/>
      <c r="S376" s="3"/>
      <c r="T376" s="3" t="b">
        <f>IFERROR(__xludf.DUMMYFUNCTION("""COMPUTED_VALUE"""),TRUE)</f>
        <v>1</v>
      </c>
      <c r="U376" s="3" t="b">
        <f>IFERROR(__xludf.DUMMYFUNCTION("""COMPUTED_VALUE"""),FALSE)</f>
        <v>0</v>
      </c>
      <c r="V376" s="3" t="b">
        <f>IFERROR(__xludf.DUMMYFUNCTION("""COMPUTED_VALUE"""),TRUE)</f>
        <v>1</v>
      </c>
      <c r="W376" s="3" t="str">
        <f>IFERROR(__xludf.DUMMYFUNCTION("""COMPUTED_VALUE"""),"Catalyst")</f>
        <v>Catalyst</v>
      </c>
      <c r="X376" s="3"/>
      <c r="Y376" s="3" t="str">
        <f>IFERROR(__xludf.DUMMYFUNCTION("""COMPUTED_VALUE"""),"FY21 2nd Half")</f>
        <v>FY21 2nd Half</v>
      </c>
      <c r="Z376" s="3" t="str">
        <f>IFERROR(__xludf.DUMMYFUNCTION("""COMPUTED_VALUE"""),"Enterprise Digital Transformation - PLS")</f>
        <v>Enterprise Digital Transformation - PLS</v>
      </c>
      <c r="AA376" s="3" t="b">
        <f>IFERROR(__xludf.DUMMYFUNCTION("""COMPUTED_VALUE"""),FALSE)</f>
        <v>0</v>
      </c>
    </row>
    <row r="377">
      <c r="A377" s="11">
        <f>IFERROR(__xludf.DUMMYFUNCTION("""COMPUTED_VALUE"""),1.00592932E8)</f>
        <v>100592932</v>
      </c>
      <c r="B377" s="3" t="str">
        <f>IFERROR(__xludf.DUMMYFUNCTION("""COMPUTED_VALUE"""),"Kim David Greenwood")</f>
        <v>Kim David Greenwood</v>
      </c>
      <c r="C377" s="3" t="str">
        <f>IFERROR(__xludf.DUMMYFUNCTION("""COMPUTED_VALUE"""),"Kim David  Greenwood")</f>
        <v>Kim David  Greenwood</v>
      </c>
      <c r="D377" s="3" t="str">
        <f>IFERROR(__xludf.DUMMYFUNCTION("""COMPUTED_VALUE"""),"Greenwood, Kim David")</f>
        <v>Greenwood, Kim David</v>
      </c>
      <c r="E377" s="3" t="str">
        <f>IFERROR(__xludf.DUMMYFUNCTION("""COMPUTED_VALUE"""),"Active")</f>
        <v>Active</v>
      </c>
      <c r="F377" s="3" t="str">
        <f>IFERROR(__xludf.DUMMYFUNCTION("""COMPUTED_VALUE"""),"kim.david.greenwood@pwc.com")</f>
        <v>kim.david.greenwood@pwc.com</v>
      </c>
      <c r="G377" s="3" t="str">
        <f>IFERROR(__xludf.DUMMYFUNCTION("""COMPUTED_VALUE"""),"ESV")</f>
        <v>ESV</v>
      </c>
      <c r="H377" s="3" t="str">
        <f>IFERROR(__xludf.DUMMYFUNCTION("""COMPUTED_VALUE"""),"TMT X-Sector")</f>
        <v>TMT X-Sector</v>
      </c>
      <c r="I377" s="3" t="str">
        <f>IFERROR(__xludf.DUMMYFUNCTION("""COMPUTED_VALUE"""),"ESV - TMT")</f>
        <v>ESV - TMT</v>
      </c>
      <c r="J377" s="3" t="str">
        <f>IFERROR(__xludf.DUMMYFUNCTION("""COMPUTED_VALUE"""),"Partner")</f>
        <v>Partner</v>
      </c>
      <c r="K377" s="12">
        <f>IFERROR(__xludf.DUMMYFUNCTION("""COMPUTED_VALUE"""),40923.0)</f>
        <v>40923</v>
      </c>
      <c r="L377" s="3" t="str">
        <f>IFERROR(__xludf.DUMMYFUNCTION("""COMPUTED_VALUE"""),"San Francisco")</f>
        <v>San Francisco</v>
      </c>
      <c r="M377" s="3" t="str">
        <f>IFERROR(__xludf.DUMMYFUNCTION("""COMPUTED_VALUE"""),"San Francisco - 405 Howard St")</f>
        <v>San Francisco - 405 Howard St</v>
      </c>
      <c r="N377" s="3" t="b">
        <f>IFERROR(__xludf.DUMMYFUNCTION("""COMPUTED_VALUE"""),FALSE)</f>
        <v>0</v>
      </c>
      <c r="O377" s="3" t="str">
        <f>IFERROR(__xludf.DUMMYFUNCTION("""COMPUTED_VALUE"""),"sundar.subramanian@pwc.com")</f>
        <v>sundar.subramanian@pwc.com</v>
      </c>
      <c r="P377" s="3" t="str">
        <f>IFERROR(__xludf.DUMMYFUNCTION("""COMPUTED_VALUE"""),"No")</f>
        <v>No</v>
      </c>
      <c r="Q377" s="3" t="b">
        <f>IFERROR(__xludf.DUMMYFUNCTION("""COMPUTED_VALUE"""),FALSE)</f>
        <v>0</v>
      </c>
      <c r="R377" s="3"/>
      <c r="S377" s="3"/>
      <c r="T377" s="3" t="b">
        <f>IFERROR(__xludf.DUMMYFUNCTION("""COMPUTED_VALUE"""),FALSE)</f>
        <v>0</v>
      </c>
      <c r="U377" s="3" t="b">
        <f>IFERROR(__xludf.DUMMYFUNCTION("""COMPUTED_VALUE"""),TRUE)</f>
        <v>1</v>
      </c>
      <c r="V377" s="3" t="b">
        <f>IFERROR(__xludf.DUMMYFUNCTION("""COMPUTED_VALUE"""),FALSE)</f>
        <v>0</v>
      </c>
      <c r="W377" s="3" t="str">
        <f>IFERROR(__xludf.DUMMYFUNCTION("""COMPUTED_VALUE"""),"Delivery")</f>
        <v>Delivery</v>
      </c>
      <c r="X377" s="3"/>
      <c r="Y377" s="3"/>
      <c r="Z377" s="3" t="str">
        <f>IFERROR(__xludf.DUMMYFUNCTION("""COMPUTED_VALUE"""),"Enterprise Digital Transformation - TMT")</f>
        <v>Enterprise Digital Transformation - TMT</v>
      </c>
      <c r="AA377" s="3" t="b">
        <f>IFERROR(__xludf.DUMMYFUNCTION("""COMPUTED_VALUE"""),FALSE)</f>
        <v>0</v>
      </c>
    </row>
    <row r="378">
      <c r="A378" s="11">
        <f>IFERROR(__xludf.DUMMYFUNCTION("""COMPUTED_VALUE"""),1.00618279E8)</f>
        <v>100618279</v>
      </c>
      <c r="B378" s="3" t="str">
        <f>IFERROR(__xludf.DUMMYFUNCTION("""COMPUTED_VALUE"""),"Kirk Gomsak")</f>
        <v>Kirk Gomsak</v>
      </c>
      <c r="C378" s="3" t="str">
        <f>IFERROR(__xludf.DUMMYFUNCTION("""COMPUTED_VALUE"""),"Kirk Steven Gomsak")</f>
        <v>Kirk Steven Gomsak</v>
      </c>
      <c r="D378" s="3" t="str">
        <f>IFERROR(__xludf.DUMMYFUNCTION("""COMPUTED_VALUE"""),"Gomsak, Kirk Steven")</f>
        <v>Gomsak, Kirk Steven</v>
      </c>
      <c r="E378" s="3" t="str">
        <f>IFERROR(__xludf.DUMMYFUNCTION("""COMPUTED_VALUE"""),"Active")</f>
        <v>Active</v>
      </c>
      <c r="F378" s="3" t="str">
        <f>IFERROR(__xludf.DUMMYFUNCTION("""COMPUTED_VALUE"""),"kirk.s.gomsak@pwc.com")</f>
        <v>kirk.s.gomsak@pwc.com</v>
      </c>
      <c r="G378" s="3" t="str">
        <f>IFERROR(__xludf.DUMMYFUNCTION("""COMPUTED_VALUE"""),"Deals Transformation")</f>
        <v>Deals Transformation</v>
      </c>
      <c r="H378" s="3" t="str">
        <f>IFERROR(__xludf.DUMMYFUNCTION("""COMPUTED_VALUE"""),"Manufacturing")</f>
        <v>Manufacturing</v>
      </c>
      <c r="I378" s="3" t="str">
        <f>IFERROR(__xludf.DUMMYFUNCTION("""COMPUTED_VALUE"""),"DDV - Finance")</f>
        <v>DDV - Finance</v>
      </c>
      <c r="J378" s="3" t="str">
        <f>IFERROR(__xludf.DUMMYFUNCTION("""COMPUTED_VALUE"""),"Partner")</f>
        <v>Partner</v>
      </c>
      <c r="K378" s="12">
        <f>IFERROR(__xludf.DUMMYFUNCTION("""COMPUTED_VALUE"""),43108.0)</f>
        <v>43108</v>
      </c>
      <c r="L378" s="3" t="str">
        <f>IFERROR(__xludf.DUMMYFUNCTION("""COMPUTED_VALUE"""),"Chicago")</f>
        <v>Chicago</v>
      </c>
      <c r="M378" s="3" t="str">
        <f>IFERROR(__xludf.DUMMYFUNCTION("""COMPUTED_VALUE"""),"Chicago - One North Wacker Drive")</f>
        <v>Chicago - One North Wacker Drive</v>
      </c>
      <c r="N378" s="3" t="b">
        <f>IFERROR(__xludf.DUMMYFUNCTION("""COMPUTED_VALUE"""),FALSE)</f>
        <v>0</v>
      </c>
      <c r="O378" s="3" t="str">
        <f>IFERROR(__xludf.DUMMYFUNCTION("""COMPUTED_VALUE"""),"derek.b.townsend@pwc.com")</f>
        <v>derek.b.townsend@pwc.com</v>
      </c>
      <c r="P378" s="3" t="str">
        <f>IFERROR(__xludf.DUMMYFUNCTION("""COMPUTED_VALUE"""),"No")</f>
        <v>No</v>
      </c>
      <c r="Q378" s="3" t="b">
        <f>IFERROR(__xludf.DUMMYFUNCTION("""COMPUTED_VALUE"""),FALSE)</f>
        <v>0</v>
      </c>
      <c r="R378" s="3"/>
      <c r="S378" s="3"/>
      <c r="T378" s="3" t="b">
        <f>IFERROR(__xludf.DUMMYFUNCTION("""COMPUTED_VALUE"""),FALSE)</f>
        <v>0</v>
      </c>
      <c r="U378" s="3" t="b">
        <f>IFERROR(__xludf.DUMMYFUNCTION("""COMPUTED_VALUE"""),TRUE)</f>
        <v>1</v>
      </c>
      <c r="V378" s="3" t="b">
        <f>IFERROR(__xludf.DUMMYFUNCTION("""COMPUTED_VALUE"""),FALSE)</f>
        <v>0</v>
      </c>
      <c r="W378" s="3" t="str">
        <f>IFERROR(__xludf.DUMMYFUNCTION("""COMPUTED_VALUE"""),"Delivery")</f>
        <v>Delivery</v>
      </c>
      <c r="X378" s="3"/>
      <c r="Y378" s="3"/>
      <c r="Z378" s="3" t="str">
        <f>IFERROR(__xludf.DUMMYFUNCTION("""COMPUTED_VALUE"""),"Corporate M&amp;A Transformation - IPS")</f>
        <v>Corporate M&amp;A Transformation - IPS</v>
      </c>
      <c r="AA378" s="3" t="b">
        <f>IFERROR(__xludf.DUMMYFUNCTION("""COMPUTED_VALUE"""),FALSE)</f>
        <v>0</v>
      </c>
    </row>
    <row r="379">
      <c r="A379" s="11">
        <f>IFERROR(__xludf.DUMMYFUNCTION("""COMPUTED_VALUE"""),1.00653538E8)</f>
        <v>100653538</v>
      </c>
      <c r="B379" s="3" t="str">
        <f>IFERROR(__xludf.DUMMYFUNCTION("""COMPUTED_VALUE"""),"Kolinjuwa Shriram")</f>
        <v>Kolinjuwa Shriram</v>
      </c>
      <c r="C379" s="3" t="str">
        <f>IFERROR(__xludf.DUMMYFUNCTION("""COMPUTED_VALUE"""),"Kolinjuwa B Shriram")</f>
        <v>Kolinjuwa B Shriram</v>
      </c>
      <c r="D379" s="3" t="str">
        <f>IFERROR(__xludf.DUMMYFUNCTION("""COMPUTED_VALUE"""),"Shriram, Kolinjuwa B")</f>
        <v>Shriram, Kolinjuwa B</v>
      </c>
      <c r="E379" s="3" t="str">
        <f>IFERROR(__xludf.DUMMYFUNCTION("""COMPUTED_VALUE"""),"Active")</f>
        <v>Active</v>
      </c>
      <c r="F379" s="3" t="str">
        <f>IFERROR(__xludf.DUMMYFUNCTION("""COMPUTED_VALUE"""),"kb.shriram@pwc.com")</f>
        <v>kb.shriram@pwc.com</v>
      </c>
      <c r="G379" s="3" t="str">
        <f>IFERROR(__xludf.DUMMYFUNCTION("""COMPUTED_VALUE"""),"Customer")</f>
        <v>Customer</v>
      </c>
      <c r="H379" s="3" t="str">
        <f>IFERROR(__xludf.DUMMYFUNCTION("""COMPUTED_VALUE"""),"CM X-Sector")</f>
        <v>CM X-Sector</v>
      </c>
      <c r="I379" s="3" t="str">
        <f>IFERROR(__xludf.DUMMYFUNCTION("""COMPUTED_VALUE"""),"Customer - Marketing")</f>
        <v>Customer - Marketing</v>
      </c>
      <c r="J379" s="3" t="str">
        <f>IFERROR(__xludf.DUMMYFUNCTION("""COMPUTED_VALUE"""),"Partner")</f>
        <v>Partner</v>
      </c>
      <c r="K379" s="12">
        <f>IFERROR(__xludf.DUMMYFUNCTION("""COMPUTED_VALUE"""),42186.0)</f>
        <v>42186</v>
      </c>
      <c r="L379" s="3" t="str">
        <f>IFERROR(__xludf.DUMMYFUNCTION("""COMPUTED_VALUE"""),"Chicago")</f>
        <v>Chicago</v>
      </c>
      <c r="M379" s="3" t="str">
        <f>IFERROR(__xludf.DUMMYFUNCTION("""COMPUTED_VALUE"""),"Chicago - One North Wacker Drive")</f>
        <v>Chicago - One North Wacker Drive</v>
      </c>
      <c r="N379" s="3" t="b">
        <f>IFERROR(__xludf.DUMMYFUNCTION("""COMPUTED_VALUE"""),FALSE)</f>
        <v>0</v>
      </c>
      <c r="O379" s="3" t="str">
        <f>IFERROR(__xludf.DUMMYFUNCTION("""COMPUTED_VALUE"""),"george.korizis@pwc.com")</f>
        <v>george.korizis@pwc.com</v>
      </c>
      <c r="P379" s="3" t="str">
        <f>IFERROR(__xludf.DUMMYFUNCTION("""COMPUTED_VALUE"""),"No")</f>
        <v>No</v>
      </c>
      <c r="Q379" s="3" t="b">
        <f>IFERROR(__xludf.DUMMYFUNCTION("""COMPUTED_VALUE"""),TRUE)</f>
        <v>1</v>
      </c>
      <c r="R379" s="3" t="str">
        <f>IFERROR(__xludf.DUMMYFUNCTION("""COMPUTED_VALUE"""),"LCP High")</f>
        <v>LCP High</v>
      </c>
      <c r="S379" s="3"/>
      <c r="T379" s="3" t="b">
        <f>IFERROR(__xludf.DUMMYFUNCTION("""COMPUTED_VALUE"""),FALSE)</f>
        <v>0</v>
      </c>
      <c r="U379" s="3" t="b">
        <f>IFERROR(__xludf.DUMMYFUNCTION("""COMPUTED_VALUE"""),FALSE)</f>
        <v>0</v>
      </c>
      <c r="V379" s="3" t="b">
        <f>IFERROR(__xludf.DUMMYFUNCTION("""COMPUTED_VALUE"""),FALSE)</f>
        <v>0</v>
      </c>
      <c r="W379" s="3" t="str">
        <f>IFERROR(__xludf.DUMMYFUNCTION("""COMPUTED_VALUE"""),"LCP")</f>
        <v>LCP</v>
      </c>
      <c r="X379" s="3"/>
      <c r="Y379" s="3" t="str">
        <f>IFERROR(__xludf.DUMMYFUNCTION("""COMPUTED_VALUE"""),"GEP - High")</f>
        <v>GEP - High</v>
      </c>
      <c r="Z379" s="3" t="str">
        <f>IFERROR(__xludf.DUMMYFUNCTION("""COMPUTED_VALUE"""),"Commercial / CRM Transformation - CM &amp; IPS &amp; HIA")</f>
        <v>Commercial / CRM Transformation - CM &amp; IPS &amp; HIA</v>
      </c>
      <c r="AA379" s="3" t="b">
        <f>IFERROR(__xludf.DUMMYFUNCTION("""COMPUTED_VALUE"""),FALSE)</f>
        <v>0</v>
      </c>
    </row>
    <row r="380">
      <c r="A380" s="11">
        <f>IFERROR(__xludf.DUMMYFUNCTION("""COMPUTED_VALUE"""),1.00611501E8)</f>
        <v>100611501</v>
      </c>
      <c r="B380" s="3" t="str">
        <f>IFERROR(__xludf.DUMMYFUNCTION("""COMPUTED_VALUE"""),"Kurt Ewen")</f>
        <v>Kurt Ewen</v>
      </c>
      <c r="C380" s="3" t="str">
        <f>IFERROR(__xludf.DUMMYFUNCTION("""COMPUTED_VALUE"""),"Kurt D Ewen")</f>
        <v>Kurt D Ewen</v>
      </c>
      <c r="D380" s="3" t="str">
        <f>IFERROR(__xludf.DUMMYFUNCTION("""COMPUTED_VALUE"""),"Ewen, Kurt D")</f>
        <v>Ewen, Kurt D</v>
      </c>
      <c r="E380" s="3" t="str">
        <f>IFERROR(__xludf.DUMMYFUNCTION("""COMPUTED_VALUE"""),"Active")</f>
        <v>Active</v>
      </c>
      <c r="F380" s="3" t="str">
        <f>IFERROR(__xludf.DUMMYFUNCTION("""COMPUTED_VALUE"""),"kurt.d.ewen@pwc.com")</f>
        <v>kurt.d.ewen@pwc.com</v>
      </c>
      <c r="G380" s="3" t="str">
        <f>IFERROR(__xludf.DUMMYFUNCTION("""COMPUTED_VALUE"""),"Workforce")</f>
        <v>Workforce</v>
      </c>
      <c r="H380" s="3" t="str">
        <f>IFERROR(__xludf.DUMMYFUNCTION("""COMPUTED_VALUE"""),"TMT X-Sector")</f>
        <v>TMT X-Sector</v>
      </c>
      <c r="I380" s="3" t="str">
        <f>IFERROR(__xludf.DUMMYFUNCTION("""COMPUTED_VALUE"""),"Workforce - Deals")</f>
        <v>Workforce - Deals</v>
      </c>
      <c r="J380" s="3" t="str">
        <f>IFERROR(__xludf.DUMMYFUNCTION("""COMPUTED_VALUE"""),"Partner")</f>
        <v>Partner</v>
      </c>
      <c r="K380" s="12">
        <f>IFERROR(__xludf.DUMMYFUNCTION("""COMPUTED_VALUE"""),41568.0)</f>
        <v>41568</v>
      </c>
      <c r="L380" s="3" t="str">
        <f>IFERROR(__xludf.DUMMYFUNCTION("""COMPUTED_VALUE"""),"Chicago")</f>
        <v>Chicago</v>
      </c>
      <c r="M380" s="3" t="str">
        <f>IFERROR(__xludf.DUMMYFUNCTION("""COMPUTED_VALUE"""),"Chicago - One North Wacker Drive")</f>
        <v>Chicago - One North Wacker Drive</v>
      </c>
      <c r="N380" s="3" t="b">
        <f>IFERROR(__xludf.DUMMYFUNCTION("""COMPUTED_VALUE"""),FALSE)</f>
        <v>0</v>
      </c>
      <c r="O380" s="3" t="str">
        <f>IFERROR(__xludf.DUMMYFUNCTION("""COMPUTED_VALUE"""),"craig.odonnell@pwc.com")</f>
        <v>craig.odonnell@pwc.com</v>
      </c>
      <c r="P380" s="3" t="str">
        <f>IFERROR(__xludf.DUMMYFUNCTION("""COMPUTED_VALUE"""),"No")</f>
        <v>No</v>
      </c>
      <c r="Q380" s="3" t="b">
        <f>IFERROR(__xludf.DUMMYFUNCTION("""COMPUTED_VALUE"""),FALSE)</f>
        <v>0</v>
      </c>
      <c r="R380" s="3"/>
      <c r="S380" s="3"/>
      <c r="T380" s="3" t="b">
        <f>IFERROR(__xludf.DUMMYFUNCTION("""COMPUTED_VALUE"""),FALSE)</f>
        <v>0</v>
      </c>
      <c r="U380" s="3" t="b">
        <f>IFERROR(__xludf.DUMMYFUNCTION("""COMPUTED_VALUE"""),FALSE)</f>
        <v>0</v>
      </c>
      <c r="V380" s="3" t="b">
        <f>IFERROR(__xludf.DUMMYFUNCTION("""COMPUTED_VALUE"""),FALSE)</f>
        <v>0</v>
      </c>
      <c r="W380" s="3" t="str">
        <f>IFERROR(__xludf.DUMMYFUNCTION("""COMPUTED_VALUE"""),"#N/A")</f>
        <v>#N/A</v>
      </c>
      <c r="X380" s="3" t="str">
        <f>IFERROR(__xludf.DUMMYFUNCTION("""COMPUTED_VALUE"""),"#N/A")</f>
        <v>#N/A</v>
      </c>
      <c r="Y380" s="3" t="str">
        <f>IFERROR(__xludf.DUMMYFUNCTION("""COMPUTED_VALUE"""),"#N/A")</f>
        <v>#N/A</v>
      </c>
      <c r="Z380" s="3" t="str">
        <f>IFERROR(__xludf.DUMMYFUNCTION("""COMPUTED_VALUE"""),"Unknown")</f>
        <v>Unknown</v>
      </c>
      <c r="AA380" s="3" t="b">
        <f>IFERROR(__xludf.DUMMYFUNCTION("""COMPUTED_VALUE"""),FALSE)</f>
        <v>0</v>
      </c>
    </row>
    <row r="381">
      <c r="A381" s="11">
        <f>IFERROR(__xludf.DUMMYFUNCTION("""COMPUTED_VALUE"""),1.00866857E8)</f>
        <v>100866857</v>
      </c>
      <c r="B381" s="3" t="str">
        <f>IFERROR(__xludf.DUMMYFUNCTION("""COMPUTED_VALUE"""),"Kurt Staelens")</f>
        <v>Kurt Staelens</v>
      </c>
      <c r="C381" s="3" t="str">
        <f>IFERROR(__xludf.DUMMYFUNCTION("""COMPUTED_VALUE"""),"Kurt  Staelens")</f>
        <v>Kurt  Staelens</v>
      </c>
      <c r="D381" s="3" t="str">
        <f>IFERROR(__xludf.DUMMYFUNCTION("""COMPUTED_VALUE"""),"Staelens, Kurt")</f>
        <v>Staelens, Kurt</v>
      </c>
      <c r="E381" s="3" t="str">
        <f>IFERROR(__xludf.DUMMYFUNCTION("""COMPUTED_VALUE"""),"Active")</f>
        <v>Active</v>
      </c>
      <c r="F381" s="3" t="str">
        <f>IFERROR(__xludf.DUMMYFUNCTION("""COMPUTED_VALUE"""),"kurt.staelens@pwc.com")</f>
        <v>kurt.staelens@pwc.com</v>
      </c>
      <c r="G381" s="3" t="str">
        <f>IFERROR(__xludf.DUMMYFUNCTION("""COMPUTED_VALUE"""),"Customer")</f>
        <v>Customer</v>
      </c>
      <c r="H381" s="3" t="str">
        <f>IFERROR(__xludf.DUMMYFUNCTION("""COMPUTED_VALUE"""),"CM X-Sector")</f>
        <v>CM X-Sector</v>
      </c>
      <c r="I381" s="3" t="str">
        <f>IFERROR(__xludf.DUMMYFUNCTION("""COMPUTED_VALUE"""),"Customer - Marketing")</f>
        <v>Customer - Marketing</v>
      </c>
      <c r="J381" s="3" t="str">
        <f>IFERROR(__xludf.DUMMYFUNCTION("""COMPUTED_VALUE"""),"Partner")</f>
        <v>Partner</v>
      </c>
      <c r="K381" s="12">
        <f>IFERROR(__xludf.DUMMYFUNCTION("""COMPUTED_VALUE"""),43473.0)</f>
        <v>43473</v>
      </c>
      <c r="L381" s="3" t="str">
        <f>IFERROR(__xludf.DUMMYFUNCTION("""COMPUTED_VALUE"""),"Chicago")</f>
        <v>Chicago</v>
      </c>
      <c r="M381" s="3" t="str">
        <f>IFERROR(__xludf.DUMMYFUNCTION("""COMPUTED_VALUE"""),"Chicago - One North Wacker Drive")</f>
        <v>Chicago - One North Wacker Drive</v>
      </c>
      <c r="N381" s="3" t="b">
        <f>IFERROR(__xludf.DUMMYFUNCTION("""COMPUTED_VALUE"""),FALSE)</f>
        <v>0</v>
      </c>
      <c r="O381" s="3" t="str">
        <f>IFERROR(__xludf.DUMMYFUNCTION("""COMPUTED_VALUE"""),"george.korizis@pwc.com")</f>
        <v>george.korizis@pwc.com</v>
      </c>
      <c r="P381" s="3" t="str">
        <f>IFERROR(__xludf.DUMMYFUNCTION("""COMPUTED_VALUE"""),"No")</f>
        <v>No</v>
      </c>
      <c r="Q381" s="3" t="b">
        <f>IFERROR(__xludf.DUMMYFUNCTION("""COMPUTED_VALUE"""),FALSE)</f>
        <v>0</v>
      </c>
      <c r="R381" s="3"/>
      <c r="S381" s="3"/>
      <c r="T381" s="3" t="b">
        <f>IFERROR(__xludf.DUMMYFUNCTION("""COMPUTED_VALUE"""),FALSE)</f>
        <v>0</v>
      </c>
      <c r="U381" s="3" t="b">
        <f>IFERROR(__xludf.DUMMYFUNCTION("""COMPUTED_VALUE"""),TRUE)</f>
        <v>1</v>
      </c>
      <c r="V381" s="3" t="b">
        <f>IFERROR(__xludf.DUMMYFUNCTION("""COMPUTED_VALUE"""),FALSE)</f>
        <v>0</v>
      </c>
      <c r="W381" s="3" t="str">
        <f>IFERROR(__xludf.DUMMYFUNCTION("""COMPUTED_VALUE"""),"Delivery")</f>
        <v>Delivery</v>
      </c>
      <c r="X381" s="3"/>
      <c r="Y381" s="3"/>
      <c r="Z381" s="3" t="str">
        <f>IFERROR(__xludf.DUMMYFUNCTION("""COMPUTED_VALUE"""),"Finance Transformation - CM")</f>
        <v>Finance Transformation - CM</v>
      </c>
      <c r="AA381" s="3" t="b">
        <f>IFERROR(__xludf.DUMMYFUNCTION("""COMPUTED_VALUE"""),FALSE)</f>
        <v>0</v>
      </c>
    </row>
    <row r="382">
      <c r="A382" s="11">
        <f>IFERROR(__xludf.DUMMYFUNCTION("""COMPUTED_VALUE"""),1.00661053E8)</f>
        <v>100661053</v>
      </c>
      <c r="B382" s="3" t="str">
        <f>IFERROR(__xludf.DUMMYFUNCTION("""COMPUTED_VALUE"""),"Kurtis Babczenko")</f>
        <v>Kurtis Babczenko</v>
      </c>
      <c r="C382" s="3" t="str">
        <f>IFERROR(__xludf.DUMMYFUNCTION("""COMPUTED_VALUE"""),"Konstantine  Babczenko")</f>
        <v>Konstantine  Babczenko</v>
      </c>
      <c r="D382" s="3" t="str">
        <f>IFERROR(__xludf.DUMMYFUNCTION("""COMPUTED_VALUE"""),"Babczenko, Konstantine")</f>
        <v>Babczenko, Konstantine</v>
      </c>
      <c r="E382" s="3" t="str">
        <f>IFERROR(__xludf.DUMMYFUNCTION("""COMPUTED_VALUE"""),"Active")</f>
        <v>Active</v>
      </c>
      <c r="F382" s="3" t="str">
        <f>IFERROR(__xludf.DUMMYFUNCTION("""COMPUTED_VALUE"""),"kurtis.babczenko@pwc.com")</f>
        <v>kurtis.babczenko@pwc.com</v>
      </c>
      <c r="G382" s="3" t="str">
        <f>IFERROR(__xludf.DUMMYFUNCTION("""COMPUTED_VALUE"""),"Finance")</f>
        <v>Finance</v>
      </c>
      <c r="H382" s="3" t="str">
        <f>IFERROR(__xludf.DUMMYFUNCTION("""COMPUTED_VALUE"""),"Banking and Capital Markets")</f>
        <v>Banking and Capital Markets</v>
      </c>
      <c r="I382" s="3" t="str">
        <f>IFERROR(__xludf.DUMMYFUNCTION("""COMPUTED_VALUE"""),"Finance - Finance Strategy / Op Model / Global Business Services / Talent")</f>
        <v>Finance - Finance Strategy / Op Model / Global Business Services / Talent</v>
      </c>
      <c r="J382" s="3" t="str">
        <f>IFERROR(__xludf.DUMMYFUNCTION("""COMPUTED_VALUE"""),"Partner")</f>
        <v>Partner</v>
      </c>
      <c r="K382" s="12">
        <f>IFERROR(__xludf.DUMMYFUNCTION("""COMPUTED_VALUE"""),35612.0)</f>
        <v>35612</v>
      </c>
      <c r="L382" s="3" t="str">
        <f>IFERROR(__xludf.DUMMYFUNCTION("""COMPUTED_VALUE"""),"New York")</f>
        <v>New York</v>
      </c>
      <c r="M382" s="3" t="str">
        <f>IFERROR(__xludf.DUMMYFUNCTION("""COMPUTED_VALUE"""),"New York - 300 Madison Avenue")</f>
        <v>New York - 300 Madison Avenue</v>
      </c>
      <c r="N382" s="3" t="b">
        <f>IFERROR(__xludf.DUMMYFUNCTION("""COMPUTED_VALUE"""),FALSE)</f>
        <v>0</v>
      </c>
      <c r="O382" s="3" t="str">
        <f>IFERROR(__xludf.DUMMYFUNCTION("""COMPUTED_VALUE"""),"mike.connolly@pwc.com")</f>
        <v>mike.connolly@pwc.com</v>
      </c>
      <c r="P382" s="3" t="str">
        <f>IFERROR(__xludf.DUMMYFUNCTION("""COMPUTED_VALUE"""),"No")</f>
        <v>No</v>
      </c>
      <c r="Q382" s="3" t="b">
        <f>IFERROR(__xludf.DUMMYFUNCTION("""COMPUTED_VALUE"""),FALSE)</f>
        <v>0</v>
      </c>
      <c r="R382" s="3"/>
      <c r="S382" s="3"/>
      <c r="T382" s="3" t="b">
        <f>IFERROR(__xludf.DUMMYFUNCTION("""COMPUTED_VALUE"""),TRUE)</f>
        <v>1</v>
      </c>
      <c r="U382" s="3" t="b">
        <f>IFERROR(__xludf.DUMMYFUNCTION("""COMPUTED_VALUE"""),FALSE)</f>
        <v>0</v>
      </c>
      <c r="V382" s="3" t="b">
        <f>IFERROR(__xludf.DUMMYFUNCTION("""COMPUTED_VALUE"""),FALSE)</f>
        <v>0</v>
      </c>
      <c r="W382" s="3" t="str">
        <f>IFERROR(__xludf.DUMMYFUNCTION("""COMPUTED_VALUE"""),"Delivery")</f>
        <v>Delivery</v>
      </c>
      <c r="X382" s="3"/>
      <c r="Y382" s="3" t="str">
        <f>IFERROR(__xludf.DUMMYFUNCTION("""COMPUTED_VALUE"""),"Rainmaker")</f>
        <v>Rainmaker</v>
      </c>
      <c r="Z382" s="3" t="str">
        <f>IFERROR(__xludf.DUMMYFUNCTION("""COMPUTED_VALUE"""),"Finance Transformation - Banking")</f>
        <v>Finance Transformation - Banking</v>
      </c>
      <c r="AA382" s="3" t="b">
        <f>IFERROR(__xludf.DUMMYFUNCTION("""COMPUTED_VALUE"""),FALSE)</f>
        <v>0</v>
      </c>
    </row>
    <row r="383">
      <c r="A383" s="11">
        <f>IFERROR(__xludf.DUMMYFUNCTION("""COMPUTED_VALUE"""),1.00639134E8)</f>
        <v>100639134</v>
      </c>
      <c r="B383" s="3" t="str">
        <f>IFERROR(__xludf.DUMMYFUNCTION("""COMPUTED_VALUE"""),"Kyle Calcagno")</f>
        <v>Kyle Calcagno</v>
      </c>
      <c r="C383" s="3" t="str">
        <f>IFERROR(__xludf.DUMMYFUNCTION("""COMPUTED_VALUE"""),"Kyle Lee Calcagno")</f>
        <v>Kyle Lee Calcagno</v>
      </c>
      <c r="D383" s="3" t="str">
        <f>IFERROR(__xludf.DUMMYFUNCTION("""COMPUTED_VALUE"""),"Calcagno, Kyle Lee")</f>
        <v>Calcagno, Kyle Lee</v>
      </c>
      <c r="E383" s="3" t="str">
        <f>IFERROR(__xludf.DUMMYFUNCTION("""COMPUTED_VALUE"""),"Active")</f>
        <v>Active</v>
      </c>
      <c r="F383" s="3" t="str">
        <f>IFERROR(__xludf.DUMMYFUNCTION("""COMPUTED_VALUE"""),"kyle.l.calcagno@pwc.com")</f>
        <v>kyle.l.calcagno@pwc.com</v>
      </c>
      <c r="G383" s="3" t="str">
        <f>IFERROR(__xludf.DUMMYFUNCTION("""COMPUTED_VALUE"""),"FS")</f>
        <v>FS</v>
      </c>
      <c r="H383" s="3" t="str">
        <f>IFERROR(__xludf.DUMMYFUNCTION("""COMPUTED_VALUE"""),"Asset and Wealth Management")</f>
        <v>Asset and Wealth Management</v>
      </c>
      <c r="I383" s="3" t="str">
        <f>IFERROR(__xludf.DUMMYFUNCTION("""COMPUTED_VALUE"""),"FS - Asset Wealth Management")</f>
        <v>FS - Asset Wealth Management</v>
      </c>
      <c r="J383" s="3" t="str">
        <f>IFERROR(__xludf.DUMMYFUNCTION("""COMPUTED_VALUE"""),"Managing Director")</f>
        <v>Managing Director</v>
      </c>
      <c r="K383" s="12">
        <f>IFERROR(__xludf.DUMMYFUNCTION("""COMPUTED_VALUE"""),39980.0)</f>
        <v>39980</v>
      </c>
      <c r="L383" s="3" t="str">
        <f>IFERROR(__xludf.DUMMYFUNCTION("""COMPUTED_VALUE"""),"Sacramento")</f>
        <v>Sacramento</v>
      </c>
      <c r="M383" s="3" t="str">
        <f>IFERROR(__xludf.DUMMYFUNCTION("""COMPUTED_VALUE"""),"Sacramento - 400 Capitol Mall")</f>
        <v>Sacramento - 400 Capitol Mall</v>
      </c>
      <c r="N383" s="3" t="b">
        <f>IFERROR(__xludf.DUMMYFUNCTION("""COMPUTED_VALUE"""),FALSE)</f>
        <v>0</v>
      </c>
      <c r="O383" s="3" t="str">
        <f>IFERROR(__xludf.DUMMYFUNCTION("""COMPUTED_VALUE"""),"arjun.patel@pwc.com")</f>
        <v>arjun.patel@pwc.com</v>
      </c>
      <c r="P383" s="3" t="str">
        <f>IFERROR(__xludf.DUMMYFUNCTION("""COMPUTED_VALUE"""),"No")</f>
        <v>No</v>
      </c>
      <c r="Q383" s="3" t="b">
        <f>IFERROR(__xludf.DUMMYFUNCTION("""COMPUTED_VALUE"""),FALSE)</f>
        <v>0</v>
      </c>
      <c r="R383" s="3"/>
      <c r="S383" s="3"/>
      <c r="T383" s="3" t="b">
        <f>IFERROR(__xludf.DUMMYFUNCTION("""COMPUTED_VALUE"""),FALSE)</f>
        <v>0</v>
      </c>
      <c r="U383" s="3" t="b">
        <f>IFERROR(__xludf.DUMMYFUNCTION("""COMPUTED_VALUE"""),TRUE)</f>
        <v>1</v>
      </c>
      <c r="V383" s="3" t="b">
        <f>IFERROR(__xludf.DUMMYFUNCTION("""COMPUTED_VALUE"""),FALSE)</f>
        <v>0</v>
      </c>
      <c r="W383" s="3" t="str">
        <f>IFERROR(__xludf.DUMMYFUNCTION("""COMPUTED_VALUE"""),"Delivery")</f>
        <v>Delivery</v>
      </c>
      <c r="X383" s="3"/>
      <c r="Y383" s="3"/>
      <c r="Z383" s="3" t="str">
        <f>IFERROR(__xludf.DUMMYFUNCTION("""COMPUTED_VALUE"""),"AWM Transformation")</f>
        <v>AWM Transformation</v>
      </c>
      <c r="AA383" s="3" t="b">
        <f>IFERROR(__xludf.DUMMYFUNCTION("""COMPUTED_VALUE"""),FALSE)</f>
        <v>0</v>
      </c>
    </row>
    <row r="384">
      <c r="A384" s="11">
        <f>IFERROR(__xludf.DUMMYFUNCTION("""COMPUTED_VALUE"""),1.00600975E8)</f>
        <v>100600975</v>
      </c>
      <c r="B384" s="3" t="str">
        <f>IFERROR(__xludf.DUMMYFUNCTION("""COMPUTED_VALUE"""),"Kyle Long")</f>
        <v>Kyle Long</v>
      </c>
      <c r="C384" s="3" t="str">
        <f>IFERROR(__xludf.DUMMYFUNCTION("""COMPUTED_VALUE"""),"David Kyle  Long")</f>
        <v>David Kyle  Long</v>
      </c>
      <c r="D384" s="3" t="str">
        <f>IFERROR(__xludf.DUMMYFUNCTION("""COMPUTED_VALUE"""),"Long, David Kyle")</f>
        <v>Long, David Kyle</v>
      </c>
      <c r="E384" s="3" t="str">
        <f>IFERROR(__xludf.DUMMYFUNCTION("""COMPUTED_VALUE"""),"Active")</f>
        <v>Active</v>
      </c>
      <c r="F384" s="3" t="str">
        <f>IFERROR(__xludf.DUMMYFUNCTION("""COMPUTED_VALUE"""),"kyle.long@pwc.com")</f>
        <v>kyle.long@pwc.com</v>
      </c>
      <c r="G384" s="3" t="str">
        <f>IFERROR(__xludf.DUMMYFUNCTION("""COMPUTED_VALUE"""),"Deals Transformation")</f>
        <v>Deals Transformation</v>
      </c>
      <c r="H384" s="3" t="str">
        <f>IFERROR(__xludf.DUMMYFUNCTION("""COMPUTED_VALUE"""),"Power and Utilities")</f>
        <v>Power and Utilities</v>
      </c>
      <c r="I384" s="3" t="str">
        <f>IFERROR(__xludf.DUMMYFUNCTION("""COMPUTED_VALUE"""),"DDV - ISD (Integration, Separation, Divestitures)")</f>
        <v>DDV - ISD (Integration, Separation, Divestitures)</v>
      </c>
      <c r="J384" s="3" t="str">
        <f>IFERROR(__xludf.DUMMYFUNCTION("""COMPUTED_VALUE"""),"Partner")</f>
        <v>Partner</v>
      </c>
      <c r="K384" s="12">
        <f>IFERROR(__xludf.DUMMYFUNCTION("""COMPUTED_VALUE"""),37123.0)</f>
        <v>37123</v>
      </c>
      <c r="L384" s="3" t="str">
        <f>IFERROR(__xludf.DUMMYFUNCTION("""COMPUTED_VALUE"""),"Atlanta")</f>
        <v>Atlanta</v>
      </c>
      <c r="M384" s="3" t="str">
        <f>IFERROR(__xludf.DUMMYFUNCTION("""COMPUTED_VALUE"""),"Atlanta - 1075 Peachtree Street NE")</f>
        <v>Atlanta - 1075 Peachtree Street NE</v>
      </c>
      <c r="N384" s="3" t="b">
        <f>IFERROR(__xludf.DUMMYFUNCTION("""COMPUTED_VALUE"""),FALSE)</f>
        <v>0</v>
      </c>
      <c r="O384" s="3" t="str">
        <f>IFERROR(__xludf.DUMMYFUNCTION("""COMPUTED_VALUE"""),"derek.b.townsend@pwc.com")</f>
        <v>derek.b.townsend@pwc.com</v>
      </c>
      <c r="P384" s="3" t="str">
        <f>IFERROR(__xludf.DUMMYFUNCTION("""COMPUTED_VALUE"""),"No")</f>
        <v>No</v>
      </c>
      <c r="Q384" s="3" t="b">
        <f>IFERROR(__xludf.DUMMYFUNCTION("""COMPUTED_VALUE"""),TRUE)</f>
        <v>1</v>
      </c>
      <c r="R384" s="3" t="str">
        <f>IFERROR(__xludf.DUMMYFUNCTION("""COMPUTED_VALUE"""),"LCP Low")</f>
        <v>LCP Low</v>
      </c>
      <c r="S384" s="3"/>
      <c r="T384" s="3" t="b">
        <f>IFERROR(__xludf.DUMMYFUNCTION("""COMPUTED_VALUE"""),FALSE)</f>
        <v>0</v>
      </c>
      <c r="U384" s="3" t="b">
        <f>IFERROR(__xludf.DUMMYFUNCTION("""COMPUTED_VALUE"""),FALSE)</f>
        <v>0</v>
      </c>
      <c r="V384" s="3" t="b">
        <f>IFERROR(__xludf.DUMMYFUNCTION("""COMPUTED_VALUE"""),FALSE)</f>
        <v>0</v>
      </c>
      <c r="W384" s="3" t="str">
        <f>IFERROR(__xludf.DUMMYFUNCTION("""COMPUTED_VALUE"""),"LCP")</f>
        <v>LCP</v>
      </c>
      <c r="X384" s="3"/>
      <c r="Y384" s="3" t="str">
        <f>IFERROR(__xludf.DUMMYFUNCTION("""COMPUTED_VALUE"""),"GEP - Low")</f>
        <v>GEP - Low</v>
      </c>
      <c r="Z384" s="3" t="str">
        <f>IFERROR(__xludf.DUMMYFUNCTION("""COMPUTED_VALUE"""),"Corporate M&amp;A Transformation - IPS")</f>
        <v>Corporate M&amp;A Transformation - IPS</v>
      </c>
      <c r="AA384" s="3" t="b">
        <f>IFERROR(__xludf.DUMMYFUNCTION("""COMPUTED_VALUE"""),TRUE)</f>
        <v>1</v>
      </c>
    </row>
    <row r="385">
      <c r="A385" s="11">
        <f>IFERROR(__xludf.DUMMYFUNCTION("""COMPUTED_VALUE"""),1.00642861E8)</f>
        <v>100642861</v>
      </c>
      <c r="B385" s="3" t="str">
        <f>IFERROR(__xludf.DUMMYFUNCTION("""COMPUTED_VALUE"""),"Kyle Robinson")</f>
        <v>Kyle Robinson</v>
      </c>
      <c r="C385" s="3" t="str">
        <f>IFERROR(__xludf.DUMMYFUNCTION("""COMPUTED_VALUE"""),"Kyle J Robinson")</f>
        <v>Kyle J Robinson</v>
      </c>
      <c r="D385" s="3" t="str">
        <f>IFERROR(__xludf.DUMMYFUNCTION("""COMPUTED_VALUE"""),"Robinson, Kyle J")</f>
        <v>Robinson, Kyle J</v>
      </c>
      <c r="E385" s="3" t="str">
        <f>IFERROR(__xludf.DUMMYFUNCTION("""COMPUTED_VALUE"""),"Active")</f>
        <v>Active</v>
      </c>
      <c r="F385" s="3" t="str">
        <f>IFERROR(__xludf.DUMMYFUNCTION("""COMPUTED_VALUE"""),"kyle.robinson@pwc.com")</f>
        <v>kyle.robinson@pwc.com</v>
      </c>
      <c r="G385" s="3" t="str">
        <f>IFERROR(__xludf.DUMMYFUNCTION("""COMPUTED_VALUE"""),"Deals Transformation")</f>
        <v>Deals Transformation</v>
      </c>
      <c r="H385" s="3" t="str">
        <f>IFERROR(__xludf.DUMMYFUNCTION("""COMPUTED_VALUE"""),"Insurance")</f>
        <v>Insurance</v>
      </c>
      <c r="I385" s="3" t="str">
        <f>IFERROR(__xludf.DUMMYFUNCTION("""COMPUTED_VALUE"""),"DDV - ISD (Integration, Separation, Divestitures)")</f>
        <v>DDV - ISD (Integration, Separation, Divestitures)</v>
      </c>
      <c r="J385" s="3" t="str">
        <f>IFERROR(__xludf.DUMMYFUNCTION("""COMPUTED_VALUE"""),"Partner")</f>
        <v>Partner</v>
      </c>
      <c r="K385" s="12">
        <f>IFERROR(__xludf.DUMMYFUNCTION("""COMPUTED_VALUE"""),40280.0)</f>
        <v>40280</v>
      </c>
      <c r="L385" s="3" t="str">
        <f>IFERROR(__xludf.DUMMYFUNCTION("""COMPUTED_VALUE"""),"New York")</f>
        <v>New York</v>
      </c>
      <c r="M385" s="3" t="str">
        <f>IFERROR(__xludf.DUMMYFUNCTION("""COMPUTED_VALUE"""),"New York - 300 Madison Avenue")</f>
        <v>New York - 300 Madison Avenue</v>
      </c>
      <c r="N385" s="3" t="b">
        <f>IFERROR(__xludf.DUMMYFUNCTION("""COMPUTED_VALUE"""),FALSE)</f>
        <v>0</v>
      </c>
      <c r="O385" s="3" t="str">
        <f>IFERROR(__xludf.DUMMYFUNCTION("""COMPUTED_VALUE"""),"derek.b.townsend@pwc.com")</f>
        <v>derek.b.townsend@pwc.com</v>
      </c>
      <c r="P385" s="3" t="str">
        <f>IFERROR(__xludf.DUMMYFUNCTION("""COMPUTED_VALUE"""),"No")</f>
        <v>No</v>
      </c>
      <c r="Q385" s="3" t="b">
        <f>IFERROR(__xludf.DUMMYFUNCTION("""COMPUTED_VALUE"""),FALSE)</f>
        <v>0</v>
      </c>
      <c r="R385" s="3"/>
      <c r="S385" s="3"/>
      <c r="T385" s="3" t="b">
        <f>IFERROR(__xludf.DUMMYFUNCTION("""COMPUTED_VALUE"""),FALSE)</f>
        <v>0</v>
      </c>
      <c r="U385" s="3" t="b">
        <f>IFERROR(__xludf.DUMMYFUNCTION("""COMPUTED_VALUE"""),TRUE)</f>
        <v>1</v>
      </c>
      <c r="V385" s="3" t="b">
        <f>IFERROR(__xludf.DUMMYFUNCTION("""COMPUTED_VALUE"""),FALSE)</f>
        <v>0</v>
      </c>
      <c r="W385" s="3" t="str">
        <f>IFERROR(__xludf.DUMMYFUNCTION("""COMPUTED_VALUE"""),"Delivery")</f>
        <v>Delivery</v>
      </c>
      <c r="X385" s="3"/>
      <c r="Y385" s="3"/>
      <c r="Z385" s="3" t="str">
        <f>IFERROR(__xludf.DUMMYFUNCTION("""COMPUTED_VALUE"""),"Corporate M&amp;A Transformation - FS")</f>
        <v>Corporate M&amp;A Transformation - FS</v>
      </c>
      <c r="AA385" s="3" t="b">
        <f>IFERROR(__xludf.DUMMYFUNCTION("""COMPUTED_VALUE"""),FALSE)</f>
        <v>0</v>
      </c>
    </row>
    <row r="386">
      <c r="A386" s="11">
        <f>IFERROR(__xludf.DUMMYFUNCTION("""COMPUTED_VALUE"""),1.00582847E8)</f>
        <v>100582847</v>
      </c>
      <c r="B386" s="3" t="str">
        <f>IFERROR(__xludf.DUMMYFUNCTION("""COMPUTED_VALUE"""),"Larry Patrick")</f>
        <v>Larry Patrick</v>
      </c>
      <c r="C386" s="3" t="str">
        <f>IFERROR(__xludf.DUMMYFUNCTION("""COMPUTED_VALUE"""),"Larry E Patrick")</f>
        <v>Larry E Patrick</v>
      </c>
      <c r="D386" s="3" t="str">
        <f>IFERROR(__xludf.DUMMYFUNCTION("""COMPUTED_VALUE"""),"Patrick, Larry E")</f>
        <v>Patrick, Larry E</v>
      </c>
      <c r="E386" s="3" t="str">
        <f>IFERROR(__xludf.DUMMYFUNCTION("""COMPUTED_VALUE"""),"Active")</f>
        <v>Active</v>
      </c>
      <c r="F386" s="3" t="str">
        <f>IFERROR(__xludf.DUMMYFUNCTION("""COMPUTED_VALUE"""),"larry.patrick@pwc.com")</f>
        <v>larry.patrick@pwc.com</v>
      </c>
      <c r="G386" s="3" t="str">
        <f>IFERROR(__xludf.DUMMYFUNCTION("""COMPUTED_VALUE"""),"Health")</f>
        <v>Health</v>
      </c>
      <c r="H386" s="3" t="str">
        <f>IFERROR(__xludf.DUMMYFUNCTION("""COMPUTED_VALUE"""),"Health Services")</f>
        <v>Health Services</v>
      </c>
      <c r="I386" s="3" t="str">
        <f>IFERROR(__xludf.DUMMYFUNCTION("""COMPUTED_VALUE"""),"Health - Provider FFG")</f>
        <v>Health - Provider FFG</v>
      </c>
      <c r="J386" s="3" t="str">
        <f>IFERROR(__xludf.DUMMYFUNCTION("""COMPUTED_VALUE"""),"Partner")</f>
        <v>Partner</v>
      </c>
      <c r="K386" s="12">
        <f>IFERROR(__xludf.DUMMYFUNCTION("""COMPUTED_VALUE"""),35977.0)</f>
        <v>35977</v>
      </c>
      <c r="L386" s="3" t="str">
        <f>IFERROR(__xludf.DUMMYFUNCTION("""COMPUTED_VALUE"""),"Atlanta")</f>
        <v>Atlanta</v>
      </c>
      <c r="M386" s="3" t="str">
        <f>IFERROR(__xludf.DUMMYFUNCTION("""COMPUTED_VALUE"""),"Atlanta - 1075 Peachtree Street NE")</f>
        <v>Atlanta - 1075 Peachtree Street NE</v>
      </c>
      <c r="N386" s="3" t="b">
        <f>IFERROR(__xludf.DUMMYFUNCTION("""COMPUTED_VALUE"""),FALSE)</f>
        <v>0</v>
      </c>
      <c r="O386" s="3" t="str">
        <f>IFERROR(__xludf.DUMMYFUNCTION("""COMPUTED_VALUE"""),"craig.e.gooch@pwc.com")</f>
        <v>craig.e.gooch@pwc.com</v>
      </c>
      <c r="P386" s="3" t="str">
        <f>IFERROR(__xludf.DUMMYFUNCTION("""COMPUTED_VALUE"""),"No")</f>
        <v>No</v>
      </c>
      <c r="Q386" s="3" t="b">
        <f>IFERROR(__xludf.DUMMYFUNCTION("""COMPUTED_VALUE"""),TRUE)</f>
        <v>1</v>
      </c>
      <c r="R386" s="3" t="str">
        <f>IFERROR(__xludf.DUMMYFUNCTION("""COMPUTED_VALUE"""),"LCP High")</f>
        <v>LCP High</v>
      </c>
      <c r="S386" s="3"/>
      <c r="T386" s="3" t="b">
        <f>IFERROR(__xludf.DUMMYFUNCTION("""COMPUTED_VALUE"""),FALSE)</f>
        <v>0</v>
      </c>
      <c r="U386" s="3" t="b">
        <f>IFERROR(__xludf.DUMMYFUNCTION("""COMPUTED_VALUE"""),FALSE)</f>
        <v>0</v>
      </c>
      <c r="V386" s="3" t="b">
        <f>IFERROR(__xludf.DUMMYFUNCTION("""COMPUTED_VALUE"""),FALSE)</f>
        <v>0</v>
      </c>
      <c r="W386" s="3" t="str">
        <f>IFERROR(__xludf.DUMMYFUNCTION("""COMPUTED_VALUE"""),"LCP")</f>
        <v>LCP</v>
      </c>
      <c r="X386" s="3"/>
      <c r="Y386" s="3" t="str">
        <f>IFERROR(__xludf.DUMMYFUNCTION("""COMPUTED_VALUE"""),"GEP - High")</f>
        <v>GEP - High</v>
      </c>
      <c r="Z386" s="3" t="str">
        <f>IFERROR(__xludf.DUMMYFUNCTION("""COMPUTED_VALUE"""),"Provider Transformation")</f>
        <v>Provider Transformation</v>
      </c>
      <c r="AA386" s="3" t="b">
        <f>IFERROR(__xludf.DUMMYFUNCTION("""COMPUTED_VALUE"""),FALSE)</f>
        <v>0</v>
      </c>
    </row>
    <row r="387">
      <c r="A387" s="11">
        <f>IFERROR(__xludf.DUMMYFUNCTION("""COMPUTED_VALUE"""),1.00613841E8)</f>
        <v>100613841</v>
      </c>
      <c r="B387" s="3" t="str">
        <f>IFERROR(__xludf.DUMMYFUNCTION("""COMPUTED_VALUE"""),"Laurie Ann Fleet")</f>
        <v>Laurie Ann Fleet</v>
      </c>
      <c r="C387" s="3" t="str">
        <f>IFERROR(__xludf.DUMMYFUNCTION("""COMPUTED_VALUE"""),"Laurie Ann  Fleet")</f>
        <v>Laurie Ann  Fleet</v>
      </c>
      <c r="D387" s="3" t="str">
        <f>IFERROR(__xludf.DUMMYFUNCTION("""COMPUTED_VALUE"""),"Fleet, Laurie Ann")</f>
        <v>Fleet, Laurie Ann</v>
      </c>
      <c r="E387" s="3" t="str">
        <f>IFERROR(__xludf.DUMMYFUNCTION("""COMPUTED_VALUE"""),"Active")</f>
        <v>Active</v>
      </c>
      <c r="F387" s="3" t="str">
        <f>IFERROR(__xludf.DUMMYFUNCTION("""COMPUTED_VALUE"""),"laurie.a.fleet@pwc.com")</f>
        <v>laurie.a.fleet@pwc.com</v>
      </c>
      <c r="G387" s="3" t="str">
        <f>IFERROR(__xludf.DUMMYFUNCTION("""COMPUTED_VALUE"""),"Finance")</f>
        <v>Finance</v>
      </c>
      <c r="H387" s="3" t="str">
        <f>IFERROR(__xludf.DUMMYFUNCTION("""COMPUTED_VALUE"""),"CM X-Sector")</f>
        <v>CM X-Sector</v>
      </c>
      <c r="I387" s="3" t="str">
        <f>IFERROR(__xludf.DUMMYFUNCTION("""COMPUTED_VALUE"""),"Finance - Financial Operations")</f>
        <v>Finance - Financial Operations</v>
      </c>
      <c r="J387" s="3" t="str">
        <f>IFERROR(__xludf.DUMMYFUNCTION("""COMPUTED_VALUE"""),"Partner")</f>
        <v>Partner</v>
      </c>
      <c r="K387" s="12">
        <f>IFERROR(__xludf.DUMMYFUNCTION("""COMPUTED_VALUE"""),37298.0)</f>
        <v>37298</v>
      </c>
      <c r="L387" s="3" t="str">
        <f>IFERROR(__xludf.DUMMYFUNCTION("""COMPUTED_VALUE"""),"Dallas")</f>
        <v>Dallas</v>
      </c>
      <c r="M387" s="3" t="str">
        <f>IFERROR(__xludf.DUMMYFUNCTION("""COMPUTED_VALUE"""),"Dallas - 2121 North Pearl Street")</f>
        <v>Dallas - 2121 North Pearl Street</v>
      </c>
      <c r="N387" s="3" t="b">
        <f>IFERROR(__xludf.DUMMYFUNCTION("""COMPUTED_VALUE"""),FALSE)</f>
        <v>0</v>
      </c>
      <c r="O387" s="3" t="str">
        <f>IFERROR(__xludf.DUMMYFUNCTION("""COMPUTED_VALUE"""),"kurtis.babczenko@pwc.com")</f>
        <v>kurtis.babczenko@pwc.com</v>
      </c>
      <c r="P387" s="3" t="str">
        <f>IFERROR(__xludf.DUMMYFUNCTION("""COMPUTED_VALUE"""),"No")</f>
        <v>No</v>
      </c>
      <c r="Q387" s="3" t="b">
        <f>IFERROR(__xludf.DUMMYFUNCTION("""COMPUTED_VALUE"""),FALSE)</f>
        <v>0</v>
      </c>
      <c r="R387" s="3"/>
      <c r="S387" s="3"/>
      <c r="T387" s="3" t="b">
        <f>IFERROR(__xludf.DUMMYFUNCTION("""COMPUTED_VALUE"""),FALSE)</f>
        <v>0</v>
      </c>
      <c r="U387" s="3" t="b">
        <f>IFERROR(__xludf.DUMMYFUNCTION("""COMPUTED_VALUE"""),TRUE)</f>
        <v>1</v>
      </c>
      <c r="V387" s="3" t="b">
        <f>IFERROR(__xludf.DUMMYFUNCTION("""COMPUTED_VALUE"""),FALSE)</f>
        <v>0</v>
      </c>
      <c r="W387" s="3" t="str">
        <f>IFERROR(__xludf.DUMMYFUNCTION("""COMPUTED_VALUE"""),"Delivery")</f>
        <v>Delivery</v>
      </c>
      <c r="X387" s="3"/>
      <c r="Y387" s="3"/>
      <c r="Z387" s="3" t="str">
        <f>IFERROR(__xludf.DUMMYFUNCTION("""COMPUTED_VALUE"""),"Finance Transformation - CM")</f>
        <v>Finance Transformation - CM</v>
      </c>
      <c r="AA387" s="3" t="b">
        <f>IFERROR(__xludf.DUMMYFUNCTION("""COMPUTED_VALUE"""),FALSE)</f>
        <v>0</v>
      </c>
    </row>
    <row r="388">
      <c r="A388" s="11">
        <f>IFERROR(__xludf.DUMMYFUNCTION("""COMPUTED_VALUE"""),1.01247156E8)</f>
        <v>101247156</v>
      </c>
      <c r="B388" s="3" t="str">
        <f>IFERROR(__xludf.DUMMYFUNCTION("""COMPUTED_VALUE"""),"Len Cohen")</f>
        <v>Len Cohen</v>
      </c>
      <c r="C388" s="3" t="str">
        <f>IFERROR(__xludf.DUMMYFUNCTION("""COMPUTED_VALUE"""),"Len Cohen")</f>
        <v>Len Cohen</v>
      </c>
      <c r="D388" s="3" t="str">
        <f>IFERROR(__xludf.DUMMYFUNCTION("""COMPUTED_VALUE"""),"Cohen, Len")</f>
        <v>Cohen, Len</v>
      </c>
      <c r="E388" s="3" t="str">
        <f>IFERROR(__xludf.DUMMYFUNCTION("""COMPUTED_VALUE"""),"Active")</f>
        <v>Active</v>
      </c>
      <c r="F388" s="3" t="str">
        <f>IFERROR(__xludf.DUMMYFUNCTION("""COMPUTED_VALUE"""),"len.cohen@pwc.com")</f>
        <v>len.cohen@pwc.com</v>
      </c>
      <c r="G388" s="3" t="str">
        <f>IFERROR(__xludf.DUMMYFUNCTION("""COMPUTED_VALUE"""),"FS")</f>
        <v>FS</v>
      </c>
      <c r="H388" s="3" t="str">
        <f>IFERROR(__xludf.DUMMYFUNCTION("""COMPUTED_VALUE"""),"Banking and Capital Markets")</f>
        <v>Banking and Capital Markets</v>
      </c>
      <c r="I388" s="3" t="str">
        <f>IFERROR(__xludf.DUMMYFUNCTION("""COMPUTED_VALUE"""),"Unknown")</f>
        <v>Unknown</v>
      </c>
      <c r="J388" s="3" t="str">
        <f>IFERROR(__xludf.DUMMYFUNCTION("""COMPUTED_VALUE"""),"Managing Director")</f>
        <v>Managing Director</v>
      </c>
      <c r="K388" s="12">
        <f>IFERROR(__xludf.DUMMYFUNCTION("""COMPUTED_VALUE"""),44712.0)</f>
        <v>44712</v>
      </c>
      <c r="L388" s="3" t="str">
        <f>IFERROR(__xludf.DUMMYFUNCTION("""COMPUTED_VALUE"""),"Florham Park")</f>
        <v>Florham Park</v>
      </c>
      <c r="M388" s="3" t="str">
        <f>IFERROR(__xludf.DUMMYFUNCTION("""COMPUTED_VALUE"""),"Unknown")</f>
        <v>Unknown</v>
      </c>
      <c r="N388" s="3" t="str">
        <f>IFERROR(__xludf.DUMMYFUNCTION("""COMPUTED_VALUE"""),"Unknown")</f>
        <v>Unknown</v>
      </c>
      <c r="O388" s="3" t="str">
        <f>IFERROR(__xludf.DUMMYFUNCTION("""COMPUTED_VALUE"""),"Unknown")</f>
        <v>Unknown</v>
      </c>
      <c r="P388" s="3" t="str">
        <f>IFERROR(__xludf.DUMMYFUNCTION("""COMPUTED_VALUE"""),"FY22")</f>
        <v>FY22</v>
      </c>
      <c r="Q388" s="3" t="str">
        <f>IFERROR(__xludf.DUMMYFUNCTION("""COMPUTED_VALUE"""),"Unknown")</f>
        <v>Unknown</v>
      </c>
      <c r="R388" s="3" t="str">
        <f>IFERROR(__xludf.DUMMYFUNCTION("""COMPUTED_VALUE"""),"Unknown")</f>
        <v>Unknown</v>
      </c>
      <c r="S388" s="3"/>
      <c r="T388" s="3" t="str">
        <f>IFERROR(__xludf.DUMMYFUNCTION("""COMPUTED_VALUE"""),"Unknown")</f>
        <v>Unknown</v>
      </c>
      <c r="U388" s="3" t="str">
        <f>IFERROR(__xludf.DUMMYFUNCTION("""COMPUTED_VALUE"""),"Unknown")</f>
        <v>Unknown</v>
      </c>
      <c r="V388" s="3" t="str">
        <f>IFERROR(__xludf.DUMMYFUNCTION("""COMPUTED_VALUE"""),"Unknown")</f>
        <v>Unknown</v>
      </c>
      <c r="W388" s="3" t="str">
        <f>IFERROR(__xludf.DUMMYFUNCTION("""COMPUTED_VALUE"""),"Catalyst")</f>
        <v>Catalyst</v>
      </c>
      <c r="X388" s="3" t="str">
        <f>IFERROR(__xludf.DUMMYFUNCTION("""COMPUTED_VALUE"""),"Unknown")</f>
        <v>Unknown</v>
      </c>
      <c r="Y388" s="3" t="str">
        <f>IFERROR(__xludf.DUMMYFUNCTION("""COMPUTED_VALUE"""),"Unknown")</f>
        <v>Unknown</v>
      </c>
      <c r="Z388" s="3" t="str">
        <f>IFERROR(__xludf.DUMMYFUNCTION("""COMPUTED_VALUE"""),"Unknown")</f>
        <v>Unknown</v>
      </c>
      <c r="AA388" s="3" t="str">
        <f>IFERROR(__xludf.DUMMYFUNCTION("""COMPUTED_VALUE"""),"Unknown")</f>
        <v>Unknown</v>
      </c>
    </row>
    <row r="389">
      <c r="A389" s="11">
        <f>IFERROR(__xludf.DUMMYFUNCTION("""COMPUTED_VALUE"""),1.01200292E8)</f>
        <v>101200292</v>
      </c>
      <c r="B389" s="3" t="str">
        <f>IFERROR(__xludf.DUMMYFUNCTION("""COMPUTED_VALUE"""),"Leonardo De Biasi")</f>
        <v>Leonardo De Biasi</v>
      </c>
      <c r="C389" s="3" t="str">
        <f>IFERROR(__xludf.DUMMYFUNCTION("""COMPUTED_VALUE"""),"Leonardo  De Biasi")</f>
        <v>Leonardo  De Biasi</v>
      </c>
      <c r="D389" s="3" t="str">
        <f>IFERROR(__xludf.DUMMYFUNCTION("""COMPUTED_VALUE"""),"De Biasi, Leonardo")</f>
        <v>De Biasi, Leonardo</v>
      </c>
      <c r="E389" s="3" t="str">
        <f>IFERROR(__xludf.DUMMYFUNCTION("""COMPUTED_VALUE"""),"Active")</f>
        <v>Active</v>
      </c>
      <c r="F389" s="3" t="str">
        <f>IFERROR(__xludf.DUMMYFUNCTION("""COMPUTED_VALUE"""),"leonardo.debiasi@pwc.com")</f>
        <v>leonardo.debiasi@pwc.com</v>
      </c>
      <c r="G389" s="3" t="str">
        <f>IFERROR(__xludf.DUMMYFUNCTION("""COMPUTED_VALUE"""),"Finance")</f>
        <v>Finance</v>
      </c>
      <c r="H389" s="3" t="str">
        <f>IFERROR(__xludf.DUMMYFUNCTION("""COMPUTED_VALUE"""),"IMA X-Sector")</f>
        <v>IMA X-Sector</v>
      </c>
      <c r="I389" s="3" t="str">
        <f>IFERROR(__xludf.DUMMYFUNCTION("""COMPUTED_VALUE"""),"Finance - Enterprise Performance Management")</f>
        <v>Finance - Enterprise Performance Management</v>
      </c>
      <c r="J389" s="3" t="str">
        <f>IFERROR(__xludf.DUMMYFUNCTION("""COMPUTED_VALUE"""),"Partner")</f>
        <v>Partner</v>
      </c>
      <c r="K389" s="12">
        <f>IFERROR(__xludf.DUMMYFUNCTION("""COMPUTED_VALUE"""),44599.0)</f>
        <v>44599</v>
      </c>
      <c r="L389" s="3" t="str">
        <f>IFERROR(__xludf.DUMMYFUNCTION("""COMPUTED_VALUE"""),"Chicago")</f>
        <v>Chicago</v>
      </c>
      <c r="M389" s="3" t="str">
        <f>IFERROR(__xludf.DUMMYFUNCTION("""COMPUTED_VALUE"""),"Chicago - One North Wacker Drive")</f>
        <v>Chicago - One North Wacker Drive</v>
      </c>
      <c r="N389" s="3" t="b">
        <f>IFERROR(__xludf.DUMMYFUNCTION("""COMPUTED_VALUE"""),FALSE)</f>
        <v>0</v>
      </c>
      <c r="O389" s="3" t="str">
        <f>IFERROR(__xludf.DUMMYFUNCTION("""COMPUTED_VALUE"""),"kurtis.babczenko@pwc.com")</f>
        <v>kurtis.babczenko@pwc.com</v>
      </c>
      <c r="P389" s="3" t="str">
        <f>IFERROR(__xludf.DUMMYFUNCTION("""COMPUTED_VALUE"""),"FY22")</f>
        <v>FY22</v>
      </c>
      <c r="Q389" s="3" t="b">
        <f>IFERROR(__xludf.DUMMYFUNCTION("""COMPUTED_VALUE"""),FALSE)</f>
        <v>0</v>
      </c>
      <c r="R389" s="3"/>
      <c r="S389" s="3"/>
      <c r="T389" s="3" t="b">
        <f>IFERROR(__xludf.DUMMYFUNCTION("""COMPUTED_VALUE"""),FALSE)</f>
        <v>0</v>
      </c>
      <c r="U389" s="3" t="b">
        <f>IFERROR(__xludf.DUMMYFUNCTION("""COMPUTED_VALUE"""),TRUE)</f>
        <v>1</v>
      </c>
      <c r="V389" s="3" t="b">
        <f>IFERROR(__xludf.DUMMYFUNCTION("""COMPUTED_VALUE"""),FALSE)</f>
        <v>0</v>
      </c>
      <c r="W389" s="3" t="str">
        <f>IFERROR(__xludf.DUMMYFUNCTION("""COMPUTED_VALUE"""),"Catalyst")</f>
        <v>Catalyst</v>
      </c>
      <c r="X389" s="3"/>
      <c r="Y389" s="3" t="str">
        <f>IFERROR(__xludf.DUMMYFUNCTION("""COMPUTED_VALUE"""),"FY22")</f>
        <v>FY22</v>
      </c>
      <c r="Z389" s="3" t="str">
        <f>IFERROR(__xludf.DUMMYFUNCTION("""COMPUTED_VALUE"""),"")</f>
        <v/>
      </c>
      <c r="AA389" s="3" t="b">
        <f>IFERROR(__xludf.DUMMYFUNCTION("""COMPUTED_VALUE"""),FALSE)</f>
        <v>0</v>
      </c>
    </row>
    <row r="390">
      <c r="A390" s="3">
        <f>IFERROR(__xludf.DUMMYFUNCTION("""COMPUTED_VALUE"""),1.00662144E8)</f>
        <v>100662144</v>
      </c>
      <c r="B390" s="3" t="str">
        <f>IFERROR(__xludf.DUMMYFUNCTION("""COMPUTED_VALUE"""),"Lev Holubec")</f>
        <v>Lev Holubec</v>
      </c>
      <c r="C390" s="3" t="str">
        <f>IFERROR(__xludf.DUMMYFUNCTION("""COMPUTED_VALUE"""),"Lev W Holubec")</f>
        <v>Lev W Holubec</v>
      </c>
      <c r="D390" s="3" t="str">
        <f>IFERROR(__xludf.DUMMYFUNCTION("""COMPUTED_VALUE"""),"Holubec, Lev W")</f>
        <v>Holubec, Lev W</v>
      </c>
      <c r="E390" s="3" t="str">
        <f>IFERROR(__xludf.DUMMYFUNCTION("""COMPUTED_VALUE"""),"Active")</f>
        <v>Active</v>
      </c>
      <c r="F390" s="3" t="str">
        <f>IFERROR(__xludf.DUMMYFUNCTION("""COMPUTED_VALUE"""),"lev.w.holubec@pwc.com")</f>
        <v>lev.w.holubec@pwc.com</v>
      </c>
      <c r="G390" s="3" t="str">
        <f>IFERROR(__xludf.DUMMYFUNCTION("""COMPUTED_VALUE"""),"Deals Transformation")</f>
        <v>Deals Transformation</v>
      </c>
      <c r="H390" s="3" t="str">
        <f>IFERROR(__xludf.DUMMYFUNCTION("""COMPUTED_VALUE"""),"Manufacturing")</f>
        <v>Manufacturing</v>
      </c>
      <c r="I390" s="3" t="str">
        <f>IFERROR(__xludf.DUMMYFUNCTION("""COMPUTED_VALUE"""),"DDV - ISD (Integration, Separation, Divestitures)")</f>
        <v>DDV - ISD (Integration, Separation, Divestitures)</v>
      </c>
      <c r="J390" s="3" t="str">
        <f>IFERROR(__xludf.DUMMYFUNCTION("""COMPUTED_VALUE"""),"Partner")</f>
        <v>Partner</v>
      </c>
      <c r="K390" s="12">
        <f>IFERROR(__xludf.DUMMYFUNCTION("""COMPUTED_VALUE"""),41127.0)</f>
        <v>41127</v>
      </c>
      <c r="L390" s="3" t="str">
        <f>IFERROR(__xludf.DUMMYFUNCTION("""COMPUTED_VALUE"""),"Chicago")</f>
        <v>Chicago</v>
      </c>
      <c r="M390" s="3" t="str">
        <f>IFERROR(__xludf.DUMMYFUNCTION("""COMPUTED_VALUE"""),"Chicago - One North Wacker Drive")</f>
        <v>Chicago - One North Wacker Drive</v>
      </c>
      <c r="N390" s="3" t="b">
        <f>IFERROR(__xludf.DUMMYFUNCTION("""COMPUTED_VALUE"""),FALSE)</f>
        <v>0</v>
      </c>
      <c r="O390" s="3" t="str">
        <f>IFERROR(__xludf.DUMMYFUNCTION("""COMPUTED_VALUE"""),"derek.b.townsend@pwc.com")</f>
        <v>derek.b.townsend@pwc.com</v>
      </c>
      <c r="P390" s="3" t="str">
        <f>IFERROR(__xludf.DUMMYFUNCTION("""COMPUTED_VALUE"""),"No")</f>
        <v>No</v>
      </c>
      <c r="Q390" s="3" t="b">
        <f>IFERROR(__xludf.DUMMYFUNCTION("""COMPUTED_VALUE"""),FALSE)</f>
        <v>0</v>
      </c>
      <c r="R390" s="3"/>
      <c r="S390" s="3"/>
      <c r="T390" s="3" t="b">
        <f>IFERROR(__xludf.DUMMYFUNCTION("""COMPUTED_VALUE"""),FALSE)</f>
        <v>0</v>
      </c>
      <c r="U390" s="3" t="b">
        <f>IFERROR(__xludf.DUMMYFUNCTION("""COMPUTED_VALUE"""),TRUE)</f>
        <v>1</v>
      </c>
      <c r="V390" s="3" t="b">
        <f>IFERROR(__xludf.DUMMYFUNCTION("""COMPUTED_VALUE"""),FALSE)</f>
        <v>0</v>
      </c>
      <c r="W390" s="3" t="str">
        <f>IFERROR(__xludf.DUMMYFUNCTION("""COMPUTED_VALUE"""),"Delivery")</f>
        <v>Delivery</v>
      </c>
      <c r="X390" s="3"/>
      <c r="Y390" s="3"/>
      <c r="Z390" s="3" t="str">
        <f>IFERROR(__xludf.DUMMYFUNCTION("""COMPUTED_VALUE"""),"Corporate M&amp;A Transformation - IPS")</f>
        <v>Corporate M&amp;A Transformation - IPS</v>
      </c>
      <c r="AA390" s="3" t="b">
        <f>IFERROR(__xludf.DUMMYFUNCTION("""COMPUTED_VALUE"""),FALSE)</f>
        <v>0</v>
      </c>
    </row>
    <row r="391">
      <c r="A391" s="11">
        <f>IFERROR(__xludf.DUMMYFUNCTION("""COMPUTED_VALUE"""),1.00599962E8)</f>
        <v>100599962</v>
      </c>
      <c r="B391" s="3" t="str">
        <f>IFERROR(__xludf.DUMMYFUNCTION("""COMPUTED_VALUE"""),"Linda Meloro")</f>
        <v>Linda Meloro</v>
      </c>
      <c r="C391" s="3" t="str">
        <f>IFERROR(__xludf.DUMMYFUNCTION("""COMPUTED_VALUE"""),"Linda  Meloro")</f>
        <v>Linda  Meloro</v>
      </c>
      <c r="D391" s="3" t="str">
        <f>IFERROR(__xludf.DUMMYFUNCTION("""COMPUTED_VALUE"""),"Meloro, Linda")</f>
        <v>Meloro, Linda</v>
      </c>
      <c r="E391" s="3" t="str">
        <f>IFERROR(__xludf.DUMMYFUNCTION("""COMPUTED_VALUE"""),"Active")</f>
        <v>Active</v>
      </c>
      <c r="F391" s="3" t="str">
        <f>IFERROR(__xludf.DUMMYFUNCTION("""COMPUTED_VALUE"""),"linda.meloro@pwc.com")</f>
        <v>linda.meloro@pwc.com</v>
      </c>
      <c r="G391" s="3" t="str">
        <f>IFERROR(__xludf.DUMMYFUNCTION("""COMPUTED_VALUE"""),"Ops")</f>
        <v>Ops</v>
      </c>
      <c r="H391" s="3" t="str">
        <f>IFERROR(__xludf.DUMMYFUNCTION("""COMPUTED_VALUE"""),"Pharma and Life Sciences")</f>
        <v>Pharma and Life Sciences</v>
      </c>
      <c r="I391" s="3" t="str">
        <f>IFERROR(__xludf.DUMMYFUNCTION("""COMPUTED_VALUE"""),"Ops - Connected Supply Chain (CSC)")</f>
        <v>Ops - Connected Supply Chain (CSC)</v>
      </c>
      <c r="J391" s="3" t="str">
        <f>IFERROR(__xludf.DUMMYFUNCTION("""COMPUTED_VALUE"""),"Managing Director")</f>
        <v>Managing Director</v>
      </c>
      <c r="K391" s="12">
        <f>IFERROR(__xludf.DUMMYFUNCTION("""COMPUTED_VALUE"""),40798.0)</f>
        <v>40798</v>
      </c>
      <c r="L391" s="3" t="str">
        <f>IFERROR(__xludf.DUMMYFUNCTION("""COMPUTED_VALUE"""),"Boston")</f>
        <v>Boston</v>
      </c>
      <c r="M391" s="3" t="str">
        <f>IFERROR(__xludf.DUMMYFUNCTION("""COMPUTED_VALUE"""),"Boston - 101 Seaport Boulevard")</f>
        <v>Boston - 101 Seaport Boulevard</v>
      </c>
      <c r="N391" s="3" t="b">
        <f>IFERROR(__xludf.DUMMYFUNCTION("""COMPUTED_VALUE"""),FALSE)</f>
        <v>0</v>
      </c>
      <c r="O391" s="3" t="str">
        <f>IFERROR(__xludf.DUMMYFUNCTION("""COMPUTED_VALUE"""),"bernie.student@pwc.com")</f>
        <v>bernie.student@pwc.com</v>
      </c>
      <c r="P391" s="3" t="str">
        <f>IFERROR(__xludf.DUMMYFUNCTION("""COMPUTED_VALUE"""),"No")</f>
        <v>No</v>
      </c>
      <c r="Q391" s="3" t="b">
        <f>IFERROR(__xludf.DUMMYFUNCTION("""COMPUTED_VALUE"""),FALSE)</f>
        <v>0</v>
      </c>
      <c r="R391" s="3"/>
      <c r="S391" s="3"/>
      <c r="T391" s="3" t="b">
        <f>IFERROR(__xludf.DUMMYFUNCTION("""COMPUTED_VALUE"""),FALSE)</f>
        <v>0</v>
      </c>
      <c r="U391" s="3" t="b">
        <f>IFERROR(__xludf.DUMMYFUNCTION("""COMPUTED_VALUE"""),TRUE)</f>
        <v>1</v>
      </c>
      <c r="V391" s="3" t="b">
        <f>IFERROR(__xludf.DUMMYFUNCTION("""COMPUTED_VALUE"""),FALSE)</f>
        <v>0</v>
      </c>
      <c r="W391" s="3" t="str">
        <f>IFERROR(__xludf.DUMMYFUNCTION("""COMPUTED_VALUE"""),"Delivery")</f>
        <v>Delivery</v>
      </c>
      <c r="X391" s="3"/>
      <c r="Y391" s="3"/>
      <c r="Z391" s="3" t="str">
        <f>IFERROR(__xludf.DUMMYFUNCTION("""COMPUTED_VALUE"""),"PLS Ops Transformation")</f>
        <v>PLS Ops Transformation</v>
      </c>
      <c r="AA391" s="3" t="b">
        <f>IFERROR(__xludf.DUMMYFUNCTION("""COMPUTED_VALUE"""),FALSE)</f>
        <v>0</v>
      </c>
    </row>
    <row r="392">
      <c r="A392" s="11">
        <f>IFERROR(__xludf.DUMMYFUNCTION("""COMPUTED_VALUE"""),1.00639544E8)</f>
        <v>100639544</v>
      </c>
      <c r="B392" s="3" t="str">
        <f>IFERROR(__xludf.DUMMYFUNCTION("""COMPUTED_VALUE"""),"Lisa Herrnson")</f>
        <v>Lisa Herrnson</v>
      </c>
      <c r="C392" s="3" t="str">
        <f>IFERROR(__xludf.DUMMYFUNCTION("""COMPUTED_VALUE"""),"Lisa Berkowitz Herrnson")</f>
        <v>Lisa Berkowitz Herrnson</v>
      </c>
      <c r="D392" s="3" t="str">
        <f>IFERROR(__xludf.DUMMYFUNCTION("""COMPUTED_VALUE"""),"Herrnson, Lisa Berkowitz")</f>
        <v>Herrnson, Lisa Berkowitz</v>
      </c>
      <c r="E392" s="3" t="str">
        <f>IFERROR(__xludf.DUMMYFUNCTION("""COMPUTED_VALUE"""),"Active")</f>
        <v>Active</v>
      </c>
      <c r="F392" s="3" t="str">
        <f>IFERROR(__xludf.DUMMYFUNCTION("""COMPUTED_VALUE"""),"lisa.b.herrnson@pwc.com")</f>
        <v>lisa.b.herrnson@pwc.com</v>
      </c>
      <c r="G392" s="3" t="str">
        <f>IFERROR(__xludf.DUMMYFUNCTION("""COMPUTED_VALUE"""),"Workforce")</f>
        <v>Workforce</v>
      </c>
      <c r="H392" s="3" t="str">
        <f>IFERROR(__xludf.DUMMYFUNCTION("""COMPUTED_VALUE"""),"FS X-Sector")</f>
        <v>FS X-Sector</v>
      </c>
      <c r="I392" s="3" t="str">
        <f>IFERROR(__xludf.DUMMYFUNCTION("""COMPUTED_VALUE"""),"Workforce - Rewards &amp; Well Being")</f>
        <v>Workforce - Rewards &amp; Well Being</v>
      </c>
      <c r="J392" s="3" t="str">
        <f>IFERROR(__xludf.DUMMYFUNCTION("""COMPUTED_VALUE"""),"Managing Director")</f>
        <v>Managing Director</v>
      </c>
      <c r="K392" s="12">
        <f>IFERROR(__xludf.DUMMYFUNCTION("""COMPUTED_VALUE"""),42086.0)</f>
        <v>42086</v>
      </c>
      <c r="L392" s="3" t="str">
        <f>IFERROR(__xludf.DUMMYFUNCTION("""COMPUTED_VALUE"""),"New York")</f>
        <v>New York</v>
      </c>
      <c r="M392" s="3" t="str">
        <f>IFERROR(__xludf.DUMMYFUNCTION("""COMPUTED_VALUE"""),"New York - 300 Madison Avenue")</f>
        <v>New York - 300 Madison Avenue</v>
      </c>
      <c r="N392" s="3" t="b">
        <f>IFERROR(__xludf.DUMMYFUNCTION("""COMPUTED_VALUE"""),FALSE)</f>
        <v>0</v>
      </c>
      <c r="O392" s="3" t="str">
        <f>IFERROR(__xludf.DUMMYFUNCTION("""COMPUTED_VALUE"""),"michael.boro@pwc.com")</f>
        <v>michael.boro@pwc.com</v>
      </c>
      <c r="P392" s="3" t="str">
        <f>IFERROR(__xludf.DUMMYFUNCTION("""COMPUTED_VALUE"""),"No")</f>
        <v>No</v>
      </c>
      <c r="Q392" s="3" t="b">
        <f>IFERROR(__xludf.DUMMYFUNCTION("""COMPUTED_VALUE"""),FALSE)</f>
        <v>0</v>
      </c>
      <c r="R392" s="3"/>
      <c r="S392" s="3"/>
      <c r="T392" s="3" t="b">
        <f>IFERROR(__xludf.DUMMYFUNCTION("""COMPUTED_VALUE"""),FALSE)</f>
        <v>0</v>
      </c>
      <c r="U392" s="3" t="b">
        <f>IFERROR(__xludf.DUMMYFUNCTION("""COMPUTED_VALUE"""),FALSE)</f>
        <v>0</v>
      </c>
      <c r="V392" s="3" t="b">
        <f>IFERROR(__xludf.DUMMYFUNCTION("""COMPUTED_VALUE"""),FALSE)</f>
        <v>0</v>
      </c>
      <c r="W392" s="3" t="str">
        <f>IFERROR(__xludf.DUMMYFUNCTION("""COMPUTED_VALUE"""),"#N/A")</f>
        <v>#N/A</v>
      </c>
      <c r="X392" s="3" t="str">
        <f>IFERROR(__xludf.DUMMYFUNCTION("""COMPUTED_VALUE"""),"#N/A")</f>
        <v>#N/A</v>
      </c>
      <c r="Y392" s="3" t="str">
        <f>IFERROR(__xludf.DUMMYFUNCTION("""COMPUTED_VALUE"""),"#N/A")</f>
        <v>#N/A</v>
      </c>
      <c r="Z392" s="3" t="str">
        <f>IFERROR(__xludf.DUMMYFUNCTION("""COMPUTED_VALUE"""),"Unknown")</f>
        <v>Unknown</v>
      </c>
      <c r="AA392" s="3" t="b">
        <f>IFERROR(__xludf.DUMMYFUNCTION("""COMPUTED_VALUE"""),FALSE)</f>
        <v>0</v>
      </c>
    </row>
    <row r="393">
      <c r="A393" s="3">
        <f>IFERROR(__xludf.DUMMYFUNCTION("""COMPUTED_VALUE"""),1.01094571E8)</f>
        <v>101094571</v>
      </c>
      <c r="B393" s="3" t="str">
        <f>IFERROR(__xludf.DUMMYFUNCTION("""COMPUTED_VALUE"""),"Lora Leigh Nunnelley")</f>
        <v>Lora Leigh Nunnelley</v>
      </c>
      <c r="C393" s="3" t="str">
        <f>IFERROR(__xludf.DUMMYFUNCTION("""COMPUTED_VALUE"""),"Lora Leigh  Nunnelley")</f>
        <v>Lora Leigh  Nunnelley</v>
      </c>
      <c r="D393" s="3" t="str">
        <f>IFERROR(__xludf.DUMMYFUNCTION("""COMPUTED_VALUE"""),"Nunnelley, Lora Leigh")</f>
        <v>Nunnelley, Lora Leigh</v>
      </c>
      <c r="E393" s="3" t="str">
        <f>IFERROR(__xludf.DUMMYFUNCTION("""COMPUTED_VALUE"""),"Active")</f>
        <v>Active</v>
      </c>
      <c r="F393" s="3" t="str">
        <f>IFERROR(__xludf.DUMMYFUNCTION("""COMPUTED_VALUE"""),"loraleigh.nunnelley@pwc.com")</f>
        <v>loraleigh.nunnelley@pwc.com</v>
      </c>
      <c r="G393" s="3" t="str">
        <f>IFERROR(__xludf.DUMMYFUNCTION("""COMPUTED_VALUE"""),"Health")</f>
        <v>Health</v>
      </c>
      <c r="H393" s="3" t="str">
        <f>IFERROR(__xludf.DUMMYFUNCTION("""COMPUTED_VALUE"""),"Health Services")</f>
        <v>Health Services</v>
      </c>
      <c r="I393" s="3" t="str">
        <f>IFERROR(__xludf.DUMMYFUNCTION("""COMPUTED_VALUE"""),"Health - Provider FFG")</f>
        <v>Health - Provider FFG</v>
      </c>
      <c r="J393" s="3" t="str">
        <f>IFERROR(__xludf.DUMMYFUNCTION("""COMPUTED_VALUE"""),"Partner")</f>
        <v>Partner</v>
      </c>
      <c r="K393" s="12">
        <f>IFERROR(__xludf.DUMMYFUNCTION("""COMPUTED_VALUE"""),44440.0)</f>
        <v>44440</v>
      </c>
      <c r="L393" s="3" t="str">
        <f>IFERROR(__xludf.DUMMYFUNCTION("""COMPUTED_VALUE"""),"Birmingham")</f>
        <v>Birmingham</v>
      </c>
      <c r="M393" s="3" t="str">
        <f>IFERROR(__xludf.DUMMYFUNCTION("""COMPUTED_VALUE"""),"Birmingham - 569 Brookwood Village")</f>
        <v>Birmingham - 569 Brookwood Village</v>
      </c>
      <c r="N393" s="3" t="b">
        <f>IFERROR(__xludf.DUMMYFUNCTION("""COMPUTED_VALUE"""),FALSE)</f>
        <v>0</v>
      </c>
      <c r="O393" s="3" t="str">
        <f>IFERROR(__xludf.DUMMYFUNCTION("""COMPUTED_VALUE"""),"craig.e.gooch@pwc.com")</f>
        <v>craig.e.gooch@pwc.com</v>
      </c>
      <c r="P393" s="3" t="str">
        <f>IFERROR(__xludf.DUMMYFUNCTION("""COMPUTED_VALUE"""),"FY22")</f>
        <v>FY22</v>
      </c>
      <c r="Q393" s="3" t="b">
        <f>IFERROR(__xludf.DUMMYFUNCTION("""COMPUTED_VALUE"""),FALSE)</f>
        <v>0</v>
      </c>
      <c r="R393" s="3"/>
      <c r="S393" s="3"/>
      <c r="T393" s="3" t="b">
        <f>IFERROR(__xludf.DUMMYFUNCTION("""COMPUTED_VALUE"""),FALSE)</f>
        <v>0</v>
      </c>
      <c r="U393" s="3" t="b">
        <f>IFERROR(__xludf.DUMMYFUNCTION("""COMPUTED_VALUE"""),TRUE)</f>
        <v>1</v>
      </c>
      <c r="V393" s="3" t="b">
        <f>IFERROR(__xludf.DUMMYFUNCTION("""COMPUTED_VALUE"""),FALSE)</f>
        <v>0</v>
      </c>
      <c r="W393" s="3" t="str">
        <f>IFERROR(__xludf.DUMMYFUNCTION("""COMPUTED_VALUE"""),"Catalyst")</f>
        <v>Catalyst</v>
      </c>
      <c r="X393" s="3"/>
      <c r="Y393" s="3" t="str">
        <f>IFERROR(__xludf.DUMMYFUNCTION("""COMPUTED_VALUE"""),"FY22")</f>
        <v>FY22</v>
      </c>
      <c r="Z393" s="3" t="str">
        <f>IFERROR(__xludf.DUMMYFUNCTION("""COMPUTED_VALUE"""),"Provider Transformation")</f>
        <v>Provider Transformation</v>
      </c>
      <c r="AA393" s="3" t="b">
        <f>IFERROR(__xludf.DUMMYFUNCTION("""COMPUTED_VALUE"""),FALSE)</f>
        <v>0</v>
      </c>
    </row>
    <row r="394">
      <c r="A394" s="11">
        <f>IFERROR(__xludf.DUMMYFUNCTION("""COMPUTED_VALUE"""),1.00598931E8)</f>
        <v>100598931</v>
      </c>
      <c r="B394" s="3" t="str">
        <f>IFERROR(__xludf.DUMMYFUNCTION("""COMPUTED_VALUE"""),"Lori Bistis")</f>
        <v>Lori Bistis</v>
      </c>
      <c r="C394" s="3" t="str">
        <f>IFERROR(__xludf.DUMMYFUNCTION("""COMPUTED_VALUE"""),"Lori M Bistis")</f>
        <v>Lori M Bistis</v>
      </c>
      <c r="D394" s="3" t="str">
        <f>IFERROR(__xludf.DUMMYFUNCTION("""COMPUTED_VALUE"""),"Bistis, Lori M")</f>
        <v>Bistis, Lori M</v>
      </c>
      <c r="E394" s="3" t="str">
        <f>IFERROR(__xludf.DUMMYFUNCTION("""COMPUTED_VALUE"""),"Active")</f>
        <v>Active</v>
      </c>
      <c r="F394" s="3" t="str">
        <f>IFERROR(__xludf.DUMMYFUNCTION("""COMPUTED_VALUE"""),"lori.m.bistis@pwc.com")</f>
        <v>lori.m.bistis@pwc.com</v>
      </c>
      <c r="G394" s="3" t="str">
        <f>IFERROR(__xludf.DUMMYFUNCTION("""COMPUTED_VALUE"""),"Deals Transformation")</f>
        <v>Deals Transformation</v>
      </c>
      <c r="H394" s="3" t="str">
        <f>IFERROR(__xludf.DUMMYFUNCTION("""COMPUTED_VALUE"""),"TMT X-Sector")</f>
        <v>TMT X-Sector</v>
      </c>
      <c r="I394" s="3" t="str">
        <f>IFERROR(__xludf.DUMMYFUNCTION("""COMPUTED_VALUE"""),"DDV - GTM")</f>
        <v>DDV - GTM</v>
      </c>
      <c r="J394" s="3" t="str">
        <f>IFERROR(__xludf.DUMMYFUNCTION("""COMPUTED_VALUE"""),"Partner")</f>
        <v>Partner</v>
      </c>
      <c r="K394" s="12">
        <f>IFERROR(__xludf.DUMMYFUNCTION("""COMPUTED_VALUE"""),41309.0)</f>
        <v>41309</v>
      </c>
      <c r="L394" s="3" t="str">
        <f>IFERROR(__xludf.DUMMYFUNCTION("""COMPUTED_VALUE"""),"Boston")</f>
        <v>Boston</v>
      </c>
      <c r="M394" s="3" t="str">
        <f>IFERROR(__xludf.DUMMYFUNCTION("""COMPUTED_VALUE"""),"Boston - 101 Seaport Boulevard")</f>
        <v>Boston - 101 Seaport Boulevard</v>
      </c>
      <c r="N394" s="3" t="b">
        <f>IFERROR(__xludf.DUMMYFUNCTION("""COMPUTED_VALUE"""),FALSE)</f>
        <v>0</v>
      </c>
      <c r="O394" s="3" t="str">
        <f>IFERROR(__xludf.DUMMYFUNCTION("""COMPUTED_VALUE"""),"derek.b.townsend@pwc.com")</f>
        <v>derek.b.townsend@pwc.com</v>
      </c>
      <c r="P394" s="3" t="str">
        <f>IFERROR(__xludf.DUMMYFUNCTION("""COMPUTED_VALUE"""),"No")</f>
        <v>No</v>
      </c>
      <c r="Q394" s="3" t="b">
        <f>IFERROR(__xludf.DUMMYFUNCTION("""COMPUTED_VALUE"""),TRUE)</f>
        <v>1</v>
      </c>
      <c r="R394" s="3" t="str">
        <f>IFERROR(__xludf.DUMMYFUNCTION("""COMPUTED_VALUE"""),"LCP High")</f>
        <v>LCP High</v>
      </c>
      <c r="S394" s="3"/>
      <c r="T394" s="3" t="b">
        <f>IFERROR(__xludf.DUMMYFUNCTION("""COMPUTED_VALUE"""),FALSE)</f>
        <v>0</v>
      </c>
      <c r="U394" s="3" t="b">
        <f>IFERROR(__xludf.DUMMYFUNCTION("""COMPUTED_VALUE"""),FALSE)</f>
        <v>0</v>
      </c>
      <c r="V394" s="3" t="b">
        <f>IFERROR(__xludf.DUMMYFUNCTION("""COMPUTED_VALUE"""),FALSE)</f>
        <v>0</v>
      </c>
      <c r="W394" s="3" t="str">
        <f>IFERROR(__xludf.DUMMYFUNCTION("""COMPUTED_VALUE"""),"LCP")</f>
        <v>LCP</v>
      </c>
      <c r="X394" s="3"/>
      <c r="Y394" s="3" t="str">
        <f>IFERROR(__xludf.DUMMYFUNCTION("""COMPUTED_VALUE"""),"GEP - High")</f>
        <v>GEP - High</v>
      </c>
      <c r="Z394" s="3" t="str">
        <f>IFERROR(__xludf.DUMMYFUNCTION("""COMPUTED_VALUE"""),"Enterprise Digital Transformation - TMT")</f>
        <v>Enterprise Digital Transformation - TMT</v>
      </c>
      <c r="AA394" s="3" t="b">
        <f>IFERROR(__xludf.DUMMYFUNCTION("""COMPUTED_VALUE"""),FALSE)</f>
        <v>0</v>
      </c>
    </row>
    <row r="395">
      <c r="A395" s="11">
        <f>IFERROR(__xludf.DUMMYFUNCTION("""COMPUTED_VALUE"""),1.0060437E8)</f>
        <v>100604370</v>
      </c>
      <c r="B395" s="3" t="str">
        <f>IFERROR(__xludf.DUMMYFUNCTION("""COMPUTED_VALUE"""),"Lori Driscoll")</f>
        <v>Lori Driscoll</v>
      </c>
      <c r="C395" s="3" t="str">
        <f>IFERROR(__xludf.DUMMYFUNCTION("""COMPUTED_VALUE"""),"Lori  Driscoll")</f>
        <v>Lori  Driscoll</v>
      </c>
      <c r="D395" s="3" t="str">
        <f>IFERROR(__xludf.DUMMYFUNCTION("""COMPUTED_VALUE"""),"Driscoll, Lori")</f>
        <v>Driscoll, Lori</v>
      </c>
      <c r="E395" s="3" t="str">
        <f>IFERROR(__xludf.DUMMYFUNCTION("""COMPUTED_VALUE"""),"Active")</f>
        <v>Active</v>
      </c>
      <c r="F395" s="3" t="str">
        <f>IFERROR(__xludf.DUMMYFUNCTION("""COMPUTED_VALUE"""),"lori.driscoll@pwc.com")</f>
        <v>lori.driscoll@pwc.com</v>
      </c>
      <c r="G395" s="3" t="str">
        <f>IFERROR(__xludf.DUMMYFUNCTION("""COMPUTED_VALUE"""),"Customer")</f>
        <v>Customer</v>
      </c>
      <c r="H395" s="3" t="str">
        <f>IFERROR(__xludf.DUMMYFUNCTION("""COMPUTED_VALUE"""),"CM X-Sector")</f>
        <v>CM X-Sector</v>
      </c>
      <c r="I395" s="3" t="str">
        <f>IFERROR(__xludf.DUMMYFUNCTION("""COMPUTED_VALUE"""),"Customer - Sales")</f>
        <v>Customer - Sales</v>
      </c>
      <c r="J395" s="3" t="str">
        <f>IFERROR(__xludf.DUMMYFUNCTION("""COMPUTED_VALUE"""),"Partner")</f>
        <v>Partner</v>
      </c>
      <c r="K395" s="12">
        <f>IFERROR(__xludf.DUMMYFUNCTION("""COMPUTED_VALUE"""),36619.0)</f>
        <v>36619</v>
      </c>
      <c r="L395" s="3" t="str">
        <f>IFERROR(__xludf.DUMMYFUNCTION("""COMPUTED_VALUE"""),"Philadelphia")</f>
        <v>Philadelphia</v>
      </c>
      <c r="M395" s="3" t="str">
        <f>IFERROR(__xludf.DUMMYFUNCTION("""COMPUTED_VALUE"""),"Philadelphia - Two Commerce Square, Suite 1800")</f>
        <v>Philadelphia - Two Commerce Square, Suite 1800</v>
      </c>
      <c r="N395" s="3" t="b">
        <f>IFERROR(__xludf.DUMMYFUNCTION("""COMPUTED_VALUE"""),FALSE)</f>
        <v>0</v>
      </c>
      <c r="O395" s="3" t="str">
        <f>IFERROR(__xludf.DUMMYFUNCTION("""COMPUTED_VALUE"""),"george.korizis@pwc.com")</f>
        <v>george.korizis@pwc.com</v>
      </c>
      <c r="P395" s="3" t="str">
        <f>IFERROR(__xludf.DUMMYFUNCTION("""COMPUTED_VALUE"""),"No")</f>
        <v>No</v>
      </c>
      <c r="Q395" s="3" t="b">
        <f>IFERROR(__xludf.DUMMYFUNCTION("""COMPUTED_VALUE"""),TRUE)</f>
        <v>1</v>
      </c>
      <c r="R395" s="3" t="str">
        <f>IFERROR(__xludf.DUMMYFUNCTION("""COMPUTED_VALUE"""),"LCP High")</f>
        <v>LCP High</v>
      </c>
      <c r="S395" s="3"/>
      <c r="T395" s="3" t="b">
        <f>IFERROR(__xludf.DUMMYFUNCTION("""COMPUTED_VALUE"""),FALSE)</f>
        <v>0</v>
      </c>
      <c r="U395" s="3" t="b">
        <f>IFERROR(__xludf.DUMMYFUNCTION("""COMPUTED_VALUE"""),FALSE)</f>
        <v>0</v>
      </c>
      <c r="V395" s="3" t="b">
        <f>IFERROR(__xludf.DUMMYFUNCTION("""COMPUTED_VALUE"""),FALSE)</f>
        <v>0</v>
      </c>
      <c r="W395" s="3" t="str">
        <f>IFERROR(__xludf.DUMMYFUNCTION("""COMPUTED_VALUE"""),"LCP")</f>
        <v>LCP</v>
      </c>
      <c r="X395" s="3" t="str">
        <f>IFERROR(__xludf.DUMMYFUNCTION("""COMPUTED_VALUE"""),"Investment")</f>
        <v>Investment</v>
      </c>
      <c r="Y395" s="3" t="str">
        <f>IFERROR(__xludf.DUMMYFUNCTION("""COMPUTED_VALUE"""),"GEP - High")</f>
        <v>GEP - High</v>
      </c>
      <c r="Z395" s="3" t="str">
        <f>IFERROR(__xludf.DUMMYFUNCTION("""COMPUTED_VALUE"""),"Commercial / CRM Transformation - FS &amp; TMT")</f>
        <v>Commercial / CRM Transformation - FS &amp; TMT</v>
      </c>
      <c r="AA395" s="3" t="b">
        <f>IFERROR(__xludf.DUMMYFUNCTION("""COMPUTED_VALUE"""),FALSE)</f>
        <v>0</v>
      </c>
    </row>
    <row r="396">
      <c r="A396" s="11">
        <f>IFERROR(__xludf.DUMMYFUNCTION("""COMPUTED_VALUE"""),1.00655738E8)</f>
        <v>100655738</v>
      </c>
      <c r="B396" s="3" t="str">
        <f>IFERROR(__xludf.DUMMYFUNCTION("""COMPUTED_VALUE"""),"Lorie Wijntjes")</f>
        <v>Lorie Wijntjes</v>
      </c>
      <c r="C396" s="3" t="str">
        <f>IFERROR(__xludf.DUMMYFUNCTION("""COMPUTED_VALUE"""),"Lorie M Wijntjes")</f>
        <v>Lorie M Wijntjes</v>
      </c>
      <c r="D396" s="3" t="str">
        <f>IFERROR(__xludf.DUMMYFUNCTION("""COMPUTED_VALUE"""),"Wijntjes, Lorie M")</f>
        <v>Wijntjes, Lorie M</v>
      </c>
      <c r="E396" s="3" t="str">
        <f>IFERROR(__xludf.DUMMYFUNCTION("""COMPUTED_VALUE"""),"Active")</f>
        <v>Active</v>
      </c>
      <c r="F396" s="3" t="str">
        <f>IFERROR(__xludf.DUMMYFUNCTION("""COMPUTED_VALUE"""),"lorie.wijntjes@pwc.com")</f>
        <v>lorie.wijntjes@pwc.com</v>
      </c>
      <c r="G396" s="3" t="str">
        <f>IFERROR(__xludf.DUMMYFUNCTION("""COMPUTED_VALUE"""),"Health")</f>
        <v>Health</v>
      </c>
      <c r="H396" s="3" t="str">
        <f>IFERROR(__xludf.DUMMYFUNCTION("""COMPUTED_VALUE"""),"Pharma and Life Sciences")</f>
        <v>Pharma and Life Sciences</v>
      </c>
      <c r="I396" s="3" t="str">
        <f>IFERROR(__xludf.DUMMYFUNCTION("""COMPUTED_VALUE"""),"Health - R&amp;D Future of Clinical Trials")</f>
        <v>Health - R&amp;D Future of Clinical Trials</v>
      </c>
      <c r="J396" s="3" t="str">
        <f>IFERROR(__xludf.DUMMYFUNCTION("""COMPUTED_VALUE"""),"Managing Director")</f>
        <v>Managing Director</v>
      </c>
      <c r="K396" s="12">
        <f>IFERROR(__xludf.DUMMYFUNCTION("""COMPUTED_VALUE"""),34309.0)</f>
        <v>34309</v>
      </c>
      <c r="L396" s="3" t="str">
        <f>IFERROR(__xludf.DUMMYFUNCTION("""COMPUTED_VALUE"""),"Washington")</f>
        <v>Washington</v>
      </c>
      <c r="M396" s="3" t="str">
        <f>IFERROR(__xludf.DUMMYFUNCTION("""COMPUTED_VALUE"""),"Washington DC - 655 New York Avenue")</f>
        <v>Washington DC - 655 New York Avenue</v>
      </c>
      <c r="N396" s="3" t="b">
        <f>IFERROR(__xludf.DUMMYFUNCTION("""COMPUTED_VALUE"""),FALSE)</f>
        <v>0</v>
      </c>
      <c r="O396" s="3" t="str">
        <f>IFERROR(__xludf.DUMMYFUNCTION("""COMPUTED_VALUE"""),"anup.kharode@pwc.com")</f>
        <v>anup.kharode@pwc.com</v>
      </c>
      <c r="P396" s="3" t="str">
        <f>IFERROR(__xludf.DUMMYFUNCTION("""COMPUTED_VALUE"""),"No")</f>
        <v>No</v>
      </c>
      <c r="Q396" s="3" t="b">
        <f>IFERROR(__xludf.DUMMYFUNCTION("""COMPUTED_VALUE"""),FALSE)</f>
        <v>0</v>
      </c>
      <c r="R396" s="3"/>
      <c r="S396" s="3"/>
      <c r="T396" s="3" t="b">
        <f>IFERROR(__xludf.DUMMYFUNCTION("""COMPUTED_VALUE"""),FALSE)</f>
        <v>0</v>
      </c>
      <c r="U396" s="3" t="b">
        <f>IFERROR(__xludf.DUMMYFUNCTION("""COMPUTED_VALUE"""),TRUE)</f>
        <v>1</v>
      </c>
      <c r="V396" s="3" t="b">
        <f>IFERROR(__xludf.DUMMYFUNCTION("""COMPUTED_VALUE"""),FALSE)</f>
        <v>0</v>
      </c>
      <c r="W396" s="3" t="str">
        <f>IFERROR(__xludf.DUMMYFUNCTION("""COMPUTED_VALUE"""),"Delivery")</f>
        <v>Delivery</v>
      </c>
      <c r="X396" s="3"/>
      <c r="Y396" s="3"/>
      <c r="Z396" s="3" t="str">
        <f>IFERROR(__xludf.DUMMYFUNCTION("""COMPUTED_VALUE"""),"Clinical R&amp;D")</f>
        <v>Clinical R&amp;D</v>
      </c>
      <c r="AA396" s="3" t="b">
        <f>IFERROR(__xludf.DUMMYFUNCTION("""COMPUTED_VALUE"""),FALSE)</f>
        <v>0</v>
      </c>
    </row>
    <row r="397">
      <c r="A397" s="11">
        <f>IFERROR(__xludf.DUMMYFUNCTION("""COMPUTED_VALUE"""),1.00653021E8)</f>
        <v>100653021</v>
      </c>
      <c r="B397" s="3" t="str">
        <f>IFERROR(__xludf.DUMMYFUNCTION("""COMPUTED_VALUE"""),"Louis Bouquet")</f>
        <v>Louis Bouquet</v>
      </c>
      <c r="C397" s="3" t="str">
        <f>IFERROR(__xludf.DUMMYFUNCTION("""COMPUTED_VALUE"""),"Louis  Bouquet")</f>
        <v>Louis  Bouquet</v>
      </c>
      <c r="D397" s="3" t="str">
        <f>IFERROR(__xludf.DUMMYFUNCTION("""COMPUTED_VALUE"""),"Bouquet, Louis")</f>
        <v>Bouquet, Louis</v>
      </c>
      <c r="E397" s="3" t="str">
        <f>IFERROR(__xludf.DUMMYFUNCTION("""COMPUTED_VALUE"""),"Active")</f>
        <v>Active</v>
      </c>
      <c r="F397" s="3" t="str">
        <f>IFERROR(__xludf.DUMMYFUNCTION("""COMPUTED_VALUE"""),"louis.bouquet@pwc.com")</f>
        <v>louis.bouquet@pwc.com</v>
      </c>
      <c r="G397" s="3" t="str">
        <f>IFERROR(__xludf.DUMMYFUNCTION("""COMPUTED_VALUE"""),"ESV")</f>
        <v>ESV</v>
      </c>
      <c r="H397" s="3" t="str">
        <f>IFERROR(__xludf.DUMMYFUNCTION("""COMPUTED_VALUE"""),"TMT X-Sector")</f>
        <v>TMT X-Sector</v>
      </c>
      <c r="I397" s="3" t="str">
        <f>IFERROR(__xludf.DUMMYFUNCTION("""COMPUTED_VALUE"""),"ESV - TMT")</f>
        <v>ESV - TMT</v>
      </c>
      <c r="J397" s="3" t="str">
        <f>IFERROR(__xludf.DUMMYFUNCTION("""COMPUTED_VALUE"""),"Partner")</f>
        <v>Partner</v>
      </c>
      <c r="K397" s="12">
        <f>IFERROR(__xludf.DUMMYFUNCTION("""COMPUTED_VALUE"""),42186.0)</f>
        <v>42186</v>
      </c>
      <c r="L397" s="3" t="str">
        <f>IFERROR(__xludf.DUMMYFUNCTION("""COMPUTED_VALUE"""),"Seattle")</f>
        <v>Seattle</v>
      </c>
      <c r="M397" s="3" t="str">
        <f>IFERROR(__xludf.DUMMYFUNCTION("""COMPUTED_VALUE"""),"Seattle - 1420 Fifth Avenue")</f>
        <v>Seattle - 1420 Fifth Avenue</v>
      </c>
      <c r="N397" s="3" t="b">
        <f>IFERROR(__xludf.DUMMYFUNCTION("""COMPUTED_VALUE"""),FALSE)</f>
        <v>0</v>
      </c>
      <c r="O397" s="3" t="str">
        <f>IFERROR(__xludf.DUMMYFUNCTION("""COMPUTED_VALUE"""),"sundar.subramanian@pwc.com")</f>
        <v>sundar.subramanian@pwc.com</v>
      </c>
      <c r="P397" s="3" t="str">
        <f>IFERROR(__xludf.DUMMYFUNCTION("""COMPUTED_VALUE"""),"No")</f>
        <v>No</v>
      </c>
      <c r="Q397" s="3" t="b">
        <f>IFERROR(__xludf.DUMMYFUNCTION("""COMPUTED_VALUE"""),FALSE)</f>
        <v>0</v>
      </c>
      <c r="R397" s="3"/>
      <c r="S397" s="3"/>
      <c r="T397" s="3" t="b">
        <f>IFERROR(__xludf.DUMMYFUNCTION("""COMPUTED_VALUE"""),FALSE)</f>
        <v>0</v>
      </c>
      <c r="U397" s="3" t="b">
        <f>IFERROR(__xludf.DUMMYFUNCTION("""COMPUTED_VALUE"""),TRUE)</f>
        <v>1</v>
      </c>
      <c r="V397" s="3" t="b">
        <f>IFERROR(__xludf.DUMMYFUNCTION("""COMPUTED_VALUE"""),FALSE)</f>
        <v>0</v>
      </c>
      <c r="W397" s="3" t="str">
        <f>IFERROR(__xludf.DUMMYFUNCTION("""COMPUTED_VALUE"""),"Delivery")</f>
        <v>Delivery</v>
      </c>
      <c r="X397" s="3"/>
      <c r="Y397" s="3"/>
      <c r="Z397" s="3" t="str">
        <f>IFERROR(__xludf.DUMMYFUNCTION("""COMPUTED_VALUE"""),"Enterprise Digital Transformation - TMT")</f>
        <v>Enterprise Digital Transformation - TMT</v>
      </c>
      <c r="AA397" s="3" t="b">
        <f>IFERROR(__xludf.DUMMYFUNCTION("""COMPUTED_VALUE"""),FALSE)</f>
        <v>0</v>
      </c>
    </row>
    <row r="398">
      <c r="A398" s="11">
        <f>IFERROR(__xludf.DUMMYFUNCTION("""COMPUTED_VALUE"""),1.00933537E8)</f>
        <v>100933537</v>
      </c>
      <c r="B398" s="3" t="str">
        <f>IFERROR(__xludf.DUMMYFUNCTION("""COMPUTED_VALUE"""),"Luna Corbetta")</f>
        <v>Luna Corbetta</v>
      </c>
      <c r="C398" s="3" t="str">
        <f>IFERROR(__xludf.DUMMYFUNCTION("""COMPUTED_VALUE"""),"Luna  Corbetta")</f>
        <v>Luna  Corbetta</v>
      </c>
      <c r="D398" s="3" t="str">
        <f>IFERROR(__xludf.DUMMYFUNCTION("""COMPUTED_VALUE"""),"Corbetta, Luna")</f>
        <v>Corbetta, Luna</v>
      </c>
      <c r="E398" s="3" t="str">
        <f>IFERROR(__xludf.DUMMYFUNCTION("""COMPUTED_VALUE"""),"Active")</f>
        <v>Active</v>
      </c>
      <c r="F398" s="3" t="str">
        <f>IFERROR(__xludf.DUMMYFUNCTION("""COMPUTED_VALUE"""),"luna.corbetta@pwc.com")</f>
        <v>luna.corbetta@pwc.com</v>
      </c>
      <c r="G398" s="3" t="str">
        <f>IFERROR(__xludf.DUMMYFUNCTION("""COMPUTED_VALUE"""),"Workforce")</f>
        <v>Workforce</v>
      </c>
      <c r="H398" s="3" t="str">
        <f>IFERROR(__xludf.DUMMYFUNCTION("""COMPUTED_VALUE"""),"Pharma and Life Sciences")</f>
        <v>Pharma and Life Sciences</v>
      </c>
      <c r="I398" s="3" t="str">
        <f>IFERROR(__xludf.DUMMYFUNCTION("""COMPUTED_VALUE"""),"Workforce - Talent, Change &amp; Behaviors")</f>
        <v>Workforce - Talent, Change &amp; Behaviors</v>
      </c>
      <c r="J398" s="3" t="str">
        <f>IFERROR(__xludf.DUMMYFUNCTION("""COMPUTED_VALUE"""),"Partner")</f>
        <v>Partner</v>
      </c>
      <c r="K398" s="12">
        <f>IFERROR(__xludf.DUMMYFUNCTION("""COMPUTED_VALUE"""),43704.0)</f>
        <v>43704</v>
      </c>
      <c r="L398" s="3" t="str">
        <f>IFERROR(__xludf.DUMMYFUNCTION("""COMPUTED_VALUE"""),"Tampa")</f>
        <v>Tampa</v>
      </c>
      <c r="M398" s="3" t="str">
        <f>IFERROR(__xludf.DUMMYFUNCTION("""COMPUTED_VALUE"""),"TPA Practice-4040 W Boy Scout")</f>
        <v>TPA Practice-4040 W Boy Scout</v>
      </c>
      <c r="N398" s="3" t="b">
        <f>IFERROR(__xludf.DUMMYFUNCTION("""COMPUTED_VALUE"""),FALSE)</f>
        <v>0</v>
      </c>
      <c r="O398" s="3" t="str">
        <f>IFERROR(__xludf.DUMMYFUNCTION("""COMPUTED_VALUE"""),"craig.odonnell@pwc.com")</f>
        <v>craig.odonnell@pwc.com</v>
      </c>
      <c r="P398" s="3" t="str">
        <f>IFERROR(__xludf.DUMMYFUNCTION("""COMPUTED_VALUE"""),"No")</f>
        <v>No</v>
      </c>
      <c r="Q398" s="3" t="b">
        <f>IFERROR(__xludf.DUMMYFUNCTION("""COMPUTED_VALUE"""),FALSE)</f>
        <v>0</v>
      </c>
      <c r="R398" s="3"/>
      <c r="S398" s="3"/>
      <c r="T398" s="3" t="b">
        <f>IFERROR(__xludf.DUMMYFUNCTION("""COMPUTED_VALUE"""),FALSE)</f>
        <v>0</v>
      </c>
      <c r="U398" s="3" t="b">
        <f>IFERROR(__xludf.DUMMYFUNCTION("""COMPUTED_VALUE"""),FALSE)</f>
        <v>0</v>
      </c>
      <c r="V398" s="3" t="b">
        <f>IFERROR(__xludf.DUMMYFUNCTION("""COMPUTED_VALUE"""),FALSE)</f>
        <v>0</v>
      </c>
      <c r="W398" s="3" t="str">
        <f>IFERROR(__xludf.DUMMYFUNCTION("""COMPUTED_VALUE"""),"#N/A")</f>
        <v>#N/A</v>
      </c>
      <c r="X398" s="3" t="str">
        <f>IFERROR(__xludf.DUMMYFUNCTION("""COMPUTED_VALUE"""),"#N/A")</f>
        <v>#N/A</v>
      </c>
      <c r="Y398" s="3" t="str">
        <f>IFERROR(__xludf.DUMMYFUNCTION("""COMPUTED_VALUE"""),"#N/A")</f>
        <v>#N/A</v>
      </c>
      <c r="Z398" s="3" t="str">
        <f>IFERROR(__xludf.DUMMYFUNCTION("""COMPUTED_VALUE"""),"Unknown")</f>
        <v>Unknown</v>
      </c>
      <c r="AA398" s="3" t="b">
        <f>IFERROR(__xludf.DUMMYFUNCTION("""COMPUTED_VALUE"""),FALSE)</f>
        <v>0</v>
      </c>
    </row>
    <row r="399">
      <c r="A399" s="11">
        <f>IFERROR(__xludf.DUMMYFUNCTION("""COMPUTED_VALUE"""),1.00613761E8)</f>
        <v>100613761</v>
      </c>
      <c r="B399" s="3" t="str">
        <f>IFERROR(__xludf.DUMMYFUNCTION("""COMPUTED_VALUE"""),"Mackenzie Heal")</f>
        <v>Mackenzie Heal</v>
      </c>
      <c r="C399" s="3" t="str">
        <f>IFERROR(__xludf.DUMMYFUNCTION("""COMPUTED_VALUE"""),"Mackenzie Daly Heal")</f>
        <v>Mackenzie Daly Heal</v>
      </c>
      <c r="D399" s="3" t="str">
        <f>IFERROR(__xludf.DUMMYFUNCTION("""COMPUTED_VALUE"""),"Heal, Mackenzie Daly")</f>
        <v>Heal, Mackenzie Daly</v>
      </c>
      <c r="E399" s="3" t="str">
        <f>IFERROR(__xludf.DUMMYFUNCTION("""COMPUTED_VALUE"""),"Active")</f>
        <v>Active</v>
      </c>
      <c r="F399" s="3" t="str">
        <f>IFERROR(__xludf.DUMMYFUNCTION("""COMPUTED_VALUE"""),"mackenzie.d.heal@pwc.com")</f>
        <v>mackenzie.d.heal@pwc.com</v>
      </c>
      <c r="G399" s="3" t="str">
        <f>IFERROR(__xludf.DUMMYFUNCTION("""COMPUTED_VALUE"""),"Health")</f>
        <v>Health</v>
      </c>
      <c r="H399" s="3" t="str">
        <f>IFERROR(__xludf.DUMMYFUNCTION("""COMPUTED_VALUE"""),"Health Services")</f>
        <v>Health Services</v>
      </c>
      <c r="I399" s="3" t="str">
        <f>IFERROR(__xludf.DUMMYFUNCTION("""COMPUTED_VALUE"""),"Health - Payer CO&amp;I")</f>
        <v>Health - Payer CO&amp;I</v>
      </c>
      <c r="J399" s="3" t="str">
        <f>IFERROR(__xludf.DUMMYFUNCTION("""COMPUTED_VALUE"""),"Partner")</f>
        <v>Partner</v>
      </c>
      <c r="K399" s="12">
        <f>IFERROR(__xludf.DUMMYFUNCTION("""COMPUTED_VALUE"""),37627.0)</f>
        <v>37627</v>
      </c>
      <c r="L399" s="3" t="str">
        <f>IFERROR(__xludf.DUMMYFUNCTION("""COMPUTED_VALUE"""),"Hartford")</f>
        <v>Hartford</v>
      </c>
      <c r="M399" s="3" t="str">
        <f>IFERROR(__xludf.DUMMYFUNCTION("""COMPUTED_VALUE"""),"Hartford - CityPlace1, 185 Asylum Street")</f>
        <v>Hartford - CityPlace1, 185 Asylum Street</v>
      </c>
      <c r="N399" s="3" t="b">
        <f>IFERROR(__xludf.DUMMYFUNCTION("""COMPUTED_VALUE"""),FALSE)</f>
        <v>0</v>
      </c>
      <c r="O399" s="3" t="str">
        <f>IFERROR(__xludf.DUMMYFUNCTION("""COMPUTED_VALUE"""),"craig.e.gooch@pwc.com")</f>
        <v>craig.e.gooch@pwc.com</v>
      </c>
      <c r="P399" s="3" t="str">
        <f>IFERROR(__xludf.DUMMYFUNCTION("""COMPUTED_VALUE"""),"No")</f>
        <v>No</v>
      </c>
      <c r="Q399" s="3" t="b">
        <f>IFERROR(__xludf.DUMMYFUNCTION("""COMPUTED_VALUE"""),FALSE)</f>
        <v>0</v>
      </c>
      <c r="R399" s="3"/>
      <c r="S399" s="3"/>
      <c r="T399" s="3" t="b">
        <f>IFERROR(__xludf.DUMMYFUNCTION("""COMPUTED_VALUE"""),FALSE)</f>
        <v>0</v>
      </c>
      <c r="U399" s="3" t="b">
        <f>IFERROR(__xludf.DUMMYFUNCTION("""COMPUTED_VALUE"""),TRUE)</f>
        <v>1</v>
      </c>
      <c r="V399" s="3" t="b">
        <f>IFERROR(__xludf.DUMMYFUNCTION("""COMPUTED_VALUE"""),FALSE)</f>
        <v>0</v>
      </c>
      <c r="W399" s="3" t="str">
        <f>IFERROR(__xludf.DUMMYFUNCTION("""COMPUTED_VALUE"""),"Delivery")</f>
        <v>Delivery</v>
      </c>
      <c r="X399" s="3" t="str">
        <f>IFERROR(__xludf.DUMMYFUNCTION("""COMPUTED_VALUE"""),"Investment")</f>
        <v>Investment</v>
      </c>
      <c r="Y399" s="3"/>
      <c r="Z399" s="3" t="str">
        <f>IFERROR(__xludf.DUMMYFUNCTION("""COMPUTED_VALUE"""),"Payer Transformation")</f>
        <v>Payer Transformation</v>
      </c>
      <c r="AA399" s="3" t="b">
        <f>IFERROR(__xludf.DUMMYFUNCTION("""COMPUTED_VALUE"""),FALSE)</f>
        <v>0</v>
      </c>
    </row>
    <row r="400">
      <c r="A400" s="11">
        <f>IFERROR(__xludf.DUMMYFUNCTION("""COMPUTED_VALUE"""),1.01241967E8)</f>
        <v>101241967</v>
      </c>
      <c r="B400" s="3" t="str">
        <f>IFERROR(__xludf.DUMMYFUNCTION("""COMPUTED_VALUE"""),"Manas Satapathy")</f>
        <v>Manas Satapathy</v>
      </c>
      <c r="C400" s="3" t="str">
        <f>IFERROR(__xludf.DUMMYFUNCTION("""COMPUTED_VALUE"""),"Manas Satapathy")</f>
        <v>Manas Satapathy</v>
      </c>
      <c r="D400" s="3" t="str">
        <f>IFERROR(__xludf.DUMMYFUNCTION("""COMPUTED_VALUE"""),"Satapathy, Manas")</f>
        <v>Satapathy, Manas</v>
      </c>
      <c r="E400" s="3" t="str">
        <f>IFERROR(__xludf.DUMMYFUNCTION("""COMPUTED_VALUE"""),"Active")</f>
        <v>Active</v>
      </c>
      <c r="F400" s="3" t="str">
        <f>IFERROR(__xludf.DUMMYFUNCTION("""COMPUTED_VALUE"""),"manas.satapathy@pwc.com")</f>
        <v>manas.satapathy@pwc.com</v>
      </c>
      <c r="G400" s="3" t="str">
        <f>IFERROR(__xludf.DUMMYFUNCTION("""COMPUTED_VALUE"""),"ESV")</f>
        <v>ESV</v>
      </c>
      <c r="H400" s="3" t="str">
        <f>IFERROR(__xludf.DUMMYFUNCTION("""COMPUTED_VALUE"""),"Energy")</f>
        <v>Energy</v>
      </c>
      <c r="I400" s="3" t="str">
        <f>IFERROR(__xludf.DUMMYFUNCTION("""COMPUTED_VALUE"""),"Unknown")</f>
        <v>Unknown</v>
      </c>
      <c r="J400" s="3" t="str">
        <f>IFERROR(__xludf.DUMMYFUNCTION("""COMPUTED_VALUE"""),"Partner")</f>
        <v>Partner</v>
      </c>
      <c r="K400" s="12">
        <f>IFERROR(__xludf.DUMMYFUNCTION("""COMPUTED_VALUE"""),44697.0)</f>
        <v>44697</v>
      </c>
      <c r="L400" s="3" t="str">
        <f>IFERROR(__xludf.DUMMYFUNCTION("""COMPUTED_VALUE"""),"Houston")</f>
        <v>Houston</v>
      </c>
      <c r="M400" s="3" t="str">
        <f>IFERROR(__xludf.DUMMYFUNCTION("""COMPUTED_VALUE"""),"Unknown")</f>
        <v>Unknown</v>
      </c>
      <c r="N400" s="3" t="str">
        <f>IFERROR(__xludf.DUMMYFUNCTION("""COMPUTED_VALUE"""),"Unknown")</f>
        <v>Unknown</v>
      </c>
      <c r="O400" s="3" t="str">
        <f>IFERROR(__xludf.DUMMYFUNCTION("""COMPUTED_VALUE"""),"Unknown")</f>
        <v>Unknown</v>
      </c>
      <c r="P400" s="3" t="str">
        <f>IFERROR(__xludf.DUMMYFUNCTION("""COMPUTED_VALUE"""),"FY22")</f>
        <v>FY22</v>
      </c>
      <c r="Q400" s="3" t="str">
        <f>IFERROR(__xludf.DUMMYFUNCTION("""COMPUTED_VALUE"""),"Unknown")</f>
        <v>Unknown</v>
      </c>
      <c r="R400" s="3" t="str">
        <f>IFERROR(__xludf.DUMMYFUNCTION("""COMPUTED_VALUE"""),"Unknown")</f>
        <v>Unknown</v>
      </c>
      <c r="S400" s="3"/>
      <c r="T400" s="3" t="str">
        <f>IFERROR(__xludf.DUMMYFUNCTION("""COMPUTED_VALUE"""),"Unknown")</f>
        <v>Unknown</v>
      </c>
      <c r="U400" s="3" t="str">
        <f>IFERROR(__xludf.DUMMYFUNCTION("""COMPUTED_VALUE"""),"Unknown")</f>
        <v>Unknown</v>
      </c>
      <c r="V400" s="3" t="str">
        <f>IFERROR(__xludf.DUMMYFUNCTION("""COMPUTED_VALUE"""),"Unknown")</f>
        <v>Unknown</v>
      </c>
      <c r="W400" s="3" t="str">
        <f>IFERROR(__xludf.DUMMYFUNCTION("""COMPUTED_VALUE"""),"Catalyst")</f>
        <v>Catalyst</v>
      </c>
      <c r="X400" s="3" t="str">
        <f>IFERROR(__xludf.DUMMYFUNCTION("""COMPUTED_VALUE"""),"Unknown")</f>
        <v>Unknown</v>
      </c>
      <c r="Y400" s="3" t="str">
        <f>IFERROR(__xludf.DUMMYFUNCTION("""COMPUTED_VALUE"""),"Unknown")</f>
        <v>Unknown</v>
      </c>
      <c r="Z400" s="3" t="str">
        <f>IFERROR(__xludf.DUMMYFUNCTION("""COMPUTED_VALUE"""),"Unknown")</f>
        <v>Unknown</v>
      </c>
      <c r="AA400" s="3" t="str">
        <f>IFERROR(__xludf.DUMMYFUNCTION("""COMPUTED_VALUE"""),"Unknown")</f>
        <v>Unknown</v>
      </c>
    </row>
    <row r="401">
      <c r="A401" s="11">
        <f>IFERROR(__xludf.DUMMYFUNCTION("""COMPUTED_VALUE"""),1.00614858E8)</f>
        <v>100614858</v>
      </c>
      <c r="B401" s="3" t="str">
        <f>IFERROR(__xludf.DUMMYFUNCTION("""COMPUTED_VALUE"""),"Manish Kumar")</f>
        <v>Manish Kumar</v>
      </c>
      <c r="C401" s="3" t="str">
        <f>IFERROR(__xludf.DUMMYFUNCTION("""COMPUTED_VALUE"""),"Manish  Kumar")</f>
        <v>Manish  Kumar</v>
      </c>
      <c r="D401" s="3" t="str">
        <f>IFERROR(__xludf.DUMMYFUNCTION("""COMPUTED_VALUE"""),"Kumar, Manish")</f>
        <v>Kumar, Manish</v>
      </c>
      <c r="E401" s="3" t="str">
        <f>IFERROR(__xludf.DUMMYFUNCTION("""COMPUTED_VALUE"""),"Active")</f>
        <v>Active</v>
      </c>
      <c r="F401" s="3" t="str">
        <f>IFERROR(__xludf.DUMMYFUNCTION("""COMPUTED_VALUE"""),"manishk@pwc.com")</f>
        <v>manishk@pwc.com</v>
      </c>
      <c r="G401" s="3" t="str">
        <f>IFERROR(__xludf.DUMMYFUNCTION("""COMPUTED_VALUE"""),"Deals Transformation")</f>
        <v>Deals Transformation</v>
      </c>
      <c r="H401" s="3" t="str">
        <f>IFERROR(__xludf.DUMMYFUNCTION("""COMPUTED_VALUE"""),"Health Services")</f>
        <v>Health Services</v>
      </c>
      <c r="I401" s="3" t="str">
        <f>IFERROR(__xludf.DUMMYFUNCTION("""COMPUTED_VALUE"""),"DDV - Finance")</f>
        <v>DDV - Finance</v>
      </c>
      <c r="J401" s="3" t="str">
        <f>IFERROR(__xludf.DUMMYFUNCTION("""COMPUTED_VALUE"""),"Partner")</f>
        <v>Partner</v>
      </c>
      <c r="K401" s="12">
        <f>IFERROR(__xludf.DUMMYFUNCTION("""COMPUTED_VALUE"""),41190.0)</f>
        <v>41190</v>
      </c>
      <c r="L401" s="3" t="str">
        <f>IFERROR(__xludf.DUMMYFUNCTION("""COMPUTED_VALUE"""),"Chicago")</f>
        <v>Chicago</v>
      </c>
      <c r="M401" s="3" t="str">
        <f>IFERROR(__xludf.DUMMYFUNCTION("""COMPUTED_VALUE"""),"Chicago - One North Wacker Drive")</f>
        <v>Chicago - One North Wacker Drive</v>
      </c>
      <c r="N401" s="3" t="b">
        <f>IFERROR(__xludf.DUMMYFUNCTION("""COMPUTED_VALUE"""),FALSE)</f>
        <v>0</v>
      </c>
      <c r="O401" s="3" t="str">
        <f>IFERROR(__xludf.DUMMYFUNCTION("""COMPUTED_VALUE"""),"derek.b.townsend@pwc.com")</f>
        <v>derek.b.townsend@pwc.com</v>
      </c>
      <c r="P401" s="3" t="str">
        <f>IFERROR(__xludf.DUMMYFUNCTION("""COMPUTED_VALUE"""),"No")</f>
        <v>No</v>
      </c>
      <c r="Q401" s="3" t="b">
        <f>IFERROR(__xludf.DUMMYFUNCTION("""COMPUTED_VALUE"""),FALSE)</f>
        <v>0</v>
      </c>
      <c r="R401" s="3"/>
      <c r="S401" s="3"/>
      <c r="T401" s="3" t="b">
        <f>IFERROR(__xludf.DUMMYFUNCTION("""COMPUTED_VALUE"""),FALSE)</f>
        <v>0</v>
      </c>
      <c r="U401" s="3" t="b">
        <f>IFERROR(__xludf.DUMMYFUNCTION("""COMPUTED_VALUE"""),TRUE)</f>
        <v>1</v>
      </c>
      <c r="V401" s="3" t="b">
        <f>IFERROR(__xludf.DUMMYFUNCTION("""COMPUTED_VALUE"""),FALSE)</f>
        <v>0</v>
      </c>
      <c r="W401" s="3" t="str">
        <f>IFERROR(__xludf.DUMMYFUNCTION("""COMPUTED_VALUE"""),"Delivery")</f>
        <v>Delivery</v>
      </c>
      <c r="X401" s="3"/>
      <c r="Y401" s="3"/>
      <c r="Z401" s="3" t="str">
        <f>IFERROR(__xludf.DUMMYFUNCTION("""COMPUTED_VALUE"""),"Corporate M&amp;A Transformation - PLS/Med Device")</f>
        <v>Corporate M&amp;A Transformation - PLS/Med Device</v>
      </c>
      <c r="AA401" s="3" t="b">
        <f>IFERROR(__xludf.DUMMYFUNCTION("""COMPUTED_VALUE"""),FALSE)</f>
        <v>0</v>
      </c>
    </row>
    <row r="402">
      <c r="A402" s="11">
        <f>IFERROR(__xludf.DUMMYFUNCTION("""COMPUTED_VALUE"""),1.00904602E8)</f>
        <v>100904602</v>
      </c>
      <c r="B402" s="3" t="str">
        <f>IFERROR(__xludf.DUMMYFUNCTION("""COMPUTED_VALUE"""),"Manish Laad")</f>
        <v>Manish Laad</v>
      </c>
      <c r="C402" s="3" t="str">
        <f>IFERROR(__xludf.DUMMYFUNCTION("""COMPUTED_VALUE"""),"Manish Vinod Laad")</f>
        <v>Manish Vinod Laad</v>
      </c>
      <c r="D402" s="3" t="str">
        <f>IFERROR(__xludf.DUMMYFUNCTION("""COMPUTED_VALUE"""),"Laad, Manish Vinod")</f>
        <v>Laad, Manish Vinod</v>
      </c>
      <c r="E402" s="3" t="str">
        <f>IFERROR(__xludf.DUMMYFUNCTION("""COMPUTED_VALUE"""),"Active")</f>
        <v>Active</v>
      </c>
      <c r="F402" s="3" t="str">
        <f>IFERROR(__xludf.DUMMYFUNCTION("""COMPUTED_VALUE"""),"manish.laad@pwc.com")</f>
        <v>manish.laad@pwc.com</v>
      </c>
      <c r="G402" s="3" t="str">
        <f>IFERROR(__xludf.DUMMYFUNCTION("""COMPUTED_VALUE"""),"Deals Transformation")</f>
        <v>Deals Transformation</v>
      </c>
      <c r="H402" s="3" t="str">
        <f>IFERROR(__xludf.DUMMYFUNCTION("""COMPUTED_VALUE"""),"TMT X-Sector")</f>
        <v>TMT X-Sector</v>
      </c>
      <c r="I402" s="3" t="str">
        <f>IFERROR(__xludf.DUMMYFUNCTION("""COMPUTED_VALUE"""),"DDV - IT")</f>
        <v>DDV - IT</v>
      </c>
      <c r="J402" s="3" t="str">
        <f>IFERROR(__xludf.DUMMYFUNCTION("""COMPUTED_VALUE"""),"Partner")</f>
        <v>Partner</v>
      </c>
      <c r="K402" s="12">
        <f>IFERROR(__xludf.DUMMYFUNCTION("""COMPUTED_VALUE"""),43619.0)</f>
        <v>43619</v>
      </c>
      <c r="L402" s="3" t="str">
        <f>IFERROR(__xludf.DUMMYFUNCTION("""COMPUTED_VALUE"""),"San Jose")</f>
        <v>San Jose</v>
      </c>
      <c r="M402" s="3" t="str">
        <f>IFERROR(__xludf.DUMMYFUNCTION("""COMPUTED_VALUE"""),"San Jose - 488 Almaden Boulevard")</f>
        <v>San Jose - 488 Almaden Boulevard</v>
      </c>
      <c r="N402" s="3" t="b">
        <f>IFERROR(__xludf.DUMMYFUNCTION("""COMPUTED_VALUE"""),FALSE)</f>
        <v>0</v>
      </c>
      <c r="O402" s="3" t="str">
        <f>IFERROR(__xludf.DUMMYFUNCTION("""COMPUTED_VALUE"""),"derek.b.townsend@pwc.com")</f>
        <v>derek.b.townsend@pwc.com</v>
      </c>
      <c r="P402" s="3" t="str">
        <f>IFERROR(__xludf.DUMMYFUNCTION("""COMPUTED_VALUE"""),"No")</f>
        <v>No</v>
      </c>
      <c r="Q402" s="3" t="b">
        <f>IFERROR(__xludf.DUMMYFUNCTION("""COMPUTED_VALUE"""),FALSE)</f>
        <v>0</v>
      </c>
      <c r="R402" s="3"/>
      <c r="S402" s="3"/>
      <c r="T402" s="3" t="b">
        <f>IFERROR(__xludf.DUMMYFUNCTION("""COMPUTED_VALUE"""),FALSE)</f>
        <v>0</v>
      </c>
      <c r="U402" s="3" t="b">
        <f>IFERROR(__xludf.DUMMYFUNCTION("""COMPUTED_VALUE"""),TRUE)</f>
        <v>1</v>
      </c>
      <c r="V402" s="3" t="b">
        <f>IFERROR(__xludf.DUMMYFUNCTION("""COMPUTED_VALUE"""),FALSE)</f>
        <v>0</v>
      </c>
      <c r="W402" s="3" t="str">
        <f>IFERROR(__xludf.DUMMYFUNCTION("""COMPUTED_VALUE"""),"Delivery")</f>
        <v>Delivery</v>
      </c>
      <c r="X402" s="3"/>
      <c r="Y402" s="3"/>
      <c r="Z402" s="3" t="str">
        <f>IFERROR(__xludf.DUMMYFUNCTION("""COMPUTED_VALUE"""),"Corporate M&amp;A Transformation - CM")</f>
        <v>Corporate M&amp;A Transformation - CM</v>
      </c>
      <c r="AA402" s="3" t="b">
        <f>IFERROR(__xludf.DUMMYFUNCTION("""COMPUTED_VALUE"""),FALSE)</f>
        <v>0</v>
      </c>
    </row>
    <row r="403">
      <c r="A403" s="11">
        <f>IFERROR(__xludf.DUMMYFUNCTION("""COMPUTED_VALUE"""),1.01225952E8)</f>
        <v>101225952</v>
      </c>
      <c r="B403" s="3" t="str">
        <f>IFERROR(__xludf.DUMMYFUNCTION("""COMPUTED_VALUE"""),"Manoj Arora")</f>
        <v>Manoj Arora</v>
      </c>
      <c r="C403" s="3" t="str">
        <f>IFERROR(__xludf.DUMMYFUNCTION("""COMPUTED_VALUE"""),"Manoj  Arora")</f>
        <v>Manoj  Arora</v>
      </c>
      <c r="D403" s="3" t="str">
        <f>IFERROR(__xludf.DUMMYFUNCTION("""COMPUTED_VALUE"""),"Arora, Manoj")</f>
        <v>Arora, Manoj</v>
      </c>
      <c r="E403" s="3" t="str">
        <f>IFERROR(__xludf.DUMMYFUNCTION("""COMPUTED_VALUE"""),"Active")</f>
        <v>Active</v>
      </c>
      <c r="F403" s="3" t="str">
        <f>IFERROR(__xludf.DUMMYFUNCTION("""COMPUTED_VALUE"""),"manoj.v.arora@pwc.com")</f>
        <v>manoj.v.arora@pwc.com</v>
      </c>
      <c r="G403" s="3" t="str">
        <f>IFERROR(__xludf.DUMMYFUNCTION("""COMPUTED_VALUE"""),"Finance")</f>
        <v>Finance</v>
      </c>
      <c r="H403" s="3" t="str">
        <f>IFERROR(__xludf.DUMMYFUNCTION("""COMPUTED_VALUE"""),"TMT X-Sector")</f>
        <v>TMT X-Sector</v>
      </c>
      <c r="I403" s="3" t="str">
        <f>IFERROR(__xludf.DUMMYFUNCTION("""COMPUTED_VALUE"""),"Finance - Finance Strategy / Op Model / Global Business Services / Talent")</f>
        <v>Finance - Finance Strategy / Op Model / Global Business Services / Talent</v>
      </c>
      <c r="J403" s="3" t="str">
        <f>IFERROR(__xludf.DUMMYFUNCTION("""COMPUTED_VALUE"""),"Partner")</f>
        <v>Partner</v>
      </c>
      <c r="K403" s="12">
        <f>IFERROR(__xludf.DUMMYFUNCTION("""COMPUTED_VALUE"""),44655.0)</f>
        <v>44655</v>
      </c>
      <c r="L403" s="3" t="str">
        <f>IFERROR(__xludf.DUMMYFUNCTION("""COMPUTED_VALUE"""),"San Jose")</f>
        <v>San Jose</v>
      </c>
      <c r="M403" s="3" t="str">
        <f>IFERROR(__xludf.DUMMYFUNCTION("""COMPUTED_VALUE"""),"San Jose - 488 Almaden Boulevard")</f>
        <v>San Jose - 488 Almaden Boulevard</v>
      </c>
      <c r="N403" s="3" t="b">
        <f>IFERROR(__xludf.DUMMYFUNCTION("""COMPUTED_VALUE"""),FALSE)</f>
        <v>0</v>
      </c>
      <c r="O403" s="3" t="str">
        <f>IFERROR(__xludf.DUMMYFUNCTION("""COMPUTED_VALUE"""),"kurtis.babczenko@pwc.com")</f>
        <v>kurtis.babczenko@pwc.com</v>
      </c>
      <c r="P403" s="3" t="str">
        <f>IFERROR(__xludf.DUMMYFUNCTION("""COMPUTED_VALUE"""),"FY22")</f>
        <v>FY22</v>
      </c>
      <c r="Q403" s="3" t="b">
        <f>IFERROR(__xludf.DUMMYFUNCTION("""COMPUTED_VALUE"""),FALSE)</f>
        <v>0</v>
      </c>
      <c r="R403" s="3"/>
      <c r="S403" s="3"/>
      <c r="T403" s="3" t="b">
        <f>IFERROR(__xludf.DUMMYFUNCTION("""COMPUTED_VALUE"""),FALSE)</f>
        <v>0</v>
      </c>
      <c r="U403" s="3" t="b">
        <f>IFERROR(__xludf.DUMMYFUNCTION("""COMPUTED_VALUE"""),TRUE)</f>
        <v>1</v>
      </c>
      <c r="V403" s="3" t="b">
        <f>IFERROR(__xludf.DUMMYFUNCTION("""COMPUTED_VALUE"""),FALSE)</f>
        <v>0</v>
      </c>
      <c r="W403" s="3" t="str">
        <f>IFERROR(__xludf.DUMMYFUNCTION("""COMPUTED_VALUE"""),"Catalyst")</f>
        <v>Catalyst</v>
      </c>
      <c r="X403" s="3" t="str">
        <f>IFERROR(__xludf.DUMMYFUNCTION("""COMPUTED_VALUE"""),"Unknown")</f>
        <v>Unknown</v>
      </c>
      <c r="Y403" s="3" t="str">
        <f>IFERROR(__xludf.DUMMYFUNCTION("""COMPUTED_VALUE"""),"FY22")</f>
        <v>FY22</v>
      </c>
      <c r="Z403" s="3" t="str">
        <f>IFERROR(__xludf.DUMMYFUNCTION("""COMPUTED_VALUE"""),"Unknown")</f>
        <v>Unknown</v>
      </c>
      <c r="AA403" s="3" t="b">
        <f>IFERROR(__xludf.DUMMYFUNCTION("""COMPUTED_VALUE"""),FALSE)</f>
        <v>0</v>
      </c>
    </row>
    <row r="404">
      <c r="A404" s="11">
        <f>IFERROR(__xludf.DUMMYFUNCTION("""COMPUTED_VALUE"""),1.01200294E8)</f>
        <v>101200294</v>
      </c>
      <c r="B404" s="3" t="str">
        <f>IFERROR(__xludf.DUMMYFUNCTION("""COMPUTED_VALUE"""),"Marc Barad")</f>
        <v>Marc Barad</v>
      </c>
      <c r="C404" s="3" t="str">
        <f>IFERROR(__xludf.DUMMYFUNCTION("""COMPUTED_VALUE"""),"Marc Edward Barad")</f>
        <v>Marc Edward Barad</v>
      </c>
      <c r="D404" s="3" t="str">
        <f>IFERROR(__xludf.DUMMYFUNCTION("""COMPUTED_VALUE"""),"Barad, Marc Edward")</f>
        <v>Barad, Marc Edward</v>
      </c>
      <c r="E404" s="3" t="str">
        <f>IFERROR(__xludf.DUMMYFUNCTION("""COMPUTED_VALUE"""),"Active")</f>
        <v>Active</v>
      </c>
      <c r="F404" s="3" t="str">
        <f>IFERROR(__xludf.DUMMYFUNCTION("""COMPUTED_VALUE"""),"marc.barad@pwc.com")</f>
        <v>marc.barad@pwc.com</v>
      </c>
      <c r="G404" s="3" t="str">
        <f>IFERROR(__xludf.DUMMYFUNCTION("""COMPUTED_VALUE"""),"FS")</f>
        <v>FS</v>
      </c>
      <c r="H404" s="3" t="str">
        <f>IFERROR(__xludf.DUMMYFUNCTION("""COMPUTED_VALUE"""),"Banking and Capital Markets")</f>
        <v>Banking and Capital Markets</v>
      </c>
      <c r="I404" s="3" t="str">
        <f>IFERROR(__xludf.DUMMYFUNCTION("""COMPUTED_VALUE"""),"FS - Banking and Capital Markets")</f>
        <v>FS - Banking and Capital Markets</v>
      </c>
      <c r="J404" s="3" t="str">
        <f>IFERROR(__xludf.DUMMYFUNCTION("""COMPUTED_VALUE"""),"Managing Director")</f>
        <v>Managing Director</v>
      </c>
      <c r="K404" s="12">
        <f>IFERROR(__xludf.DUMMYFUNCTION("""COMPUTED_VALUE"""),44606.0)</f>
        <v>44606</v>
      </c>
      <c r="L404" s="3" t="str">
        <f>IFERROR(__xludf.DUMMYFUNCTION("""COMPUTED_VALUE"""),"Irvine")</f>
        <v>Irvine</v>
      </c>
      <c r="M404" s="3" t="str">
        <f>IFERROR(__xludf.DUMMYFUNCTION("""COMPUTED_VALUE"""),"Irvine - 2020 Main Street")</f>
        <v>Irvine - 2020 Main Street</v>
      </c>
      <c r="N404" s="3" t="b">
        <f>IFERROR(__xludf.DUMMYFUNCTION("""COMPUTED_VALUE"""),FALSE)</f>
        <v>0</v>
      </c>
      <c r="O404" s="3" t="str">
        <f>IFERROR(__xludf.DUMMYFUNCTION("""COMPUTED_VALUE"""),"justin.oconnor@pwc.com")</f>
        <v>justin.oconnor@pwc.com</v>
      </c>
      <c r="P404" s="3" t="str">
        <f>IFERROR(__xludf.DUMMYFUNCTION("""COMPUTED_VALUE"""),"FY22")</f>
        <v>FY22</v>
      </c>
      <c r="Q404" s="3" t="b">
        <f>IFERROR(__xludf.DUMMYFUNCTION("""COMPUTED_VALUE"""),FALSE)</f>
        <v>0</v>
      </c>
      <c r="R404" s="3"/>
      <c r="S404" s="3"/>
      <c r="T404" s="3" t="b">
        <f>IFERROR(__xludf.DUMMYFUNCTION("""COMPUTED_VALUE"""),FALSE)</f>
        <v>0</v>
      </c>
      <c r="U404" s="3" t="b">
        <f>IFERROR(__xludf.DUMMYFUNCTION("""COMPUTED_VALUE"""),TRUE)</f>
        <v>1</v>
      </c>
      <c r="V404" s="3" t="b">
        <f>IFERROR(__xludf.DUMMYFUNCTION("""COMPUTED_VALUE"""),TRUE)</f>
        <v>1</v>
      </c>
      <c r="W404" s="3" t="str">
        <f>IFERROR(__xludf.DUMMYFUNCTION("""COMPUTED_VALUE"""),"Catalyst")</f>
        <v>Catalyst</v>
      </c>
      <c r="X404" s="3"/>
      <c r="Y404" s="3"/>
      <c r="Z404" s="3" t="str">
        <f>IFERROR(__xludf.DUMMYFUNCTION("""COMPUTED_VALUE"""),"")</f>
        <v/>
      </c>
      <c r="AA404" s="3" t="b">
        <f>IFERROR(__xludf.DUMMYFUNCTION("""COMPUTED_VALUE"""),FALSE)</f>
        <v>0</v>
      </c>
    </row>
    <row r="405">
      <c r="A405" s="11">
        <f>IFERROR(__xludf.DUMMYFUNCTION("""COMPUTED_VALUE"""),1.00610903E8)</f>
        <v>100610903</v>
      </c>
      <c r="B405" s="3" t="str">
        <f>IFERROR(__xludf.DUMMYFUNCTION("""COMPUTED_VALUE"""),"Marc Waco")</f>
        <v>Marc Waco</v>
      </c>
      <c r="C405" s="3" t="str">
        <f>IFERROR(__xludf.DUMMYFUNCTION("""COMPUTED_VALUE"""),"Rodney Marc Waco")</f>
        <v>Rodney Marc Waco</v>
      </c>
      <c r="D405" s="3" t="str">
        <f>IFERROR(__xludf.DUMMYFUNCTION("""COMPUTED_VALUE"""),"Waco, Rodney Marc")</f>
        <v>Waco, Rodney Marc</v>
      </c>
      <c r="E405" s="3" t="str">
        <f>IFERROR(__xludf.DUMMYFUNCTION("""COMPUTED_VALUE"""),"Active")</f>
        <v>Active</v>
      </c>
      <c r="F405" s="3" t="str">
        <f>IFERROR(__xludf.DUMMYFUNCTION("""COMPUTED_VALUE"""),"marc.waco@pwc.com")</f>
        <v>marc.waco@pwc.com</v>
      </c>
      <c r="G405" s="3" t="str">
        <f>IFERROR(__xludf.DUMMYFUNCTION("""COMPUTED_VALUE"""),"Ops")</f>
        <v>Ops</v>
      </c>
      <c r="H405" s="3" t="str">
        <f>IFERROR(__xludf.DUMMYFUNCTION("""COMPUTED_VALUE"""),"Manufacturing")</f>
        <v>Manufacturing</v>
      </c>
      <c r="I405" s="3" t="str">
        <f>IFERROR(__xludf.DUMMYFUNCTION("""COMPUTED_VALUE"""),"Ops - Sourcing &amp; Procurement (S&amp;P)")</f>
        <v>Ops - Sourcing &amp; Procurement (S&amp;P)</v>
      </c>
      <c r="J405" s="3" t="str">
        <f>IFERROR(__xludf.DUMMYFUNCTION("""COMPUTED_VALUE"""),"Partner")</f>
        <v>Partner</v>
      </c>
      <c r="K405" s="12">
        <f>IFERROR(__xludf.DUMMYFUNCTION("""COMPUTED_VALUE"""),40777.0)</f>
        <v>40777</v>
      </c>
      <c r="L405" s="3" t="str">
        <f>IFERROR(__xludf.DUMMYFUNCTION("""COMPUTED_VALUE"""),"Dallas")</f>
        <v>Dallas</v>
      </c>
      <c r="M405" s="3" t="str">
        <f>IFERROR(__xludf.DUMMYFUNCTION("""COMPUTED_VALUE"""),"Dallas - 2121 North Pearl Street")</f>
        <v>Dallas - 2121 North Pearl Street</v>
      </c>
      <c r="N405" s="3" t="b">
        <f>IFERROR(__xludf.DUMMYFUNCTION("""COMPUTED_VALUE"""),FALSE)</f>
        <v>0</v>
      </c>
      <c r="O405" s="3" t="str">
        <f>IFERROR(__xludf.DUMMYFUNCTION("""COMPUTED_VALUE"""),"matthew.r.comte@pwc.com")</f>
        <v>matthew.r.comte@pwc.com</v>
      </c>
      <c r="P405" s="3" t="str">
        <f>IFERROR(__xludf.DUMMYFUNCTION("""COMPUTED_VALUE"""),"No")</f>
        <v>No</v>
      </c>
      <c r="Q405" s="3" t="b">
        <f>IFERROR(__xludf.DUMMYFUNCTION("""COMPUTED_VALUE"""),FALSE)</f>
        <v>0</v>
      </c>
      <c r="R405" s="3"/>
      <c r="S405" s="3" t="str">
        <f>IFERROR(__xludf.DUMMYFUNCTION("""COMPUTED_VALUE"""),"Solution Innovation Champions")</f>
        <v>Solution Innovation Champions</v>
      </c>
      <c r="T405" s="3" t="b">
        <f>IFERROR(__xludf.DUMMYFUNCTION("""COMPUTED_VALUE"""),FALSE)</f>
        <v>0</v>
      </c>
      <c r="U405" s="3" t="b">
        <f>IFERROR(__xludf.DUMMYFUNCTION("""COMPUTED_VALUE"""),TRUE)</f>
        <v>1</v>
      </c>
      <c r="V405" s="3" t="b">
        <f>IFERROR(__xludf.DUMMYFUNCTION("""COMPUTED_VALUE"""),FALSE)</f>
        <v>0</v>
      </c>
      <c r="W405" s="3" t="str">
        <f>IFERROR(__xludf.DUMMYFUNCTION("""COMPUTED_VALUE"""),"Delivery")</f>
        <v>Delivery</v>
      </c>
      <c r="X405" s="3"/>
      <c r="Y405" s="3"/>
      <c r="Z405" s="3" t="str">
        <f>IFERROR(__xludf.DUMMYFUNCTION("""COMPUTED_VALUE"""),"IP + Technology Ops Transformation")</f>
        <v>IP + Technology Ops Transformation</v>
      </c>
      <c r="AA405" s="3" t="b">
        <f>IFERROR(__xludf.DUMMYFUNCTION("""COMPUTED_VALUE"""),FALSE)</f>
        <v>0</v>
      </c>
    </row>
    <row r="406">
      <c r="A406" s="11">
        <f>IFERROR(__xludf.DUMMYFUNCTION("""COMPUTED_VALUE"""),1.00614768E8)</f>
        <v>100614768</v>
      </c>
      <c r="B406" s="3" t="str">
        <f>IFERROR(__xludf.DUMMYFUNCTION("""COMPUTED_VALUE"""),"Marcus Simms")</f>
        <v>Marcus Simms</v>
      </c>
      <c r="C406" s="3" t="str">
        <f>IFERROR(__xludf.DUMMYFUNCTION("""COMPUTED_VALUE"""),"Marcus S Simms")</f>
        <v>Marcus S Simms</v>
      </c>
      <c r="D406" s="3" t="str">
        <f>IFERROR(__xludf.DUMMYFUNCTION("""COMPUTED_VALUE"""),"Simms, Marcus S")</f>
        <v>Simms, Marcus S</v>
      </c>
      <c r="E406" s="3" t="str">
        <f>IFERROR(__xludf.DUMMYFUNCTION("""COMPUTED_VALUE"""),"Active")</f>
        <v>Active</v>
      </c>
      <c r="F406" s="3" t="str">
        <f>IFERROR(__xludf.DUMMYFUNCTION("""COMPUTED_VALUE"""),"marcus.s.simms@pwc.com")</f>
        <v>marcus.s.simms@pwc.com</v>
      </c>
      <c r="G406" s="3" t="str">
        <f>IFERROR(__xludf.DUMMYFUNCTION("""COMPUTED_VALUE"""),"Deals Transformation")</f>
        <v>Deals Transformation</v>
      </c>
      <c r="H406" s="3" t="str">
        <f>IFERROR(__xludf.DUMMYFUNCTION("""COMPUTED_VALUE"""),"Power and Utilities")</f>
        <v>Power and Utilities</v>
      </c>
      <c r="I406" s="3" t="str">
        <f>IFERROR(__xludf.DUMMYFUNCTION("""COMPUTED_VALUE"""),"DDV - ISD (Integration, Separation, Divestitures)")</f>
        <v>DDV - ISD (Integration, Separation, Divestitures)</v>
      </c>
      <c r="J406" s="3" t="str">
        <f>IFERROR(__xludf.DUMMYFUNCTION("""COMPUTED_VALUE"""),"Partner")</f>
        <v>Partner</v>
      </c>
      <c r="K406" s="12">
        <f>IFERROR(__xludf.DUMMYFUNCTION("""COMPUTED_VALUE"""),37949.0)</f>
        <v>37949</v>
      </c>
      <c r="L406" s="3" t="str">
        <f>IFERROR(__xludf.DUMMYFUNCTION("""COMPUTED_VALUE"""),"Atlanta")</f>
        <v>Atlanta</v>
      </c>
      <c r="M406" s="3" t="str">
        <f>IFERROR(__xludf.DUMMYFUNCTION("""COMPUTED_VALUE"""),"Atlanta - 1075 Peachtree Street NE")</f>
        <v>Atlanta - 1075 Peachtree Street NE</v>
      </c>
      <c r="N406" s="3" t="b">
        <f>IFERROR(__xludf.DUMMYFUNCTION("""COMPUTED_VALUE"""),FALSE)</f>
        <v>0</v>
      </c>
      <c r="O406" s="3" t="str">
        <f>IFERROR(__xludf.DUMMYFUNCTION("""COMPUTED_VALUE"""),"derek.b.townsend@pwc.com")</f>
        <v>derek.b.townsend@pwc.com</v>
      </c>
      <c r="P406" s="3" t="str">
        <f>IFERROR(__xludf.DUMMYFUNCTION("""COMPUTED_VALUE"""),"No")</f>
        <v>No</v>
      </c>
      <c r="Q406" s="3" t="b">
        <f>IFERROR(__xludf.DUMMYFUNCTION("""COMPUTED_VALUE"""),FALSE)</f>
        <v>0</v>
      </c>
      <c r="R406" s="3"/>
      <c r="S406" s="3" t="str">
        <f>IFERROR(__xludf.DUMMYFUNCTION("""COMPUTED_VALUE"""),"Diversity &amp; Inclusion Champions")</f>
        <v>Diversity &amp; Inclusion Champions</v>
      </c>
      <c r="T406" s="3" t="b">
        <f>IFERROR(__xludf.DUMMYFUNCTION("""COMPUTED_VALUE"""),FALSE)</f>
        <v>0</v>
      </c>
      <c r="U406" s="3" t="b">
        <f>IFERROR(__xludf.DUMMYFUNCTION("""COMPUTED_VALUE"""),TRUE)</f>
        <v>1</v>
      </c>
      <c r="V406" s="3" t="b">
        <f>IFERROR(__xludf.DUMMYFUNCTION("""COMPUTED_VALUE"""),FALSE)</f>
        <v>0</v>
      </c>
      <c r="W406" s="3" t="str">
        <f>IFERROR(__xludf.DUMMYFUNCTION("""COMPUTED_VALUE"""),"Delivery")</f>
        <v>Delivery</v>
      </c>
      <c r="X406" s="3"/>
      <c r="Y406" s="3"/>
      <c r="Z406" s="3" t="str">
        <f>IFERROR(__xludf.DUMMYFUNCTION("""COMPUTED_VALUE"""),"Corporate M&amp;A Transformation - IPS")</f>
        <v>Corporate M&amp;A Transformation - IPS</v>
      </c>
      <c r="AA406" s="3" t="b">
        <f>IFERROR(__xludf.DUMMYFUNCTION("""COMPUTED_VALUE"""),FALSE)</f>
        <v>0</v>
      </c>
    </row>
    <row r="407">
      <c r="A407" s="11">
        <f>IFERROR(__xludf.DUMMYFUNCTION("""COMPUTED_VALUE"""),1.00612587E8)</f>
        <v>100612587</v>
      </c>
      <c r="B407" s="3" t="str">
        <f>IFERROR(__xludf.DUMMYFUNCTION("""COMPUTED_VALUE"""),"Marcus von Engel")</f>
        <v>Marcus von Engel</v>
      </c>
      <c r="C407" s="3" t="str">
        <f>IFERROR(__xludf.DUMMYFUNCTION("""COMPUTED_VALUE"""),"Marcus  von Engel")</f>
        <v>Marcus  von Engel</v>
      </c>
      <c r="D407" s="3" t="str">
        <f>IFERROR(__xludf.DUMMYFUNCTION("""COMPUTED_VALUE"""),"von Engel, Marcus")</f>
        <v>von Engel, Marcus</v>
      </c>
      <c r="E407" s="3" t="str">
        <f>IFERROR(__xludf.DUMMYFUNCTION("""COMPUTED_VALUE"""),"Active")</f>
        <v>Active</v>
      </c>
      <c r="F407" s="3" t="str">
        <f>IFERROR(__xludf.DUMMYFUNCTION("""COMPUTED_VALUE"""),"marcus.von.engel@pwc.com")</f>
        <v>marcus.von.engel@pwc.com</v>
      </c>
      <c r="G407" s="3" t="str">
        <f>IFERROR(__xludf.DUMMYFUNCTION("""COMPUTED_VALUE"""),"FS")</f>
        <v>FS</v>
      </c>
      <c r="H407" s="3" t="str">
        <f>IFERROR(__xludf.DUMMYFUNCTION("""COMPUTED_VALUE"""),"Banking and Capital Markets")</f>
        <v>Banking and Capital Markets</v>
      </c>
      <c r="I407" s="3" t="str">
        <f>IFERROR(__xludf.DUMMYFUNCTION("""COMPUTED_VALUE"""),"FS - Banking and Capital Markets")</f>
        <v>FS - Banking and Capital Markets</v>
      </c>
      <c r="J407" s="3" t="str">
        <f>IFERROR(__xludf.DUMMYFUNCTION("""COMPUTED_VALUE"""),"Partner")</f>
        <v>Partner</v>
      </c>
      <c r="K407" s="12">
        <f>IFERROR(__xludf.DUMMYFUNCTION("""COMPUTED_VALUE"""),40974.0)</f>
        <v>40974</v>
      </c>
      <c r="L407" s="3" t="str">
        <f>IFERROR(__xludf.DUMMYFUNCTION("""COMPUTED_VALUE"""),"San Francisco")</f>
        <v>San Francisco</v>
      </c>
      <c r="M407" s="3" t="str">
        <f>IFERROR(__xludf.DUMMYFUNCTION("""COMPUTED_VALUE"""),"San Francisco - 405 Howard St")</f>
        <v>San Francisco - 405 Howard St</v>
      </c>
      <c r="N407" s="3" t="b">
        <f>IFERROR(__xludf.DUMMYFUNCTION("""COMPUTED_VALUE"""),FALSE)</f>
        <v>0</v>
      </c>
      <c r="O407" s="3" t="str">
        <f>IFERROR(__xludf.DUMMYFUNCTION("""COMPUTED_VALUE"""),"alison.hoover@pwc.com")</f>
        <v>alison.hoover@pwc.com</v>
      </c>
      <c r="P407" s="3" t="str">
        <f>IFERROR(__xludf.DUMMYFUNCTION("""COMPUTED_VALUE"""),"No")</f>
        <v>No</v>
      </c>
      <c r="Q407" s="3" t="b">
        <f>IFERROR(__xludf.DUMMYFUNCTION("""COMPUTED_VALUE"""),FALSE)</f>
        <v>0</v>
      </c>
      <c r="R407" s="3"/>
      <c r="S407" s="3"/>
      <c r="T407" s="3" t="b">
        <f>IFERROR(__xludf.DUMMYFUNCTION("""COMPUTED_VALUE"""),FALSE)</f>
        <v>0</v>
      </c>
      <c r="U407" s="3" t="b">
        <f>IFERROR(__xludf.DUMMYFUNCTION("""COMPUTED_VALUE"""),TRUE)</f>
        <v>1</v>
      </c>
      <c r="V407" s="3" t="b">
        <f>IFERROR(__xludf.DUMMYFUNCTION("""COMPUTED_VALUE"""),FALSE)</f>
        <v>0</v>
      </c>
      <c r="W407" s="3" t="str">
        <f>IFERROR(__xludf.DUMMYFUNCTION("""COMPUTED_VALUE"""),"Delivery")</f>
        <v>Delivery</v>
      </c>
      <c r="X407" s="3"/>
      <c r="Y407" s="3"/>
      <c r="Z407" s="3" t="str">
        <f>IFERROR(__xludf.DUMMYFUNCTION("""COMPUTED_VALUE"""),"Banking Transformation")</f>
        <v>Banking Transformation</v>
      </c>
      <c r="AA407" s="3" t="b">
        <f>IFERROR(__xludf.DUMMYFUNCTION("""COMPUTED_VALUE"""),FALSE)</f>
        <v>0</v>
      </c>
    </row>
    <row r="408">
      <c r="A408" s="11">
        <f>IFERROR(__xludf.DUMMYFUNCTION("""COMPUTED_VALUE"""),1.00619607E8)</f>
        <v>100619607</v>
      </c>
      <c r="B408" s="3" t="str">
        <f>IFERROR(__xludf.DUMMYFUNCTION("""COMPUTED_VALUE"""),"Margaret Stover")</f>
        <v>Margaret Stover</v>
      </c>
      <c r="C408" s="3" t="str">
        <f>IFERROR(__xludf.DUMMYFUNCTION("""COMPUTED_VALUE"""),"Margaret Louise Stover")</f>
        <v>Margaret Louise Stover</v>
      </c>
      <c r="D408" s="3" t="str">
        <f>IFERROR(__xludf.DUMMYFUNCTION("""COMPUTED_VALUE"""),"Stover, Margaret Louise")</f>
        <v>Stover, Margaret Louise</v>
      </c>
      <c r="E408" s="3" t="str">
        <f>IFERROR(__xludf.DUMMYFUNCTION("""COMPUTED_VALUE"""),"Active")</f>
        <v>Active</v>
      </c>
      <c r="F408" s="3" t="str">
        <f>IFERROR(__xludf.DUMMYFUNCTION("""COMPUTED_VALUE"""),"margaret.stover@pwc.com")</f>
        <v>margaret.stover@pwc.com</v>
      </c>
      <c r="G408" s="3" t="str">
        <f>IFERROR(__xludf.DUMMYFUNCTION("""COMPUTED_VALUE"""),"Health")</f>
        <v>Health</v>
      </c>
      <c r="H408" s="3" t="str">
        <f>IFERROR(__xludf.DUMMYFUNCTION("""COMPUTED_VALUE"""),"Health Services")</f>
        <v>Health Services</v>
      </c>
      <c r="I408" s="3" t="str">
        <f>IFERROR(__xludf.DUMMYFUNCTION("""COMPUTED_VALUE"""),"Health - Provider FFG")</f>
        <v>Health - Provider FFG</v>
      </c>
      <c r="J408" s="3" t="str">
        <f>IFERROR(__xludf.DUMMYFUNCTION("""COMPUTED_VALUE"""),"Partner")</f>
        <v>Partner</v>
      </c>
      <c r="K408" s="12">
        <f>IFERROR(__xludf.DUMMYFUNCTION("""COMPUTED_VALUE"""),38074.0)</f>
        <v>38074</v>
      </c>
      <c r="L408" s="3" t="str">
        <f>IFERROR(__xludf.DUMMYFUNCTION("""COMPUTED_VALUE"""),"Philadelphia")</f>
        <v>Philadelphia</v>
      </c>
      <c r="M408" s="3" t="str">
        <f>IFERROR(__xludf.DUMMYFUNCTION("""COMPUTED_VALUE"""),"Philadelphia - Two Commerce Square, Suite 1800")</f>
        <v>Philadelphia - Two Commerce Square, Suite 1800</v>
      </c>
      <c r="N408" s="3" t="b">
        <f>IFERROR(__xludf.DUMMYFUNCTION("""COMPUTED_VALUE"""),FALSE)</f>
        <v>0</v>
      </c>
      <c r="O408" s="3" t="str">
        <f>IFERROR(__xludf.DUMMYFUNCTION("""COMPUTED_VALUE"""),"craig.e.gooch@pwc.com")</f>
        <v>craig.e.gooch@pwc.com</v>
      </c>
      <c r="P408" s="3" t="str">
        <f>IFERROR(__xludf.DUMMYFUNCTION("""COMPUTED_VALUE"""),"No")</f>
        <v>No</v>
      </c>
      <c r="Q408" s="3" t="b">
        <f>IFERROR(__xludf.DUMMYFUNCTION("""COMPUTED_VALUE"""),FALSE)</f>
        <v>0</v>
      </c>
      <c r="R408" s="3"/>
      <c r="S408" s="3"/>
      <c r="T408" s="3" t="b">
        <f>IFERROR(__xludf.DUMMYFUNCTION("""COMPUTED_VALUE"""),FALSE)</f>
        <v>0</v>
      </c>
      <c r="U408" s="3" t="b">
        <f>IFERROR(__xludf.DUMMYFUNCTION("""COMPUTED_VALUE"""),TRUE)</f>
        <v>1</v>
      </c>
      <c r="V408" s="3" t="b">
        <f>IFERROR(__xludf.DUMMYFUNCTION("""COMPUTED_VALUE"""),FALSE)</f>
        <v>0</v>
      </c>
      <c r="W408" s="3" t="str">
        <f>IFERROR(__xludf.DUMMYFUNCTION("""COMPUTED_VALUE"""),"Delivery")</f>
        <v>Delivery</v>
      </c>
      <c r="X408" s="3"/>
      <c r="Y408" s="3"/>
      <c r="Z408" s="3" t="str">
        <f>IFERROR(__xludf.DUMMYFUNCTION("""COMPUTED_VALUE"""),"Provider Transformation")</f>
        <v>Provider Transformation</v>
      </c>
      <c r="AA408" s="3" t="b">
        <f>IFERROR(__xludf.DUMMYFUNCTION("""COMPUTED_VALUE"""),FALSE)</f>
        <v>0</v>
      </c>
    </row>
    <row r="409">
      <c r="A409" s="3">
        <f>IFERROR(__xludf.DUMMYFUNCTION("""COMPUTED_VALUE"""),1.00644409E8)</f>
        <v>100644409</v>
      </c>
      <c r="B409" s="3" t="str">
        <f>IFERROR(__xludf.DUMMYFUNCTION("""COMPUTED_VALUE"""),"Maria Alberico")</f>
        <v>Maria Alberico</v>
      </c>
      <c r="C409" s="3" t="str">
        <f>IFERROR(__xludf.DUMMYFUNCTION("""COMPUTED_VALUE"""),"Maria Valentina Alberico")</f>
        <v>Maria Valentina Alberico</v>
      </c>
      <c r="D409" s="3" t="str">
        <f>IFERROR(__xludf.DUMMYFUNCTION("""COMPUTED_VALUE"""),"Alberico, Maria Valentina")</f>
        <v>Alberico, Maria Valentina</v>
      </c>
      <c r="E409" s="3" t="str">
        <f>IFERROR(__xludf.DUMMYFUNCTION("""COMPUTED_VALUE"""),"Active")</f>
        <v>Active</v>
      </c>
      <c r="F409" s="3" t="str">
        <f>IFERROR(__xludf.DUMMYFUNCTION("""COMPUTED_VALUE"""),"maria.v.alberico@pwc.com")</f>
        <v>maria.v.alberico@pwc.com</v>
      </c>
      <c r="G409" s="3" t="str">
        <f>IFERROR(__xludf.DUMMYFUNCTION("""COMPUTED_VALUE"""),"Workforce")</f>
        <v>Workforce</v>
      </c>
      <c r="H409" s="3" t="str">
        <f>IFERROR(__xludf.DUMMYFUNCTION("""COMPUTED_VALUE"""),"CM X-Sector")</f>
        <v>CM X-Sector</v>
      </c>
      <c r="I409" s="3" t="str">
        <f>IFERROR(__xludf.DUMMYFUNCTION("""COMPUTED_VALUE"""),"Workforce - Deals")</f>
        <v>Workforce - Deals</v>
      </c>
      <c r="J409" s="3" t="str">
        <f>IFERROR(__xludf.DUMMYFUNCTION("""COMPUTED_VALUE"""),"Partner")</f>
        <v>Partner</v>
      </c>
      <c r="K409" s="12">
        <f>IFERROR(__xludf.DUMMYFUNCTION("""COMPUTED_VALUE"""),40252.0)</f>
        <v>40252</v>
      </c>
      <c r="L409" s="3" t="str">
        <f>IFERROR(__xludf.DUMMYFUNCTION("""COMPUTED_VALUE"""),"Chicago")</f>
        <v>Chicago</v>
      </c>
      <c r="M409" s="3" t="str">
        <f>IFERROR(__xludf.DUMMYFUNCTION("""COMPUTED_VALUE"""),"Chicago - One North Wacker Drive")</f>
        <v>Chicago - One North Wacker Drive</v>
      </c>
      <c r="N409" s="3" t="b">
        <f>IFERROR(__xludf.DUMMYFUNCTION("""COMPUTED_VALUE"""),FALSE)</f>
        <v>0</v>
      </c>
      <c r="O409" s="3" t="str">
        <f>IFERROR(__xludf.DUMMYFUNCTION("""COMPUTED_VALUE"""),"craig.odonnell@pwc.com")</f>
        <v>craig.odonnell@pwc.com</v>
      </c>
      <c r="P409" s="3" t="str">
        <f>IFERROR(__xludf.DUMMYFUNCTION("""COMPUTED_VALUE"""),"No")</f>
        <v>No</v>
      </c>
      <c r="Q409" s="3" t="b">
        <f>IFERROR(__xludf.DUMMYFUNCTION("""COMPUTED_VALUE"""),FALSE)</f>
        <v>0</v>
      </c>
      <c r="R409" s="3"/>
      <c r="S409" s="3"/>
      <c r="T409" s="3" t="b">
        <f>IFERROR(__xludf.DUMMYFUNCTION("""COMPUTED_VALUE"""),FALSE)</f>
        <v>0</v>
      </c>
      <c r="U409" s="3" t="b">
        <f>IFERROR(__xludf.DUMMYFUNCTION("""COMPUTED_VALUE"""),FALSE)</f>
        <v>0</v>
      </c>
      <c r="V409" s="3" t="b">
        <f>IFERROR(__xludf.DUMMYFUNCTION("""COMPUTED_VALUE"""),FALSE)</f>
        <v>0</v>
      </c>
      <c r="W409" s="3" t="str">
        <f>IFERROR(__xludf.DUMMYFUNCTION("""COMPUTED_VALUE"""),"#N/A")</f>
        <v>#N/A</v>
      </c>
      <c r="X409" s="3" t="str">
        <f>IFERROR(__xludf.DUMMYFUNCTION("""COMPUTED_VALUE"""),"#N/A")</f>
        <v>#N/A</v>
      </c>
      <c r="Y409" s="3" t="str">
        <f>IFERROR(__xludf.DUMMYFUNCTION("""COMPUTED_VALUE"""),"#N/A")</f>
        <v>#N/A</v>
      </c>
      <c r="Z409" s="3" t="str">
        <f>IFERROR(__xludf.DUMMYFUNCTION("""COMPUTED_VALUE"""),"Unknown")</f>
        <v>Unknown</v>
      </c>
      <c r="AA409" s="3" t="b">
        <f>IFERROR(__xludf.DUMMYFUNCTION("""COMPUTED_VALUE"""),FALSE)</f>
        <v>0</v>
      </c>
    </row>
    <row r="410">
      <c r="A410" s="11">
        <f>IFERROR(__xludf.DUMMYFUNCTION("""COMPUTED_VALUE"""),1.00882501E8)</f>
        <v>100882501</v>
      </c>
      <c r="B410" s="3" t="str">
        <f>IFERROR(__xludf.DUMMYFUNCTION("""COMPUTED_VALUE"""),"Maria Blanco")</f>
        <v>Maria Blanco</v>
      </c>
      <c r="C410" s="3" t="str">
        <f>IFERROR(__xludf.DUMMYFUNCTION("""COMPUTED_VALUE"""),"Maria Teresa Blanco")</f>
        <v>Maria Teresa Blanco</v>
      </c>
      <c r="D410" s="3" t="str">
        <f>IFERROR(__xludf.DUMMYFUNCTION("""COMPUTED_VALUE"""),"Blanco, Maria Teresa")</f>
        <v>Blanco, Maria Teresa</v>
      </c>
      <c r="E410" s="3" t="str">
        <f>IFERROR(__xludf.DUMMYFUNCTION("""COMPUTED_VALUE"""),"Active")</f>
        <v>Active</v>
      </c>
      <c r="F410" s="3" t="str">
        <f>IFERROR(__xludf.DUMMYFUNCTION("""COMPUTED_VALUE"""),"maria.t.blanco@pwc.com")</f>
        <v>maria.t.blanco@pwc.com</v>
      </c>
      <c r="G410" s="3" t="str">
        <f>IFERROR(__xludf.DUMMYFUNCTION("""COMPUTED_VALUE"""),"ESV")</f>
        <v>ESV</v>
      </c>
      <c r="H410" s="3" t="str">
        <f>IFERROR(__xludf.DUMMYFUNCTION("""COMPUTED_VALUE"""),"Banking and Capital Markets")</f>
        <v>Banking and Capital Markets</v>
      </c>
      <c r="I410" s="3" t="str">
        <f>IFERROR(__xludf.DUMMYFUNCTION("""COMPUTED_VALUE"""),"ESV - BCM")</f>
        <v>ESV - BCM</v>
      </c>
      <c r="J410" s="3" t="str">
        <f>IFERROR(__xludf.DUMMYFUNCTION("""COMPUTED_VALUE"""),"Partner")</f>
        <v>Partner</v>
      </c>
      <c r="K410" s="12">
        <f>IFERROR(__xludf.DUMMYFUNCTION("""COMPUTED_VALUE"""),43528.0)</f>
        <v>43528</v>
      </c>
      <c r="L410" s="3" t="str">
        <f>IFERROR(__xludf.DUMMYFUNCTION("""COMPUTED_VALUE"""),"New York")</f>
        <v>New York</v>
      </c>
      <c r="M410" s="3" t="str">
        <f>IFERROR(__xludf.DUMMYFUNCTION("""COMPUTED_VALUE"""),"New York - 300 Madison Avenue")</f>
        <v>New York - 300 Madison Avenue</v>
      </c>
      <c r="N410" s="3" t="b">
        <f>IFERROR(__xludf.DUMMYFUNCTION("""COMPUTED_VALUE"""),FALSE)</f>
        <v>0</v>
      </c>
      <c r="O410" s="3" t="str">
        <f>IFERROR(__xludf.DUMMYFUNCTION("""COMPUTED_VALUE"""),"sundar.subramanian@pwc.com")</f>
        <v>sundar.subramanian@pwc.com</v>
      </c>
      <c r="P410" s="3" t="str">
        <f>IFERROR(__xludf.DUMMYFUNCTION("""COMPUTED_VALUE"""),"No")</f>
        <v>No</v>
      </c>
      <c r="Q410" s="3" t="b">
        <f>IFERROR(__xludf.DUMMYFUNCTION("""COMPUTED_VALUE"""),TRUE)</f>
        <v>1</v>
      </c>
      <c r="R410" s="3" t="str">
        <f>IFERROR(__xludf.DUMMYFUNCTION("""COMPUTED_VALUE"""),"LCP High")</f>
        <v>LCP High</v>
      </c>
      <c r="S410" s="3"/>
      <c r="T410" s="3" t="b">
        <f>IFERROR(__xludf.DUMMYFUNCTION("""COMPUTED_VALUE"""),FALSE)</f>
        <v>0</v>
      </c>
      <c r="U410" s="3" t="b">
        <f>IFERROR(__xludf.DUMMYFUNCTION("""COMPUTED_VALUE"""),FALSE)</f>
        <v>0</v>
      </c>
      <c r="V410" s="3" t="b">
        <f>IFERROR(__xludf.DUMMYFUNCTION("""COMPUTED_VALUE"""),FALSE)</f>
        <v>0</v>
      </c>
      <c r="W410" s="3" t="str">
        <f>IFERROR(__xludf.DUMMYFUNCTION("""COMPUTED_VALUE"""),"LCP")</f>
        <v>LCP</v>
      </c>
      <c r="X410" s="3"/>
      <c r="Y410" s="3" t="str">
        <f>IFERROR(__xludf.DUMMYFUNCTION("""COMPUTED_VALUE"""),"GEP - High")</f>
        <v>GEP - High</v>
      </c>
      <c r="Z410" s="3" t="str">
        <f>IFERROR(__xludf.DUMMYFUNCTION("""COMPUTED_VALUE"""),"Enterprise Digital Transformation - BCM &amp; AWM")</f>
        <v>Enterprise Digital Transformation - BCM &amp; AWM</v>
      </c>
      <c r="AA410" s="3" t="b">
        <f>IFERROR(__xludf.DUMMYFUNCTION("""COMPUTED_VALUE"""),FALSE)</f>
        <v>0</v>
      </c>
    </row>
    <row r="411">
      <c r="A411" s="11">
        <f>IFERROR(__xludf.DUMMYFUNCTION("""COMPUTED_VALUE"""),1.00616623E8)</f>
        <v>100616623</v>
      </c>
      <c r="B411" s="3" t="str">
        <f>IFERROR(__xludf.DUMMYFUNCTION("""COMPUTED_VALUE"""),"Maricelle Denny")</f>
        <v>Maricelle Denny</v>
      </c>
      <c r="C411" s="3" t="str">
        <f>IFERROR(__xludf.DUMMYFUNCTION("""COMPUTED_VALUE"""),"Maricelle  Denny")</f>
        <v>Maricelle  Denny</v>
      </c>
      <c r="D411" s="3" t="str">
        <f>IFERROR(__xludf.DUMMYFUNCTION("""COMPUTED_VALUE"""),"Denny, Maricelle")</f>
        <v>Denny, Maricelle</v>
      </c>
      <c r="E411" s="3" t="str">
        <f>IFERROR(__xludf.DUMMYFUNCTION("""COMPUTED_VALUE"""),"Active")</f>
        <v>Active</v>
      </c>
      <c r="F411" s="3" t="str">
        <f>IFERROR(__xludf.DUMMYFUNCTION("""COMPUTED_VALUE"""),"maricelle.denny@pwc.com")</f>
        <v>maricelle.denny@pwc.com</v>
      </c>
      <c r="G411" s="3" t="str">
        <f>IFERROR(__xludf.DUMMYFUNCTION("""COMPUTED_VALUE"""),"FS")</f>
        <v>FS</v>
      </c>
      <c r="H411" s="3" t="str">
        <f>IFERROR(__xludf.DUMMYFUNCTION("""COMPUTED_VALUE"""),"Banking and Capital Markets")</f>
        <v>Banking and Capital Markets</v>
      </c>
      <c r="I411" s="3" t="str">
        <f>IFERROR(__xludf.DUMMYFUNCTION("""COMPUTED_VALUE"""),"FS - Banking and Capital Markets")</f>
        <v>FS - Banking and Capital Markets</v>
      </c>
      <c r="J411" s="3" t="str">
        <f>IFERROR(__xludf.DUMMYFUNCTION("""COMPUTED_VALUE"""),"Partner")</f>
        <v>Partner</v>
      </c>
      <c r="K411" s="12">
        <f>IFERROR(__xludf.DUMMYFUNCTION("""COMPUTED_VALUE"""),37844.0)</f>
        <v>37844</v>
      </c>
      <c r="L411" s="3" t="str">
        <f>IFERROR(__xludf.DUMMYFUNCTION("""COMPUTED_VALUE"""),"New York")</f>
        <v>New York</v>
      </c>
      <c r="M411" s="3" t="str">
        <f>IFERROR(__xludf.DUMMYFUNCTION("""COMPUTED_VALUE"""),"New York - 300 Madison Avenue")</f>
        <v>New York - 300 Madison Avenue</v>
      </c>
      <c r="N411" s="3" t="b">
        <f>IFERROR(__xludf.DUMMYFUNCTION("""COMPUTED_VALUE"""),FALSE)</f>
        <v>0</v>
      </c>
      <c r="O411" s="3" t="str">
        <f>IFERROR(__xludf.DUMMYFUNCTION("""COMPUTED_VALUE"""),"alison.hoover@pwc.com")</f>
        <v>alison.hoover@pwc.com</v>
      </c>
      <c r="P411" s="3" t="str">
        <f>IFERROR(__xludf.DUMMYFUNCTION("""COMPUTED_VALUE"""),"No")</f>
        <v>No</v>
      </c>
      <c r="Q411" s="3" t="b">
        <f>IFERROR(__xludf.DUMMYFUNCTION("""COMPUTED_VALUE"""),FALSE)</f>
        <v>0</v>
      </c>
      <c r="R411" s="3"/>
      <c r="S411" s="3"/>
      <c r="T411" s="3" t="b">
        <f>IFERROR(__xludf.DUMMYFUNCTION("""COMPUTED_VALUE"""),FALSE)</f>
        <v>0</v>
      </c>
      <c r="U411" s="3" t="b">
        <f>IFERROR(__xludf.DUMMYFUNCTION("""COMPUTED_VALUE"""),TRUE)</f>
        <v>1</v>
      </c>
      <c r="V411" s="3" t="b">
        <f>IFERROR(__xludf.DUMMYFUNCTION("""COMPUTED_VALUE"""),FALSE)</f>
        <v>0</v>
      </c>
      <c r="W411" s="3" t="str">
        <f>IFERROR(__xludf.DUMMYFUNCTION("""COMPUTED_VALUE"""),"Delivery")</f>
        <v>Delivery</v>
      </c>
      <c r="X411" s="3"/>
      <c r="Y411" s="3"/>
      <c r="Z411" s="3" t="str">
        <f>IFERROR(__xludf.DUMMYFUNCTION("""COMPUTED_VALUE"""),"Banking Transformation")</f>
        <v>Banking Transformation</v>
      </c>
      <c r="AA411" s="3" t="b">
        <f>IFERROR(__xludf.DUMMYFUNCTION("""COMPUTED_VALUE"""),FALSE)</f>
        <v>0</v>
      </c>
    </row>
    <row r="412">
      <c r="A412" s="11">
        <f>IFERROR(__xludf.DUMMYFUNCTION("""COMPUTED_VALUE"""),1.00609257E8)</f>
        <v>100609257</v>
      </c>
      <c r="B412" s="3" t="str">
        <f>IFERROR(__xludf.DUMMYFUNCTION("""COMPUTED_VALUE"""),"Marie Carr")</f>
        <v>Marie Carr</v>
      </c>
      <c r="C412" s="3" t="str">
        <f>IFERROR(__xludf.DUMMYFUNCTION("""COMPUTED_VALUE"""),"Deena Marie Carr")</f>
        <v>Deena Marie Carr</v>
      </c>
      <c r="D412" s="3" t="str">
        <f>IFERROR(__xludf.DUMMYFUNCTION("""COMPUTED_VALUE"""),"Carr, Deena Marie")</f>
        <v>Carr, Deena Marie</v>
      </c>
      <c r="E412" s="3" t="str">
        <f>IFERROR(__xludf.DUMMYFUNCTION("""COMPUTED_VALUE"""),"Active")</f>
        <v>Active</v>
      </c>
      <c r="F412" s="3" t="str">
        <f>IFERROR(__xludf.DUMMYFUNCTION("""COMPUTED_VALUE"""),"marie.carr@pwc.com")</f>
        <v>marie.carr@pwc.com</v>
      </c>
      <c r="G412" s="3" t="str">
        <f>IFERROR(__xludf.DUMMYFUNCTION("""COMPUTED_VALUE"""),"ESV")</f>
        <v>ESV</v>
      </c>
      <c r="H412" s="3" t="str">
        <f>IFERROR(__xludf.DUMMYFUNCTION("""COMPUTED_VALUE"""),"Insurance")</f>
        <v>Insurance</v>
      </c>
      <c r="I412" s="3" t="str">
        <f>IFERROR(__xludf.DUMMYFUNCTION("""COMPUTED_VALUE"""),"ESV - Insurance")</f>
        <v>ESV - Insurance</v>
      </c>
      <c r="J412" s="3" t="str">
        <f>IFERROR(__xludf.DUMMYFUNCTION("""COMPUTED_VALUE"""),"Partner")</f>
        <v>Partner</v>
      </c>
      <c r="K412" s="12">
        <f>IFERROR(__xludf.DUMMYFUNCTION("""COMPUTED_VALUE"""),40485.0)</f>
        <v>40485</v>
      </c>
      <c r="L412" s="3" t="str">
        <f>IFERROR(__xludf.DUMMYFUNCTION("""COMPUTED_VALUE"""),"Chicago")</f>
        <v>Chicago</v>
      </c>
      <c r="M412" s="3" t="str">
        <f>IFERROR(__xludf.DUMMYFUNCTION("""COMPUTED_VALUE"""),"Chicago - One North Wacker Drive")</f>
        <v>Chicago - One North Wacker Drive</v>
      </c>
      <c r="N412" s="3" t="b">
        <f>IFERROR(__xludf.DUMMYFUNCTION("""COMPUTED_VALUE"""),FALSE)</f>
        <v>0</v>
      </c>
      <c r="O412" s="3" t="str">
        <f>IFERROR(__xludf.DUMMYFUNCTION("""COMPUTED_VALUE"""),"sundar.subramanian@pwc.com")</f>
        <v>sundar.subramanian@pwc.com</v>
      </c>
      <c r="P412" s="3" t="str">
        <f>IFERROR(__xludf.DUMMYFUNCTION("""COMPUTED_VALUE"""),"No")</f>
        <v>No</v>
      </c>
      <c r="Q412" s="3" t="b">
        <f>IFERROR(__xludf.DUMMYFUNCTION("""COMPUTED_VALUE"""),TRUE)</f>
        <v>1</v>
      </c>
      <c r="R412" s="3" t="str">
        <f>IFERROR(__xludf.DUMMYFUNCTION("""COMPUTED_VALUE"""),"LCP Low")</f>
        <v>LCP Low</v>
      </c>
      <c r="S412" s="3"/>
      <c r="T412" s="3" t="b">
        <f>IFERROR(__xludf.DUMMYFUNCTION("""COMPUTED_VALUE"""),FALSE)</f>
        <v>0</v>
      </c>
      <c r="U412" s="3" t="b">
        <f>IFERROR(__xludf.DUMMYFUNCTION("""COMPUTED_VALUE"""),TRUE)</f>
        <v>1</v>
      </c>
      <c r="V412" s="3" t="b">
        <f>IFERROR(__xludf.DUMMYFUNCTION("""COMPUTED_VALUE"""),FALSE)</f>
        <v>0</v>
      </c>
      <c r="W412" s="3" t="str">
        <f>IFERROR(__xludf.DUMMYFUNCTION("""COMPUTED_VALUE"""),"LCP")</f>
        <v>LCP</v>
      </c>
      <c r="X412" s="3"/>
      <c r="Y412" s="3" t="str">
        <f>IFERROR(__xludf.DUMMYFUNCTION("""COMPUTED_VALUE"""),"GEP - Low")</f>
        <v>GEP - Low</v>
      </c>
      <c r="Z412" s="3" t="str">
        <f>IFERROR(__xludf.DUMMYFUNCTION("""COMPUTED_VALUE"""),"Enterprise Digital Transformation - Insurance")</f>
        <v>Enterprise Digital Transformation - Insurance</v>
      </c>
      <c r="AA412" s="3" t="b">
        <f>IFERROR(__xludf.DUMMYFUNCTION("""COMPUTED_VALUE"""),FALSE)</f>
        <v>0</v>
      </c>
    </row>
    <row r="413">
      <c r="A413" s="3">
        <f>IFERROR(__xludf.DUMMYFUNCTION("""COMPUTED_VALUE"""),1.00869794E8)</f>
        <v>100869794</v>
      </c>
      <c r="B413" s="3" t="str">
        <f>IFERROR(__xludf.DUMMYFUNCTION("""COMPUTED_VALUE"""),"Mark Beekman")</f>
        <v>Mark Beekman</v>
      </c>
      <c r="C413" s="3" t="str">
        <f>IFERROR(__xludf.DUMMYFUNCTION("""COMPUTED_VALUE"""),"Mark Edward Beekman")</f>
        <v>Mark Edward Beekman</v>
      </c>
      <c r="D413" s="3" t="str">
        <f>IFERROR(__xludf.DUMMYFUNCTION("""COMPUTED_VALUE"""),"Beekman, Mark Edward")</f>
        <v>Beekman, Mark Edward</v>
      </c>
      <c r="E413" s="3" t="str">
        <f>IFERROR(__xludf.DUMMYFUNCTION("""COMPUTED_VALUE"""),"Active")</f>
        <v>Active</v>
      </c>
      <c r="F413" s="3" t="str">
        <f>IFERROR(__xludf.DUMMYFUNCTION("""COMPUTED_VALUE"""),"mark.beekman@pwc.com")</f>
        <v>mark.beekman@pwc.com</v>
      </c>
      <c r="G413" s="3" t="str">
        <f>IFERROR(__xludf.DUMMYFUNCTION("""COMPUTED_VALUE"""),"Customer")</f>
        <v>Customer</v>
      </c>
      <c r="H413" s="3" t="str">
        <f>IFERROR(__xludf.DUMMYFUNCTION("""COMPUTED_VALUE"""),"Manufacturing")</f>
        <v>Manufacturing</v>
      </c>
      <c r="I413" s="3" t="str">
        <f>IFERROR(__xludf.DUMMYFUNCTION("""COMPUTED_VALUE"""),"Customer - Customer Strategy &amp; Experience")</f>
        <v>Customer - Customer Strategy &amp; Experience</v>
      </c>
      <c r="J413" s="3" t="str">
        <f>IFERROR(__xludf.DUMMYFUNCTION("""COMPUTED_VALUE"""),"Partner")</f>
        <v>Partner</v>
      </c>
      <c r="K413" s="12">
        <f>IFERROR(__xludf.DUMMYFUNCTION("""COMPUTED_VALUE"""),43476.0)</f>
        <v>43476</v>
      </c>
      <c r="L413" s="3" t="str">
        <f>IFERROR(__xludf.DUMMYFUNCTION("""COMPUTED_VALUE"""),"Chicago")</f>
        <v>Chicago</v>
      </c>
      <c r="M413" s="3" t="str">
        <f>IFERROR(__xludf.DUMMYFUNCTION("""COMPUTED_VALUE"""),"Chicago - 330 North Wabash Avenue")</f>
        <v>Chicago - 330 North Wabash Avenue</v>
      </c>
      <c r="N413" s="3" t="b">
        <f>IFERROR(__xludf.DUMMYFUNCTION("""COMPUTED_VALUE"""),TRUE)</f>
        <v>1</v>
      </c>
      <c r="O413" s="3" t="str">
        <f>IFERROR(__xludf.DUMMYFUNCTION("""COMPUTED_VALUE"""),"george.korizis@pwc.com")</f>
        <v>george.korizis@pwc.com</v>
      </c>
      <c r="P413" s="3" t="str">
        <f>IFERROR(__xludf.DUMMYFUNCTION("""COMPUTED_VALUE"""),"No")</f>
        <v>No</v>
      </c>
      <c r="Q413" s="3" t="b">
        <f>IFERROR(__xludf.DUMMYFUNCTION("""COMPUTED_VALUE"""),FALSE)</f>
        <v>0</v>
      </c>
      <c r="R413" s="3"/>
      <c r="S413" s="3"/>
      <c r="T413" s="3" t="b">
        <f>IFERROR(__xludf.DUMMYFUNCTION("""COMPUTED_VALUE"""),FALSE)</f>
        <v>0</v>
      </c>
      <c r="U413" s="3" t="b">
        <f>IFERROR(__xludf.DUMMYFUNCTION("""COMPUTED_VALUE"""),TRUE)</f>
        <v>1</v>
      </c>
      <c r="V413" s="3" t="b">
        <f>IFERROR(__xludf.DUMMYFUNCTION("""COMPUTED_VALUE"""),FALSE)</f>
        <v>0</v>
      </c>
      <c r="W413" s="3" t="str">
        <f>IFERROR(__xludf.DUMMYFUNCTION("""COMPUTED_VALUE"""),"Delivery")</f>
        <v>Delivery</v>
      </c>
      <c r="X413" s="3"/>
      <c r="Y413" s="3"/>
      <c r="Z413" s="3" t="str">
        <f>IFERROR(__xludf.DUMMYFUNCTION("""COMPUTED_VALUE"""),"Commercial / CRM Transformation - CM &amp; IPS &amp; HIA")</f>
        <v>Commercial / CRM Transformation - CM &amp; IPS &amp; HIA</v>
      </c>
      <c r="AA413" s="3" t="b">
        <f>IFERROR(__xludf.DUMMYFUNCTION("""COMPUTED_VALUE"""),FALSE)</f>
        <v>0</v>
      </c>
    </row>
    <row r="414">
      <c r="A414" s="11">
        <f>IFERROR(__xludf.DUMMYFUNCTION("""COMPUTED_VALUE"""),1.00615814E8)</f>
        <v>100615814</v>
      </c>
      <c r="B414" s="3" t="str">
        <f>IFERROR(__xludf.DUMMYFUNCTION("""COMPUTED_VALUE"""),"Mark Fracas")</f>
        <v>Mark Fracas</v>
      </c>
      <c r="C414" s="3" t="str">
        <f>IFERROR(__xludf.DUMMYFUNCTION("""COMPUTED_VALUE"""),"Mark  Fracas")</f>
        <v>Mark  Fracas</v>
      </c>
      <c r="D414" s="3" t="str">
        <f>IFERROR(__xludf.DUMMYFUNCTION("""COMPUTED_VALUE"""),"Fracas, Mark")</f>
        <v>Fracas, Mark</v>
      </c>
      <c r="E414" s="3" t="str">
        <f>IFERROR(__xludf.DUMMYFUNCTION("""COMPUTED_VALUE"""),"Active")</f>
        <v>Active</v>
      </c>
      <c r="F414" s="3" t="str">
        <f>IFERROR(__xludf.DUMMYFUNCTION("""COMPUTED_VALUE"""),"mark.fracas@pwc.com")</f>
        <v>mark.fracas@pwc.com</v>
      </c>
      <c r="G414" s="3" t="str">
        <f>IFERROR(__xludf.DUMMYFUNCTION("""COMPUTED_VALUE"""),"Health")</f>
        <v>Health</v>
      </c>
      <c r="H414" s="3" t="str">
        <f>IFERROR(__xludf.DUMMYFUNCTION("""COMPUTED_VALUE"""),"Health Services")</f>
        <v>Health Services</v>
      </c>
      <c r="I414" s="3" t="str">
        <f>IFERROR(__xludf.DUMMYFUNCTION("""COMPUTED_VALUE"""),"Health - Provider Revenue Cycle")</f>
        <v>Health - Provider Revenue Cycle</v>
      </c>
      <c r="J414" s="3" t="str">
        <f>IFERROR(__xludf.DUMMYFUNCTION("""COMPUTED_VALUE"""),"Managing Director")</f>
        <v>Managing Director</v>
      </c>
      <c r="K414" s="12">
        <f>IFERROR(__xludf.DUMMYFUNCTION("""COMPUTED_VALUE"""),37928.0)</f>
        <v>37928</v>
      </c>
      <c r="L414" s="3" t="str">
        <f>IFERROR(__xludf.DUMMYFUNCTION("""COMPUTED_VALUE"""),"Philadelphia")</f>
        <v>Philadelphia</v>
      </c>
      <c r="M414" s="3" t="str">
        <f>IFERROR(__xludf.DUMMYFUNCTION("""COMPUTED_VALUE"""),"Philadelphia - Two Commerce Square, Suite 1800")</f>
        <v>Philadelphia - Two Commerce Square, Suite 1800</v>
      </c>
      <c r="N414" s="3" t="b">
        <f>IFERROR(__xludf.DUMMYFUNCTION("""COMPUTED_VALUE"""),FALSE)</f>
        <v>0</v>
      </c>
      <c r="O414" s="3" t="str">
        <f>IFERROR(__xludf.DUMMYFUNCTION("""COMPUTED_VALUE"""),"shannon.m.oshea@pwc.com")</f>
        <v>shannon.m.oshea@pwc.com</v>
      </c>
      <c r="P414" s="3" t="str">
        <f>IFERROR(__xludf.DUMMYFUNCTION("""COMPUTED_VALUE"""),"No")</f>
        <v>No</v>
      </c>
      <c r="Q414" s="3" t="b">
        <f>IFERROR(__xludf.DUMMYFUNCTION("""COMPUTED_VALUE"""),FALSE)</f>
        <v>0</v>
      </c>
      <c r="R414" s="3"/>
      <c r="S414" s="3"/>
      <c r="T414" s="3" t="b">
        <f>IFERROR(__xludf.DUMMYFUNCTION("""COMPUTED_VALUE"""),FALSE)</f>
        <v>0</v>
      </c>
      <c r="U414" s="3" t="b">
        <f>IFERROR(__xludf.DUMMYFUNCTION("""COMPUTED_VALUE"""),TRUE)</f>
        <v>1</v>
      </c>
      <c r="V414" s="3" t="b">
        <f>IFERROR(__xludf.DUMMYFUNCTION("""COMPUTED_VALUE"""),FALSE)</f>
        <v>0</v>
      </c>
      <c r="W414" s="3" t="str">
        <f>IFERROR(__xludf.DUMMYFUNCTION("""COMPUTED_VALUE"""),"Delivery")</f>
        <v>Delivery</v>
      </c>
      <c r="X414" s="3" t="str">
        <f>IFERROR(__xludf.DUMMYFUNCTION("""COMPUTED_VALUE"""),"Investment")</f>
        <v>Investment</v>
      </c>
      <c r="Y414" s="3"/>
      <c r="Z414" s="3" t="str">
        <f>IFERROR(__xludf.DUMMYFUNCTION("""COMPUTED_VALUE"""),"Provider Transformation")</f>
        <v>Provider Transformation</v>
      </c>
      <c r="AA414" s="3" t="b">
        <f>IFERROR(__xludf.DUMMYFUNCTION("""COMPUTED_VALUE"""),FALSE)</f>
        <v>0</v>
      </c>
    </row>
    <row r="415">
      <c r="A415" s="11">
        <f>IFERROR(__xludf.DUMMYFUNCTION("""COMPUTED_VALUE"""),1.01152256E8)</f>
        <v>101152256</v>
      </c>
      <c r="B415" s="3" t="str">
        <f>IFERROR(__xludf.DUMMYFUNCTION("""COMPUTED_VALUE"""),"Mark Griffin")</f>
        <v>Mark Griffin</v>
      </c>
      <c r="C415" s="3" t="str">
        <f>IFERROR(__xludf.DUMMYFUNCTION("""COMPUTED_VALUE"""),"Mark Leaton Griffin")</f>
        <v>Mark Leaton Griffin</v>
      </c>
      <c r="D415" s="3" t="str">
        <f>IFERROR(__xludf.DUMMYFUNCTION("""COMPUTED_VALUE"""),"Griffin, Mark Leaton")</f>
        <v>Griffin, Mark Leaton</v>
      </c>
      <c r="E415" s="3" t="str">
        <f>IFERROR(__xludf.DUMMYFUNCTION("""COMPUTED_VALUE"""),"Active")</f>
        <v>Active</v>
      </c>
      <c r="F415" s="3" t="str">
        <f>IFERROR(__xludf.DUMMYFUNCTION("""COMPUTED_VALUE"""),"mark.l.griffin@pwc.com")</f>
        <v>mark.l.griffin@pwc.com</v>
      </c>
      <c r="G415" s="3" t="str">
        <f>IFERROR(__xludf.DUMMYFUNCTION("""COMPUTED_VALUE"""),"Health")</f>
        <v>Health</v>
      </c>
      <c r="H415" s="3" t="str">
        <f>IFERROR(__xludf.DUMMYFUNCTION("""COMPUTED_VALUE"""),"Health Services")</f>
        <v>Health Services</v>
      </c>
      <c r="I415" s="3" t="str">
        <f>IFERROR(__xludf.DUMMYFUNCTION("""COMPUTED_VALUE"""),"Health - Provider FFG")</f>
        <v>Health - Provider FFG</v>
      </c>
      <c r="J415" s="3" t="str">
        <f>IFERROR(__xludf.DUMMYFUNCTION("""COMPUTED_VALUE"""),"Partner")</f>
        <v>Partner</v>
      </c>
      <c r="K415" s="12">
        <f>IFERROR(__xludf.DUMMYFUNCTION("""COMPUTED_VALUE"""),44501.0)</f>
        <v>44501</v>
      </c>
      <c r="L415" s="3" t="str">
        <f>IFERROR(__xludf.DUMMYFUNCTION("""COMPUTED_VALUE"""),"Atlanta")</f>
        <v>Atlanta</v>
      </c>
      <c r="M415" s="3" t="str">
        <f>IFERROR(__xludf.DUMMYFUNCTION("""COMPUTED_VALUE"""),"Atlanta - 1075 Peachtree Street NE")</f>
        <v>Atlanta - 1075 Peachtree Street NE</v>
      </c>
      <c r="N415" s="3" t="b">
        <f>IFERROR(__xludf.DUMMYFUNCTION("""COMPUTED_VALUE"""),FALSE)</f>
        <v>0</v>
      </c>
      <c r="O415" s="3" t="str">
        <f>IFERROR(__xludf.DUMMYFUNCTION("""COMPUTED_VALUE"""),"craig.e.gooch@pwc.com")</f>
        <v>craig.e.gooch@pwc.com</v>
      </c>
      <c r="P415" s="3" t="str">
        <f>IFERROR(__xludf.DUMMYFUNCTION("""COMPUTED_VALUE"""),"FY22")</f>
        <v>FY22</v>
      </c>
      <c r="Q415" s="3" t="b">
        <f>IFERROR(__xludf.DUMMYFUNCTION("""COMPUTED_VALUE"""),FALSE)</f>
        <v>0</v>
      </c>
      <c r="R415" s="3"/>
      <c r="S415" s="3"/>
      <c r="T415" s="3" t="b">
        <f>IFERROR(__xludf.DUMMYFUNCTION("""COMPUTED_VALUE"""),FALSE)</f>
        <v>0</v>
      </c>
      <c r="U415" s="3" t="b">
        <f>IFERROR(__xludf.DUMMYFUNCTION("""COMPUTED_VALUE"""),TRUE)</f>
        <v>1</v>
      </c>
      <c r="V415" s="3" t="b">
        <f>IFERROR(__xludf.DUMMYFUNCTION("""COMPUTED_VALUE"""),FALSE)</f>
        <v>0</v>
      </c>
      <c r="W415" s="3" t="str">
        <f>IFERROR(__xludf.DUMMYFUNCTION("""COMPUTED_VALUE"""),"Catalyst")</f>
        <v>Catalyst</v>
      </c>
      <c r="X415" s="3"/>
      <c r="Y415" s="3" t="str">
        <f>IFERROR(__xludf.DUMMYFUNCTION("""COMPUTED_VALUE"""),"FY22")</f>
        <v>FY22</v>
      </c>
      <c r="Z415" s="3" t="str">
        <f>IFERROR(__xludf.DUMMYFUNCTION("""COMPUTED_VALUE"""),"Provider Transformation")</f>
        <v>Provider Transformation</v>
      </c>
      <c r="AA415" s="3" t="b">
        <f>IFERROR(__xludf.DUMMYFUNCTION("""COMPUTED_VALUE"""),FALSE)</f>
        <v>0</v>
      </c>
    </row>
    <row r="416">
      <c r="A416" s="11">
        <f>IFERROR(__xludf.DUMMYFUNCTION("""COMPUTED_VALUE"""),1.00597272E8)</f>
        <v>100597272</v>
      </c>
      <c r="B416" s="3" t="str">
        <f>IFERROR(__xludf.DUMMYFUNCTION("""COMPUTED_VALUE"""),"Mark Hermans")</f>
        <v>Mark Hermans</v>
      </c>
      <c r="C416" s="3" t="str">
        <f>IFERROR(__xludf.DUMMYFUNCTION("""COMPUTED_VALUE"""),"Mark  Hermans")</f>
        <v>Mark  Hermans</v>
      </c>
      <c r="D416" s="3" t="str">
        <f>IFERROR(__xludf.DUMMYFUNCTION("""COMPUTED_VALUE"""),"Hermans, Mark")</f>
        <v>Hermans, Mark</v>
      </c>
      <c r="E416" s="3" t="str">
        <f>IFERROR(__xludf.DUMMYFUNCTION("""COMPUTED_VALUE"""),"Active")</f>
        <v>Active</v>
      </c>
      <c r="F416" s="3" t="str">
        <f>IFERROR(__xludf.DUMMYFUNCTION("""COMPUTED_VALUE"""),"mark.hermans@pwc.com")</f>
        <v>mark.hermans@pwc.com</v>
      </c>
      <c r="G416" s="3" t="str">
        <f>IFERROR(__xludf.DUMMYFUNCTION("""COMPUTED_VALUE"""),"Ops")</f>
        <v>Ops</v>
      </c>
      <c r="H416" s="3" t="str">
        <f>IFERROR(__xludf.DUMMYFUNCTION("""COMPUTED_VALUE"""),"Aerospace and Defence")</f>
        <v>Aerospace and Defence</v>
      </c>
      <c r="I416" s="3" t="str">
        <f>IFERROR(__xludf.DUMMYFUNCTION("""COMPUTED_VALUE"""),"Ops - Connected Supply Chain (CSC)")</f>
        <v>Ops - Connected Supply Chain (CSC)</v>
      </c>
      <c r="J416" s="3" t="str">
        <f>IFERROR(__xludf.DUMMYFUNCTION("""COMPUTED_VALUE"""),"Managing Director")</f>
        <v>Managing Director</v>
      </c>
      <c r="K416" s="12">
        <f>IFERROR(__xludf.DUMMYFUNCTION("""COMPUTED_VALUE"""),41127.0)</f>
        <v>41127</v>
      </c>
      <c r="L416" s="3" t="str">
        <f>IFERROR(__xludf.DUMMYFUNCTION("""COMPUTED_VALUE"""),"Washington")</f>
        <v>Washington</v>
      </c>
      <c r="M416" s="3" t="str">
        <f>IFERROR(__xludf.DUMMYFUNCTION("""COMPUTED_VALUE"""),"Washington DC - 655 New York Avenue")</f>
        <v>Washington DC - 655 New York Avenue</v>
      </c>
      <c r="N416" s="3" t="b">
        <f>IFERROR(__xludf.DUMMYFUNCTION("""COMPUTED_VALUE"""),FALSE)</f>
        <v>0</v>
      </c>
      <c r="O416" s="3" t="str">
        <f>IFERROR(__xludf.DUMMYFUNCTION("""COMPUTED_VALUE"""),"marc.waco@pwc.com")</f>
        <v>marc.waco@pwc.com</v>
      </c>
      <c r="P416" s="3" t="str">
        <f>IFERROR(__xludf.DUMMYFUNCTION("""COMPUTED_VALUE"""),"No")</f>
        <v>No</v>
      </c>
      <c r="Q416" s="3" t="b">
        <f>IFERROR(__xludf.DUMMYFUNCTION("""COMPUTED_VALUE"""),FALSE)</f>
        <v>0</v>
      </c>
      <c r="R416" s="3"/>
      <c r="S416" s="3"/>
      <c r="T416" s="3" t="b">
        <f>IFERROR(__xludf.DUMMYFUNCTION("""COMPUTED_VALUE"""),FALSE)</f>
        <v>0</v>
      </c>
      <c r="U416" s="3" t="b">
        <f>IFERROR(__xludf.DUMMYFUNCTION("""COMPUTED_VALUE"""),TRUE)</f>
        <v>1</v>
      </c>
      <c r="V416" s="3" t="b">
        <f>IFERROR(__xludf.DUMMYFUNCTION("""COMPUTED_VALUE"""),FALSE)</f>
        <v>0</v>
      </c>
      <c r="W416" s="3" t="str">
        <f>IFERROR(__xludf.DUMMYFUNCTION("""COMPUTED_VALUE"""),"Delivery")</f>
        <v>Delivery</v>
      </c>
      <c r="X416" s="3"/>
      <c r="Y416" s="3"/>
      <c r="Z416" s="3" t="str">
        <f>IFERROR(__xludf.DUMMYFUNCTION("""COMPUTED_VALUE"""),"IP + Technology Ops Transformation")</f>
        <v>IP + Technology Ops Transformation</v>
      </c>
      <c r="AA416" s="3" t="b">
        <f>IFERROR(__xludf.DUMMYFUNCTION("""COMPUTED_VALUE"""),FALSE)</f>
        <v>0</v>
      </c>
    </row>
    <row r="417">
      <c r="A417" s="11">
        <f>IFERROR(__xludf.DUMMYFUNCTION("""COMPUTED_VALUE"""),1.00651896E8)</f>
        <v>100651896</v>
      </c>
      <c r="B417" s="3" t="str">
        <f>IFERROR(__xludf.DUMMYFUNCTION("""COMPUTED_VALUE"""),"Mark Hoffman")</f>
        <v>Mark Hoffman</v>
      </c>
      <c r="C417" s="3" t="str">
        <f>IFERROR(__xludf.DUMMYFUNCTION("""COMPUTED_VALUE"""),"Mark  Hoffman")</f>
        <v>Mark  Hoffman</v>
      </c>
      <c r="D417" s="3" t="str">
        <f>IFERROR(__xludf.DUMMYFUNCTION("""COMPUTED_VALUE"""),"Hoffman, Mark")</f>
        <v>Hoffman, Mark</v>
      </c>
      <c r="E417" s="3" t="str">
        <f>IFERROR(__xludf.DUMMYFUNCTION("""COMPUTED_VALUE"""),"Active")</f>
        <v>Active</v>
      </c>
      <c r="F417" s="3" t="str">
        <f>IFERROR(__xludf.DUMMYFUNCTION("""COMPUTED_VALUE"""),"mark.hoffman@pwc.com")</f>
        <v>mark.hoffman@pwc.com</v>
      </c>
      <c r="G417" s="3" t="str">
        <f>IFERROR(__xludf.DUMMYFUNCTION("""COMPUTED_VALUE"""),"Ops")</f>
        <v>Ops</v>
      </c>
      <c r="H417" s="3" t="str">
        <f>IFERROR(__xludf.DUMMYFUNCTION("""COMPUTED_VALUE"""),"Power and Utilities")</f>
        <v>Power and Utilities</v>
      </c>
      <c r="I417" s="3" t="str">
        <f>IFERROR(__xludf.DUMMYFUNCTION("""COMPUTED_VALUE"""),"Ops - Org Strategy Strategy &amp; Solutions (OSS)")</f>
        <v>Ops - Org Strategy Strategy &amp; Solutions (OSS)</v>
      </c>
      <c r="J417" s="3" t="str">
        <f>IFERROR(__xludf.DUMMYFUNCTION("""COMPUTED_VALUE"""),"Partner")</f>
        <v>Partner</v>
      </c>
      <c r="K417" s="12">
        <f>IFERROR(__xludf.DUMMYFUNCTION("""COMPUTED_VALUE"""),42186.0)</f>
        <v>42186</v>
      </c>
      <c r="L417" s="3" t="str">
        <f>IFERROR(__xludf.DUMMYFUNCTION("""COMPUTED_VALUE"""),"Houston")</f>
        <v>Houston</v>
      </c>
      <c r="M417" s="3" t="str">
        <f>IFERROR(__xludf.DUMMYFUNCTION("""COMPUTED_VALUE"""),"Houston - 1000 Louisiana Street")</f>
        <v>Houston - 1000 Louisiana Street</v>
      </c>
      <c r="N417" s="3" t="b">
        <f>IFERROR(__xludf.DUMMYFUNCTION("""COMPUTED_VALUE"""),FALSE)</f>
        <v>0</v>
      </c>
      <c r="O417" s="3" t="str">
        <f>IFERROR(__xludf.DUMMYFUNCTION("""COMPUTED_VALUE"""),"matthew.r.comte@pwc.com")</f>
        <v>matthew.r.comte@pwc.com</v>
      </c>
      <c r="P417" s="3" t="str">
        <f>IFERROR(__xludf.DUMMYFUNCTION("""COMPUTED_VALUE"""),"No")</f>
        <v>No</v>
      </c>
      <c r="Q417" s="3" t="b">
        <f>IFERROR(__xludf.DUMMYFUNCTION("""COMPUTED_VALUE"""),FALSE)</f>
        <v>0</v>
      </c>
      <c r="R417" s="3"/>
      <c r="S417" s="3"/>
      <c r="T417" s="3" t="b">
        <f>IFERROR(__xludf.DUMMYFUNCTION("""COMPUTED_VALUE"""),FALSE)</f>
        <v>0</v>
      </c>
      <c r="U417" s="3" t="b">
        <f>IFERROR(__xludf.DUMMYFUNCTION("""COMPUTED_VALUE"""),TRUE)</f>
        <v>1</v>
      </c>
      <c r="V417" s="3" t="b">
        <f>IFERROR(__xludf.DUMMYFUNCTION("""COMPUTED_VALUE"""),FALSE)</f>
        <v>0</v>
      </c>
      <c r="W417" s="3" t="str">
        <f>IFERROR(__xludf.DUMMYFUNCTION("""COMPUTED_VALUE"""),"Delivery")</f>
        <v>Delivery</v>
      </c>
      <c r="X417" s="3"/>
      <c r="Y417" s="3"/>
      <c r="Z417" s="3" t="str">
        <f>IFERROR(__xludf.DUMMYFUNCTION("""COMPUTED_VALUE"""),"EUM + Telecom Ops Transformation")</f>
        <v>EUM + Telecom Ops Transformation</v>
      </c>
      <c r="AA417" s="3" t="b">
        <f>IFERROR(__xludf.DUMMYFUNCTION("""COMPUTED_VALUE"""),FALSE)</f>
        <v>0</v>
      </c>
    </row>
    <row r="418">
      <c r="A418" s="11">
        <f>IFERROR(__xludf.DUMMYFUNCTION("""COMPUTED_VALUE"""),1.00660701E8)</f>
        <v>100660701</v>
      </c>
      <c r="B418" s="3" t="str">
        <f>IFERROR(__xludf.DUMMYFUNCTION("""COMPUTED_VALUE"""),"Mark Jenson")</f>
        <v>Mark Jenson</v>
      </c>
      <c r="C418" s="3" t="str">
        <f>IFERROR(__xludf.DUMMYFUNCTION("""COMPUTED_VALUE"""),"Mark R Jenson")</f>
        <v>Mark R Jenson</v>
      </c>
      <c r="D418" s="3" t="str">
        <f>IFERROR(__xludf.DUMMYFUNCTION("""COMPUTED_VALUE"""),"Jenson, Mark R")</f>
        <v>Jenson, Mark R</v>
      </c>
      <c r="E418" s="3" t="str">
        <f>IFERROR(__xludf.DUMMYFUNCTION("""COMPUTED_VALUE"""),"Active")</f>
        <v>Active</v>
      </c>
      <c r="F418" s="3" t="str">
        <f>IFERROR(__xludf.DUMMYFUNCTION("""COMPUTED_VALUE"""),"mark.r.jenson@pwc.com")</f>
        <v>mark.r.jenson@pwc.com</v>
      </c>
      <c r="G418" s="3" t="str">
        <f>IFERROR(__xludf.DUMMYFUNCTION("""COMPUTED_VALUE"""),"Customer")</f>
        <v>Customer</v>
      </c>
      <c r="H418" s="3" t="str">
        <f>IFERROR(__xludf.DUMMYFUNCTION("""COMPUTED_VALUE"""),"CM X-Sector")</f>
        <v>CM X-Sector</v>
      </c>
      <c r="I418" s="3" t="str">
        <f>IFERROR(__xludf.DUMMYFUNCTION("""COMPUTED_VALUE"""),"Customer - Customer Strategy &amp; Experience")</f>
        <v>Customer - Customer Strategy &amp; Experience</v>
      </c>
      <c r="J418" s="3" t="str">
        <f>IFERROR(__xludf.DUMMYFUNCTION("""COMPUTED_VALUE"""),"Partner")</f>
        <v>Partner</v>
      </c>
      <c r="K418" s="12">
        <f>IFERROR(__xludf.DUMMYFUNCTION("""COMPUTED_VALUE"""),40422.0)</f>
        <v>40422</v>
      </c>
      <c r="L418" s="3" t="str">
        <f>IFERROR(__xludf.DUMMYFUNCTION("""COMPUTED_VALUE"""),"Atlanta")</f>
        <v>Atlanta</v>
      </c>
      <c r="M418" s="3" t="str">
        <f>IFERROR(__xludf.DUMMYFUNCTION("""COMPUTED_VALUE"""),"Atlanta - 1075 Peachtree Street NE")</f>
        <v>Atlanta - 1075 Peachtree Street NE</v>
      </c>
      <c r="N418" s="3" t="b">
        <f>IFERROR(__xludf.DUMMYFUNCTION("""COMPUTED_VALUE"""),FALSE)</f>
        <v>0</v>
      </c>
      <c r="O418" s="3" t="str">
        <f>IFERROR(__xludf.DUMMYFUNCTION("""COMPUTED_VALUE"""),"george.korizis@pwc.com")</f>
        <v>george.korizis@pwc.com</v>
      </c>
      <c r="P418" s="3" t="str">
        <f>IFERROR(__xludf.DUMMYFUNCTION("""COMPUTED_VALUE"""),"No")</f>
        <v>No</v>
      </c>
      <c r="Q418" s="3" t="b">
        <f>IFERROR(__xludf.DUMMYFUNCTION("""COMPUTED_VALUE"""),TRUE)</f>
        <v>1</v>
      </c>
      <c r="R418" s="3" t="str">
        <f>IFERROR(__xludf.DUMMYFUNCTION("""COMPUTED_VALUE"""),"LCP High")</f>
        <v>LCP High</v>
      </c>
      <c r="S418" s="3"/>
      <c r="T418" s="3" t="b">
        <f>IFERROR(__xludf.DUMMYFUNCTION("""COMPUTED_VALUE"""),FALSE)</f>
        <v>0</v>
      </c>
      <c r="U418" s="3" t="b">
        <f>IFERROR(__xludf.DUMMYFUNCTION("""COMPUTED_VALUE"""),FALSE)</f>
        <v>0</v>
      </c>
      <c r="V418" s="3" t="b">
        <f>IFERROR(__xludf.DUMMYFUNCTION("""COMPUTED_VALUE"""),FALSE)</f>
        <v>0</v>
      </c>
      <c r="W418" s="3" t="str">
        <f>IFERROR(__xludf.DUMMYFUNCTION("""COMPUTED_VALUE"""),"LCP")</f>
        <v>LCP</v>
      </c>
      <c r="X418" s="3"/>
      <c r="Y418" s="3" t="str">
        <f>IFERROR(__xludf.DUMMYFUNCTION("""COMPUTED_VALUE"""),"GEP - High")</f>
        <v>GEP - High</v>
      </c>
      <c r="Z418" s="3" t="str">
        <f>IFERROR(__xludf.DUMMYFUNCTION("""COMPUTED_VALUE"""),"Corporate M&amp;A Transformation - CM")</f>
        <v>Corporate M&amp;A Transformation - CM</v>
      </c>
      <c r="AA418" s="3" t="b">
        <f>IFERROR(__xludf.DUMMYFUNCTION("""COMPUTED_VALUE"""),FALSE)</f>
        <v>0</v>
      </c>
    </row>
    <row r="419">
      <c r="A419" s="11">
        <f>IFERROR(__xludf.DUMMYFUNCTION("""COMPUTED_VALUE"""),1.00592741E8)</f>
        <v>100592741</v>
      </c>
      <c r="B419" s="3" t="str">
        <f>IFERROR(__xludf.DUMMYFUNCTION("""COMPUTED_VALUE"""),"Mark Menzie")</f>
        <v>Mark Menzie</v>
      </c>
      <c r="C419" s="3" t="str">
        <f>IFERROR(__xludf.DUMMYFUNCTION("""COMPUTED_VALUE"""),"Mark  Menzie")</f>
        <v>Mark  Menzie</v>
      </c>
      <c r="D419" s="3" t="str">
        <f>IFERROR(__xludf.DUMMYFUNCTION("""COMPUTED_VALUE"""),"Menzie, Mark")</f>
        <v>Menzie, Mark</v>
      </c>
      <c r="E419" s="3" t="str">
        <f>IFERROR(__xludf.DUMMYFUNCTION("""COMPUTED_VALUE"""),"Active")</f>
        <v>Active</v>
      </c>
      <c r="F419" s="3" t="str">
        <f>IFERROR(__xludf.DUMMYFUNCTION("""COMPUTED_VALUE"""),"mark.menzie@pwc.com")</f>
        <v>mark.menzie@pwc.com</v>
      </c>
      <c r="G419" s="3" t="str">
        <f>IFERROR(__xludf.DUMMYFUNCTION("""COMPUTED_VALUE"""),"Ops")</f>
        <v>Ops</v>
      </c>
      <c r="H419" s="3" t="str">
        <f>IFERROR(__xludf.DUMMYFUNCTION("""COMPUTED_VALUE"""),"Power and Utilities")</f>
        <v>Power and Utilities</v>
      </c>
      <c r="I419" s="3" t="str">
        <f>IFERROR(__xludf.DUMMYFUNCTION("""COMPUTED_VALUE"""),"Ops - Org Strategy Strategy &amp; Solutions (OSS)")</f>
        <v>Ops - Org Strategy Strategy &amp; Solutions (OSS)</v>
      </c>
      <c r="J419" s="3" t="str">
        <f>IFERROR(__xludf.DUMMYFUNCTION("""COMPUTED_VALUE"""),"Managing Director")</f>
        <v>Managing Director</v>
      </c>
      <c r="K419" s="12">
        <f>IFERROR(__xludf.DUMMYFUNCTION("""COMPUTED_VALUE"""),40798.0)</f>
        <v>40798</v>
      </c>
      <c r="L419" s="3" t="str">
        <f>IFERROR(__xludf.DUMMYFUNCTION("""COMPUTED_VALUE"""),"Austin")</f>
        <v>Austin</v>
      </c>
      <c r="M419" s="3" t="str">
        <f>IFERROR(__xludf.DUMMYFUNCTION("""COMPUTED_VALUE"""),"Austin - 835 West 6th Street")</f>
        <v>Austin - 835 West 6th Street</v>
      </c>
      <c r="N419" s="3" t="b">
        <f>IFERROR(__xludf.DUMMYFUNCTION("""COMPUTED_VALUE"""),FALSE)</f>
        <v>0</v>
      </c>
      <c r="O419" s="3" t="str">
        <f>IFERROR(__xludf.DUMMYFUNCTION("""COMPUTED_VALUE"""),"dan.bowman@pwc.com")</f>
        <v>dan.bowman@pwc.com</v>
      </c>
      <c r="P419" s="3" t="str">
        <f>IFERROR(__xludf.DUMMYFUNCTION("""COMPUTED_VALUE"""),"No")</f>
        <v>No</v>
      </c>
      <c r="Q419" s="3" t="b">
        <f>IFERROR(__xludf.DUMMYFUNCTION("""COMPUTED_VALUE"""),FALSE)</f>
        <v>0</v>
      </c>
      <c r="R419" s="3"/>
      <c r="S419" s="3"/>
      <c r="T419" s="3" t="b">
        <f>IFERROR(__xludf.DUMMYFUNCTION("""COMPUTED_VALUE"""),FALSE)</f>
        <v>0</v>
      </c>
      <c r="U419" s="3" t="b">
        <f>IFERROR(__xludf.DUMMYFUNCTION("""COMPUTED_VALUE"""),TRUE)</f>
        <v>1</v>
      </c>
      <c r="V419" s="3" t="b">
        <f>IFERROR(__xludf.DUMMYFUNCTION("""COMPUTED_VALUE"""),FALSE)</f>
        <v>0</v>
      </c>
      <c r="W419" s="3" t="str">
        <f>IFERROR(__xludf.DUMMYFUNCTION("""COMPUTED_VALUE"""),"Delivery")</f>
        <v>Delivery</v>
      </c>
      <c r="X419" s="3"/>
      <c r="Y419" s="3"/>
      <c r="Z419" s="3" t="str">
        <f>IFERROR(__xludf.DUMMYFUNCTION("""COMPUTED_VALUE"""),"EUM + Telecom Ops Transformation")</f>
        <v>EUM + Telecom Ops Transformation</v>
      </c>
      <c r="AA419" s="3" t="b">
        <f>IFERROR(__xludf.DUMMYFUNCTION("""COMPUTED_VALUE"""),FALSE)</f>
        <v>0</v>
      </c>
    </row>
    <row r="420">
      <c r="A420" s="3">
        <f>IFERROR(__xludf.DUMMYFUNCTION("""COMPUTED_VALUE"""),1.00609514E8)</f>
        <v>100609514</v>
      </c>
      <c r="B420" s="3" t="str">
        <f>IFERROR(__xludf.DUMMYFUNCTION("""COMPUTED_VALUE"""),"Mark Mynhier")</f>
        <v>Mark Mynhier</v>
      </c>
      <c r="C420" s="3" t="str">
        <f>IFERROR(__xludf.DUMMYFUNCTION("""COMPUTED_VALUE"""),"Mark Anthony Mynhier")</f>
        <v>Mark Anthony Mynhier</v>
      </c>
      <c r="D420" s="3" t="str">
        <f>IFERROR(__xludf.DUMMYFUNCTION("""COMPUTED_VALUE"""),"Mynhier, Mark Anthony")</f>
        <v>Mynhier, Mark Anthony</v>
      </c>
      <c r="E420" s="3" t="str">
        <f>IFERROR(__xludf.DUMMYFUNCTION("""COMPUTED_VALUE"""),"Active")</f>
        <v>Active</v>
      </c>
      <c r="F420" s="3" t="str">
        <f>IFERROR(__xludf.DUMMYFUNCTION("""COMPUTED_VALUE"""),"mark.mynhier@pwc.com")</f>
        <v>mark.mynhier@pwc.com</v>
      </c>
      <c r="G420" s="3" t="str">
        <f>IFERROR(__xludf.DUMMYFUNCTION("""COMPUTED_VALUE"""),"Health")</f>
        <v>Health</v>
      </c>
      <c r="H420" s="3" t="str">
        <f>IFERROR(__xludf.DUMMYFUNCTION("""COMPUTED_VALUE"""),"Pharma and Life Sciences")</f>
        <v>Pharma and Life Sciences</v>
      </c>
      <c r="I420" s="3" t="str">
        <f>IFERROR(__xludf.DUMMYFUNCTION("""COMPUTED_VALUE"""),"Health - Health Analytics")</f>
        <v>Health - Health Analytics</v>
      </c>
      <c r="J420" s="3" t="str">
        <f>IFERROR(__xludf.DUMMYFUNCTION("""COMPUTED_VALUE"""),"Partner")</f>
        <v>Partner</v>
      </c>
      <c r="K420" s="12">
        <f>IFERROR(__xludf.DUMMYFUNCTION("""COMPUTED_VALUE"""),40777.0)</f>
        <v>40777</v>
      </c>
      <c r="L420" s="3" t="str">
        <f>IFERROR(__xludf.DUMMYFUNCTION("""COMPUTED_VALUE"""),"Los Angeles")</f>
        <v>Los Angeles</v>
      </c>
      <c r="M420" s="3" t="str">
        <f>IFERROR(__xludf.DUMMYFUNCTION("""COMPUTED_VALUE"""),"Los Angeles - 601 South Figueroa Street")</f>
        <v>Los Angeles - 601 South Figueroa Street</v>
      </c>
      <c r="N420" s="3" t="b">
        <f>IFERROR(__xludf.DUMMYFUNCTION("""COMPUTED_VALUE"""),TRUE)</f>
        <v>1</v>
      </c>
      <c r="O420" s="3" t="str">
        <f>IFERROR(__xludf.DUMMYFUNCTION("""COMPUTED_VALUE"""),"craig.e.gooch@pwc.com")</f>
        <v>craig.e.gooch@pwc.com</v>
      </c>
      <c r="P420" s="3" t="str">
        <f>IFERROR(__xludf.DUMMYFUNCTION("""COMPUTED_VALUE"""),"No")</f>
        <v>No</v>
      </c>
      <c r="Q420" s="3" t="b">
        <f>IFERROR(__xludf.DUMMYFUNCTION("""COMPUTED_VALUE"""),FALSE)</f>
        <v>0</v>
      </c>
      <c r="R420" s="3"/>
      <c r="S420" s="3"/>
      <c r="T420" s="3" t="b">
        <f>IFERROR(__xludf.DUMMYFUNCTION("""COMPUTED_VALUE"""),FALSE)</f>
        <v>0</v>
      </c>
      <c r="U420" s="3" t="b">
        <f>IFERROR(__xludf.DUMMYFUNCTION("""COMPUTED_VALUE"""),TRUE)</f>
        <v>1</v>
      </c>
      <c r="V420" s="3" t="b">
        <f>IFERROR(__xludf.DUMMYFUNCTION("""COMPUTED_VALUE"""),FALSE)</f>
        <v>0</v>
      </c>
      <c r="W420" s="3" t="str">
        <f>IFERROR(__xludf.DUMMYFUNCTION("""COMPUTED_VALUE"""),"Delivery")</f>
        <v>Delivery</v>
      </c>
      <c r="X420" s="3"/>
      <c r="Y420" s="3"/>
      <c r="Z420" s="3" t="str">
        <f>IFERROR(__xludf.DUMMYFUNCTION("""COMPUTED_VALUE"""),"Clinical R&amp;D")</f>
        <v>Clinical R&amp;D</v>
      </c>
      <c r="AA420" s="3" t="b">
        <f>IFERROR(__xludf.DUMMYFUNCTION("""COMPUTED_VALUE"""),FALSE)</f>
        <v>0</v>
      </c>
    </row>
    <row r="421">
      <c r="A421" s="11">
        <f>IFERROR(__xludf.DUMMYFUNCTION("""COMPUTED_VALUE"""),1.00656882E8)</f>
        <v>100656882</v>
      </c>
      <c r="B421" s="3" t="str">
        <f>IFERROR(__xludf.DUMMYFUNCTION("""COMPUTED_VALUE"""),"Mark Poulson")</f>
        <v>Mark Poulson</v>
      </c>
      <c r="C421" s="3" t="str">
        <f>IFERROR(__xludf.DUMMYFUNCTION("""COMPUTED_VALUE"""),"Mark W Poulson")</f>
        <v>Mark W Poulson</v>
      </c>
      <c r="D421" s="3" t="str">
        <f>IFERROR(__xludf.DUMMYFUNCTION("""COMPUTED_VALUE"""),"Poulson, Mark W")</f>
        <v>Poulson, Mark W</v>
      </c>
      <c r="E421" s="3" t="str">
        <f>IFERROR(__xludf.DUMMYFUNCTION("""COMPUTED_VALUE"""),"Active")</f>
        <v>Active</v>
      </c>
      <c r="F421" s="3" t="str">
        <f>IFERROR(__xludf.DUMMYFUNCTION("""COMPUTED_VALUE"""),"mark.poulson@pwc.com")</f>
        <v>mark.poulson@pwc.com</v>
      </c>
      <c r="G421" s="3" t="str">
        <f>IFERROR(__xludf.DUMMYFUNCTION("""COMPUTED_VALUE"""),"Finance")</f>
        <v>Finance</v>
      </c>
      <c r="H421" s="3" t="str">
        <f>IFERROR(__xludf.DUMMYFUNCTION("""COMPUTED_VALUE"""),"Aerospace and Defence")</f>
        <v>Aerospace and Defence</v>
      </c>
      <c r="I421" s="3" t="str">
        <f>IFERROR(__xludf.DUMMYFUNCTION("""COMPUTED_VALUE"""),"Finance - Finance Strategy / Op Model / Global Business Services / Talent")</f>
        <v>Finance - Finance Strategy / Op Model / Global Business Services / Talent</v>
      </c>
      <c r="J421" s="3" t="str">
        <f>IFERROR(__xludf.DUMMYFUNCTION("""COMPUTED_VALUE"""),"Partner")</f>
        <v>Partner</v>
      </c>
      <c r="K421" s="12">
        <f>IFERROR(__xludf.DUMMYFUNCTION("""COMPUTED_VALUE"""),35311.0)</f>
        <v>35311</v>
      </c>
      <c r="L421" s="3" t="str">
        <f>IFERROR(__xludf.DUMMYFUNCTION("""COMPUTED_VALUE"""),"Chicago")</f>
        <v>Chicago</v>
      </c>
      <c r="M421" s="3" t="str">
        <f>IFERROR(__xludf.DUMMYFUNCTION("""COMPUTED_VALUE"""),"Chicago - One North Wacker Drive")</f>
        <v>Chicago - One North Wacker Drive</v>
      </c>
      <c r="N421" s="3" t="b">
        <f>IFERROR(__xludf.DUMMYFUNCTION("""COMPUTED_VALUE"""),TRUE)</f>
        <v>1</v>
      </c>
      <c r="O421" s="3" t="str">
        <f>IFERROR(__xludf.DUMMYFUNCTION("""COMPUTED_VALUE"""),"kurtis.babczenko@pwc.com")</f>
        <v>kurtis.babczenko@pwc.com</v>
      </c>
      <c r="P421" s="3" t="str">
        <f>IFERROR(__xludf.DUMMYFUNCTION("""COMPUTED_VALUE"""),"No")</f>
        <v>No</v>
      </c>
      <c r="Q421" s="3" t="b">
        <f>IFERROR(__xludf.DUMMYFUNCTION("""COMPUTED_VALUE"""),TRUE)</f>
        <v>1</v>
      </c>
      <c r="R421" s="3" t="str">
        <f>IFERROR(__xludf.DUMMYFUNCTION("""COMPUTED_VALUE"""),"LCP Low")</f>
        <v>LCP Low</v>
      </c>
      <c r="S421" s="3"/>
      <c r="T421" s="3" t="b">
        <f>IFERROR(__xludf.DUMMYFUNCTION("""COMPUTED_VALUE"""),FALSE)</f>
        <v>0</v>
      </c>
      <c r="U421" s="3" t="b">
        <f>IFERROR(__xludf.DUMMYFUNCTION("""COMPUTED_VALUE"""),FALSE)</f>
        <v>0</v>
      </c>
      <c r="V421" s="3" t="b">
        <f>IFERROR(__xludf.DUMMYFUNCTION("""COMPUTED_VALUE"""),FALSE)</f>
        <v>0</v>
      </c>
      <c r="W421" s="3" t="str">
        <f>IFERROR(__xludf.DUMMYFUNCTION("""COMPUTED_VALUE"""),"LCP")</f>
        <v>LCP</v>
      </c>
      <c r="X421" s="3"/>
      <c r="Y421" s="3" t="str">
        <f>IFERROR(__xludf.DUMMYFUNCTION("""COMPUTED_VALUE"""),"GEP - Low")</f>
        <v>GEP - Low</v>
      </c>
      <c r="Z421" s="3" t="str">
        <f>IFERROR(__xludf.DUMMYFUNCTION("""COMPUTED_VALUE"""),"Finance Transformation IPS - IP")</f>
        <v>Finance Transformation IPS - IP</v>
      </c>
      <c r="AA421" s="3" t="b">
        <f>IFERROR(__xludf.DUMMYFUNCTION("""COMPUTED_VALUE"""),TRUE)</f>
        <v>1</v>
      </c>
    </row>
    <row r="422">
      <c r="A422" s="11">
        <f>IFERROR(__xludf.DUMMYFUNCTION("""COMPUTED_VALUE"""),1.00611351E8)</f>
        <v>100611351</v>
      </c>
      <c r="B422" s="3" t="str">
        <f>IFERROR(__xludf.DUMMYFUNCTION("""COMPUTED_VALUE"""),"Mark Prentice")</f>
        <v>Mark Prentice</v>
      </c>
      <c r="C422" s="3" t="str">
        <f>IFERROR(__xludf.DUMMYFUNCTION("""COMPUTED_VALUE"""),"Mark Alan Prentice")</f>
        <v>Mark Alan Prentice</v>
      </c>
      <c r="D422" s="3" t="str">
        <f>IFERROR(__xludf.DUMMYFUNCTION("""COMPUTED_VALUE"""),"Prentice, Mark Alan")</f>
        <v>Prentice, Mark Alan</v>
      </c>
      <c r="E422" s="3" t="str">
        <f>IFERROR(__xludf.DUMMYFUNCTION("""COMPUTED_VALUE"""),"Active")</f>
        <v>Active</v>
      </c>
      <c r="F422" s="3" t="str">
        <f>IFERROR(__xludf.DUMMYFUNCTION("""COMPUTED_VALUE"""),"mark.a.prentice@pwc.com")</f>
        <v>mark.a.prentice@pwc.com</v>
      </c>
      <c r="G422" s="3" t="str">
        <f>IFERROR(__xludf.DUMMYFUNCTION("""COMPUTED_VALUE"""),"Customer")</f>
        <v>Customer</v>
      </c>
      <c r="H422" s="3" t="str">
        <f>IFERROR(__xludf.DUMMYFUNCTION("""COMPUTED_VALUE"""),"CM X-Sector")</f>
        <v>CM X-Sector</v>
      </c>
      <c r="I422" s="3" t="str">
        <f>IFERROR(__xludf.DUMMYFUNCTION("""COMPUTED_VALUE"""),"Customer - Customer Strategy &amp; Experience")</f>
        <v>Customer - Customer Strategy &amp; Experience</v>
      </c>
      <c r="J422" s="3" t="str">
        <f>IFERROR(__xludf.DUMMYFUNCTION("""COMPUTED_VALUE"""),"Partner")</f>
        <v>Partner</v>
      </c>
      <c r="K422" s="12">
        <f>IFERROR(__xludf.DUMMYFUNCTION("""COMPUTED_VALUE"""),41526.0)</f>
        <v>41526</v>
      </c>
      <c r="L422" s="3" t="str">
        <f>IFERROR(__xludf.DUMMYFUNCTION("""COMPUTED_VALUE"""),"Washington")</f>
        <v>Washington</v>
      </c>
      <c r="M422" s="3" t="str">
        <f>IFERROR(__xludf.DUMMYFUNCTION("""COMPUTED_VALUE"""),"Washington DC - 655 New York Avenue")</f>
        <v>Washington DC - 655 New York Avenue</v>
      </c>
      <c r="N422" s="3" t="b">
        <f>IFERROR(__xludf.DUMMYFUNCTION("""COMPUTED_VALUE"""),FALSE)</f>
        <v>0</v>
      </c>
      <c r="O422" s="3" t="str">
        <f>IFERROR(__xludf.DUMMYFUNCTION("""COMPUTED_VALUE"""),"george.korizis@pwc.com")</f>
        <v>george.korizis@pwc.com</v>
      </c>
      <c r="P422" s="3" t="str">
        <f>IFERROR(__xludf.DUMMYFUNCTION("""COMPUTED_VALUE"""),"No")</f>
        <v>No</v>
      </c>
      <c r="Q422" s="3" t="b">
        <f>IFERROR(__xludf.DUMMYFUNCTION("""COMPUTED_VALUE"""),FALSE)</f>
        <v>0</v>
      </c>
      <c r="R422" s="3"/>
      <c r="S422" s="3"/>
      <c r="T422" s="3" t="b">
        <f>IFERROR(__xludf.DUMMYFUNCTION("""COMPUTED_VALUE"""),FALSE)</f>
        <v>0</v>
      </c>
      <c r="U422" s="3" t="b">
        <f>IFERROR(__xludf.DUMMYFUNCTION("""COMPUTED_VALUE"""),TRUE)</f>
        <v>1</v>
      </c>
      <c r="V422" s="3" t="b">
        <f>IFERROR(__xludf.DUMMYFUNCTION("""COMPUTED_VALUE"""),FALSE)</f>
        <v>0</v>
      </c>
      <c r="W422" s="3" t="str">
        <f>IFERROR(__xludf.DUMMYFUNCTION("""COMPUTED_VALUE"""),"Delivery")</f>
        <v>Delivery</v>
      </c>
      <c r="X422" s="3"/>
      <c r="Y422" s="3"/>
      <c r="Z422" s="3" t="str">
        <f>IFERROR(__xludf.DUMMYFUNCTION("""COMPUTED_VALUE"""),"Commercial / CRM Transformation - CM &amp; IPS &amp; HIA")</f>
        <v>Commercial / CRM Transformation - CM &amp; IPS &amp; HIA</v>
      </c>
      <c r="AA422" s="3" t="b">
        <f>IFERROR(__xludf.DUMMYFUNCTION("""COMPUTED_VALUE"""),FALSE)</f>
        <v>0</v>
      </c>
    </row>
    <row r="423">
      <c r="A423" s="11">
        <f>IFERROR(__xludf.DUMMYFUNCTION("""COMPUTED_VALUE"""),1.00922604E8)</f>
        <v>100922604</v>
      </c>
      <c r="B423" s="3" t="str">
        <f>IFERROR(__xludf.DUMMYFUNCTION("""COMPUTED_VALUE"""),"Mark Rosenthal")</f>
        <v>Mark Rosenthal</v>
      </c>
      <c r="C423" s="3" t="str">
        <f>IFERROR(__xludf.DUMMYFUNCTION("""COMPUTED_VALUE"""),"Mark Elliot Rosenthal")</f>
        <v>Mark Elliot Rosenthal</v>
      </c>
      <c r="D423" s="3" t="str">
        <f>IFERROR(__xludf.DUMMYFUNCTION("""COMPUTED_VALUE"""),"Rosenthal, Mark Elliot")</f>
        <v>Rosenthal, Mark Elliot</v>
      </c>
      <c r="E423" s="3" t="str">
        <f>IFERROR(__xludf.DUMMYFUNCTION("""COMPUTED_VALUE"""),"Active")</f>
        <v>Active</v>
      </c>
      <c r="F423" s="3" t="str">
        <f>IFERROR(__xludf.DUMMYFUNCTION("""COMPUTED_VALUE"""),"mark.rosenthal@pwc.com")</f>
        <v>mark.rosenthal@pwc.com</v>
      </c>
      <c r="G423" s="3" t="str">
        <f>IFERROR(__xludf.DUMMYFUNCTION("""COMPUTED_VALUE"""),"FS")</f>
        <v>FS</v>
      </c>
      <c r="H423" s="3" t="str">
        <f>IFERROR(__xludf.DUMMYFUNCTION("""COMPUTED_VALUE"""),"Insurance")</f>
        <v>Insurance</v>
      </c>
      <c r="I423" s="3" t="str">
        <f>IFERROR(__xludf.DUMMYFUNCTION("""COMPUTED_VALUE"""),"FS - Insurance")</f>
        <v>FS - Insurance</v>
      </c>
      <c r="J423" s="3" t="str">
        <f>IFERROR(__xludf.DUMMYFUNCTION("""COMPUTED_VALUE"""),"Managing Director")</f>
        <v>Managing Director</v>
      </c>
      <c r="K423" s="12">
        <f>IFERROR(__xludf.DUMMYFUNCTION("""COMPUTED_VALUE"""),43682.0)</f>
        <v>43682</v>
      </c>
      <c r="L423" s="3" t="str">
        <f>IFERROR(__xludf.DUMMYFUNCTION("""COMPUTED_VALUE"""),"Irvine")</f>
        <v>Irvine</v>
      </c>
      <c r="M423" s="3" t="str">
        <f>IFERROR(__xludf.DUMMYFUNCTION("""COMPUTED_VALUE"""),"Irvine - 2020 Main Street")</f>
        <v>Irvine - 2020 Main Street</v>
      </c>
      <c r="N423" s="3" t="b">
        <f>IFERROR(__xludf.DUMMYFUNCTION("""COMPUTED_VALUE"""),FALSE)</f>
        <v>0</v>
      </c>
      <c r="O423" s="3" t="str">
        <f>IFERROR(__xludf.DUMMYFUNCTION("""COMPUTED_VALUE"""),"james.m.quick@pwc.com")</f>
        <v>james.m.quick@pwc.com</v>
      </c>
      <c r="P423" s="3" t="str">
        <f>IFERROR(__xludf.DUMMYFUNCTION("""COMPUTED_VALUE"""),"No")</f>
        <v>No</v>
      </c>
      <c r="Q423" s="3" t="b">
        <f>IFERROR(__xludf.DUMMYFUNCTION("""COMPUTED_VALUE"""),FALSE)</f>
        <v>0</v>
      </c>
      <c r="R423" s="3"/>
      <c r="S423" s="3"/>
      <c r="T423" s="3" t="b">
        <f>IFERROR(__xludf.DUMMYFUNCTION("""COMPUTED_VALUE"""),FALSE)</f>
        <v>0</v>
      </c>
      <c r="U423" s="3" t="b">
        <f>IFERROR(__xludf.DUMMYFUNCTION("""COMPUTED_VALUE"""),TRUE)</f>
        <v>1</v>
      </c>
      <c r="V423" s="3" t="b">
        <f>IFERROR(__xludf.DUMMYFUNCTION("""COMPUTED_VALUE"""),FALSE)</f>
        <v>0</v>
      </c>
      <c r="W423" s="3" t="str">
        <f>IFERROR(__xludf.DUMMYFUNCTION("""COMPUTED_VALUE"""),"Delivery")</f>
        <v>Delivery</v>
      </c>
      <c r="X423" s="3"/>
      <c r="Y423" s="3"/>
      <c r="Z423" s="3" t="str">
        <f>IFERROR(__xludf.DUMMYFUNCTION("""COMPUTED_VALUE"""),"Insurance Transformation")</f>
        <v>Insurance Transformation</v>
      </c>
      <c r="AA423" s="3" t="b">
        <f>IFERROR(__xludf.DUMMYFUNCTION("""COMPUTED_VALUE"""),FALSE)</f>
        <v>0</v>
      </c>
    </row>
    <row r="424">
      <c r="A424" s="11">
        <f>IFERROR(__xludf.DUMMYFUNCTION("""COMPUTED_VALUE"""),1.00593964E8)</f>
        <v>100593964</v>
      </c>
      <c r="B424" s="3" t="str">
        <f>IFERROR(__xludf.DUMMYFUNCTION("""COMPUTED_VALUE"""),"Marla Graeber")</f>
        <v>Marla Graeber</v>
      </c>
      <c r="C424" s="3" t="str">
        <f>IFERROR(__xludf.DUMMYFUNCTION("""COMPUTED_VALUE"""),"Marla A Graeber")</f>
        <v>Marla A Graeber</v>
      </c>
      <c r="D424" s="3" t="str">
        <f>IFERROR(__xludf.DUMMYFUNCTION("""COMPUTED_VALUE"""),"Graeber, Marla A")</f>
        <v>Graeber, Marla A</v>
      </c>
      <c r="E424" s="3" t="str">
        <f>IFERROR(__xludf.DUMMYFUNCTION("""COMPUTED_VALUE"""),"Active")</f>
        <v>Active</v>
      </c>
      <c r="F424" s="3" t="str">
        <f>IFERROR(__xludf.DUMMYFUNCTION("""COMPUTED_VALUE"""),"marla.a.graeber@pwc.com")</f>
        <v>marla.a.graeber@pwc.com</v>
      </c>
      <c r="G424" s="3" t="str">
        <f>IFERROR(__xludf.DUMMYFUNCTION("""COMPUTED_VALUE"""),"Health")</f>
        <v>Health</v>
      </c>
      <c r="H424" s="3" t="str">
        <f>IFERROR(__xludf.DUMMYFUNCTION("""COMPUTED_VALUE"""),"Health Services")</f>
        <v>Health Services</v>
      </c>
      <c r="I424" s="3" t="str">
        <f>IFERROR(__xludf.DUMMYFUNCTION("""COMPUTED_VALUE"""),"Health - Provider ERP")</f>
        <v>Health - Provider ERP</v>
      </c>
      <c r="J424" s="3" t="str">
        <f>IFERROR(__xludf.DUMMYFUNCTION("""COMPUTED_VALUE"""),"Partner")</f>
        <v>Partner</v>
      </c>
      <c r="K424" s="12">
        <f>IFERROR(__xludf.DUMMYFUNCTION("""COMPUTED_VALUE"""),34526.0)</f>
        <v>34526</v>
      </c>
      <c r="L424" s="3" t="str">
        <f>IFERROR(__xludf.DUMMYFUNCTION("""COMPUTED_VALUE"""),"Philadelphia")</f>
        <v>Philadelphia</v>
      </c>
      <c r="M424" s="3" t="str">
        <f>IFERROR(__xludf.DUMMYFUNCTION("""COMPUTED_VALUE"""),"Philadelphia - Two Commerce Square, Suite 1800")</f>
        <v>Philadelphia - Two Commerce Square, Suite 1800</v>
      </c>
      <c r="N424" s="3" t="b">
        <f>IFERROR(__xludf.DUMMYFUNCTION("""COMPUTED_VALUE"""),FALSE)</f>
        <v>0</v>
      </c>
      <c r="O424" s="3" t="str">
        <f>IFERROR(__xludf.DUMMYFUNCTION("""COMPUTED_VALUE"""),"craig.e.gooch@pwc.com")</f>
        <v>craig.e.gooch@pwc.com</v>
      </c>
      <c r="P424" s="3" t="str">
        <f>IFERROR(__xludf.DUMMYFUNCTION("""COMPUTED_VALUE"""),"No")</f>
        <v>No</v>
      </c>
      <c r="Q424" s="3" t="b">
        <f>IFERROR(__xludf.DUMMYFUNCTION("""COMPUTED_VALUE"""),FALSE)</f>
        <v>0</v>
      </c>
      <c r="R424" s="3"/>
      <c r="S424" s="3"/>
      <c r="T424" s="3" t="b">
        <f>IFERROR(__xludf.DUMMYFUNCTION("""COMPUTED_VALUE"""),FALSE)</f>
        <v>0</v>
      </c>
      <c r="U424" s="3" t="b">
        <f>IFERROR(__xludf.DUMMYFUNCTION("""COMPUTED_VALUE"""),TRUE)</f>
        <v>1</v>
      </c>
      <c r="V424" s="3" t="b">
        <f>IFERROR(__xludf.DUMMYFUNCTION("""COMPUTED_VALUE"""),FALSE)</f>
        <v>0</v>
      </c>
      <c r="W424" s="3" t="str">
        <f>IFERROR(__xludf.DUMMYFUNCTION("""COMPUTED_VALUE"""),"Delivery")</f>
        <v>Delivery</v>
      </c>
      <c r="X424" s="3" t="str">
        <f>IFERROR(__xludf.DUMMYFUNCTION("""COMPUTED_VALUE"""),"Investment")</f>
        <v>Investment</v>
      </c>
      <c r="Y424" s="3"/>
      <c r="Z424" s="3" t="str">
        <f>IFERROR(__xludf.DUMMYFUNCTION("""COMPUTED_VALUE"""),"Provider Transformation")</f>
        <v>Provider Transformation</v>
      </c>
      <c r="AA424" s="3" t="b">
        <f>IFERROR(__xludf.DUMMYFUNCTION("""COMPUTED_VALUE"""),TRUE)</f>
        <v>1</v>
      </c>
    </row>
    <row r="425">
      <c r="A425" s="11">
        <f>IFERROR(__xludf.DUMMYFUNCTION("""COMPUTED_VALUE"""),1.01245111E8)</f>
        <v>101245111</v>
      </c>
      <c r="B425" s="3" t="str">
        <f>IFERROR(__xludf.DUMMYFUNCTION("""COMPUTED_VALUE"""),"Martin Smit")</f>
        <v>Martin Smit</v>
      </c>
      <c r="C425" s="3" t="str">
        <f>IFERROR(__xludf.DUMMYFUNCTION("""COMPUTED_VALUE"""),"Martin Smit")</f>
        <v>Martin Smit</v>
      </c>
      <c r="D425" s="3" t="str">
        <f>IFERROR(__xludf.DUMMYFUNCTION("""COMPUTED_VALUE"""),"Smit, Martin")</f>
        <v>Smit, Martin</v>
      </c>
      <c r="E425" s="3" t="str">
        <f>IFERROR(__xludf.DUMMYFUNCTION("""COMPUTED_VALUE"""),"Active")</f>
        <v>Active</v>
      </c>
      <c r="F425" s="3" t="str">
        <f>IFERROR(__xludf.DUMMYFUNCTION("""COMPUTED_VALUE"""),"martin.g.smit@pwc.com")</f>
        <v>martin.g.smit@pwc.com</v>
      </c>
      <c r="G425" s="3" t="str">
        <f>IFERROR(__xludf.DUMMYFUNCTION("""COMPUTED_VALUE"""),"FS")</f>
        <v>FS</v>
      </c>
      <c r="H425" s="3" t="str">
        <f>IFERROR(__xludf.DUMMYFUNCTION("""COMPUTED_VALUE"""),"Insurance")</f>
        <v>Insurance</v>
      </c>
      <c r="I425" s="3" t="str">
        <f>IFERROR(__xludf.DUMMYFUNCTION("""COMPUTED_VALUE"""),"Unknown")</f>
        <v>Unknown</v>
      </c>
      <c r="J425" s="3" t="str">
        <f>IFERROR(__xludf.DUMMYFUNCTION("""COMPUTED_VALUE"""),"Partner")</f>
        <v>Partner</v>
      </c>
      <c r="K425" s="12">
        <f>IFERROR(__xludf.DUMMYFUNCTION("""COMPUTED_VALUE"""),44711.0)</f>
        <v>44711</v>
      </c>
      <c r="L425" s="3" t="str">
        <f>IFERROR(__xludf.DUMMYFUNCTION("""COMPUTED_VALUE"""),"New York")</f>
        <v>New York</v>
      </c>
      <c r="M425" s="3" t="str">
        <f>IFERROR(__xludf.DUMMYFUNCTION("""COMPUTED_VALUE"""),"Unknown")</f>
        <v>Unknown</v>
      </c>
      <c r="N425" s="3" t="str">
        <f>IFERROR(__xludf.DUMMYFUNCTION("""COMPUTED_VALUE"""),"Unknown")</f>
        <v>Unknown</v>
      </c>
      <c r="O425" s="3" t="str">
        <f>IFERROR(__xludf.DUMMYFUNCTION("""COMPUTED_VALUE"""),"Unknown")</f>
        <v>Unknown</v>
      </c>
      <c r="P425" s="3" t="str">
        <f>IFERROR(__xludf.DUMMYFUNCTION("""COMPUTED_VALUE"""),"FY22")</f>
        <v>FY22</v>
      </c>
      <c r="Q425" s="3" t="str">
        <f>IFERROR(__xludf.DUMMYFUNCTION("""COMPUTED_VALUE"""),"Unknown")</f>
        <v>Unknown</v>
      </c>
      <c r="R425" s="3" t="str">
        <f>IFERROR(__xludf.DUMMYFUNCTION("""COMPUTED_VALUE"""),"Unknown")</f>
        <v>Unknown</v>
      </c>
      <c r="S425" s="3"/>
      <c r="T425" s="3" t="str">
        <f>IFERROR(__xludf.DUMMYFUNCTION("""COMPUTED_VALUE"""),"Unknown")</f>
        <v>Unknown</v>
      </c>
      <c r="U425" s="3" t="str">
        <f>IFERROR(__xludf.DUMMYFUNCTION("""COMPUTED_VALUE"""),"Unknown")</f>
        <v>Unknown</v>
      </c>
      <c r="V425" s="3" t="str">
        <f>IFERROR(__xludf.DUMMYFUNCTION("""COMPUTED_VALUE"""),"Unknown")</f>
        <v>Unknown</v>
      </c>
      <c r="W425" s="3" t="str">
        <f>IFERROR(__xludf.DUMMYFUNCTION("""COMPUTED_VALUE"""),"Catalyst")</f>
        <v>Catalyst</v>
      </c>
      <c r="X425" s="3" t="str">
        <f>IFERROR(__xludf.DUMMYFUNCTION("""COMPUTED_VALUE"""),"Unknown")</f>
        <v>Unknown</v>
      </c>
      <c r="Y425" s="3" t="str">
        <f>IFERROR(__xludf.DUMMYFUNCTION("""COMPUTED_VALUE"""),"Unknown")</f>
        <v>Unknown</v>
      </c>
      <c r="Z425" s="3" t="str">
        <f>IFERROR(__xludf.DUMMYFUNCTION("""COMPUTED_VALUE"""),"Unknown")</f>
        <v>Unknown</v>
      </c>
      <c r="AA425" s="3" t="str">
        <f>IFERROR(__xludf.DUMMYFUNCTION("""COMPUTED_VALUE"""),"Unknown")</f>
        <v>Unknown</v>
      </c>
    </row>
    <row r="426">
      <c r="A426" s="11">
        <f>IFERROR(__xludf.DUMMYFUNCTION("""COMPUTED_VALUE"""),1.0060792E8)</f>
        <v>100607920</v>
      </c>
      <c r="B426" s="3" t="str">
        <f>IFERROR(__xludf.DUMMYFUNCTION("""COMPUTED_VALUE"""),"Martin Touhey")</f>
        <v>Martin Touhey</v>
      </c>
      <c r="C426" s="3" t="str">
        <f>IFERROR(__xludf.DUMMYFUNCTION("""COMPUTED_VALUE"""),"Martin  Touhey")</f>
        <v>Martin  Touhey</v>
      </c>
      <c r="D426" s="3" t="str">
        <f>IFERROR(__xludf.DUMMYFUNCTION("""COMPUTED_VALUE"""),"Touhey, Martin")</f>
        <v>Touhey, Martin</v>
      </c>
      <c r="E426" s="3" t="str">
        <f>IFERROR(__xludf.DUMMYFUNCTION("""COMPUTED_VALUE"""),"Active")</f>
        <v>Active</v>
      </c>
      <c r="F426" s="3" t="str">
        <f>IFERROR(__xludf.DUMMYFUNCTION("""COMPUTED_VALUE"""),"martin.e.touhey@pwc.com")</f>
        <v>martin.e.touhey@pwc.com</v>
      </c>
      <c r="G426" s="3" t="str">
        <f>IFERROR(__xludf.DUMMYFUNCTION("""COMPUTED_VALUE"""),"FS")</f>
        <v>FS</v>
      </c>
      <c r="H426" s="3" t="str">
        <f>IFERROR(__xludf.DUMMYFUNCTION("""COMPUTED_VALUE"""),"Banking and Capital Markets")</f>
        <v>Banking and Capital Markets</v>
      </c>
      <c r="I426" s="3" t="str">
        <f>IFERROR(__xludf.DUMMYFUNCTION("""COMPUTED_VALUE"""),"FS - Banking and Capital Markets")</f>
        <v>FS - Banking and Capital Markets</v>
      </c>
      <c r="J426" s="3" t="str">
        <f>IFERROR(__xludf.DUMMYFUNCTION("""COMPUTED_VALUE"""),"Partner")</f>
        <v>Partner</v>
      </c>
      <c r="K426" s="12">
        <f>IFERROR(__xludf.DUMMYFUNCTION("""COMPUTED_VALUE"""),36800.0)</f>
        <v>36800</v>
      </c>
      <c r="L426" s="3" t="str">
        <f>IFERROR(__xludf.DUMMYFUNCTION("""COMPUTED_VALUE"""),"Boston")</f>
        <v>Boston</v>
      </c>
      <c r="M426" s="3" t="str">
        <f>IFERROR(__xludf.DUMMYFUNCTION("""COMPUTED_VALUE"""),"Boston - 101 Seaport Boulevard")</f>
        <v>Boston - 101 Seaport Boulevard</v>
      </c>
      <c r="N426" s="3" t="b">
        <f>IFERROR(__xludf.DUMMYFUNCTION("""COMPUTED_VALUE"""),TRUE)</f>
        <v>1</v>
      </c>
      <c r="O426" s="3" t="str">
        <f>IFERROR(__xludf.DUMMYFUNCTION("""COMPUTED_VALUE"""),"alison.hoover@pwc.com")</f>
        <v>alison.hoover@pwc.com</v>
      </c>
      <c r="P426" s="3" t="str">
        <f>IFERROR(__xludf.DUMMYFUNCTION("""COMPUTED_VALUE"""),"No")</f>
        <v>No</v>
      </c>
      <c r="Q426" s="3" t="b">
        <f>IFERROR(__xludf.DUMMYFUNCTION("""COMPUTED_VALUE"""),FALSE)</f>
        <v>0</v>
      </c>
      <c r="R426" s="3"/>
      <c r="S426" s="3"/>
      <c r="T426" s="3" t="b">
        <f>IFERROR(__xludf.DUMMYFUNCTION("""COMPUTED_VALUE"""),FALSE)</f>
        <v>0</v>
      </c>
      <c r="U426" s="3" t="b">
        <f>IFERROR(__xludf.DUMMYFUNCTION("""COMPUTED_VALUE"""),FALSE)</f>
        <v>0</v>
      </c>
      <c r="V426" s="3" t="b">
        <f>IFERROR(__xludf.DUMMYFUNCTION("""COMPUTED_VALUE"""),FALSE)</f>
        <v>0</v>
      </c>
      <c r="W426" s="3" t="str">
        <f>IFERROR(__xludf.DUMMYFUNCTION("""COMPUTED_VALUE"""),"Delivery")</f>
        <v>Delivery</v>
      </c>
      <c r="X426" s="3"/>
      <c r="Y426" s="3" t="str">
        <f>IFERROR(__xludf.DUMMYFUNCTION("""COMPUTED_VALUE"""),"Point Partner")</f>
        <v>Point Partner</v>
      </c>
      <c r="Z426" s="3" t="str">
        <f>IFERROR(__xludf.DUMMYFUNCTION("""COMPUTED_VALUE"""),"Banking Transformation")</f>
        <v>Banking Transformation</v>
      </c>
      <c r="AA426" s="3" t="b">
        <f>IFERROR(__xludf.DUMMYFUNCTION("""COMPUTED_VALUE"""),FALSE)</f>
        <v>0</v>
      </c>
    </row>
    <row r="427">
      <c r="A427" s="11">
        <f>IFERROR(__xludf.DUMMYFUNCTION("""COMPUTED_VALUE"""),1.00609607E8)</f>
        <v>100609607</v>
      </c>
      <c r="B427" s="3" t="str">
        <f>IFERROR(__xludf.DUMMYFUNCTION("""COMPUTED_VALUE"""),"Marty Makulski")</f>
        <v>Marty Makulski</v>
      </c>
      <c r="C427" s="3" t="str">
        <f>IFERROR(__xludf.DUMMYFUNCTION("""COMPUTED_VALUE"""),"Martin  Makulski")</f>
        <v>Martin  Makulski</v>
      </c>
      <c r="D427" s="3" t="str">
        <f>IFERROR(__xludf.DUMMYFUNCTION("""COMPUTED_VALUE"""),"Makulski, Martin")</f>
        <v>Makulski, Martin</v>
      </c>
      <c r="E427" s="3" t="str">
        <f>IFERROR(__xludf.DUMMYFUNCTION("""COMPUTED_VALUE"""),"Active")</f>
        <v>Active</v>
      </c>
      <c r="F427" s="3" t="str">
        <f>IFERROR(__xludf.DUMMYFUNCTION("""COMPUTED_VALUE"""),"marty.makulski@pwc.com")</f>
        <v>marty.makulski@pwc.com</v>
      </c>
      <c r="G427" s="3" t="str">
        <f>IFERROR(__xludf.DUMMYFUNCTION("""COMPUTED_VALUE"""),"Ops")</f>
        <v>Ops</v>
      </c>
      <c r="H427" s="3" t="str">
        <f>IFERROR(__xludf.DUMMYFUNCTION("""COMPUTED_VALUE"""),"Energy")</f>
        <v>Energy</v>
      </c>
      <c r="I427" s="3" t="str">
        <f>IFERROR(__xludf.DUMMYFUNCTION("""COMPUTED_VALUE"""),"Ops - Org Strategy Strategy &amp; Solutions (OSS)")</f>
        <v>Ops - Org Strategy Strategy &amp; Solutions (OSS)</v>
      </c>
      <c r="J427" s="3" t="str">
        <f>IFERROR(__xludf.DUMMYFUNCTION("""COMPUTED_VALUE"""),"Partner")</f>
        <v>Partner</v>
      </c>
      <c r="K427" s="12">
        <f>IFERROR(__xludf.DUMMYFUNCTION("""COMPUTED_VALUE"""),41890.0)</f>
        <v>41890</v>
      </c>
      <c r="L427" s="3" t="str">
        <f>IFERROR(__xludf.DUMMYFUNCTION("""COMPUTED_VALUE"""),"Houston")</f>
        <v>Houston</v>
      </c>
      <c r="M427" s="3" t="str">
        <f>IFERROR(__xludf.DUMMYFUNCTION("""COMPUTED_VALUE"""),"Houston - 1000 Louisiana Street")</f>
        <v>Houston - 1000 Louisiana Street</v>
      </c>
      <c r="N427" s="3" t="b">
        <f>IFERROR(__xludf.DUMMYFUNCTION("""COMPUTED_VALUE"""),FALSE)</f>
        <v>0</v>
      </c>
      <c r="O427" s="3" t="str">
        <f>IFERROR(__xludf.DUMMYFUNCTION("""COMPUTED_VALUE"""),"matthew.r.comte@pwc.com")</f>
        <v>matthew.r.comte@pwc.com</v>
      </c>
      <c r="P427" s="3" t="str">
        <f>IFERROR(__xludf.DUMMYFUNCTION("""COMPUTED_VALUE"""),"No")</f>
        <v>No</v>
      </c>
      <c r="Q427" s="3" t="b">
        <f>IFERROR(__xludf.DUMMYFUNCTION("""COMPUTED_VALUE"""),TRUE)</f>
        <v>1</v>
      </c>
      <c r="R427" s="3" t="str">
        <f>IFERROR(__xludf.DUMMYFUNCTION("""COMPUTED_VALUE"""),"LCP Low")</f>
        <v>LCP Low</v>
      </c>
      <c r="S427" s="3"/>
      <c r="T427" s="3" t="b">
        <f>IFERROR(__xludf.DUMMYFUNCTION("""COMPUTED_VALUE"""),FALSE)</f>
        <v>0</v>
      </c>
      <c r="U427" s="3" t="b">
        <f>IFERROR(__xludf.DUMMYFUNCTION("""COMPUTED_VALUE"""),FALSE)</f>
        <v>0</v>
      </c>
      <c r="V427" s="3" t="b">
        <f>IFERROR(__xludf.DUMMYFUNCTION("""COMPUTED_VALUE"""),FALSE)</f>
        <v>0</v>
      </c>
      <c r="W427" s="3" t="str">
        <f>IFERROR(__xludf.DUMMYFUNCTION("""COMPUTED_VALUE"""),"LCP")</f>
        <v>LCP</v>
      </c>
      <c r="X427" s="3"/>
      <c r="Y427" s="3" t="str">
        <f>IFERROR(__xludf.DUMMYFUNCTION("""COMPUTED_VALUE"""),"GEP - Low")</f>
        <v>GEP - Low</v>
      </c>
      <c r="Z427" s="3" t="str">
        <f>IFERROR(__xludf.DUMMYFUNCTION("""COMPUTED_VALUE"""),"EUM + Telecom Ops Transformation")</f>
        <v>EUM + Telecom Ops Transformation</v>
      </c>
      <c r="AA427" s="3" t="b">
        <f>IFERROR(__xludf.DUMMYFUNCTION("""COMPUTED_VALUE"""),FALSE)</f>
        <v>0</v>
      </c>
    </row>
    <row r="428">
      <c r="A428" s="11">
        <f>IFERROR(__xludf.DUMMYFUNCTION("""COMPUTED_VALUE"""),1.01152213E8)</f>
        <v>101152213</v>
      </c>
      <c r="B428" s="3" t="str">
        <f>IFERROR(__xludf.DUMMYFUNCTION("""COMPUTED_VALUE"""),"Mary Beth Mikols")</f>
        <v>Mary Beth Mikols</v>
      </c>
      <c r="C428" s="3" t="str">
        <f>IFERROR(__xludf.DUMMYFUNCTION("""COMPUTED_VALUE"""),"Mary Elizabeth Mikols")</f>
        <v>Mary Elizabeth Mikols</v>
      </c>
      <c r="D428" s="3" t="str">
        <f>IFERROR(__xludf.DUMMYFUNCTION("""COMPUTED_VALUE"""),"Mikols, Mary Elizabeth")</f>
        <v>Mikols, Mary Elizabeth</v>
      </c>
      <c r="E428" s="3" t="str">
        <f>IFERROR(__xludf.DUMMYFUNCTION("""COMPUTED_VALUE"""),"Active")</f>
        <v>Active</v>
      </c>
      <c r="F428" s="3" t="str">
        <f>IFERROR(__xludf.DUMMYFUNCTION("""COMPUTED_VALUE"""),"mary.beth.mikols@pwc.com")</f>
        <v>mary.beth.mikols@pwc.com</v>
      </c>
      <c r="G428" s="3" t="str">
        <f>IFERROR(__xludf.DUMMYFUNCTION("""COMPUTED_VALUE"""),"Health")</f>
        <v>Health</v>
      </c>
      <c r="H428" s="3" t="str">
        <f>IFERROR(__xludf.DUMMYFUNCTION("""COMPUTED_VALUE"""),"Health Services")</f>
        <v>Health Services</v>
      </c>
      <c r="I428" s="3" t="str">
        <f>IFERROR(__xludf.DUMMYFUNCTION("""COMPUTED_VALUE"""),"Health - Provider FFG")</f>
        <v>Health - Provider FFG</v>
      </c>
      <c r="J428" s="3" t="str">
        <f>IFERROR(__xludf.DUMMYFUNCTION("""COMPUTED_VALUE"""),"Managing Director")</f>
        <v>Managing Director</v>
      </c>
      <c r="K428" s="12">
        <f>IFERROR(__xludf.DUMMYFUNCTION("""COMPUTED_VALUE"""),44516.0)</f>
        <v>44516</v>
      </c>
      <c r="L428" s="3" t="str">
        <f>IFERROR(__xludf.DUMMYFUNCTION("""COMPUTED_VALUE"""),"Detroit")</f>
        <v>Detroit</v>
      </c>
      <c r="M428" s="3" t="str">
        <f>IFERROR(__xludf.DUMMYFUNCTION("""COMPUTED_VALUE"""),"Detroit - 500 Woodward Avenue")</f>
        <v>Detroit - 500 Woodward Avenue</v>
      </c>
      <c r="N428" s="3" t="b">
        <f>IFERROR(__xludf.DUMMYFUNCTION("""COMPUTED_VALUE"""),FALSE)</f>
        <v>0</v>
      </c>
      <c r="O428" s="3" t="str">
        <f>IFERROR(__xludf.DUMMYFUNCTION("""COMPUTED_VALUE"""),"craig.e.gooch@pwc.com")</f>
        <v>craig.e.gooch@pwc.com</v>
      </c>
      <c r="P428" s="3" t="str">
        <f>IFERROR(__xludf.DUMMYFUNCTION("""COMPUTED_VALUE"""),"FY22")</f>
        <v>FY22</v>
      </c>
      <c r="Q428" s="3" t="b">
        <f>IFERROR(__xludf.DUMMYFUNCTION("""COMPUTED_VALUE"""),FALSE)</f>
        <v>0</v>
      </c>
      <c r="R428" s="3"/>
      <c r="S428" s="3"/>
      <c r="T428" s="3" t="b">
        <f>IFERROR(__xludf.DUMMYFUNCTION("""COMPUTED_VALUE"""),FALSE)</f>
        <v>0</v>
      </c>
      <c r="U428" s="3" t="b">
        <f>IFERROR(__xludf.DUMMYFUNCTION("""COMPUTED_VALUE"""),FALSE)</f>
        <v>0</v>
      </c>
      <c r="V428" s="3" t="b">
        <f>IFERROR(__xludf.DUMMYFUNCTION("""COMPUTED_VALUE"""),TRUE)</f>
        <v>1</v>
      </c>
      <c r="W428" s="3" t="str">
        <f>IFERROR(__xludf.DUMMYFUNCTION("""COMPUTED_VALUE"""),"Catalyst")</f>
        <v>Catalyst</v>
      </c>
      <c r="X428" s="3"/>
      <c r="Y428" s="3" t="str">
        <f>IFERROR(__xludf.DUMMYFUNCTION("""COMPUTED_VALUE"""),"FY22")</f>
        <v>FY22</v>
      </c>
      <c r="Z428" s="3" t="str">
        <f>IFERROR(__xludf.DUMMYFUNCTION("""COMPUTED_VALUE"""),"Provider Transformation")</f>
        <v>Provider Transformation</v>
      </c>
      <c r="AA428" s="3" t="b">
        <f>IFERROR(__xludf.DUMMYFUNCTION("""COMPUTED_VALUE"""),FALSE)</f>
        <v>0</v>
      </c>
    </row>
    <row r="429">
      <c r="A429" s="11">
        <f>IFERROR(__xludf.DUMMYFUNCTION("""COMPUTED_VALUE"""),1.00611272E8)</f>
        <v>100611272</v>
      </c>
      <c r="B429" s="3" t="str">
        <f>IFERROR(__xludf.DUMMYFUNCTION("""COMPUTED_VALUE"""),"Masahiro Ozaki")</f>
        <v>Masahiro Ozaki</v>
      </c>
      <c r="C429" s="3" t="str">
        <f>IFERROR(__xludf.DUMMYFUNCTION("""COMPUTED_VALUE"""),"Masahiro  Ozaki")</f>
        <v>Masahiro  Ozaki</v>
      </c>
      <c r="D429" s="3" t="str">
        <f>IFERROR(__xludf.DUMMYFUNCTION("""COMPUTED_VALUE"""),"Ozaki, Masahiro")</f>
        <v>Ozaki, Masahiro</v>
      </c>
      <c r="E429" s="3" t="str">
        <f>IFERROR(__xludf.DUMMYFUNCTION("""COMPUTED_VALUE"""),"Active")</f>
        <v>Active</v>
      </c>
      <c r="F429" s="3" t="str">
        <f>IFERROR(__xludf.DUMMYFUNCTION("""COMPUTED_VALUE"""),"masahiro.ozaki@pwc.com")</f>
        <v>masahiro.ozaki@pwc.com</v>
      </c>
      <c r="G429" s="3" t="str">
        <f>IFERROR(__xludf.DUMMYFUNCTION("""COMPUTED_VALUE"""),"Ops")</f>
        <v>Ops</v>
      </c>
      <c r="H429" s="3" t="str">
        <f>IFERROR(__xludf.DUMMYFUNCTION("""COMPUTED_VALUE"""),"TMT X-Sector")</f>
        <v>TMT X-Sector</v>
      </c>
      <c r="I429" s="3" t="str">
        <f>IFERROR(__xludf.DUMMYFUNCTION("""COMPUTED_VALUE"""),"Ops - Product Development &amp; Manufacturing (PDM)")</f>
        <v>Ops - Product Development &amp; Manufacturing (PDM)</v>
      </c>
      <c r="J429" s="3" t="str">
        <f>IFERROR(__xludf.DUMMYFUNCTION("""COMPUTED_VALUE"""),"Partner (Position Vacate:06/30/2022)")</f>
        <v>Partner (Position Vacate:06/30/2022)</v>
      </c>
      <c r="K429" s="12">
        <f>IFERROR(__xludf.DUMMYFUNCTION("""COMPUTED_VALUE"""),40777.0)</f>
        <v>40777</v>
      </c>
      <c r="L429" s="3" t="str">
        <f>IFERROR(__xludf.DUMMYFUNCTION("""COMPUTED_VALUE"""),"New York")</f>
        <v>New York</v>
      </c>
      <c r="M429" s="3" t="str">
        <f>IFERROR(__xludf.DUMMYFUNCTION("""COMPUTED_VALUE"""),"New York - 300 Madison Avenue")</f>
        <v>New York - 300 Madison Avenue</v>
      </c>
      <c r="N429" s="3" t="b">
        <f>IFERROR(__xludf.DUMMYFUNCTION("""COMPUTED_VALUE"""),FALSE)</f>
        <v>0</v>
      </c>
      <c r="O429" s="3" t="str">
        <f>IFERROR(__xludf.DUMMYFUNCTION("""COMPUTED_VALUE"""),"matthew.r.comte@pwc.com")</f>
        <v>matthew.r.comte@pwc.com</v>
      </c>
      <c r="P429" s="3" t="str">
        <f>IFERROR(__xludf.DUMMYFUNCTION("""COMPUTED_VALUE"""),"No")</f>
        <v>No</v>
      </c>
      <c r="Q429" s="3" t="b">
        <f>IFERROR(__xludf.DUMMYFUNCTION("""COMPUTED_VALUE"""),FALSE)</f>
        <v>0</v>
      </c>
      <c r="R429" s="3"/>
      <c r="S429" s="3"/>
      <c r="T429" s="3" t="b">
        <f>IFERROR(__xludf.DUMMYFUNCTION("""COMPUTED_VALUE"""),FALSE)</f>
        <v>0</v>
      </c>
      <c r="U429" s="3" t="b">
        <f>IFERROR(__xludf.DUMMYFUNCTION("""COMPUTED_VALUE"""),TRUE)</f>
        <v>1</v>
      </c>
      <c r="V429" s="3" t="b">
        <f>IFERROR(__xludf.DUMMYFUNCTION("""COMPUTED_VALUE"""),FALSE)</f>
        <v>0</v>
      </c>
      <c r="W429" s="3" t="str">
        <f>IFERROR(__xludf.DUMMYFUNCTION("""COMPUTED_VALUE"""),"Delivery")</f>
        <v>Delivery</v>
      </c>
      <c r="X429" s="3"/>
      <c r="Y429" s="3"/>
      <c r="Z429" s="3" t="str">
        <f>IFERROR(__xludf.DUMMYFUNCTION("""COMPUTED_VALUE"""),"PLS Ops Transformation")</f>
        <v>PLS Ops Transformation</v>
      </c>
      <c r="AA429" s="3" t="b">
        <f>IFERROR(__xludf.DUMMYFUNCTION("""COMPUTED_VALUE"""),FALSE)</f>
        <v>0</v>
      </c>
    </row>
    <row r="430">
      <c r="A430" s="11">
        <f>IFERROR(__xludf.DUMMYFUNCTION("""COMPUTED_VALUE"""),1.00660828E8)</f>
        <v>100660828</v>
      </c>
      <c r="B430" s="3" t="str">
        <f>IFERROR(__xludf.DUMMYFUNCTION("""COMPUTED_VALUE"""),"Matamba Austin")</f>
        <v>Matamba Austin</v>
      </c>
      <c r="C430" s="3" t="str">
        <f>IFERROR(__xludf.DUMMYFUNCTION("""COMPUTED_VALUE"""),"Matamba F Austin")</f>
        <v>Matamba F Austin</v>
      </c>
      <c r="D430" s="3" t="str">
        <f>IFERROR(__xludf.DUMMYFUNCTION("""COMPUTED_VALUE"""),"Austin, Matamba F")</f>
        <v>Austin, Matamba F</v>
      </c>
      <c r="E430" s="3" t="str">
        <f>IFERROR(__xludf.DUMMYFUNCTION("""COMPUTED_VALUE"""),"Active")</f>
        <v>Active</v>
      </c>
      <c r="F430" s="3" t="str">
        <f>IFERROR(__xludf.DUMMYFUNCTION("""COMPUTED_VALUE"""),"matamba.austin@pwc.com")</f>
        <v>matamba.austin@pwc.com</v>
      </c>
      <c r="G430" s="3" t="str">
        <f>IFERROR(__xludf.DUMMYFUNCTION("""COMPUTED_VALUE"""),"Deals Transformation")</f>
        <v>Deals Transformation</v>
      </c>
      <c r="H430" s="3" t="str">
        <f>IFERROR(__xludf.DUMMYFUNCTION("""COMPUTED_VALUE"""),"Health Services")</f>
        <v>Health Services</v>
      </c>
      <c r="I430" s="3" t="str">
        <f>IFERROR(__xludf.DUMMYFUNCTION("""COMPUTED_VALUE"""),"DDV - GTM")</f>
        <v>DDV - GTM</v>
      </c>
      <c r="J430" s="3" t="str">
        <f>IFERROR(__xludf.DUMMYFUNCTION("""COMPUTED_VALUE"""),"Partner")</f>
        <v>Partner</v>
      </c>
      <c r="K430" s="12">
        <f>IFERROR(__xludf.DUMMYFUNCTION("""COMPUTED_VALUE"""),42625.0)</f>
        <v>42625</v>
      </c>
      <c r="L430" s="3" t="str">
        <f>IFERROR(__xludf.DUMMYFUNCTION("""COMPUTED_VALUE"""),"Dallas")</f>
        <v>Dallas</v>
      </c>
      <c r="M430" s="3" t="str">
        <f>IFERROR(__xludf.DUMMYFUNCTION("""COMPUTED_VALUE"""),"Dallas - 2121 North Pearl Street")</f>
        <v>Dallas - 2121 North Pearl Street</v>
      </c>
      <c r="N430" s="3" t="b">
        <f>IFERROR(__xludf.DUMMYFUNCTION("""COMPUTED_VALUE"""),FALSE)</f>
        <v>0</v>
      </c>
      <c r="O430" s="3" t="str">
        <f>IFERROR(__xludf.DUMMYFUNCTION("""COMPUTED_VALUE"""),"derek.b.townsend@pwc.com")</f>
        <v>derek.b.townsend@pwc.com</v>
      </c>
      <c r="P430" s="3" t="str">
        <f>IFERROR(__xludf.DUMMYFUNCTION("""COMPUTED_VALUE"""),"No")</f>
        <v>No</v>
      </c>
      <c r="Q430" s="3" t="b">
        <f>IFERROR(__xludf.DUMMYFUNCTION("""COMPUTED_VALUE"""),FALSE)</f>
        <v>0</v>
      </c>
      <c r="R430" s="3"/>
      <c r="S430" s="3"/>
      <c r="T430" s="3" t="b">
        <f>IFERROR(__xludf.DUMMYFUNCTION("""COMPUTED_VALUE"""),FALSE)</f>
        <v>0</v>
      </c>
      <c r="U430" s="3" t="b">
        <f>IFERROR(__xludf.DUMMYFUNCTION("""COMPUTED_VALUE"""),TRUE)</f>
        <v>1</v>
      </c>
      <c r="V430" s="3" t="b">
        <f>IFERROR(__xludf.DUMMYFUNCTION("""COMPUTED_VALUE"""),FALSE)</f>
        <v>0</v>
      </c>
      <c r="W430" s="3" t="str">
        <f>IFERROR(__xludf.DUMMYFUNCTION("""COMPUTED_VALUE"""),"Delivery")</f>
        <v>Delivery</v>
      </c>
      <c r="X430" s="3"/>
      <c r="Y430" s="3"/>
      <c r="Z430" s="3" t="str">
        <f>IFERROR(__xludf.DUMMYFUNCTION("""COMPUTED_VALUE"""),"Corporate M&amp;A Transformation Payer/Provider/Digital Health")</f>
        <v>Corporate M&amp;A Transformation Payer/Provider/Digital Health</v>
      </c>
      <c r="AA430" s="3" t="b">
        <f>IFERROR(__xludf.DUMMYFUNCTION("""COMPUTED_VALUE"""),FALSE)</f>
        <v>0</v>
      </c>
    </row>
    <row r="431">
      <c r="A431" s="11">
        <f>IFERROR(__xludf.DUMMYFUNCTION("""COMPUTED_VALUE"""),1.00632514E8)</f>
        <v>100632514</v>
      </c>
      <c r="B431" s="3" t="str">
        <f>IFERROR(__xludf.DUMMYFUNCTION("""COMPUTED_VALUE"""),"Matt Garnet")</f>
        <v>Matt Garnet</v>
      </c>
      <c r="C431" s="3" t="str">
        <f>IFERROR(__xludf.DUMMYFUNCTION("""COMPUTED_VALUE"""),"Matthew  Garnet")</f>
        <v>Matthew  Garnet</v>
      </c>
      <c r="D431" s="3" t="str">
        <f>IFERROR(__xludf.DUMMYFUNCTION("""COMPUTED_VALUE"""),"Garnet, Matthew")</f>
        <v>Garnet, Matthew</v>
      </c>
      <c r="E431" s="3" t="str">
        <f>IFERROR(__xludf.DUMMYFUNCTION("""COMPUTED_VALUE"""),"Active")</f>
        <v>Active</v>
      </c>
      <c r="F431" s="3" t="str">
        <f>IFERROR(__xludf.DUMMYFUNCTION("""COMPUTED_VALUE"""),"matthew.garnet@pwc.com")</f>
        <v>matthew.garnet@pwc.com</v>
      </c>
      <c r="G431" s="3" t="str">
        <f>IFERROR(__xludf.DUMMYFUNCTION("""COMPUTED_VALUE"""),"Deals Transformation")</f>
        <v>Deals Transformation</v>
      </c>
      <c r="H431" s="3" t="str">
        <f>IFERROR(__xludf.DUMMYFUNCTION("""COMPUTED_VALUE"""),"Health Services")</f>
        <v>Health Services</v>
      </c>
      <c r="I431" s="3" t="str">
        <f>IFERROR(__xludf.DUMMYFUNCTION("""COMPUTED_VALUE"""),"DDV - ISD (Integration, Separation, Divestitures)")</f>
        <v>DDV - ISD (Integration, Separation, Divestitures)</v>
      </c>
      <c r="J431" s="3" t="str">
        <f>IFERROR(__xludf.DUMMYFUNCTION("""COMPUTED_VALUE"""),"Partner")</f>
        <v>Partner</v>
      </c>
      <c r="K431" s="12">
        <f>IFERROR(__xludf.DUMMYFUNCTION("""COMPUTED_VALUE"""),39286.0)</f>
        <v>39286</v>
      </c>
      <c r="L431" s="3" t="str">
        <f>IFERROR(__xludf.DUMMYFUNCTION("""COMPUTED_VALUE"""),"New York")</f>
        <v>New York</v>
      </c>
      <c r="M431" s="3" t="str">
        <f>IFERROR(__xludf.DUMMYFUNCTION("""COMPUTED_VALUE"""),"New York - 300 Madison Avenue")</f>
        <v>New York - 300 Madison Avenue</v>
      </c>
      <c r="N431" s="3" t="b">
        <f>IFERROR(__xludf.DUMMYFUNCTION("""COMPUTED_VALUE"""),FALSE)</f>
        <v>0</v>
      </c>
      <c r="O431" s="3" t="str">
        <f>IFERROR(__xludf.DUMMYFUNCTION("""COMPUTED_VALUE"""),"derek.b.townsend@pwc.com")</f>
        <v>derek.b.townsend@pwc.com</v>
      </c>
      <c r="P431" s="3" t="str">
        <f>IFERROR(__xludf.DUMMYFUNCTION("""COMPUTED_VALUE"""),"No")</f>
        <v>No</v>
      </c>
      <c r="Q431" s="3" t="b">
        <f>IFERROR(__xludf.DUMMYFUNCTION("""COMPUTED_VALUE"""),FALSE)</f>
        <v>0</v>
      </c>
      <c r="R431" s="3"/>
      <c r="S431" s="3"/>
      <c r="T431" s="3" t="b">
        <f>IFERROR(__xludf.DUMMYFUNCTION("""COMPUTED_VALUE"""),FALSE)</f>
        <v>0</v>
      </c>
      <c r="U431" s="3" t="b">
        <f>IFERROR(__xludf.DUMMYFUNCTION("""COMPUTED_VALUE"""),TRUE)</f>
        <v>1</v>
      </c>
      <c r="V431" s="3" t="b">
        <f>IFERROR(__xludf.DUMMYFUNCTION("""COMPUTED_VALUE"""),FALSE)</f>
        <v>0</v>
      </c>
      <c r="W431" s="3" t="str">
        <f>IFERROR(__xludf.DUMMYFUNCTION("""COMPUTED_VALUE"""),"Delivery")</f>
        <v>Delivery</v>
      </c>
      <c r="X431" s="3"/>
      <c r="Y431" s="3"/>
      <c r="Z431" s="3" t="str">
        <f>IFERROR(__xludf.DUMMYFUNCTION("""COMPUTED_VALUE"""),"Corporate M&amp;A Transformation - PLS/Med Device")</f>
        <v>Corporate M&amp;A Transformation - PLS/Med Device</v>
      </c>
      <c r="AA431" s="3" t="b">
        <f>IFERROR(__xludf.DUMMYFUNCTION("""COMPUTED_VALUE"""),FALSE)</f>
        <v>0</v>
      </c>
    </row>
    <row r="432">
      <c r="A432" s="11">
        <f>IFERROR(__xludf.DUMMYFUNCTION("""COMPUTED_VALUE"""),1.00640377E8)</f>
        <v>100640377</v>
      </c>
      <c r="B432" s="3" t="str">
        <f>IFERROR(__xludf.DUMMYFUNCTION("""COMPUTED_VALUE"""),"Matt Grieco")</f>
        <v>Matt Grieco</v>
      </c>
      <c r="C432" s="3" t="str">
        <f>IFERROR(__xludf.DUMMYFUNCTION("""COMPUTED_VALUE"""),"Matthew V Grieco")</f>
        <v>Matthew V Grieco</v>
      </c>
      <c r="D432" s="3" t="str">
        <f>IFERROR(__xludf.DUMMYFUNCTION("""COMPUTED_VALUE"""),"Grieco, Matthew V")</f>
        <v>Grieco, Matthew V</v>
      </c>
      <c r="E432" s="3" t="str">
        <f>IFERROR(__xludf.DUMMYFUNCTION("""COMPUTED_VALUE"""),"Active")</f>
        <v>Active</v>
      </c>
      <c r="F432" s="3" t="str">
        <f>IFERROR(__xludf.DUMMYFUNCTION("""COMPUTED_VALUE"""),"matthew.v.grieco@pwc.com")</f>
        <v>matthew.v.grieco@pwc.com</v>
      </c>
      <c r="G432" s="3" t="str">
        <f>IFERROR(__xludf.DUMMYFUNCTION("""COMPUTED_VALUE"""),"Deals Transformation")</f>
        <v>Deals Transformation</v>
      </c>
      <c r="H432" s="3" t="str">
        <f>IFERROR(__xludf.DUMMYFUNCTION("""COMPUTED_VALUE"""),"CM X-Sector")</f>
        <v>CM X-Sector</v>
      </c>
      <c r="I432" s="3" t="str">
        <f>IFERROR(__xludf.DUMMYFUNCTION("""COMPUTED_VALUE"""),"DDV - GTM")</f>
        <v>DDV - GTM</v>
      </c>
      <c r="J432" s="3" t="str">
        <f>IFERROR(__xludf.DUMMYFUNCTION("""COMPUTED_VALUE"""),"Partner")</f>
        <v>Partner</v>
      </c>
      <c r="K432" s="12">
        <f>IFERROR(__xludf.DUMMYFUNCTION("""COMPUTED_VALUE"""),40049.0)</f>
        <v>40049</v>
      </c>
      <c r="L432" s="3" t="str">
        <f>IFERROR(__xludf.DUMMYFUNCTION("""COMPUTED_VALUE"""),"Boston")</f>
        <v>Boston</v>
      </c>
      <c r="M432" s="3" t="str">
        <f>IFERROR(__xludf.DUMMYFUNCTION("""COMPUTED_VALUE"""),"Boston - 101 Seaport Boulevard")</f>
        <v>Boston - 101 Seaport Boulevard</v>
      </c>
      <c r="N432" s="3" t="b">
        <f>IFERROR(__xludf.DUMMYFUNCTION("""COMPUTED_VALUE"""),FALSE)</f>
        <v>0</v>
      </c>
      <c r="O432" s="3" t="str">
        <f>IFERROR(__xludf.DUMMYFUNCTION("""COMPUTED_VALUE"""),"derek.b.townsend@pwc.com")</f>
        <v>derek.b.townsend@pwc.com</v>
      </c>
      <c r="P432" s="3" t="str">
        <f>IFERROR(__xludf.DUMMYFUNCTION("""COMPUTED_VALUE"""),"No")</f>
        <v>No</v>
      </c>
      <c r="Q432" s="3" t="b">
        <f>IFERROR(__xludf.DUMMYFUNCTION("""COMPUTED_VALUE"""),FALSE)</f>
        <v>0</v>
      </c>
      <c r="R432" s="3"/>
      <c r="S432" s="3"/>
      <c r="T432" s="3" t="b">
        <f>IFERROR(__xludf.DUMMYFUNCTION("""COMPUTED_VALUE"""),FALSE)</f>
        <v>0</v>
      </c>
      <c r="U432" s="3" t="b">
        <f>IFERROR(__xludf.DUMMYFUNCTION("""COMPUTED_VALUE"""),TRUE)</f>
        <v>1</v>
      </c>
      <c r="V432" s="3" t="b">
        <f>IFERROR(__xludf.DUMMYFUNCTION("""COMPUTED_VALUE"""),FALSE)</f>
        <v>0</v>
      </c>
      <c r="W432" s="3" t="str">
        <f>IFERROR(__xludf.DUMMYFUNCTION("""COMPUTED_VALUE"""),"Delivery")</f>
        <v>Delivery</v>
      </c>
      <c r="X432" s="3"/>
      <c r="Y432" s="3"/>
      <c r="Z432" s="3" t="str">
        <f>IFERROR(__xludf.DUMMYFUNCTION("""COMPUTED_VALUE"""),"Corporate M&amp;A Transformation - CM")</f>
        <v>Corporate M&amp;A Transformation - CM</v>
      </c>
      <c r="AA432" s="3" t="b">
        <f>IFERROR(__xludf.DUMMYFUNCTION("""COMPUTED_VALUE"""),FALSE)</f>
        <v>0</v>
      </c>
    </row>
    <row r="433">
      <c r="A433" s="11">
        <f>IFERROR(__xludf.DUMMYFUNCTION("""COMPUTED_VALUE"""),1.00610926E8)</f>
        <v>100610926</v>
      </c>
      <c r="B433" s="3" t="str">
        <f>IFERROR(__xludf.DUMMYFUNCTION("""COMPUTED_VALUE"""),"Matt McCurdy")</f>
        <v>Matt McCurdy</v>
      </c>
      <c r="C433" s="3" t="str">
        <f>IFERROR(__xludf.DUMMYFUNCTION("""COMPUTED_VALUE"""),"Matthew D McCurdy")</f>
        <v>Matthew D McCurdy</v>
      </c>
      <c r="D433" s="3" t="str">
        <f>IFERROR(__xludf.DUMMYFUNCTION("""COMPUTED_VALUE"""),"McCurdy, Matthew D")</f>
        <v>McCurdy, Matthew D</v>
      </c>
      <c r="E433" s="3" t="str">
        <f>IFERROR(__xludf.DUMMYFUNCTION("""COMPUTED_VALUE"""),"Active")</f>
        <v>Active</v>
      </c>
      <c r="F433" s="3" t="str">
        <f>IFERROR(__xludf.DUMMYFUNCTION("""COMPUTED_VALUE"""),"matthew.d.mccurdy@pwc.com")</f>
        <v>matthew.d.mccurdy@pwc.com</v>
      </c>
      <c r="G433" s="3" t="str">
        <f>IFERROR(__xludf.DUMMYFUNCTION("""COMPUTED_VALUE"""),"Deals Transformation")</f>
        <v>Deals Transformation</v>
      </c>
      <c r="H433" s="3" t="str">
        <f>IFERROR(__xludf.DUMMYFUNCTION("""COMPUTED_VALUE"""),"Chemicals")</f>
        <v>Chemicals</v>
      </c>
      <c r="I433" s="3" t="str">
        <f>IFERROR(__xludf.DUMMYFUNCTION("""COMPUTED_VALUE"""),"DDV - ISD (Integration, Separation, Divestitures)")</f>
        <v>DDV - ISD (Integration, Separation, Divestitures)</v>
      </c>
      <c r="J433" s="3" t="str">
        <f>IFERROR(__xludf.DUMMYFUNCTION("""COMPUTED_VALUE"""),"Partner")</f>
        <v>Partner</v>
      </c>
      <c r="K433" s="12">
        <f>IFERROR(__xludf.DUMMYFUNCTION("""COMPUTED_VALUE"""),36955.0)</f>
        <v>36955</v>
      </c>
      <c r="L433" s="3" t="str">
        <f>IFERROR(__xludf.DUMMYFUNCTION("""COMPUTED_VALUE"""),"Chicago")</f>
        <v>Chicago</v>
      </c>
      <c r="M433" s="3" t="str">
        <f>IFERROR(__xludf.DUMMYFUNCTION("""COMPUTED_VALUE"""),"Chicago - One North Wacker Drive")</f>
        <v>Chicago - One North Wacker Drive</v>
      </c>
      <c r="N433" s="3" t="b">
        <f>IFERROR(__xludf.DUMMYFUNCTION("""COMPUTED_VALUE"""),FALSE)</f>
        <v>0</v>
      </c>
      <c r="O433" s="3" t="str">
        <f>IFERROR(__xludf.DUMMYFUNCTION("""COMPUTED_VALUE"""),"derek.b.townsend@pwc.com")</f>
        <v>derek.b.townsend@pwc.com</v>
      </c>
      <c r="P433" s="3" t="str">
        <f>IFERROR(__xludf.DUMMYFUNCTION("""COMPUTED_VALUE"""),"No")</f>
        <v>No</v>
      </c>
      <c r="Q433" s="3" t="b">
        <f>IFERROR(__xludf.DUMMYFUNCTION("""COMPUTED_VALUE"""),FALSE)</f>
        <v>0</v>
      </c>
      <c r="R433" s="3"/>
      <c r="S433" s="3"/>
      <c r="T433" s="3" t="b">
        <f>IFERROR(__xludf.DUMMYFUNCTION("""COMPUTED_VALUE"""),FALSE)</f>
        <v>0</v>
      </c>
      <c r="U433" s="3" t="b">
        <f>IFERROR(__xludf.DUMMYFUNCTION("""COMPUTED_VALUE"""),TRUE)</f>
        <v>1</v>
      </c>
      <c r="V433" s="3" t="b">
        <f>IFERROR(__xludf.DUMMYFUNCTION("""COMPUTED_VALUE"""),FALSE)</f>
        <v>0</v>
      </c>
      <c r="W433" s="3" t="str">
        <f>IFERROR(__xludf.DUMMYFUNCTION("""COMPUTED_VALUE"""),"Delivery")</f>
        <v>Delivery</v>
      </c>
      <c r="X433" s="3"/>
      <c r="Y433" s="3"/>
      <c r="Z433" s="3" t="str">
        <f>IFERROR(__xludf.DUMMYFUNCTION("""COMPUTED_VALUE"""),"Corporate M&amp;A Transformation - IPS")</f>
        <v>Corporate M&amp;A Transformation - IPS</v>
      </c>
      <c r="AA433" s="3" t="b">
        <f>IFERROR(__xludf.DUMMYFUNCTION("""COMPUTED_VALUE"""),FALSE)</f>
        <v>0</v>
      </c>
    </row>
    <row r="434">
      <c r="A434" s="11">
        <f>IFERROR(__xludf.DUMMYFUNCTION("""COMPUTED_VALUE"""),1.00590659E8)</f>
        <v>100590659</v>
      </c>
      <c r="B434" s="3" t="str">
        <f>IFERROR(__xludf.DUMMYFUNCTION("""COMPUTED_VALUE"""),"Matthew Baltrus")</f>
        <v>Matthew Baltrus</v>
      </c>
      <c r="C434" s="3" t="str">
        <f>IFERROR(__xludf.DUMMYFUNCTION("""COMPUTED_VALUE"""),"Matthew J Baltrus")</f>
        <v>Matthew J Baltrus</v>
      </c>
      <c r="D434" s="3" t="str">
        <f>IFERROR(__xludf.DUMMYFUNCTION("""COMPUTED_VALUE"""),"Baltrus, Matthew J")</f>
        <v>Baltrus, Matthew J</v>
      </c>
      <c r="E434" s="3" t="str">
        <f>IFERROR(__xludf.DUMMYFUNCTION("""COMPUTED_VALUE"""),"Active")</f>
        <v>Active</v>
      </c>
      <c r="F434" s="3" t="str">
        <f>IFERROR(__xludf.DUMMYFUNCTION("""COMPUTED_VALUE"""),"matthew.j.baltrus@pwc.com")</f>
        <v>matthew.j.baltrus@pwc.com</v>
      </c>
      <c r="G434" s="3" t="str">
        <f>IFERROR(__xludf.DUMMYFUNCTION("""COMPUTED_VALUE"""),"FS")</f>
        <v>FS</v>
      </c>
      <c r="H434" s="3" t="str">
        <f>IFERROR(__xludf.DUMMYFUNCTION("""COMPUTED_VALUE"""),"Banking and Capital Markets")</f>
        <v>Banking and Capital Markets</v>
      </c>
      <c r="I434" s="3" t="str">
        <f>IFERROR(__xludf.DUMMYFUNCTION("""COMPUTED_VALUE"""),"FS - Banking and Capital Markets")</f>
        <v>FS - Banking and Capital Markets</v>
      </c>
      <c r="J434" s="3" t="str">
        <f>IFERROR(__xludf.DUMMYFUNCTION("""COMPUTED_VALUE"""),"Managing Director")</f>
        <v>Managing Director</v>
      </c>
      <c r="K434" s="12">
        <f>IFERROR(__xludf.DUMMYFUNCTION("""COMPUTED_VALUE"""),40749.0)</f>
        <v>40749</v>
      </c>
      <c r="L434" s="3" t="str">
        <f>IFERROR(__xludf.DUMMYFUNCTION("""COMPUTED_VALUE"""),"Charlotte")</f>
        <v>Charlotte</v>
      </c>
      <c r="M434" s="3" t="str">
        <f>IFERROR(__xludf.DUMMYFUNCTION("""COMPUTED_VALUE"""),"Charlotte - 214 North Tryon Street")</f>
        <v>Charlotte - 214 North Tryon Street</v>
      </c>
      <c r="N434" s="3" t="b">
        <f>IFERROR(__xludf.DUMMYFUNCTION("""COMPUTED_VALUE"""),FALSE)</f>
        <v>0</v>
      </c>
      <c r="O434" s="3" t="str">
        <f>IFERROR(__xludf.DUMMYFUNCTION("""COMPUTED_VALUE"""),"david.sisko@pwc.com")</f>
        <v>david.sisko@pwc.com</v>
      </c>
      <c r="P434" s="3" t="str">
        <f>IFERROR(__xludf.DUMMYFUNCTION("""COMPUTED_VALUE"""),"No")</f>
        <v>No</v>
      </c>
      <c r="Q434" s="3" t="b">
        <f>IFERROR(__xludf.DUMMYFUNCTION("""COMPUTED_VALUE"""),FALSE)</f>
        <v>0</v>
      </c>
      <c r="R434" s="3"/>
      <c r="S434" s="3"/>
      <c r="T434" s="3" t="b">
        <f>IFERROR(__xludf.DUMMYFUNCTION("""COMPUTED_VALUE"""),FALSE)</f>
        <v>0</v>
      </c>
      <c r="U434" s="3" t="b">
        <f>IFERROR(__xludf.DUMMYFUNCTION("""COMPUTED_VALUE"""),TRUE)</f>
        <v>1</v>
      </c>
      <c r="V434" s="3" t="b">
        <f>IFERROR(__xludf.DUMMYFUNCTION("""COMPUTED_VALUE"""),FALSE)</f>
        <v>0</v>
      </c>
      <c r="W434" s="3" t="str">
        <f>IFERROR(__xludf.DUMMYFUNCTION("""COMPUTED_VALUE"""),"Delivery")</f>
        <v>Delivery</v>
      </c>
      <c r="X434" s="3"/>
      <c r="Y434" s="3"/>
      <c r="Z434" s="3" t="str">
        <f>IFERROR(__xludf.DUMMYFUNCTION("""COMPUTED_VALUE"""),"Banking Transformation")</f>
        <v>Banking Transformation</v>
      </c>
      <c r="AA434" s="3" t="b">
        <f>IFERROR(__xludf.DUMMYFUNCTION("""COMPUTED_VALUE"""),FALSE)</f>
        <v>0</v>
      </c>
    </row>
    <row r="435">
      <c r="A435" s="11">
        <f>IFERROR(__xludf.DUMMYFUNCTION("""COMPUTED_VALUE"""),1.00660608E8)</f>
        <v>100660608</v>
      </c>
      <c r="B435" s="3" t="str">
        <f>IFERROR(__xludf.DUMMYFUNCTION("""COMPUTED_VALUE"""),"Matthew Barnoski")</f>
        <v>Matthew Barnoski</v>
      </c>
      <c r="C435" s="3" t="str">
        <f>IFERROR(__xludf.DUMMYFUNCTION("""COMPUTED_VALUE"""),"Matthew R Barnoski")</f>
        <v>Matthew R Barnoski</v>
      </c>
      <c r="D435" s="3" t="str">
        <f>IFERROR(__xludf.DUMMYFUNCTION("""COMPUTED_VALUE"""),"Barnoski, Matthew R")</f>
        <v>Barnoski, Matthew R</v>
      </c>
      <c r="E435" s="3" t="str">
        <f>IFERROR(__xludf.DUMMYFUNCTION("""COMPUTED_VALUE"""),"Active")</f>
        <v>Active</v>
      </c>
      <c r="F435" s="3" t="str">
        <f>IFERROR(__xludf.DUMMYFUNCTION("""COMPUTED_VALUE"""),"matt.barnoski@pwc.com")</f>
        <v>matt.barnoski@pwc.com</v>
      </c>
      <c r="G435" s="3" t="str">
        <f>IFERROR(__xludf.DUMMYFUNCTION("""COMPUTED_VALUE"""),"FS")</f>
        <v>FS</v>
      </c>
      <c r="H435" s="3" t="str">
        <f>IFERROR(__xludf.DUMMYFUNCTION("""COMPUTED_VALUE"""),"Asset and Wealth Management")</f>
        <v>Asset and Wealth Management</v>
      </c>
      <c r="I435" s="3" t="str">
        <f>IFERROR(__xludf.DUMMYFUNCTION("""COMPUTED_VALUE"""),"FS - Asset Wealth Management")</f>
        <v>FS - Asset Wealth Management</v>
      </c>
      <c r="J435" s="3" t="str">
        <f>IFERROR(__xludf.DUMMYFUNCTION("""COMPUTED_VALUE"""),"Partner")</f>
        <v>Partner</v>
      </c>
      <c r="K435" s="12">
        <f>IFERROR(__xludf.DUMMYFUNCTION("""COMPUTED_VALUE"""),42562.0)</f>
        <v>42562</v>
      </c>
      <c r="L435" s="3" t="str">
        <f>IFERROR(__xludf.DUMMYFUNCTION("""COMPUTED_VALUE"""),"Florham Park")</f>
        <v>Florham Park</v>
      </c>
      <c r="M435" s="3" t="str">
        <f>IFERROR(__xludf.DUMMYFUNCTION("""COMPUTED_VALUE"""),"Florham Park - 400 Campus Drive")</f>
        <v>Florham Park - 400 Campus Drive</v>
      </c>
      <c r="N435" s="3" t="b">
        <f>IFERROR(__xludf.DUMMYFUNCTION("""COMPUTED_VALUE"""),FALSE)</f>
        <v>0</v>
      </c>
      <c r="O435" s="3" t="str">
        <f>IFERROR(__xludf.DUMMYFUNCTION("""COMPUTED_VALUE"""),"alison.hoover@pwc.com")</f>
        <v>alison.hoover@pwc.com</v>
      </c>
      <c r="P435" s="3" t="str">
        <f>IFERROR(__xludf.DUMMYFUNCTION("""COMPUTED_VALUE"""),"No")</f>
        <v>No</v>
      </c>
      <c r="Q435" s="3" t="b">
        <f>IFERROR(__xludf.DUMMYFUNCTION("""COMPUTED_VALUE"""),FALSE)</f>
        <v>0</v>
      </c>
      <c r="R435" s="3"/>
      <c r="S435" s="3"/>
      <c r="T435" s="3" t="b">
        <f>IFERROR(__xludf.DUMMYFUNCTION("""COMPUTED_VALUE"""),FALSE)</f>
        <v>0</v>
      </c>
      <c r="U435" s="3" t="b">
        <f>IFERROR(__xludf.DUMMYFUNCTION("""COMPUTED_VALUE"""),TRUE)</f>
        <v>1</v>
      </c>
      <c r="V435" s="3" t="b">
        <f>IFERROR(__xludf.DUMMYFUNCTION("""COMPUTED_VALUE"""),FALSE)</f>
        <v>0</v>
      </c>
      <c r="W435" s="3" t="str">
        <f>IFERROR(__xludf.DUMMYFUNCTION("""COMPUTED_VALUE"""),"Delivery")</f>
        <v>Delivery</v>
      </c>
      <c r="X435" s="3"/>
      <c r="Y435" s="3"/>
      <c r="Z435" s="3" t="str">
        <f>IFERROR(__xludf.DUMMYFUNCTION("""COMPUTED_VALUE"""),"AWM Transformation")</f>
        <v>AWM Transformation</v>
      </c>
      <c r="AA435" s="3" t="b">
        <f>IFERROR(__xludf.DUMMYFUNCTION("""COMPUTED_VALUE"""),FALSE)</f>
        <v>0</v>
      </c>
    </row>
    <row r="436">
      <c r="A436" s="11">
        <f>IFERROR(__xludf.DUMMYFUNCTION("""COMPUTED_VALUE"""),1.00660652E8)</f>
        <v>100660652</v>
      </c>
      <c r="B436" s="3" t="str">
        <f>IFERROR(__xludf.DUMMYFUNCTION("""COMPUTED_VALUE"""),"Matthew Comte")</f>
        <v>Matthew Comte</v>
      </c>
      <c r="C436" s="3" t="str">
        <f>IFERROR(__xludf.DUMMYFUNCTION("""COMPUTED_VALUE"""),"Matthew R Comte")</f>
        <v>Matthew R Comte</v>
      </c>
      <c r="D436" s="3" t="str">
        <f>IFERROR(__xludf.DUMMYFUNCTION("""COMPUTED_VALUE"""),"Comte, Matthew R")</f>
        <v>Comte, Matthew R</v>
      </c>
      <c r="E436" s="3" t="str">
        <f>IFERROR(__xludf.DUMMYFUNCTION("""COMPUTED_VALUE"""),"Active")</f>
        <v>Active</v>
      </c>
      <c r="F436" s="3" t="str">
        <f>IFERROR(__xludf.DUMMYFUNCTION("""COMPUTED_VALUE"""),"matthew.r.comte@pwc.com")</f>
        <v>matthew.r.comte@pwc.com</v>
      </c>
      <c r="G436" s="3" t="str">
        <f>IFERROR(__xludf.DUMMYFUNCTION("""COMPUTED_VALUE"""),"Ops")</f>
        <v>Ops</v>
      </c>
      <c r="H436" s="3" t="str">
        <f>IFERROR(__xludf.DUMMYFUNCTION("""COMPUTED_VALUE"""),"Power and Utilities")</f>
        <v>Power and Utilities</v>
      </c>
      <c r="I436" s="3" t="str">
        <f>IFERROR(__xludf.DUMMYFUNCTION("""COMPUTED_VALUE"""),"Ops - Org Strategy Strategy &amp; Solutions (OSS)")</f>
        <v>Ops - Org Strategy Strategy &amp; Solutions (OSS)</v>
      </c>
      <c r="J436" s="3" t="str">
        <f>IFERROR(__xludf.DUMMYFUNCTION("""COMPUTED_VALUE"""),"Partner")</f>
        <v>Partner</v>
      </c>
      <c r="K436" s="12">
        <f>IFERROR(__xludf.DUMMYFUNCTION("""COMPUTED_VALUE"""),42954.0)</f>
        <v>42954</v>
      </c>
      <c r="L436" s="3" t="str">
        <f>IFERROR(__xludf.DUMMYFUNCTION("""COMPUTED_VALUE"""),"Atlanta")</f>
        <v>Atlanta</v>
      </c>
      <c r="M436" s="3" t="str">
        <f>IFERROR(__xludf.DUMMYFUNCTION("""COMPUTED_VALUE"""),"Atlanta - 1075 Peachtree Street NE")</f>
        <v>Atlanta - 1075 Peachtree Street NE</v>
      </c>
      <c r="N436" s="3" t="b">
        <f>IFERROR(__xludf.DUMMYFUNCTION("""COMPUTED_VALUE"""),TRUE)</f>
        <v>1</v>
      </c>
      <c r="O436" s="3" t="str">
        <f>IFERROR(__xludf.DUMMYFUNCTION("""COMPUTED_VALUE"""),"mike.connolly@pwc.com")</f>
        <v>mike.connolly@pwc.com</v>
      </c>
      <c r="P436" s="3" t="str">
        <f>IFERROR(__xludf.DUMMYFUNCTION("""COMPUTED_VALUE"""),"No")</f>
        <v>No</v>
      </c>
      <c r="Q436" s="3" t="b">
        <f>IFERROR(__xludf.DUMMYFUNCTION("""COMPUTED_VALUE"""),FALSE)</f>
        <v>0</v>
      </c>
      <c r="R436" s="3"/>
      <c r="S436" s="3"/>
      <c r="T436" s="3" t="b">
        <f>IFERROR(__xludf.DUMMYFUNCTION("""COMPUTED_VALUE"""),TRUE)</f>
        <v>1</v>
      </c>
      <c r="U436" s="3" t="b">
        <f>IFERROR(__xludf.DUMMYFUNCTION("""COMPUTED_VALUE"""),FALSE)</f>
        <v>0</v>
      </c>
      <c r="V436" s="3" t="b">
        <f>IFERROR(__xludf.DUMMYFUNCTION("""COMPUTED_VALUE"""),FALSE)</f>
        <v>0</v>
      </c>
      <c r="W436" s="3" t="str">
        <f>IFERROR(__xludf.DUMMYFUNCTION("""COMPUTED_VALUE"""),"Delivery")</f>
        <v>Delivery</v>
      </c>
      <c r="X436" s="3"/>
      <c r="Y436" s="3" t="str">
        <f>IFERROR(__xludf.DUMMYFUNCTION("""COMPUTED_VALUE"""),"Rainmaker")</f>
        <v>Rainmaker</v>
      </c>
      <c r="Z436" s="3" t="str">
        <f>IFERROR(__xludf.DUMMYFUNCTION("""COMPUTED_VALUE"""),"EUM + Telecom Ops Transformation")</f>
        <v>EUM + Telecom Ops Transformation</v>
      </c>
      <c r="AA436" s="3" t="b">
        <f>IFERROR(__xludf.DUMMYFUNCTION("""COMPUTED_VALUE"""),FALSE)</f>
        <v>0</v>
      </c>
    </row>
    <row r="437">
      <c r="A437" s="11">
        <f>IFERROR(__xludf.DUMMYFUNCTION("""COMPUTED_VALUE"""),1.00624244E8)</f>
        <v>100624244</v>
      </c>
      <c r="B437" s="3" t="str">
        <f>IFERROR(__xludf.DUMMYFUNCTION("""COMPUTED_VALUE"""),"Matthew Duffey")</f>
        <v>Matthew Duffey</v>
      </c>
      <c r="C437" s="3" t="str">
        <f>IFERROR(__xludf.DUMMYFUNCTION("""COMPUTED_VALUE"""),"Matthew Sean Duffey")</f>
        <v>Matthew Sean Duffey</v>
      </c>
      <c r="D437" s="3" t="str">
        <f>IFERROR(__xludf.DUMMYFUNCTION("""COMPUTED_VALUE"""),"Duffey, Matthew Sean")</f>
        <v>Duffey, Matthew Sean</v>
      </c>
      <c r="E437" s="3" t="str">
        <f>IFERROR(__xludf.DUMMYFUNCTION("""COMPUTED_VALUE"""),"Active")</f>
        <v>Active</v>
      </c>
      <c r="F437" s="3" t="str">
        <f>IFERROR(__xludf.DUMMYFUNCTION("""COMPUTED_VALUE"""),"matthew.s.duffey@pwc.com")</f>
        <v>matthew.s.duffey@pwc.com</v>
      </c>
      <c r="G437" s="3" t="str">
        <f>IFERROR(__xludf.DUMMYFUNCTION("""COMPUTED_VALUE"""),"Customer")</f>
        <v>Customer</v>
      </c>
      <c r="H437" s="3" t="str">
        <f>IFERROR(__xludf.DUMMYFUNCTION("""COMPUTED_VALUE"""),"TMT X-Sector")</f>
        <v>TMT X-Sector</v>
      </c>
      <c r="I437" s="3" t="str">
        <f>IFERROR(__xludf.DUMMYFUNCTION("""COMPUTED_VALUE"""),"Customer - Sales")</f>
        <v>Customer - Sales</v>
      </c>
      <c r="J437" s="3" t="str">
        <f>IFERROR(__xludf.DUMMYFUNCTION("""COMPUTED_VALUE"""),"Partner")</f>
        <v>Partner</v>
      </c>
      <c r="K437" s="12">
        <f>IFERROR(__xludf.DUMMYFUNCTION("""COMPUTED_VALUE"""),38670.0)</f>
        <v>38670</v>
      </c>
      <c r="L437" s="3" t="str">
        <f>IFERROR(__xludf.DUMMYFUNCTION("""COMPUTED_VALUE"""),"Dallas")</f>
        <v>Dallas</v>
      </c>
      <c r="M437" s="3" t="str">
        <f>IFERROR(__xludf.DUMMYFUNCTION("""COMPUTED_VALUE"""),"Dallas - 2121 North Pearl Street")</f>
        <v>Dallas - 2121 North Pearl Street</v>
      </c>
      <c r="N437" s="3" t="b">
        <f>IFERROR(__xludf.DUMMYFUNCTION("""COMPUTED_VALUE"""),TRUE)</f>
        <v>1</v>
      </c>
      <c r="O437" s="3" t="str">
        <f>IFERROR(__xludf.DUMMYFUNCTION("""COMPUTED_VALUE"""),"george.korizis@pwc.com")</f>
        <v>george.korizis@pwc.com</v>
      </c>
      <c r="P437" s="3" t="str">
        <f>IFERROR(__xludf.DUMMYFUNCTION("""COMPUTED_VALUE"""),"No")</f>
        <v>No</v>
      </c>
      <c r="Q437" s="3" t="b">
        <f>IFERROR(__xludf.DUMMYFUNCTION("""COMPUTED_VALUE"""),TRUE)</f>
        <v>1</v>
      </c>
      <c r="R437" s="3" t="str">
        <f>IFERROR(__xludf.DUMMYFUNCTION("""COMPUTED_VALUE"""),"LCP High")</f>
        <v>LCP High</v>
      </c>
      <c r="S437" s="3"/>
      <c r="T437" s="3" t="b">
        <f>IFERROR(__xludf.DUMMYFUNCTION("""COMPUTED_VALUE"""),FALSE)</f>
        <v>0</v>
      </c>
      <c r="U437" s="3" t="b">
        <f>IFERROR(__xludf.DUMMYFUNCTION("""COMPUTED_VALUE"""),FALSE)</f>
        <v>0</v>
      </c>
      <c r="V437" s="3" t="b">
        <f>IFERROR(__xludf.DUMMYFUNCTION("""COMPUTED_VALUE"""),FALSE)</f>
        <v>0</v>
      </c>
      <c r="W437" s="3" t="str">
        <f>IFERROR(__xludf.DUMMYFUNCTION("""COMPUTED_VALUE"""),"LCP")</f>
        <v>LCP</v>
      </c>
      <c r="X437" s="3"/>
      <c r="Y437" s="3" t="str">
        <f>IFERROR(__xludf.DUMMYFUNCTION("""COMPUTED_VALUE"""),"GEP - High")</f>
        <v>GEP - High</v>
      </c>
      <c r="Z437" s="3" t="str">
        <f>IFERROR(__xludf.DUMMYFUNCTION("""COMPUTED_VALUE"""),"Commercial / CRM Transformation - FS &amp; TMT")</f>
        <v>Commercial / CRM Transformation - FS &amp; TMT</v>
      </c>
      <c r="AA437" s="3" t="b">
        <f>IFERROR(__xludf.DUMMYFUNCTION("""COMPUTED_VALUE"""),FALSE)</f>
        <v>0</v>
      </c>
    </row>
    <row r="438">
      <c r="A438" s="11">
        <f>IFERROR(__xludf.DUMMYFUNCTION("""COMPUTED_VALUE"""),1.00654914E8)</f>
        <v>100654914</v>
      </c>
      <c r="B438" s="3" t="str">
        <f>IFERROR(__xludf.DUMMYFUNCTION("""COMPUTED_VALUE"""),"Matthew Egol")</f>
        <v>Matthew Egol</v>
      </c>
      <c r="C438" s="3" t="str">
        <f>IFERROR(__xludf.DUMMYFUNCTION("""COMPUTED_VALUE"""),"Matthew  Egol")</f>
        <v>Matthew  Egol</v>
      </c>
      <c r="D438" s="3" t="str">
        <f>IFERROR(__xludf.DUMMYFUNCTION("""COMPUTED_VALUE"""),"Egol, Matthew")</f>
        <v>Egol, Matthew</v>
      </c>
      <c r="E438" s="3" t="str">
        <f>IFERROR(__xludf.DUMMYFUNCTION("""COMPUTED_VALUE"""),"Active")</f>
        <v>Active</v>
      </c>
      <c r="F438" s="3" t="str">
        <f>IFERROR(__xludf.DUMMYFUNCTION("""COMPUTED_VALUE"""),"matthew.egol@pwc.com")</f>
        <v>matthew.egol@pwc.com</v>
      </c>
      <c r="G438" s="3" t="str">
        <f>IFERROR(__xludf.DUMMYFUNCTION("""COMPUTED_VALUE"""),"Customer")</f>
        <v>Customer</v>
      </c>
      <c r="H438" s="3" t="str">
        <f>IFERROR(__xludf.DUMMYFUNCTION("""COMPUTED_VALUE"""),"CM X-Sector")</f>
        <v>CM X-Sector</v>
      </c>
      <c r="I438" s="3" t="str">
        <f>IFERROR(__xludf.DUMMYFUNCTION("""COMPUTED_VALUE"""),"Customer - Marketing")</f>
        <v>Customer - Marketing</v>
      </c>
      <c r="J438" s="3" t="str">
        <f>IFERROR(__xludf.DUMMYFUNCTION("""COMPUTED_VALUE"""),"Partner")</f>
        <v>Partner</v>
      </c>
      <c r="K438" s="12">
        <f>IFERROR(__xludf.DUMMYFUNCTION("""COMPUTED_VALUE"""),42186.0)</f>
        <v>42186</v>
      </c>
      <c r="L438" s="3" t="str">
        <f>IFERROR(__xludf.DUMMYFUNCTION("""COMPUTED_VALUE"""),"New York")</f>
        <v>New York</v>
      </c>
      <c r="M438" s="3" t="str">
        <f>IFERROR(__xludf.DUMMYFUNCTION("""COMPUTED_VALUE"""),"New York - 300 Madison Avenue")</f>
        <v>New York - 300 Madison Avenue</v>
      </c>
      <c r="N438" s="3" t="b">
        <f>IFERROR(__xludf.DUMMYFUNCTION("""COMPUTED_VALUE"""),FALSE)</f>
        <v>0</v>
      </c>
      <c r="O438" s="3" t="str">
        <f>IFERROR(__xludf.DUMMYFUNCTION("""COMPUTED_VALUE"""),"george.korizis@pwc.com")</f>
        <v>george.korizis@pwc.com</v>
      </c>
      <c r="P438" s="3" t="str">
        <f>IFERROR(__xludf.DUMMYFUNCTION("""COMPUTED_VALUE"""),"No")</f>
        <v>No</v>
      </c>
      <c r="Q438" s="3" t="b">
        <f>IFERROR(__xludf.DUMMYFUNCTION("""COMPUTED_VALUE"""),FALSE)</f>
        <v>0</v>
      </c>
      <c r="R438" s="3"/>
      <c r="S438" s="3"/>
      <c r="T438" s="3" t="b">
        <f>IFERROR(__xludf.DUMMYFUNCTION("""COMPUTED_VALUE"""),FALSE)</f>
        <v>0</v>
      </c>
      <c r="U438" s="3" t="b">
        <f>IFERROR(__xludf.DUMMYFUNCTION("""COMPUTED_VALUE"""),TRUE)</f>
        <v>1</v>
      </c>
      <c r="V438" s="3" t="b">
        <f>IFERROR(__xludf.DUMMYFUNCTION("""COMPUTED_VALUE"""),FALSE)</f>
        <v>0</v>
      </c>
      <c r="W438" s="3" t="str">
        <f>IFERROR(__xludf.DUMMYFUNCTION("""COMPUTED_VALUE"""),"Delivery")</f>
        <v>Delivery</v>
      </c>
      <c r="X438" s="3"/>
      <c r="Y438" s="3"/>
      <c r="Z438" s="3" t="str">
        <f>IFERROR(__xludf.DUMMYFUNCTION("""COMPUTED_VALUE"""),"Commercial / CRM Transformation - CM &amp; IPS &amp; HIA")</f>
        <v>Commercial / CRM Transformation - CM &amp; IPS &amp; HIA</v>
      </c>
      <c r="AA438" s="3" t="b">
        <f>IFERROR(__xludf.DUMMYFUNCTION("""COMPUTED_VALUE"""),FALSE)</f>
        <v>0</v>
      </c>
    </row>
    <row r="439">
      <c r="A439" s="3">
        <f>IFERROR(__xludf.DUMMYFUNCTION("""COMPUTED_VALUE"""),1.01161608E8)</f>
        <v>101161608</v>
      </c>
      <c r="B439" s="3" t="str">
        <f>IFERROR(__xludf.DUMMYFUNCTION("""COMPUTED_VALUE"""),"Matthew O'Mara")</f>
        <v>Matthew O'Mara</v>
      </c>
      <c r="C439" s="3" t="str">
        <f>IFERROR(__xludf.DUMMYFUNCTION("""COMPUTED_VALUE"""),"Matthew  O'Mara")</f>
        <v>Matthew  O'Mara</v>
      </c>
      <c r="D439" s="3" t="str">
        <f>IFERROR(__xludf.DUMMYFUNCTION("""COMPUTED_VALUE"""),"O'Mara, Matthew")</f>
        <v>O'Mara, Matthew</v>
      </c>
      <c r="E439" s="3" t="str">
        <f>IFERROR(__xludf.DUMMYFUNCTION("""COMPUTED_VALUE"""),"Active")</f>
        <v>Active</v>
      </c>
      <c r="F439" s="3" t="str">
        <f>IFERROR(__xludf.DUMMYFUNCTION("""COMPUTED_VALUE"""),"matthew.omara@pwc.com")</f>
        <v>matthew.omara@pwc.com</v>
      </c>
      <c r="G439" s="3" t="str">
        <f>IFERROR(__xludf.DUMMYFUNCTION("""COMPUTED_VALUE"""),"FS")</f>
        <v>FS</v>
      </c>
      <c r="H439" s="3" t="str">
        <f>IFERROR(__xludf.DUMMYFUNCTION("""COMPUTED_VALUE"""),"Insurance")</f>
        <v>Insurance</v>
      </c>
      <c r="I439" s="3" t="str">
        <f>IFERROR(__xludf.DUMMYFUNCTION("""COMPUTED_VALUE"""),"FS - Insurance")</f>
        <v>FS - Insurance</v>
      </c>
      <c r="J439" s="3" t="str">
        <f>IFERROR(__xludf.DUMMYFUNCTION("""COMPUTED_VALUE"""),"Partner")</f>
        <v>Partner</v>
      </c>
      <c r="K439" s="12">
        <f>IFERROR(__xludf.DUMMYFUNCTION("""COMPUTED_VALUE"""),44536.0)</f>
        <v>44536</v>
      </c>
      <c r="L439" s="3" t="str">
        <f>IFERROR(__xludf.DUMMYFUNCTION("""COMPUTED_VALUE"""),"Philadelphia")</f>
        <v>Philadelphia</v>
      </c>
      <c r="M439" s="3" t="str">
        <f>IFERROR(__xludf.DUMMYFUNCTION("""COMPUTED_VALUE"""),"Philadelphia - Two Commerce Square, Suite 1800")</f>
        <v>Philadelphia - Two Commerce Square, Suite 1800</v>
      </c>
      <c r="N439" s="3" t="b">
        <f>IFERROR(__xludf.DUMMYFUNCTION("""COMPUTED_VALUE"""),FALSE)</f>
        <v>0</v>
      </c>
      <c r="O439" s="3" t="str">
        <f>IFERROR(__xludf.DUMMYFUNCTION("""COMPUTED_VALUE"""),"alison.hoover@pwc.com")</f>
        <v>alison.hoover@pwc.com</v>
      </c>
      <c r="P439" s="3" t="str">
        <f>IFERROR(__xludf.DUMMYFUNCTION("""COMPUTED_VALUE"""),"FY22")</f>
        <v>FY22</v>
      </c>
      <c r="Q439" s="3" t="b">
        <f>IFERROR(__xludf.DUMMYFUNCTION("""COMPUTED_VALUE"""),FALSE)</f>
        <v>0</v>
      </c>
      <c r="R439" s="3"/>
      <c r="S439" s="3"/>
      <c r="T439" s="3" t="b">
        <f>IFERROR(__xludf.DUMMYFUNCTION("""COMPUTED_VALUE"""),FALSE)</f>
        <v>0</v>
      </c>
      <c r="U439" s="3" t="b">
        <f>IFERROR(__xludf.DUMMYFUNCTION("""COMPUTED_VALUE"""),TRUE)</f>
        <v>1</v>
      </c>
      <c r="V439" s="3" t="b">
        <f>IFERROR(__xludf.DUMMYFUNCTION("""COMPUTED_VALUE"""),FALSE)</f>
        <v>0</v>
      </c>
      <c r="W439" s="3" t="str">
        <f>IFERROR(__xludf.DUMMYFUNCTION("""COMPUTED_VALUE"""),"Catalyst")</f>
        <v>Catalyst</v>
      </c>
      <c r="X439" s="3"/>
      <c r="Y439" s="3"/>
      <c r="Z439" s="3" t="str">
        <f>IFERROR(__xludf.DUMMYFUNCTION("""COMPUTED_VALUE"""),"Insurance Transformation")</f>
        <v>Insurance Transformation</v>
      </c>
      <c r="AA439" s="3" t="b">
        <f>IFERROR(__xludf.DUMMYFUNCTION("""COMPUTED_VALUE"""),FALSE)</f>
        <v>0</v>
      </c>
    </row>
    <row r="440">
      <c r="A440" s="11">
        <f>IFERROR(__xludf.DUMMYFUNCTION("""COMPUTED_VALUE"""),1.00620159E8)</f>
        <v>100620159</v>
      </c>
      <c r="B440" s="3" t="str">
        <f>IFERROR(__xludf.DUMMYFUNCTION("""COMPUTED_VALUE"""),"Matthew Ritter")</f>
        <v>Matthew Ritter</v>
      </c>
      <c r="C440" s="3" t="str">
        <f>IFERROR(__xludf.DUMMYFUNCTION("""COMPUTED_VALUE"""),"Matthew C Ritter")</f>
        <v>Matthew C Ritter</v>
      </c>
      <c r="D440" s="3" t="str">
        <f>IFERROR(__xludf.DUMMYFUNCTION("""COMPUTED_VALUE"""),"Ritter, Matthew C")</f>
        <v>Ritter, Matthew C</v>
      </c>
      <c r="E440" s="3" t="str">
        <f>IFERROR(__xludf.DUMMYFUNCTION("""COMPUTED_VALUE"""),"Active")</f>
        <v>Active</v>
      </c>
      <c r="F440" s="3" t="str">
        <f>IFERROR(__xludf.DUMMYFUNCTION("""COMPUTED_VALUE"""),"matt.ritter@pwc.com")</f>
        <v>matt.ritter@pwc.com</v>
      </c>
      <c r="G440" s="3" t="str">
        <f>IFERROR(__xludf.DUMMYFUNCTION("""COMPUTED_VALUE"""),"Finance")</f>
        <v>Finance</v>
      </c>
      <c r="H440" s="3" t="str">
        <f>IFERROR(__xludf.DUMMYFUNCTION("""COMPUTED_VALUE"""),"Pharma and Life Sciences")</f>
        <v>Pharma and Life Sciences</v>
      </c>
      <c r="I440" s="3" t="str">
        <f>IFERROR(__xludf.DUMMYFUNCTION("""COMPUTED_VALUE"""),"Finance - Finance Strategy / Op Model / Global Business Services / Talent")</f>
        <v>Finance - Finance Strategy / Op Model / Global Business Services / Talent</v>
      </c>
      <c r="J440" s="3" t="str">
        <f>IFERROR(__xludf.DUMMYFUNCTION("""COMPUTED_VALUE"""),"Partner")</f>
        <v>Partner</v>
      </c>
      <c r="K440" s="12">
        <f>IFERROR(__xludf.DUMMYFUNCTION("""COMPUTED_VALUE"""),42604.0)</f>
        <v>42604</v>
      </c>
      <c r="L440" s="3" t="str">
        <f>IFERROR(__xludf.DUMMYFUNCTION("""COMPUTED_VALUE"""),"Los Angeles")</f>
        <v>Los Angeles</v>
      </c>
      <c r="M440" s="3" t="str">
        <f>IFERROR(__xludf.DUMMYFUNCTION("""COMPUTED_VALUE"""),"Los Angeles - 601 South Figueroa Street")</f>
        <v>Los Angeles - 601 South Figueroa Street</v>
      </c>
      <c r="N440" s="3" t="b">
        <f>IFERROR(__xludf.DUMMYFUNCTION("""COMPUTED_VALUE"""),FALSE)</f>
        <v>0</v>
      </c>
      <c r="O440" s="3" t="str">
        <f>IFERROR(__xludf.DUMMYFUNCTION("""COMPUTED_VALUE"""),"kurtis.babczenko@pwc.com")</f>
        <v>kurtis.babczenko@pwc.com</v>
      </c>
      <c r="P440" s="3" t="str">
        <f>IFERROR(__xludf.DUMMYFUNCTION("""COMPUTED_VALUE"""),"No")</f>
        <v>No</v>
      </c>
      <c r="Q440" s="3" t="b">
        <f>IFERROR(__xludf.DUMMYFUNCTION("""COMPUTED_VALUE"""),FALSE)</f>
        <v>0</v>
      </c>
      <c r="R440" s="3"/>
      <c r="S440" s="3"/>
      <c r="T440" s="3" t="b">
        <f>IFERROR(__xludf.DUMMYFUNCTION("""COMPUTED_VALUE"""),FALSE)</f>
        <v>0</v>
      </c>
      <c r="U440" s="3" t="b">
        <f>IFERROR(__xludf.DUMMYFUNCTION("""COMPUTED_VALUE"""),TRUE)</f>
        <v>1</v>
      </c>
      <c r="V440" s="3" t="b">
        <f>IFERROR(__xludf.DUMMYFUNCTION("""COMPUTED_VALUE"""),FALSE)</f>
        <v>0</v>
      </c>
      <c r="W440" s="3" t="str">
        <f>IFERROR(__xludf.DUMMYFUNCTION("""COMPUTED_VALUE"""),"Delivery")</f>
        <v>Delivery</v>
      </c>
      <c r="X440" s="3"/>
      <c r="Y440" s="3"/>
      <c r="Z440" s="3" t="str">
        <f>IFERROR(__xludf.DUMMYFUNCTION("""COMPUTED_VALUE"""),"Finance Transformation - Payer &amp; Pharma")</f>
        <v>Finance Transformation - Payer &amp; Pharma</v>
      </c>
      <c r="AA440" s="3" t="b">
        <f>IFERROR(__xludf.DUMMYFUNCTION("""COMPUTED_VALUE"""),FALSE)</f>
        <v>0</v>
      </c>
    </row>
    <row r="441">
      <c r="A441" s="3">
        <f>IFERROR(__xludf.DUMMYFUNCTION("""COMPUTED_VALUE"""),1.00655236E8)</f>
        <v>100655236</v>
      </c>
      <c r="B441" s="3" t="str">
        <f>IFERROR(__xludf.DUMMYFUNCTION("""COMPUTED_VALUE"""),"Matthew Siegel")</f>
        <v>Matthew Siegel</v>
      </c>
      <c r="C441" s="3" t="str">
        <f>IFERROR(__xludf.DUMMYFUNCTION("""COMPUTED_VALUE"""),"Matthew  Siegel")</f>
        <v>Matthew  Siegel</v>
      </c>
      <c r="D441" s="3" t="str">
        <f>IFERROR(__xludf.DUMMYFUNCTION("""COMPUTED_VALUE"""),"Siegel, Matthew")</f>
        <v>Siegel, Matthew</v>
      </c>
      <c r="E441" s="3" t="str">
        <f>IFERROR(__xludf.DUMMYFUNCTION("""COMPUTED_VALUE"""),"Active")</f>
        <v>Active</v>
      </c>
      <c r="F441" s="3" t="str">
        <f>IFERROR(__xludf.DUMMYFUNCTION("""COMPUTED_VALUE"""),"matthew.siegel@pwc.com")</f>
        <v>matthew.siegel@pwc.com</v>
      </c>
      <c r="G441" s="3" t="str">
        <f>IFERROR(__xludf.DUMMYFUNCTION("""COMPUTED_VALUE"""),"ESV")</f>
        <v>ESV</v>
      </c>
      <c r="H441" s="3" t="str">
        <f>IFERROR(__xludf.DUMMYFUNCTION("""COMPUTED_VALUE"""),"Banking and Capital Markets")</f>
        <v>Banking and Capital Markets</v>
      </c>
      <c r="I441" s="3" t="str">
        <f>IFERROR(__xludf.DUMMYFUNCTION("""COMPUTED_VALUE"""),"ESV - BCM")</f>
        <v>ESV - BCM</v>
      </c>
      <c r="J441" s="3" t="str">
        <f>IFERROR(__xludf.DUMMYFUNCTION("""COMPUTED_VALUE"""),"Partner")</f>
        <v>Partner</v>
      </c>
      <c r="K441" s="12">
        <f>IFERROR(__xludf.DUMMYFUNCTION("""COMPUTED_VALUE"""),42186.0)</f>
        <v>42186</v>
      </c>
      <c r="L441" s="3" t="str">
        <f>IFERROR(__xludf.DUMMYFUNCTION("""COMPUTED_VALUE"""),"New York")</f>
        <v>New York</v>
      </c>
      <c r="M441" s="3" t="str">
        <f>IFERROR(__xludf.DUMMYFUNCTION("""COMPUTED_VALUE"""),"New York - 300 Madison Avenue")</f>
        <v>New York - 300 Madison Avenue</v>
      </c>
      <c r="N441" s="3" t="b">
        <f>IFERROR(__xludf.DUMMYFUNCTION("""COMPUTED_VALUE"""),FALSE)</f>
        <v>0</v>
      </c>
      <c r="O441" s="3" t="str">
        <f>IFERROR(__xludf.DUMMYFUNCTION("""COMPUTED_VALUE"""),"sundar.subramanian@pwc.com")</f>
        <v>sundar.subramanian@pwc.com</v>
      </c>
      <c r="P441" s="3" t="str">
        <f>IFERROR(__xludf.DUMMYFUNCTION("""COMPUTED_VALUE"""),"No")</f>
        <v>No</v>
      </c>
      <c r="Q441" s="3" t="b">
        <f>IFERROR(__xludf.DUMMYFUNCTION("""COMPUTED_VALUE"""),FALSE)</f>
        <v>0</v>
      </c>
      <c r="R441" s="3"/>
      <c r="S441" s="3" t="str">
        <f>IFERROR(__xludf.DUMMYFUNCTION("""COMPUTED_VALUE"""),"Lever Champions")</f>
        <v>Lever Champions</v>
      </c>
      <c r="T441" s="3" t="b">
        <f>IFERROR(__xludf.DUMMYFUNCTION("""COMPUTED_VALUE"""),FALSE)</f>
        <v>0</v>
      </c>
      <c r="U441" s="3" t="b">
        <f>IFERROR(__xludf.DUMMYFUNCTION("""COMPUTED_VALUE"""),TRUE)</f>
        <v>1</v>
      </c>
      <c r="V441" s="3" t="b">
        <f>IFERROR(__xludf.DUMMYFUNCTION("""COMPUTED_VALUE"""),FALSE)</f>
        <v>0</v>
      </c>
      <c r="W441" s="3" t="str">
        <f>IFERROR(__xludf.DUMMYFUNCTION("""COMPUTED_VALUE"""),"Delivery")</f>
        <v>Delivery</v>
      </c>
      <c r="X441" s="3" t="str">
        <f>IFERROR(__xludf.DUMMYFUNCTION("""COMPUTED_VALUE"""),"Investment")</f>
        <v>Investment</v>
      </c>
      <c r="Y441" s="3"/>
      <c r="Z441" s="3" t="str">
        <f>IFERROR(__xludf.DUMMYFUNCTION("""COMPUTED_VALUE"""),"Enterprise Digital Transformation - Insurance")</f>
        <v>Enterprise Digital Transformation - Insurance</v>
      </c>
      <c r="AA441" s="3" t="b">
        <f>IFERROR(__xludf.DUMMYFUNCTION("""COMPUTED_VALUE"""),FALSE)</f>
        <v>0</v>
      </c>
    </row>
    <row r="442">
      <c r="A442" s="11">
        <f>IFERROR(__xludf.DUMMYFUNCTION("""COMPUTED_VALUE"""),1.01059157E8)</f>
        <v>101059157</v>
      </c>
      <c r="B442" s="3" t="str">
        <f>IFERROR(__xludf.DUMMYFUNCTION("""COMPUTED_VALUE"""),"Mayank Gupta")</f>
        <v>Mayank Gupta</v>
      </c>
      <c r="C442" s="3" t="str">
        <f>IFERROR(__xludf.DUMMYFUNCTION("""COMPUTED_VALUE"""),"Mayank  Gupta")</f>
        <v>Mayank  Gupta</v>
      </c>
      <c r="D442" s="3" t="str">
        <f>IFERROR(__xludf.DUMMYFUNCTION("""COMPUTED_VALUE"""),"Gupta, Mayank")</f>
        <v>Gupta, Mayank</v>
      </c>
      <c r="E442" s="3" t="str">
        <f>IFERROR(__xludf.DUMMYFUNCTION("""COMPUTED_VALUE"""),"Active")</f>
        <v>Active</v>
      </c>
      <c r="F442" s="3" t="str">
        <f>IFERROR(__xludf.DUMMYFUNCTION("""COMPUTED_VALUE"""),"m.gupta@pwc.com")</f>
        <v>m.gupta@pwc.com</v>
      </c>
      <c r="G442" s="3" t="str">
        <f>IFERROR(__xludf.DUMMYFUNCTION("""COMPUTED_VALUE"""),"Deals Transformation")</f>
        <v>Deals Transformation</v>
      </c>
      <c r="H442" s="3" t="str">
        <f>IFERROR(__xludf.DUMMYFUNCTION("""COMPUTED_VALUE"""),"TMT X-Sector")</f>
        <v>TMT X-Sector</v>
      </c>
      <c r="I442" s="3" t="str">
        <f>IFERROR(__xludf.DUMMYFUNCTION("""COMPUTED_VALUE"""),"DDV - IT")</f>
        <v>DDV - IT</v>
      </c>
      <c r="J442" s="3" t="str">
        <f>IFERROR(__xludf.DUMMYFUNCTION("""COMPUTED_VALUE"""),"Partner")</f>
        <v>Partner</v>
      </c>
      <c r="K442" s="12">
        <f>IFERROR(__xludf.DUMMYFUNCTION("""COMPUTED_VALUE"""),44277.0)</f>
        <v>44277</v>
      </c>
      <c r="L442" s="3" t="str">
        <f>IFERROR(__xludf.DUMMYFUNCTION("""COMPUTED_VALUE"""),"San Jose")</f>
        <v>San Jose</v>
      </c>
      <c r="M442" s="3" t="str">
        <f>IFERROR(__xludf.DUMMYFUNCTION("""COMPUTED_VALUE"""),"San Jose - 488 Almaden Boulevard")</f>
        <v>San Jose - 488 Almaden Boulevard</v>
      </c>
      <c r="N442" s="3" t="b">
        <f>IFERROR(__xludf.DUMMYFUNCTION("""COMPUTED_VALUE"""),FALSE)</f>
        <v>0</v>
      </c>
      <c r="O442" s="3" t="str">
        <f>IFERROR(__xludf.DUMMYFUNCTION("""COMPUTED_VALUE"""),"derek.b.townsend@pwc.com")</f>
        <v>derek.b.townsend@pwc.com</v>
      </c>
      <c r="P442" s="3" t="str">
        <f>IFERROR(__xludf.DUMMYFUNCTION("""COMPUTED_VALUE"""),"FY21 2nd Half")</f>
        <v>FY21 2nd Half</v>
      </c>
      <c r="Q442" s="3" t="b">
        <f>IFERROR(__xludf.DUMMYFUNCTION("""COMPUTED_VALUE"""),FALSE)</f>
        <v>0</v>
      </c>
      <c r="R442" s="3"/>
      <c r="S442" s="3"/>
      <c r="T442" s="3" t="b">
        <f>IFERROR(__xludf.DUMMYFUNCTION("""COMPUTED_VALUE"""),FALSE)</f>
        <v>0</v>
      </c>
      <c r="U442" s="3" t="b">
        <f>IFERROR(__xludf.DUMMYFUNCTION("""COMPUTED_VALUE"""),TRUE)</f>
        <v>1</v>
      </c>
      <c r="V442" s="3" t="b">
        <f>IFERROR(__xludf.DUMMYFUNCTION("""COMPUTED_VALUE"""),FALSE)</f>
        <v>0</v>
      </c>
      <c r="W442" s="3" t="str">
        <f>IFERROR(__xludf.DUMMYFUNCTION("""COMPUTED_VALUE"""),"Catalyst")</f>
        <v>Catalyst</v>
      </c>
      <c r="X442" s="3"/>
      <c r="Y442" s="3" t="str">
        <f>IFERROR(__xludf.DUMMYFUNCTION("""COMPUTED_VALUE"""),"FY21 2nd Half")</f>
        <v>FY21 2nd Half</v>
      </c>
      <c r="Z442" s="3" t="str">
        <f>IFERROR(__xludf.DUMMYFUNCTION("""COMPUTED_VALUE"""),"Corporate M&amp;A Transformation - TMT")</f>
        <v>Corporate M&amp;A Transformation - TMT</v>
      </c>
      <c r="AA442" s="3" t="b">
        <f>IFERROR(__xludf.DUMMYFUNCTION("""COMPUTED_VALUE"""),FALSE)</f>
        <v>0</v>
      </c>
    </row>
    <row r="443">
      <c r="A443" s="11">
        <f>IFERROR(__xludf.DUMMYFUNCTION("""COMPUTED_VALUE"""),1.0066023E8)</f>
        <v>100660230</v>
      </c>
      <c r="B443" s="3" t="str">
        <f>IFERROR(__xludf.DUMMYFUNCTION("""COMPUTED_VALUE"""),"Megan Marlin")</f>
        <v>Megan Marlin</v>
      </c>
      <c r="C443" s="3" t="str">
        <f>IFERROR(__xludf.DUMMYFUNCTION("""COMPUTED_VALUE"""),"Unknown")</f>
        <v>Unknown</v>
      </c>
      <c r="D443" s="3" t="str">
        <f>IFERROR(__xludf.DUMMYFUNCTION("""COMPUTED_VALUE"""),"Unknown")</f>
        <v>Unknown</v>
      </c>
      <c r="E443" s="3" t="str">
        <f>IFERROR(__xludf.DUMMYFUNCTION("""COMPUTED_VALUE"""),"Active")</f>
        <v>Active</v>
      </c>
      <c r="F443" s="3" t="str">
        <f>IFERROR(__xludf.DUMMYFUNCTION("""COMPUTED_VALUE"""),"megan.marlin@pwc.com")</f>
        <v>megan.marlin@pwc.com</v>
      </c>
      <c r="G443" s="3" t="str">
        <f>IFERROR(__xludf.DUMMYFUNCTION("""COMPUTED_VALUE"""),"Workforce")</f>
        <v>Workforce</v>
      </c>
      <c r="H443" s="3" t="str">
        <f>IFERROR(__xludf.DUMMYFUNCTION("""COMPUTED_VALUE"""),"Not Applicable")</f>
        <v>Not Applicable</v>
      </c>
      <c r="I443" s="3" t="str">
        <f>IFERROR(__xludf.DUMMYFUNCTION("""COMPUTED_VALUE"""),"Workforce - Rewards &amp; Well Being")</f>
        <v>Workforce - Rewards &amp; Well Being</v>
      </c>
      <c r="J443" s="3" t="str">
        <f>IFERROR(__xludf.DUMMYFUNCTION("""COMPUTED_VALUE"""),"Partner")</f>
        <v>Partner</v>
      </c>
      <c r="K443" s="12">
        <f>IFERROR(__xludf.DUMMYFUNCTION("""COMPUTED_VALUE"""),44676.0)</f>
        <v>44676</v>
      </c>
      <c r="L443" s="3" t="str">
        <f>IFERROR(__xludf.DUMMYFUNCTION("""COMPUTED_VALUE"""),"Washington")</f>
        <v>Washington</v>
      </c>
      <c r="M443" s="3" t="str">
        <f>IFERROR(__xludf.DUMMYFUNCTION("""COMPUTED_VALUE"""),"#N/A")</f>
        <v>#N/A</v>
      </c>
      <c r="N443" s="3" t="str">
        <f>IFERROR(__xludf.DUMMYFUNCTION("""COMPUTED_VALUE"""),"Unknown")</f>
        <v>Unknown</v>
      </c>
      <c r="O443" s="3" t="str">
        <f>IFERROR(__xludf.DUMMYFUNCTION("""COMPUTED_VALUE"""),"Unknown")</f>
        <v>Unknown</v>
      </c>
      <c r="P443" s="3" t="str">
        <f>IFERROR(__xludf.DUMMYFUNCTION("""COMPUTED_VALUE"""),"FY22")</f>
        <v>FY22</v>
      </c>
      <c r="Q443" s="3" t="str">
        <f>IFERROR(__xludf.DUMMYFUNCTION("""COMPUTED_VALUE"""),"Unknown")</f>
        <v>Unknown</v>
      </c>
      <c r="R443" s="3" t="str">
        <f>IFERROR(__xludf.DUMMYFUNCTION("""COMPUTED_VALUE"""),"Unknown")</f>
        <v>Unknown</v>
      </c>
      <c r="S443" s="3" t="str">
        <f>IFERROR(__xludf.DUMMYFUNCTION("""COMPUTED_VALUE"""),"Unknown")</f>
        <v>Unknown</v>
      </c>
      <c r="T443" s="3" t="str">
        <f>IFERROR(__xludf.DUMMYFUNCTION("""COMPUTED_VALUE"""),"Unknown")</f>
        <v>Unknown</v>
      </c>
      <c r="U443" s="3" t="b">
        <f>IFERROR(__xludf.DUMMYFUNCTION("""COMPUTED_VALUE"""),TRUE)</f>
        <v>1</v>
      </c>
      <c r="V443" s="3" t="str">
        <f>IFERROR(__xludf.DUMMYFUNCTION("""COMPUTED_VALUE"""),"Unknown")</f>
        <v>Unknown</v>
      </c>
      <c r="W443" s="3" t="str">
        <f>IFERROR(__xludf.DUMMYFUNCTION("""COMPUTED_VALUE"""),"Catalyst")</f>
        <v>Catalyst</v>
      </c>
      <c r="X443" s="3" t="str">
        <f>IFERROR(__xludf.DUMMYFUNCTION("""COMPUTED_VALUE"""),"Unknown")</f>
        <v>Unknown</v>
      </c>
      <c r="Y443" s="3" t="str">
        <f>IFERROR(__xludf.DUMMYFUNCTION("""COMPUTED_VALUE"""),"FY22")</f>
        <v>FY22</v>
      </c>
      <c r="Z443" s="3" t="str">
        <f>IFERROR(__xludf.DUMMYFUNCTION("""COMPUTED_VALUE"""),"#N/A")</f>
        <v>#N/A</v>
      </c>
      <c r="AA443" s="3" t="b">
        <f>IFERROR(__xludf.DUMMYFUNCTION("""COMPUTED_VALUE"""),FALSE)</f>
        <v>0</v>
      </c>
    </row>
    <row r="444">
      <c r="A444" s="11">
        <f>IFERROR(__xludf.DUMMYFUNCTION("""COMPUTED_VALUE"""),1.00642379E8)</f>
        <v>100642379</v>
      </c>
      <c r="B444" s="3" t="str">
        <f>IFERROR(__xludf.DUMMYFUNCTION("""COMPUTED_VALUE"""),"Meghan Murray")</f>
        <v>Meghan Murray</v>
      </c>
      <c r="C444" s="3" t="str">
        <f>IFERROR(__xludf.DUMMYFUNCTION("""COMPUTED_VALUE"""),"Meghan Lynn Murray")</f>
        <v>Meghan Lynn Murray</v>
      </c>
      <c r="D444" s="3" t="str">
        <f>IFERROR(__xludf.DUMMYFUNCTION("""COMPUTED_VALUE"""),"Murray, Meghan Lynn")</f>
        <v>Murray, Meghan Lynn</v>
      </c>
      <c r="E444" s="3" t="str">
        <f>IFERROR(__xludf.DUMMYFUNCTION("""COMPUTED_VALUE"""),"Active")</f>
        <v>Active</v>
      </c>
      <c r="F444" s="3" t="str">
        <f>IFERROR(__xludf.DUMMYFUNCTION("""COMPUTED_VALUE"""),"meghan.l.murray@pwc.com")</f>
        <v>meghan.l.murray@pwc.com</v>
      </c>
      <c r="G444" s="3" t="str">
        <f>IFERROR(__xludf.DUMMYFUNCTION("""COMPUTED_VALUE"""),"Ops")</f>
        <v>Ops</v>
      </c>
      <c r="H444" s="3" t="str">
        <f>IFERROR(__xludf.DUMMYFUNCTION("""COMPUTED_VALUE"""),"CM X-Sector")</f>
        <v>CM X-Sector</v>
      </c>
      <c r="I444" s="3" t="str">
        <f>IFERROR(__xludf.DUMMYFUNCTION("""COMPUTED_VALUE"""),"Ops - Sourcing &amp; Procurement (S&amp;P)")</f>
        <v>Ops - Sourcing &amp; Procurement (S&amp;P)</v>
      </c>
      <c r="J444" s="3" t="str">
        <f>IFERROR(__xludf.DUMMYFUNCTION("""COMPUTED_VALUE"""),"Partner")</f>
        <v>Partner</v>
      </c>
      <c r="K444" s="12">
        <f>IFERROR(__xludf.DUMMYFUNCTION("""COMPUTED_VALUE"""),40162.0)</f>
        <v>40162</v>
      </c>
      <c r="L444" s="3" t="str">
        <f>IFERROR(__xludf.DUMMYFUNCTION("""COMPUTED_VALUE"""),"Chicago")</f>
        <v>Chicago</v>
      </c>
      <c r="M444" s="3" t="str">
        <f>IFERROR(__xludf.DUMMYFUNCTION("""COMPUTED_VALUE"""),"Chicago - One North Wacker Drive")</f>
        <v>Chicago - One North Wacker Drive</v>
      </c>
      <c r="N444" s="3" t="b">
        <f>IFERROR(__xludf.DUMMYFUNCTION("""COMPUTED_VALUE"""),FALSE)</f>
        <v>0</v>
      </c>
      <c r="O444" s="3" t="str">
        <f>IFERROR(__xludf.DUMMYFUNCTION("""COMPUTED_VALUE"""),"matthew.r.comte@pwc.com")</f>
        <v>matthew.r.comte@pwc.com</v>
      </c>
      <c r="P444" s="3" t="str">
        <f>IFERROR(__xludf.DUMMYFUNCTION("""COMPUTED_VALUE"""),"No")</f>
        <v>No</v>
      </c>
      <c r="Q444" s="3" t="b">
        <f>IFERROR(__xludf.DUMMYFUNCTION("""COMPUTED_VALUE"""),FALSE)</f>
        <v>0</v>
      </c>
      <c r="R444" s="3"/>
      <c r="S444" s="3"/>
      <c r="T444" s="3" t="b">
        <f>IFERROR(__xludf.DUMMYFUNCTION("""COMPUTED_VALUE"""),FALSE)</f>
        <v>0</v>
      </c>
      <c r="U444" s="3" t="b">
        <f>IFERROR(__xludf.DUMMYFUNCTION("""COMPUTED_VALUE"""),TRUE)</f>
        <v>1</v>
      </c>
      <c r="V444" s="3" t="b">
        <f>IFERROR(__xludf.DUMMYFUNCTION("""COMPUTED_VALUE"""),FALSE)</f>
        <v>0</v>
      </c>
      <c r="W444" s="3" t="str">
        <f>IFERROR(__xludf.DUMMYFUNCTION("""COMPUTED_VALUE"""),"Delivery")</f>
        <v>Delivery</v>
      </c>
      <c r="X444" s="3"/>
      <c r="Y444" s="3"/>
      <c r="Z444" s="3" t="str">
        <f>IFERROR(__xludf.DUMMYFUNCTION("""COMPUTED_VALUE"""),"CM Ops Transformation")</f>
        <v>CM Ops Transformation</v>
      </c>
      <c r="AA444" s="3" t="b">
        <f>IFERROR(__xludf.DUMMYFUNCTION("""COMPUTED_VALUE"""),FALSE)</f>
        <v>0</v>
      </c>
    </row>
    <row r="445">
      <c r="A445" s="11">
        <f>IFERROR(__xludf.DUMMYFUNCTION("""COMPUTED_VALUE"""),1.01235519E8)</f>
        <v>101235519</v>
      </c>
      <c r="B445" s="3" t="str">
        <f>IFERROR(__xludf.DUMMYFUNCTION("""COMPUTED_VALUE"""),"Melanie Henderson")</f>
        <v>Melanie Henderson</v>
      </c>
      <c r="C445" s="3" t="str">
        <f>IFERROR(__xludf.DUMMYFUNCTION("""COMPUTED_VALUE"""),"Unknown")</f>
        <v>Unknown</v>
      </c>
      <c r="D445" s="3" t="str">
        <f>IFERROR(__xludf.DUMMYFUNCTION("""COMPUTED_VALUE"""),"Unknown")</f>
        <v>Unknown</v>
      </c>
      <c r="E445" s="3" t="str">
        <f>IFERROR(__xludf.DUMMYFUNCTION("""COMPUTED_VALUE"""),"Active")</f>
        <v>Active</v>
      </c>
      <c r="F445" s="3" t="str">
        <f>IFERROR(__xludf.DUMMYFUNCTION("""COMPUTED_VALUE"""),"melanie.henderson@pwc.com")</f>
        <v>melanie.henderson@pwc.com</v>
      </c>
      <c r="G445" s="3" t="str">
        <f>IFERROR(__xludf.DUMMYFUNCTION("""COMPUTED_VALUE"""),"FS")</f>
        <v>FS</v>
      </c>
      <c r="H445" s="3" t="str">
        <f>IFERROR(__xludf.DUMMYFUNCTION("""COMPUTED_VALUE"""),"Insurance")</f>
        <v>Insurance</v>
      </c>
      <c r="I445" s="3" t="str">
        <f>IFERROR(__xludf.DUMMYFUNCTION("""COMPUTED_VALUE"""),"FS - Insurance")</f>
        <v>FS - Insurance</v>
      </c>
      <c r="J445" s="3" t="str">
        <f>IFERROR(__xludf.DUMMYFUNCTION("""COMPUTED_VALUE"""),"Partner")</f>
        <v>Partner</v>
      </c>
      <c r="K445" s="12">
        <f>IFERROR(__xludf.DUMMYFUNCTION("""COMPUTED_VALUE"""),44682.0)</f>
        <v>44682</v>
      </c>
      <c r="L445" s="3" t="str">
        <f>IFERROR(__xludf.DUMMYFUNCTION("""COMPUTED_VALUE"""),"Melville")</f>
        <v>Melville</v>
      </c>
      <c r="M445" s="3" t="str">
        <f>IFERROR(__xludf.DUMMYFUNCTION("""COMPUTED_VALUE"""),"#N/A")</f>
        <v>#N/A</v>
      </c>
      <c r="N445" s="3" t="str">
        <f>IFERROR(__xludf.DUMMYFUNCTION("""COMPUTED_VALUE"""),"Unknown")</f>
        <v>Unknown</v>
      </c>
      <c r="O445" s="3" t="str">
        <f>IFERROR(__xludf.DUMMYFUNCTION("""COMPUTED_VALUE"""),"Unknown")</f>
        <v>Unknown</v>
      </c>
      <c r="P445" s="3" t="str">
        <f>IFERROR(__xludf.DUMMYFUNCTION("""COMPUTED_VALUE"""),"FY22")</f>
        <v>FY22</v>
      </c>
      <c r="Q445" s="3" t="str">
        <f>IFERROR(__xludf.DUMMYFUNCTION("""COMPUTED_VALUE"""),"Unknown")</f>
        <v>Unknown</v>
      </c>
      <c r="R445" s="3" t="str">
        <f>IFERROR(__xludf.DUMMYFUNCTION("""COMPUTED_VALUE"""),"Unknown")</f>
        <v>Unknown</v>
      </c>
      <c r="S445" s="3" t="str">
        <f>IFERROR(__xludf.DUMMYFUNCTION("""COMPUTED_VALUE"""),"Unknown")</f>
        <v>Unknown</v>
      </c>
      <c r="T445" s="3" t="str">
        <f>IFERROR(__xludf.DUMMYFUNCTION("""COMPUTED_VALUE"""),"Unknown")</f>
        <v>Unknown</v>
      </c>
      <c r="U445" s="3" t="b">
        <f>IFERROR(__xludf.DUMMYFUNCTION("""COMPUTED_VALUE"""),TRUE)</f>
        <v>1</v>
      </c>
      <c r="V445" s="3" t="str">
        <f>IFERROR(__xludf.DUMMYFUNCTION("""COMPUTED_VALUE"""),"Unknown")</f>
        <v>Unknown</v>
      </c>
      <c r="W445" s="3" t="str">
        <f>IFERROR(__xludf.DUMMYFUNCTION("""COMPUTED_VALUE"""),"Catalyst")</f>
        <v>Catalyst</v>
      </c>
      <c r="X445" s="3" t="str">
        <f>IFERROR(__xludf.DUMMYFUNCTION("""COMPUTED_VALUE"""),"Unknown")</f>
        <v>Unknown</v>
      </c>
      <c r="Y445" s="3" t="str">
        <f>IFERROR(__xludf.DUMMYFUNCTION("""COMPUTED_VALUE"""),"FY22")</f>
        <v>FY22</v>
      </c>
      <c r="Z445" s="3" t="str">
        <f>IFERROR(__xludf.DUMMYFUNCTION("""COMPUTED_VALUE"""),"#N/A")</f>
        <v>#N/A</v>
      </c>
      <c r="AA445" s="3" t="b">
        <f>IFERROR(__xludf.DUMMYFUNCTION("""COMPUTED_VALUE"""),FALSE)</f>
        <v>0</v>
      </c>
    </row>
    <row r="446">
      <c r="A446" s="11">
        <f>IFERROR(__xludf.DUMMYFUNCTION("""COMPUTED_VALUE"""),1.00592341E8)</f>
        <v>100592341</v>
      </c>
      <c r="B446" s="3" t="str">
        <f>IFERROR(__xludf.DUMMYFUNCTION("""COMPUTED_VALUE"""),"Melodie Chang")</f>
        <v>Melodie Chang</v>
      </c>
      <c r="C446" s="3" t="str">
        <f>IFERROR(__xludf.DUMMYFUNCTION("""COMPUTED_VALUE"""),"Melodie Tsi-Yuin Chang")</f>
        <v>Melodie Tsi-Yuin Chang</v>
      </c>
      <c r="D446" s="3" t="str">
        <f>IFERROR(__xludf.DUMMYFUNCTION("""COMPUTED_VALUE"""),"Chang, Melodie Tsi-Yuin")</f>
        <v>Chang, Melodie Tsi-Yuin</v>
      </c>
      <c r="E446" s="3" t="str">
        <f>IFERROR(__xludf.DUMMYFUNCTION("""COMPUTED_VALUE"""),"Active")</f>
        <v>Active</v>
      </c>
      <c r="F446" s="3" t="str">
        <f>IFERROR(__xludf.DUMMYFUNCTION("""COMPUTED_VALUE"""),"melodie.x.chang@pwc.com")</f>
        <v>melodie.x.chang@pwc.com</v>
      </c>
      <c r="G446" s="3" t="str">
        <f>IFERROR(__xludf.DUMMYFUNCTION("""COMPUTED_VALUE"""),"Deals Transformation")</f>
        <v>Deals Transformation</v>
      </c>
      <c r="H446" s="3" t="str">
        <f>IFERROR(__xludf.DUMMYFUNCTION("""COMPUTED_VALUE"""),"Insurance")</f>
        <v>Insurance</v>
      </c>
      <c r="I446" s="3" t="str">
        <f>IFERROR(__xludf.DUMMYFUNCTION("""COMPUTED_VALUE"""),"DDV - ISD (Integration, Separation, Divestitures)")</f>
        <v>DDV - ISD (Integration, Separation, Divestitures)</v>
      </c>
      <c r="J446" s="3" t="str">
        <f>IFERROR(__xludf.DUMMYFUNCTION("""COMPUTED_VALUE"""),"Partner")</f>
        <v>Partner</v>
      </c>
      <c r="K446" s="12">
        <f>IFERROR(__xludf.DUMMYFUNCTION("""COMPUTED_VALUE"""),42422.0)</f>
        <v>42422</v>
      </c>
      <c r="L446" s="3" t="str">
        <f>IFERROR(__xludf.DUMMYFUNCTION("""COMPUTED_VALUE"""),"Boston")</f>
        <v>Boston</v>
      </c>
      <c r="M446" s="3" t="str">
        <f>IFERROR(__xludf.DUMMYFUNCTION("""COMPUTED_VALUE"""),"Boston - 101 Seaport Boulevard")</f>
        <v>Boston - 101 Seaport Boulevard</v>
      </c>
      <c r="N446" s="3" t="b">
        <f>IFERROR(__xludf.DUMMYFUNCTION("""COMPUTED_VALUE"""),FALSE)</f>
        <v>0</v>
      </c>
      <c r="O446" s="3" t="str">
        <f>IFERROR(__xludf.DUMMYFUNCTION("""COMPUTED_VALUE"""),"derek.b.townsend@pwc.com")</f>
        <v>derek.b.townsend@pwc.com</v>
      </c>
      <c r="P446" s="3" t="str">
        <f>IFERROR(__xludf.DUMMYFUNCTION("""COMPUTED_VALUE"""),"No")</f>
        <v>No</v>
      </c>
      <c r="Q446" s="3" t="b">
        <f>IFERROR(__xludf.DUMMYFUNCTION("""COMPUTED_VALUE"""),FALSE)</f>
        <v>0</v>
      </c>
      <c r="R446" s="3"/>
      <c r="S446" s="3"/>
      <c r="T446" s="3" t="b">
        <f>IFERROR(__xludf.DUMMYFUNCTION("""COMPUTED_VALUE"""),FALSE)</f>
        <v>0</v>
      </c>
      <c r="U446" s="3" t="b">
        <f>IFERROR(__xludf.DUMMYFUNCTION("""COMPUTED_VALUE"""),TRUE)</f>
        <v>1</v>
      </c>
      <c r="V446" s="3" t="b">
        <f>IFERROR(__xludf.DUMMYFUNCTION("""COMPUTED_VALUE"""),FALSE)</f>
        <v>0</v>
      </c>
      <c r="W446" s="3" t="str">
        <f>IFERROR(__xludf.DUMMYFUNCTION("""COMPUTED_VALUE"""),"Delivery")</f>
        <v>Delivery</v>
      </c>
      <c r="X446" s="3"/>
      <c r="Y446" s="3"/>
      <c r="Z446" s="3" t="str">
        <f>IFERROR(__xludf.DUMMYFUNCTION("""COMPUTED_VALUE"""),"Corporate M&amp;A Transformation - FS")</f>
        <v>Corporate M&amp;A Transformation - FS</v>
      </c>
      <c r="AA446" s="3" t="b">
        <f>IFERROR(__xludf.DUMMYFUNCTION("""COMPUTED_VALUE"""),FALSE)</f>
        <v>0</v>
      </c>
    </row>
    <row r="447">
      <c r="A447" s="11">
        <f>IFERROR(__xludf.DUMMYFUNCTION("""COMPUTED_VALUE"""),1.00622174E8)</f>
        <v>100622174</v>
      </c>
      <c r="B447" s="3" t="str">
        <f>IFERROR(__xludf.DUMMYFUNCTION("""COMPUTED_VALUE"""),"Meredith Strokes")</f>
        <v>Meredith Strokes</v>
      </c>
      <c r="C447" s="3" t="str">
        <f>IFERROR(__xludf.DUMMYFUNCTION("""COMPUTED_VALUE"""),"Meredith Lynn Strokes")</f>
        <v>Meredith Lynn Strokes</v>
      </c>
      <c r="D447" s="3" t="str">
        <f>IFERROR(__xludf.DUMMYFUNCTION("""COMPUTED_VALUE"""),"Strokes, Meredith Lynn")</f>
        <v>Strokes, Meredith Lynn</v>
      </c>
      <c r="E447" s="3" t="str">
        <f>IFERROR(__xludf.DUMMYFUNCTION("""COMPUTED_VALUE"""),"Active")</f>
        <v>Active</v>
      </c>
      <c r="F447" s="3" t="str">
        <f>IFERROR(__xludf.DUMMYFUNCTION("""COMPUTED_VALUE"""),"meredith.strokes@pwc.com")</f>
        <v>meredith.strokes@pwc.com</v>
      </c>
      <c r="G447" s="3" t="str">
        <f>IFERROR(__xludf.DUMMYFUNCTION("""COMPUTED_VALUE"""),"FS")</f>
        <v>FS</v>
      </c>
      <c r="H447" s="3" t="str">
        <f>IFERROR(__xludf.DUMMYFUNCTION("""COMPUTED_VALUE"""),"Banking and Capital Markets")</f>
        <v>Banking and Capital Markets</v>
      </c>
      <c r="I447" s="3" t="str">
        <f>IFERROR(__xludf.DUMMYFUNCTION("""COMPUTED_VALUE"""),"FS - Banking and Capital Markets")</f>
        <v>FS - Banking and Capital Markets</v>
      </c>
      <c r="J447" s="3" t="str">
        <f>IFERROR(__xludf.DUMMYFUNCTION("""COMPUTED_VALUE"""),"Partner")</f>
        <v>Partner</v>
      </c>
      <c r="K447" s="12">
        <f>IFERROR(__xludf.DUMMYFUNCTION("""COMPUTED_VALUE"""),41771.0)</f>
        <v>41771</v>
      </c>
      <c r="L447" s="3" t="str">
        <f>IFERROR(__xludf.DUMMYFUNCTION("""COMPUTED_VALUE"""),"Boston")</f>
        <v>Boston</v>
      </c>
      <c r="M447" s="3" t="str">
        <f>IFERROR(__xludf.DUMMYFUNCTION("""COMPUTED_VALUE"""),"Boston - 101 Seaport Boulevard")</f>
        <v>Boston - 101 Seaport Boulevard</v>
      </c>
      <c r="N447" s="3" t="b">
        <f>IFERROR(__xludf.DUMMYFUNCTION("""COMPUTED_VALUE"""),FALSE)</f>
        <v>0</v>
      </c>
      <c r="O447" s="3" t="str">
        <f>IFERROR(__xludf.DUMMYFUNCTION("""COMPUTED_VALUE"""),"alison.hoover@pwc.com")</f>
        <v>alison.hoover@pwc.com</v>
      </c>
      <c r="P447" s="3" t="str">
        <f>IFERROR(__xludf.DUMMYFUNCTION("""COMPUTED_VALUE"""),"No")</f>
        <v>No</v>
      </c>
      <c r="Q447" s="3" t="b">
        <f>IFERROR(__xludf.DUMMYFUNCTION("""COMPUTED_VALUE"""),FALSE)</f>
        <v>0</v>
      </c>
      <c r="R447" s="3"/>
      <c r="S447" s="3"/>
      <c r="T447" s="3" t="b">
        <f>IFERROR(__xludf.DUMMYFUNCTION("""COMPUTED_VALUE"""),FALSE)</f>
        <v>0</v>
      </c>
      <c r="U447" s="3" t="b">
        <f>IFERROR(__xludf.DUMMYFUNCTION("""COMPUTED_VALUE"""),TRUE)</f>
        <v>1</v>
      </c>
      <c r="V447" s="3" t="b">
        <f>IFERROR(__xludf.DUMMYFUNCTION("""COMPUTED_VALUE"""),FALSE)</f>
        <v>0</v>
      </c>
      <c r="W447" s="3" t="str">
        <f>IFERROR(__xludf.DUMMYFUNCTION("""COMPUTED_VALUE"""),"Delivery")</f>
        <v>Delivery</v>
      </c>
      <c r="X447" s="3" t="str">
        <f>IFERROR(__xludf.DUMMYFUNCTION("""COMPUTED_VALUE"""),"Investment")</f>
        <v>Investment</v>
      </c>
      <c r="Y447" s="3"/>
      <c r="Z447" s="3" t="str">
        <f>IFERROR(__xludf.DUMMYFUNCTION("""COMPUTED_VALUE"""),"Banking Transformation")</f>
        <v>Banking Transformation</v>
      </c>
      <c r="AA447" s="3" t="b">
        <f>IFERROR(__xludf.DUMMYFUNCTION("""COMPUTED_VALUE"""),FALSE)</f>
        <v>0</v>
      </c>
    </row>
    <row r="448">
      <c r="A448" s="3">
        <f>IFERROR(__xludf.DUMMYFUNCTION("""COMPUTED_VALUE"""),1.00651722E8)</f>
        <v>100651722</v>
      </c>
      <c r="B448" s="3" t="str">
        <f>IFERROR(__xludf.DUMMYFUNCTION("""COMPUTED_VALUE"""),"Michael Chapman")</f>
        <v>Michael Chapman</v>
      </c>
      <c r="C448" s="3" t="str">
        <f>IFERROR(__xludf.DUMMYFUNCTION("""COMPUTED_VALUE"""),"Michael Winston Chapman")</f>
        <v>Michael Winston Chapman</v>
      </c>
      <c r="D448" s="3" t="str">
        <f>IFERROR(__xludf.DUMMYFUNCTION("""COMPUTED_VALUE"""),"Chapman, Michael Winston")</f>
        <v>Chapman, Michael Winston</v>
      </c>
      <c r="E448" s="3" t="str">
        <f>IFERROR(__xludf.DUMMYFUNCTION("""COMPUTED_VALUE"""),"Active")</f>
        <v>Active</v>
      </c>
      <c r="F448" s="3" t="str">
        <f>IFERROR(__xludf.DUMMYFUNCTION("""COMPUTED_VALUE"""),"michael.w.chapman@pwc.com")</f>
        <v>michael.w.chapman@pwc.com</v>
      </c>
      <c r="G448" s="3" t="str">
        <f>IFERROR(__xludf.DUMMYFUNCTION("""COMPUTED_VALUE"""),"Ops")</f>
        <v>Ops</v>
      </c>
      <c r="H448" s="3" t="str">
        <f>IFERROR(__xludf.DUMMYFUNCTION("""COMPUTED_VALUE"""),"Power and Utilities")</f>
        <v>Power and Utilities</v>
      </c>
      <c r="I448" s="3" t="str">
        <f>IFERROR(__xludf.DUMMYFUNCTION("""COMPUTED_VALUE"""),"Ops - Org Strategy Strategy &amp; Solutions (OSS)")</f>
        <v>Ops - Org Strategy Strategy &amp; Solutions (OSS)</v>
      </c>
      <c r="J448" s="3" t="str">
        <f>IFERROR(__xludf.DUMMYFUNCTION("""COMPUTED_VALUE"""),"Partner")</f>
        <v>Partner</v>
      </c>
      <c r="K448" s="12">
        <f>IFERROR(__xludf.DUMMYFUNCTION("""COMPUTED_VALUE"""),40518.0)</f>
        <v>40518</v>
      </c>
      <c r="L448" s="3" t="str">
        <f>IFERROR(__xludf.DUMMYFUNCTION("""COMPUTED_VALUE"""),"San Francisco")</f>
        <v>San Francisco</v>
      </c>
      <c r="M448" s="3" t="str">
        <f>IFERROR(__xludf.DUMMYFUNCTION("""COMPUTED_VALUE"""),"San Francisco - 405 Howard St")</f>
        <v>San Francisco - 405 Howard St</v>
      </c>
      <c r="N448" s="3" t="b">
        <f>IFERROR(__xludf.DUMMYFUNCTION("""COMPUTED_VALUE"""),FALSE)</f>
        <v>0</v>
      </c>
      <c r="O448" s="3" t="str">
        <f>IFERROR(__xludf.DUMMYFUNCTION("""COMPUTED_VALUE"""),"matthew.r.comte@pwc.com")</f>
        <v>matthew.r.comte@pwc.com</v>
      </c>
      <c r="P448" s="3" t="str">
        <f>IFERROR(__xludf.DUMMYFUNCTION("""COMPUTED_VALUE"""),"No")</f>
        <v>No</v>
      </c>
      <c r="Q448" s="3" t="b">
        <f>IFERROR(__xludf.DUMMYFUNCTION("""COMPUTED_VALUE"""),TRUE)</f>
        <v>1</v>
      </c>
      <c r="R448" s="3" t="str">
        <f>IFERROR(__xludf.DUMMYFUNCTION("""COMPUTED_VALUE"""),"LCP High")</f>
        <v>LCP High</v>
      </c>
      <c r="S448" s="3"/>
      <c r="T448" s="3" t="b">
        <f>IFERROR(__xludf.DUMMYFUNCTION("""COMPUTED_VALUE"""),FALSE)</f>
        <v>0</v>
      </c>
      <c r="U448" s="3" t="b">
        <f>IFERROR(__xludf.DUMMYFUNCTION("""COMPUTED_VALUE"""),FALSE)</f>
        <v>0</v>
      </c>
      <c r="V448" s="3" t="b">
        <f>IFERROR(__xludf.DUMMYFUNCTION("""COMPUTED_VALUE"""),FALSE)</f>
        <v>0</v>
      </c>
      <c r="W448" s="3" t="str">
        <f>IFERROR(__xludf.DUMMYFUNCTION("""COMPUTED_VALUE"""),"LCP")</f>
        <v>LCP</v>
      </c>
      <c r="X448" s="3"/>
      <c r="Y448" s="3" t="str">
        <f>IFERROR(__xludf.DUMMYFUNCTION("""COMPUTED_VALUE"""),"GEP - High")</f>
        <v>GEP - High</v>
      </c>
      <c r="Z448" s="3" t="str">
        <f>IFERROR(__xludf.DUMMYFUNCTION("""COMPUTED_VALUE"""),"EUM + Telecom Ops Transformation")</f>
        <v>EUM + Telecom Ops Transformation</v>
      </c>
      <c r="AA448" s="3" t="b">
        <f>IFERROR(__xludf.DUMMYFUNCTION("""COMPUTED_VALUE"""),FALSE)</f>
        <v>0</v>
      </c>
    </row>
    <row r="449">
      <c r="A449" s="11">
        <f>IFERROR(__xludf.DUMMYFUNCTION("""COMPUTED_VALUE"""),1.00609525E8)</f>
        <v>100609525</v>
      </c>
      <c r="B449" s="3" t="str">
        <f>IFERROR(__xludf.DUMMYFUNCTION("""COMPUTED_VALUE"""),"Michael Cohen")</f>
        <v>Michael Cohen</v>
      </c>
      <c r="C449" s="3" t="str">
        <f>IFERROR(__xludf.DUMMYFUNCTION("""COMPUTED_VALUE"""),"Michael S Cohen")</f>
        <v>Michael S Cohen</v>
      </c>
      <c r="D449" s="3" t="str">
        <f>IFERROR(__xludf.DUMMYFUNCTION("""COMPUTED_VALUE"""),"Cohen, Michael S")</f>
        <v>Cohen, Michael S</v>
      </c>
      <c r="E449" s="3" t="str">
        <f>IFERROR(__xludf.DUMMYFUNCTION("""COMPUTED_VALUE"""),"Active")</f>
        <v>Active</v>
      </c>
      <c r="F449" s="3" t="str">
        <f>IFERROR(__xludf.DUMMYFUNCTION("""COMPUTED_VALUE"""),"mike.cohen@pwc.com")</f>
        <v>mike.cohen@pwc.com</v>
      </c>
      <c r="G449" s="3" t="str">
        <f>IFERROR(__xludf.DUMMYFUNCTION("""COMPUTED_VALUE"""),"Health")</f>
        <v>Health</v>
      </c>
      <c r="H449" s="3" t="str">
        <f>IFERROR(__xludf.DUMMYFUNCTION("""COMPUTED_VALUE"""),"Health Services")</f>
        <v>Health Services</v>
      </c>
      <c r="I449" s="3" t="str">
        <f>IFERROR(__xludf.DUMMYFUNCTION("""COMPUTED_VALUE"""),"Health - Provider FFG")</f>
        <v>Health - Provider FFG</v>
      </c>
      <c r="J449" s="3" t="str">
        <f>IFERROR(__xludf.DUMMYFUNCTION("""COMPUTED_VALUE"""),"Partner")</f>
        <v>Partner</v>
      </c>
      <c r="K449" s="12">
        <f>IFERROR(__xludf.DUMMYFUNCTION("""COMPUTED_VALUE"""),41323.0)</f>
        <v>41323</v>
      </c>
      <c r="L449" s="3" t="str">
        <f>IFERROR(__xludf.DUMMYFUNCTION("""COMPUTED_VALUE"""),"Chicago")</f>
        <v>Chicago</v>
      </c>
      <c r="M449" s="3" t="str">
        <f>IFERROR(__xludf.DUMMYFUNCTION("""COMPUTED_VALUE"""),"Chicago - One North Wacker Drive")</f>
        <v>Chicago - One North Wacker Drive</v>
      </c>
      <c r="N449" s="3" t="b">
        <f>IFERROR(__xludf.DUMMYFUNCTION("""COMPUTED_VALUE"""),FALSE)</f>
        <v>0</v>
      </c>
      <c r="O449" s="3" t="str">
        <f>IFERROR(__xludf.DUMMYFUNCTION("""COMPUTED_VALUE"""),"craig.e.gooch@pwc.com")</f>
        <v>craig.e.gooch@pwc.com</v>
      </c>
      <c r="P449" s="3" t="str">
        <f>IFERROR(__xludf.DUMMYFUNCTION("""COMPUTED_VALUE"""),"No")</f>
        <v>No</v>
      </c>
      <c r="Q449" s="3" t="b">
        <f>IFERROR(__xludf.DUMMYFUNCTION("""COMPUTED_VALUE"""),FALSE)</f>
        <v>0</v>
      </c>
      <c r="R449" s="3"/>
      <c r="S449" s="3"/>
      <c r="T449" s="3" t="b">
        <f>IFERROR(__xludf.DUMMYFUNCTION("""COMPUTED_VALUE"""),TRUE)</f>
        <v>1</v>
      </c>
      <c r="U449" s="3" t="b">
        <f>IFERROR(__xludf.DUMMYFUNCTION("""COMPUTED_VALUE"""),FALSE)</f>
        <v>0</v>
      </c>
      <c r="V449" s="3" t="b">
        <f>IFERROR(__xludf.DUMMYFUNCTION("""COMPUTED_VALUE"""),FALSE)</f>
        <v>0</v>
      </c>
      <c r="W449" s="3" t="str">
        <f>IFERROR(__xludf.DUMMYFUNCTION("""COMPUTED_VALUE"""),"Delivery")</f>
        <v>Delivery</v>
      </c>
      <c r="X449" s="3" t="str">
        <f>IFERROR(__xludf.DUMMYFUNCTION("""COMPUTED_VALUE"""),"Investment")</f>
        <v>Investment</v>
      </c>
      <c r="Y449" s="3"/>
      <c r="Z449" s="3" t="str">
        <f>IFERROR(__xludf.DUMMYFUNCTION("""COMPUTED_VALUE"""),"Provider Transformation")</f>
        <v>Provider Transformation</v>
      </c>
      <c r="AA449" s="3" t="b">
        <f>IFERROR(__xludf.DUMMYFUNCTION("""COMPUTED_VALUE"""),FALSE)</f>
        <v>0</v>
      </c>
    </row>
    <row r="450">
      <c r="A450" s="11">
        <f>IFERROR(__xludf.DUMMYFUNCTION("""COMPUTED_VALUE"""),1.00575838E8)</f>
        <v>100575838</v>
      </c>
      <c r="B450" s="3" t="str">
        <f>IFERROR(__xludf.DUMMYFUNCTION("""COMPUTED_VALUE"""),"Michael Connolly")</f>
        <v>Michael Connolly</v>
      </c>
      <c r="C450" s="3" t="str">
        <f>IFERROR(__xludf.DUMMYFUNCTION("""COMPUTED_VALUE"""),"Michael  Connolly")</f>
        <v>Michael  Connolly</v>
      </c>
      <c r="D450" s="3" t="str">
        <f>IFERROR(__xludf.DUMMYFUNCTION("""COMPUTED_VALUE"""),"Connolly, Michael")</f>
        <v>Connolly, Michael</v>
      </c>
      <c r="E450" s="3" t="str">
        <f>IFERROR(__xludf.DUMMYFUNCTION("""COMPUTED_VALUE"""),"Active")</f>
        <v>Active</v>
      </c>
      <c r="F450" s="3" t="str">
        <f>IFERROR(__xludf.DUMMYFUNCTION("""COMPUTED_VALUE"""),"mike.connolly@pwc.com")</f>
        <v>mike.connolly@pwc.com</v>
      </c>
      <c r="G450" s="3" t="str">
        <f>IFERROR(__xludf.DUMMYFUNCTION("""COMPUTED_VALUE"""),"Transformation Natl")</f>
        <v>Transformation Natl</v>
      </c>
      <c r="H450" s="3" t="str">
        <f>IFERROR(__xludf.DUMMYFUNCTION("""COMPUTED_VALUE"""),"Health Services")</f>
        <v>Health Services</v>
      </c>
      <c r="I450" s="3" t="str">
        <f>IFERROR(__xludf.DUMMYFUNCTION("""COMPUTED_VALUE"""),"Unassigned")</f>
        <v>Unassigned</v>
      </c>
      <c r="J450" s="3" t="str">
        <f>IFERROR(__xludf.DUMMYFUNCTION("""COMPUTED_VALUE"""),"Partner")</f>
        <v>Partner</v>
      </c>
      <c r="K450" s="12">
        <f>IFERROR(__xludf.DUMMYFUNCTION("""COMPUTED_VALUE"""),43508.0)</f>
        <v>43508</v>
      </c>
      <c r="L450" s="3" t="str">
        <f>IFERROR(__xludf.DUMMYFUNCTION("""COMPUTED_VALUE"""),"Chicago")</f>
        <v>Chicago</v>
      </c>
      <c r="M450" s="3" t="str">
        <f>IFERROR(__xludf.DUMMYFUNCTION("""COMPUTED_VALUE"""),"Chicago - One North Wacker Drive")</f>
        <v>Chicago - One North Wacker Drive</v>
      </c>
      <c r="N450" s="3" t="b">
        <f>IFERROR(__xludf.DUMMYFUNCTION("""COMPUTED_VALUE"""),TRUE)</f>
        <v>1</v>
      </c>
      <c r="O450" s="3" t="str">
        <f>IFERROR(__xludf.DUMMYFUNCTION("""COMPUTED_VALUE"""),"mohamed.k.kande@pwc.com")</f>
        <v>mohamed.k.kande@pwc.com</v>
      </c>
      <c r="P450" s="3" t="str">
        <f>IFERROR(__xludf.DUMMYFUNCTION("""COMPUTED_VALUE"""),"No")</f>
        <v>No</v>
      </c>
      <c r="Q450" s="3" t="b">
        <f>IFERROR(__xludf.DUMMYFUNCTION("""COMPUTED_VALUE"""),FALSE)</f>
        <v>0</v>
      </c>
      <c r="R450" s="3"/>
      <c r="S450" s="3"/>
      <c r="T450" s="3" t="b">
        <f>IFERROR(__xludf.DUMMYFUNCTION("""COMPUTED_VALUE"""),FALSE)</f>
        <v>0</v>
      </c>
      <c r="U450" s="3" t="b">
        <f>IFERROR(__xludf.DUMMYFUNCTION("""COMPUTED_VALUE"""),FALSE)</f>
        <v>0</v>
      </c>
      <c r="V450" s="3" t="b">
        <f>IFERROR(__xludf.DUMMYFUNCTION("""COMPUTED_VALUE"""),FALSE)</f>
        <v>0</v>
      </c>
      <c r="W450" s="3" t="str">
        <f>IFERROR(__xludf.DUMMYFUNCTION("""COMPUTED_VALUE"""),"#N/A")</f>
        <v>#N/A</v>
      </c>
      <c r="X450" s="3" t="str">
        <f>IFERROR(__xludf.DUMMYFUNCTION("""COMPUTED_VALUE"""),"#N/A")</f>
        <v>#N/A</v>
      </c>
      <c r="Y450" s="3" t="str">
        <f>IFERROR(__xludf.DUMMYFUNCTION("""COMPUTED_VALUE"""),"#N/A")</f>
        <v>#N/A</v>
      </c>
      <c r="Z450" s="3" t="str">
        <f>IFERROR(__xludf.DUMMYFUNCTION("""COMPUTED_VALUE"""),"Unknown")</f>
        <v>Unknown</v>
      </c>
      <c r="AA450" s="3" t="b">
        <f>IFERROR(__xludf.DUMMYFUNCTION("""COMPUTED_VALUE"""),FALSE)</f>
        <v>0</v>
      </c>
    </row>
    <row r="451">
      <c r="A451" s="11">
        <f>IFERROR(__xludf.DUMMYFUNCTION("""COMPUTED_VALUE"""),1.0119869E8)</f>
        <v>101198690</v>
      </c>
      <c r="B451" s="3" t="str">
        <f>IFERROR(__xludf.DUMMYFUNCTION("""COMPUTED_VALUE"""),"Michael Couwenhoven")</f>
        <v>Michael Couwenhoven</v>
      </c>
      <c r="C451" s="3" t="str">
        <f>IFERROR(__xludf.DUMMYFUNCTION("""COMPUTED_VALUE"""),"Michael  Couwenhoven")</f>
        <v>Michael  Couwenhoven</v>
      </c>
      <c r="D451" s="3" t="str">
        <f>IFERROR(__xludf.DUMMYFUNCTION("""COMPUTED_VALUE"""),"Couwenhoven, Michael")</f>
        <v>Couwenhoven, Michael</v>
      </c>
      <c r="E451" s="3" t="str">
        <f>IFERROR(__xludf.DUMMYFUNCTION("""COMPUTED_VALUE"""),"Active")</f>
        <v>Active</v>
      </c>
      <c r="F451" s="3" t="str">
        <f>IFERROR(__xludf.DUMMYFUNCTION("""COMPUTED_VALUE"""),"michael.couwenhoven@pwc.com")</f>
        <v>michael.couwenhoven@pwc.com</v>
      </c>
      <c r="G451" s="3" t="str">
        <f>IFERROR(__xludf.DUMMYFUNCTION("""COMPUTED_VALUE"""),"Ops")</f>
        <v>Ops</v>
      </c>
      <c r="H451" s="3" t="str">
        <f>IFERROR(__xludf.DUMMYFUNCTION("""COMPUTED_VALUE"""),"CM X-Sector")</f>
        <v>CM X-Sector</v>
      </c>
      <c r="I451" s="3" t="str">
        <f>IFERROR(__xludf.DUMMYFUNCTION("""COMPUTED_VALUE"""),"Ops - Connected Supply Chain (CSC)")</f>
        <v>Ops - Connected Supply Chain (CSC)</v>
      </c>
      <c r="J451" s="3" t="str">
        <f>IFERROR(__xludf.DUMMYFUNCTION("""COMPUTED_VALUE"""),"Partner")</f>
        <v>Partner</v>
      </c>
      <c r="K451" s="12">
        <f>IFERROR(__xludf.DUMMYFUNCTION("""COMPUTED_VALUE"""),44607.0)</f>
        <v>44607</v>
      </c>
      <c r="L451" s="3" t="str">
        <f>IFERROR(__xludf.DUMMYFUNCTION("""COMPUTED_VALUE"""),"Chicago")</f>
        <v>Chicago</v>
      </c>
      <c r="M451" s="3" t="str">
        <f>IFERROR(__xludf.DUMMYFUNCTION("""COMPUTED_VALUE"""),"Chicago - One North Wacker Drive")</f>
        <v>Chicago - One North Wacker Drive</v>
      </c>
      <c r="N451" s="3" t="b">
        <f>IFERROR(__xludf.DUMMYFUNCTION("""COMPUTED_VALUE"""),FALSE)</f>
        <v>0</v>
      </c>
      <c r="O451" s="3" t="str">
        <f>IFERROR(__xludf.DUMMYFUNCTION("""COMPUTED_VALUE"""),"matthew.r.comte@pwc.com")</f>
        <v>matthew.r.comte@pwc.com</v>
      </c>
      <c r="P451" s="3" t="str">
        <f>IFERROR(__xludf.DUMMYFUNCTION("""COMPUTED_VALUE"""),"FY22")</f>
        <v>FY22</v>
      </c>
      <c r="Q451" s="3" t="b">
        <f>IFERROR(__xludf.DUMMYFUNCTION("""COMPUTED_VALUE"""),FALSE)</f>
        <v>0</v>
      </c>
      <c r="R451" s="3"/>
      <c r="S451" s="3"/>
      <c r="T451" s="3" t="b">
        <f>IFERROR(__xludf.DUMMYFUNCTION("""COMPUTED_VALUE"""),FALSE)</f>
        <v>0</v>
      </c>
      <c r="U451" s="3" t="b">
        <f>IFERROR(__xludf.DUMMYFUNCTION("""COMPUTED_VALUE"""),TRUE)</f>
        <v>1</v>
      </c>
      <c r="V451" s="3" t="b">
        <f>IFERROR(__xludf.DUMMYFUNCTION("""COMPUTED_VALUE"""),FALSE)</f>
        <v>0</v>
      </c>
      <c r="W451" s="3" t="str">
        <f>IFERROR(__xludf.DUMMYFUNCTION("""COMPUTED_VALUE"""),"Catalyst")</f>
        <v>Catalyst</v>
      </c>
      <c r="X451" s="3"/>
      <c r="Y451" s="3" t="str">
        <f>IFERROR(__xludf.DUMMYFUNCTION("""COMPUTED_VALUE"""),"FY22")</f>
        <v>FY22</v>
      </c>
      <c r="Z451" s="3" t="str">
        <f>IFERROR(__xludf.DUMMYFUNCTION("""COMPUTED_VALUE"""),"")</f>
        <v/>
      </c>
      <c r="AA451" s="3" t="b">
        <f>IFERROR(__xludf.DUMMYFUNCTION("""COMPUTED_VALUE"""),FALSE)</f>
        <v>0</v>
      </c>
    </row>
    <row r="452">
      <c r="A452" s="11">
        <f>IFERROR(__xludf.DUMMYFUNCTION("""COMPUTED_VALUE"""),1.0061962E8)</f>
        <v>100619620</v>
      </c>
      <c r="B452" s="3" t="str">
        <f>IFERROR(__xludf.DUMMYFUNCTION("""COMPUTED_VALUE"""),"Michael Fiore")</f>
        <v>Michael Fiore</v>
      </c>
      <c r="C452" s="3" t="str">
        <f>IFERROR(__xludf.DUMMYFUNCTION("""COMPUTED_VALUE"""),"Michael  Fiore")</f>
        <v>Michael  Fiore</v>
      </c>
      <c r="D452" s="3" t="str">
        <f>IFERROR(__xludf.DUMMYFUNCTION("""COMPUTED_VALUE"""),"Fiore, Michael")</f>
        <v>Fiore, Michael</v>
      </c>
      <c r="E452" s="3" t="str">
        <f>IFERROR(__xludf.DUMMYFUNCTION("""COMPUTED_VALUE"""),"Active")</f>
        <v>Active</v>
      </c>
      <c r="F452" s="3" t="str">
        <f>IFERROR(__xludf.DUMMYFUNCTION("""COMPUTED_VALUE"""),"michael.fiore@pwc.com")</f>
        <v>michael.fiore@pwc.com</v>
      </c>
      <c r="G452" s="3" t="str">
        <f>IFERROR(__xludf.DUMMYFUNCTION("""COMPUTED_VALUE"""),"Deals Transformation")</f>
        <v>Deals Transformation</v>
      </c>
      <c r="H452" s="3" t="str">
        <f>IFERROR(__xludf.DUMMYFUNCTION("""COMPUTED_VALUE"""),"Manufacturing")</f>
        <v>Manufacturing</v>
      </c>
      <c r="I452" s="3" t="str">
        <f>IFERROR(__xludf.DUMMYFUNCTION("""COMPUTED_VALUE"""),"DDV - ISD (Integration, Separation, Divestitures)")</f>
        <v>DDV - ISD (Integration, Separation, Divestitures)</v>
      </c>
      <c r="J452" s="3" t="str">
        <f>IFERROR(__xludf.DUMMYFUNCTION("""COMPUTED_VALUE"""),"Partner")</f>
        <v>Partner</v>
      </c>
      <c r="K452" s="12">
        <f>IFERROR(__xludf.DUMMYFUNCTION("""COMPUTED_VALUE"""),38207.0)</f>
        <v>38207</v>
      </c>
      <c r="L452" s="3" t="str">
        <f>IFERROR(__xludf.DUMMYFUNCTION("""COMPUTED_VALUE"""),"New York")</f>
        <v>New York</v>
      </c>
      <c r="M452" s="3" t="str">
        <f>IFERROR(__xludf.DUMMYFUNCTION("""COMPUTED_VALUE"""),"New York - 300 Madison Avenue")</f>
        <v>New York - 300 Madison Avenue</v>
      </c>
      <c r="N452" s="3" t="b">
        <f>IFERROR(__xludf.DUMMYFUNCTION("""COMPUTED_VALUE"""),FALSE)</f>
        <v>0</v>
      </c>
      <c r="O452" s="3" t="str">
        <f>IFERROR(__xludf.DUMMYFUNCTION("""COMPUTED_VALUE"""),"derek.b.townsend@pwc.com")</f>
        <v>derek.b.townsend@pwc.com</v>
      </c>
      <c r="P452" s="3" t="str">
        <f>IFERROR(__xludf.DUMMYFUNCTION("""COMPUTED_VALUE"""),"No")</f>
        <v>No</v>
      </c>
      <c r="Q452" s="3" t="b">
        <f>IFERROR(__xludf.DUMMYFUNCTION("""COMPUTED_VALUE"""),TRUE)</f>
        <v>1</v>
      </c>
      <c r="R452" s="3" t="str">
        <f>IFERROR(__xludf.DUMMYFUNCTION("""COMPUTED_VALUE"""),"LCP High")</f>
        <v>LCP High</v>
      </c>
      <c r="S452" s="3"/>
      <c r="T452" s="3" t="b">
        <f>IFERROR(__xludf.DUMMYFUNCTION("""COMPUTED_VALUE"""),FALSE)</f>
        <v>0</v>
      </c>
      <c r="U452" s="3" t="b">
        <f>IFERROR(__xludf.DUMMYFUNCTION("""COMPUTED_VALUE"""),FALSE)</f>
        <v>0</v>
      </c>
      <c r="V452" s="3" t="b">
        <f>IFERROR(__xludf.DUMMYFUNCTION("""COMPUTED_VALUE"""),FALSE)</f>
        <v>0</v>
      </c>
      <c r="W452" s="3" t="str">
        <f>IFERROR(__xludf.DUMMYFUNCTION("""COMPUTED_VALUE"""),"LCP")</f>
        <v>LCP</v>
      </c>
      <c r="X452" s="3"/>
      <c r="Y452" s="3" t="str">
        <f>IFERROR(__xludf.DUMMYFUNCTION("""COMPUTED_VALUE"""),"GEP - High")</f>
        <v>GEP - High</v>
      </c>
      <c r="Z452" s="3" t="str">
        <f>IFERROR(__xludf.DUMMYFUNCTION("""COMPUTED_VALUE"""),"PE M&amp;A Transformation")</f>
        <v>PE M&amp;A Transformation</v>
      </c>
      <c r="AA452" s="3" t="b">
        <f>IFERROR(__xludf.DUMMYFUNCTION("""COMPUTED_VALUE"""),TRUE)</f>
        <v>1</v>
      </c>
    </row>
    <row r="453">
      <c r="A453" s="11">
        <f>IFERROR(__xludf.DUMMYFUNCTION("""COMPUTED_VALUE"""),1.00628004E8)</f>
        <v>100628004</v>
      </c>
      <c r="B453" s="3" t="str">
        <f>IFERROR(__xludf.DUMMYFUNCTION("""COMPUTED_VALUE"""),"Michael Giampa")</f>
        <v>Michael Giampa</v>
      </c>
      <c r="C453" s="3" t="str">
        <f>IFERROR(__xludf.DUMMYFUNCTION("""COMPUTED_VALUE"""),"Michael  Giampa")</f>
        <v>Michael  Giampa</v>
      </c>
      <c r="D453" s="3" t="str">
        <f>IFERROR(__xludf.DUMMYFUNCTION("""COMPUTED_VALUE"""),"Giampa, Michael")</f>
        <v>Giampa, Michael</v>
      </c>
      <c r="E453" s="3" t="str">
        <f>IFERROR(__xludf.DUMMYFUNCTION("""COMPUTED_VALUE"""),"Active")</f>
        <v>Active</v>
      </c>
      <c r="F453" s="3" t="str">
        <f>IFERROR(__xludf.DUMMYFUNCTION("""COMPUTED_VALUE"""),"michael.giampa@pwc.com")</f>
        <v>michael.giampa@pwc.com</v>
      </c>
      <c r="G453" s="3" t="str">
        <f>IFERROR(__xludf.DUMMYFUNCTION("""COMPUTED_VALUE"""),"Workforce")</f>
        <v>Workforce</v>
      </c>
      <c r="H453" s="3" t="str">
        <f>IFERROR(__xludf.DUMMYFUNCTION("""COMPUTED_VALUE"""),"IMA X-Sector")</f>
        <v>IMA X-Sector</v>
      </c>
      <c r="I453" s="3" t="str">
        <f>IFERROR(__xludf.DUMMYFUNCTION("""COMPUTED_VALUE"""),"Workforce - Deals")</f>
        <v>Workforce - Deals</v>
      </c>
      <c r="J453" s="3" t="str">
        <f>IFERROR(__xludf.DUMMYFUNCTION("""COMPUTED_VALUE"""),"Partner")</f>
        <v>Partner</v>
      </c>
      <c r="K453" s="12">
        <f>IFERROR(__xludf.DUMMYFUNCTION("""COMPUTED_VALUE"""),41778.0)</f>
        <v>41778</v>
      </c>
      <c r="L453" s="3" t="str">
        <f>IFERROR(__xludf.DUMMYFUNCTION("""COMPUTED_VALUE"""),"Los Angeles")</f>
        <v>Los Angeles</v>
      </c>
      <c r="M453" s="3" t="str">
        <f>IFERROR(__xludf.DUMMYFUNCTION("""COMPUTED_VALUE"""),"Los Angeles - 601 South Figueroa Street")</f>
        <v>Los Angeles - 601 South Figueroa Street</v>
      </c>
      <c r="N453" s="3" t="b">
        <f>IFERROR(__xludf.DUMMYFUNCTION("""COMPUTED_VALUE"""),FALSE)</f>
        <v>0</v>
      </c>
      <c r="O453" s="3" t="str">
        <f>IFERROR(__xludf.DUMMYFUNCTION("""COMPUTED_VALUE"""),"craig.odonnell@pwc.com")</f>
        <v>craig.odonnell@pwc.com</v>
      </c>
      <c r="P453" s="3" t="str">
        <f>IFERROR(__xludf.DUMMYFUNCTION("""COMPUTED_VALUE"""),"No")</f>
        <v>No</v>
      </c>
      <c r="Q453" s="3" t="b">
        <f>IFERROR(__xludf.DUMMYFUNCTION("""COMPUTED_VALUE"""),TRUE)</f>
        <v>1</v>
      </c>
      <c r="R453" s="3" t="str">
        <f>IFERROR(__xludf.DUMMYFUNCTION("""COMPUTED_VALUE"""),"LCP Low")</f>
        <v>LCP Low</v>
      </c>
      <c r="S453" s="3"/>
      <c r="T453" s="3" t="b">
        <f>IFERROR(__xludf.DUMMYFUNCTION("""COMPUTED_VALUE"""),FALSE)</f>
        <v>0</v>
      </c>
      <c r="U453" s="3" t="b">
        <f>IFERROR(__xludf.DUMMYFUNCTION("""COMPUTED_VALUE"""),FALSE)</f>
        <v>0</v>
      </c>
      <c r="V453" s="3" t="b">
        <f>IFERROR(__xludf.DUMMYFUNCTION("""COMPUTED_VALUE"""),FALSE)</f>
        <v>0</v>
      </c>
      <c r="W453" s="3" t="str">
        <f>IFERROR(__xludf.DUMMYFUNCTION("""COMPUTED_VALUE"""),"LCP")</f>
        <v>LCP</v>
      </c>
      <c r="X453" s="3" t="str">
        <f>IFERROR(__xludf.DUMMYFUNCTION("""COMPUTED_VALUE"""),"#N/A")</f>
        <v>#N/A</v>
      </c>
      <c r="Y453" s="3" t="str">
        <f>IFERROR(__xludf.DUMMYFUNCTION("""COMPUTED_VALUE"""),"#N/A")</f>
        <v>#N/A</v>
      </c>
      <c r="Z453" s="3" t="str">
        <f>IFERROR(__xludf.DUMMYFUNCTION("""COMPUTED_VALUE"""),"Unknown")</f>
        <v>Unknown</v>
      </c>
      <c r="AA453" s="3" t="b">
        <f>IFERROR(__xludf.DUMMYFUNCTION("""COMPUTED_VALUE"""),FALSE)</f>
        <v>0</v>
      </c>
    </row>
    <row r="454">
      <c r="A454" s="11">
        <f>IFERROR(__xludf.DUMMYFUNCTION("""COMPUTED_VALUE"""),1.00602451E8)</f>
        <v>100602451</v>
      </c>
      <c r="B454" s="3" t="str">
        <f>IFERROR(__xludf.DUMMYFUNCTION("""COMPUTED_VALUE"""),"Michael Giguere")</f>
        <v>Michael Giguere</v>
      </c>
      <c r="C454" s="3" t="str">
        <f>IFERROR(__xludf.DUMMYFUNCTION("""COMPUTED_VALUE"""),"Michael  Giguere")</f>
        <v>Michael  Giguere</v>
      </c>
      <c r="D454" s="3" t="str">
        <f>IFERROR(__xludf.DUMMYFUNCTION("""COMPUTED_VALUE"""),"Giguere, Michael")</f>
        <v>Giguere, Michael</v>
      </c>
      <c r="E454" s="3" t="str">
        <f>IFERROR(__xludf.DUMMYFUNCTION("""COMPUTED_VALUE"""),"Active")</f>
        <v>Active</v>
      </c>
      <c r="F454" s="3" t="str">
        <f>IFERROR(__xludf.DUMMYFUNCTION("""COMPUTED_VALUE"""),"mike.giguere@pwc.com")</f>
        <v>mike.giguere@pwc.com</v>
      </c>
      <c r="G454" s="3" t="str">
        <f>IFERROR(__xludf.DUMMYFUNCTION("""COMPUTED_VALUE"""),"Ops")</f>
        <v>Ops</v>
      </c>
      <c r="H454" s="3" t="str">
        <f>IFERROR(__xludf.DUMMYFUNCTION("""COMPUTED_VALUE"""),"CM X-Sector")</f>
        <v>CM X-Sector</v>
      </c>
      <c r="I454" s="3" t="str">
        <f>IFERROR(__xludf.DUMMYFUNCTION("""COMPUTED_VALUE"""),"Ops - Org Strategy Strategy &amp; Solutions (OSS)")</f>
        <v>Ops - Org Strategy Strategy &amp; Solutions (OSS)</v>
      </c>
      <c r="J454" s="3" t="str">
        <f>IFERROR(__xludf.DUMMYFUNCTION("""COMPUTED_VALUE"""),"Partner")</f>
        <v>Partner</v>
      </c>
      <c r="K454" s="12">
        <f>IFERROR(__xludf.DUMMYFUNCTION("""COMPUTED_VALUE"""),36745.0)</f>
        <v>36745</v>
      </c>
      <c r="L454" s="3" t="str">
        <f>IFERROR(__xludf.DUMMYFUNCTION("""COMPUTED_VALUE"""),"Tampa")</f>
        <v>Tampa</v>
      </c>
      <c r="M454" s="3" t="str">
        <f>IFERROR(__xludf.DUMMYFUNCTION("""COMPUTED_VALUE"""),"TPA Practice-4040 W Boy Scout")</f>
        <v>TPA Practice-4040 W Boy Scout</v>
      </c>
      <c r="N454" s="3" t="b">
        <f>IFERROR(__xludf.DUMMYFUNCTION("""COMPUTED_VALUE"""),TRUE)</f>
        <v>1</v>
      </c>
      <c r="O454" s="3" t="str">
        <f>IFERROR(__xludf.DUMMYFUNCTION("""COMPUTED_VALUE"""),"matthew.r.comte@pwc.com")</f>
        <v>matthew.r.comte@pwc.com</v>
      </c>
      <c r="P454" s="3" t="str">
        <f>IFERROR(__xludf.DUMMYFUNCTION("""COMPUTED_VALUE"""),"No")</f>
        <v>No</v>
      </c>
      <c r="Q454" s="3" t="b">
        <f>IFERROR(__xludf.DUMMYFUNCTION("""COMPUTED_VALUE"""),TRUE)</f>
        <v>1</v>
      </c>
      <c r="R454" s="3" t="str">
        <f>IFERROR(__xludf.DUMMYFUNCTION("""COMPUTED_VALUE"""),"LCP Low")</f>
        <v>LCP Low</v>
      </c>
      <c r="S454" s="3"/>
      <c r="T454" s="3" t="b">
        <f>IFERROR(__xludf.DUMMYFUNCTION("""COMPUTED_VALUE"""),FALSE)</f>
        <v>0</v>
      </c>
      <c r="U454" s="3" t="b">
        <f>IFERROR(__xludf.DUMMYFUNCTION("""COMPUTED_VALUE"""),FALSE)</f>
        <v>0</v>
      </c>
      <c r="V454" s="3" t="b">
        <f>IFERROR(__xludf.DUMMYFUNCTION("""COMPUTED_VALUE"""),FALSE)</f>
        <v>0</v>
      </c>
      <c r="W454" s="3" t="str">
        <f>IFERROR(__xludf.DUMMYFUNCTION("""COMPUTED_VALUE"""),"LCP")</f>
        <v>LCP</v>
      </c>
      <c r="X454" s="3"/>
      <c r="Y454" s="3" t="str">
        <f>IFERROR(__xludf.DUMMYFUNCTION("""COMPUTED_VALUE"""),"GEP - Low")</f>
        <v>GEP - Low</v>
      </c>
      <c r="Z454" s="3" t="str">
        <f>IFERROR(__xludf.DUMMYFUNCTION("""COMPUTED_VALUE"""),"CM Ops Transformation")</f>
        <v>CM Ops Transformation</v>
      </c>
      <c r="AA454" s="3" t="b">
        <f>IFERROR(__xludf.DUMMYFUNCTION("""COMPUTED_VALUE"""),TRUE)</f>
        <v>1</v>
      </c>
    </row>
    <row r="455">
      <c r="A455" s="11">
        <f>IFERROR(__xludf.DUMMYFUNCTION("""COMPUTED_VALUE"""),1.00616656E8)</f>
        <v>100616656</v>
      </c>
      <c r="B455" s="3" t="str">
        <f>IFERROR(__xludf.DUMMYFUNCTION("""COMPUTED_VALUE"""),"Michael Hogan")</f>
        <v>Michael Hogan</v>
      </c>
      <c r="C455" s="3" t="str">
        <f>IFERROR(__xludf.DUMMYFUNCTION("""COMPUTED_VALUE"""),"Michael  Hogan")</f>
        <v>Michael  Hogan</v>
      </c>
      <c r="D455" s="3" t="str">
        <f>IFERROR(__xludf.DUMMYFUNCTION("""COMPUTED_VALUE"""),"Hogan, Michael")</f>
        <v>Hogan, Michael</v>
      </c>
      <c r="E455" s="3" t="str">
        <f>IFERROR(__xludf.DUMMYFUNCTION("""COMPUTED_VALUE"""),"Active")</f>
        <v>Active</v>
      </c>
      <c r="F455" s="3" t="str">
        <f>IFERROR(__xludf.DUMMYFUNCTION("""COMPUTED_VALUE"""),"michael.hogan@pwc.com")</f>
        <v>michael.hogan@pwc.com</v>
      </c>
      <c r="G455" s="3" t="str">
        <f>IFERROR(__xludf.DUMMYFUNCTION("""COMPUTED_VALUE"""),"FS")</f>
        <v>FS</v>
      </c>
      <c r="H455" s="3" t="str">
        <f>IFERROR(__xludf.DUMMYFUNCTION("""COMPUTED_VALUE"""),"Banking and Capital Markets")</f>
        <v>Banking and Capital Markets</v>
      </c>
      <c r="I455" s="3" t="str">
        <f>IFERROR(__xludf.DUMMYFUNCTION("""COMPUTED_VALUE"""),"FS - Banking and Capital Markets")</f>
        <v>FS - Banking and Capital Markets</v>
      </c>
      <c r="J455" s="3" t="str">
        <f>IFERROR(__xludf.DUMMYFUNCTION("""COMPUTED_VALUE"""),"Managing Director")</f>
        <v>Managing Director</v>
      </c>
      <c r="K455" s="12">
        <f>IFERROR(__xludf.DUMMYFUNCTION("""COMPUTED_VALUE"""),42576.0)</f>
        <v>42576</v>
      </c>
      <c r="L455" s="3" t="str">
        <f>IFERROR(__xludf.DUMMYFUNCTION("""COMPUTED_VALUE"""),"Atlanta")</f>
        <v>Atlanta</v>
      </c>
      <c r="M455" s="3" t="str">
        <f>IFERROR(__xludf.DUMMYFUNCTION("""COMPUTED_VALUE"""),"Atlanta - 1075 Peachtree Street NE")</f>
        <v>Atlanta - 1075 Peachtree Street NE</v>
      </c>
      <c r="N455" s="3" t="b">
        <f>IFERROR(__xludf.DUMMYFUNCTION("""COMPUTED_VALUE"""),FALSE)</f>
        <v>0</v>
      </c>
      <c r="O455" s="3" t="str">
        <f>IFERROR(__xludf.DUMMYFUNCTION("""COMPUTED_VALUE"""),"martin.e.touhey@pwc.com")</f>
        <v>martin.e.touhey@pwc.com</v>
      </c>
      <c r="P455" s="3" t="str">
        <f>IFERROR(__xludf.DUMMYFUNCTION("""COMPUTED_VALUE"""),"No")</f>
        <v>No</v>
      </c>
      <c r="Q455" s="3" t="b">
        <f>IFERROR(__xludf.DUMMYFUNCTION("""COMPUTED_VALUE"""),FALSE)</f>
        <v>0</v>
      </c>
      <c r="R455" s="3"/>
      <c r="S455" s="3"/>
      <c r="T455" s="3" t="b">
        <f>IFERROR(__xludf.DUMMYFUNCTION("""COMPUTED_VALUE"""),FALSE)</f>
        <v>0</v>
      </c>
      <c r="U455" s="3" t="b">
        <f>IFERROR(__xludf.DUMMYFUNCTION("""COMPUTED_VALUE"""),TRUE)</f>
        <v>1</v>
      </c>
      <c r="V455" s="3" t="b">
        <f>IFERROR(__xludf.DUMMYFUNCTION("""COMPUTED_VALUE"""),FALSE)</f>
        <v>0</v>
      </c>
      <c r="W455" s="3" t="str">
        <f>IFERROR(__xludf.DUMMYFUNCTION("""COMPUTED_VALUE"""),"Delivery")</f>
        <v>Delivery</v>
      </c>
      <c r="X455" s="3"/>
      <c r="Y455" s="3"/>
      <c r="Z455" s="3" t="str">
        <f>IFERROR(__xludf.DUMMYFUNCTION("""COMPUTED_VALUE"""),"Banking Transformation")</f>
        <v>Banking Transformation</v>
      </c>
      <c r="AA455" s="3" t="b">
        <f>IFERROR(__xludf.DUMMYFUNCTION("""COMPUTED_VALUE"""),FALSE)</f>
        <v>0</v>
      </c>
    </row>
    <row r="456">
      <c r="A456" s="11">
        <f>IFERROR(__xludf.DUMMYFUNCTION("""COMPUTED_VALUE"""),1.00649463E8)</f>
        <v>100649463</v>
      </c>
      <c r="B456" s="3" t="str">
        <f>IFERROR(__xludf.DUMMYFUNCTION("""COMPUTED_VALUE"""),"Michael Horvath")</f>
        <v>Michael Horvath</v>
      </c>
      <c r="C456" s="3" t="str">
        <f>IFERROR(__xludf.DUMMYFUNCTION("""COMPUTED_VALUE"""),"Michael  Horvath")</f>
        <v>Michael  Horvath</v>
      </c>
      <c r="D456" s="3" t="str">
        <f>IFERROR(__xludf.DUMMYFUNCTION("""COMPUTED_VALUE"""),"Horvath, Michael")</f>
        <v>Horvath, Michael</v>
      </c>
      <c r="E456" s="3" t="str">
        <f>IFERROR(__xludf.DUMMYFUNCTION("""COMPUTED_VALUE"""),"Active")</f>
        <v>Active</v>
      </c>
      <c r="F456" s="3" t="str">
        <f>IFERROR(__xludf.DUMMYFUNCTION("""COMPUTED_VALUE"""),"michael.j.horvath@pwc.com")</f>
        <v>michael.j.horvath@pwc.com</v>
      </c>
      <c r="G456" s="3" t="str">
        <f>IFERROR(__xludf.DUMMYFUNCTION("""COMPUTED_VALUE"""),"ESV")</f>
        <v>ESV</v>
      </c>
      <c r="H456" s="3" t="str">
        <f>IFERROR(__xludf.DUMMYFUNCTION("""COMPUTED_VALUE"""),"Asset and Wealth Management")</f>
        <v>Asset and Wealth Management</v>
      </c>
      <c r="I456" s="3" t="str">
        <f>IFERROR(__xludf.DUMMYFUNCTION("""COMPUTED_VALUE"""),"ESV - AWM")</f>
        <v>ESV - AWM</v>
      </c>
      <c r="J456" s="3" t="str">
        <f>IFERROR(__xludf.DUMMYFUNCTION("""COMPUTED_VALUE"""),"Partner")</f>
        <v>Partner</v>
      </c>
      <c r="K456" s="12">
        <f>IFERROR(__xludf.DUMMYFUNCTION("""COMPUTED_VALUE"""),42186.0)</f>
        <v>42186</v>
      </c>
      <c r="L456" s="3" t="str">
        <f>IFERROR(__xludf.DUMMYFUNCTION("""COMPUTED_VALUE"""),"Salt Lake City")</f>
        <v>Salt Lake City</v>
      </c>
      <c r="M456" s="3" t="str">
        <f>IFERROR(__xludf.DUMMYFUNCTION("""COMPUTED_VALUE"""),"New York - 300 Madison Avenue")</f>
        <v>New York - 300 Madison Avenue</v>
      </c>
      <c r="N456" s="3" t="b">
        <f>IFERROR(__xludf.DUMMYFUNCTION("""COMPUTED_VALUE"""),FALSE)</f>
        <v>0</v>
      </c>
      <c r="O456" s="3" t="str">
        <f>IFERROR(__xludf.DUMMYFUNCTION("""COMPUTED_VALUE"""),"sundar.subramanian@pwc.com")</f>
        <v>sundar.subramanian@pwc.com</v>
      </c>
      <c r="P456" s="3" t="str">
        <f>IFERROR(__xludf.DUMMYFUNCTION("""COMPUTED_VALUE"""),"No")</f>
        <v>No</v>
      </c>
      <c r="Q456" s="3" t="b">
        <f>IFERROR(__xludf.DUMMYFUNCTION("""COMPUTED_VALUE"""),FALSE)</f>
        <v>0</v>
      </c>
      <c r="R456" s="3"/>
      <c r="S456" s="3"/>
      <c r="T456" s="3" t="b">
        <f>IFERROR(__xludf.DUMMYFUNCTION("""COMPUTED_VALUE"""),FALSE)</f>
        <v>0</v>
      </c>
      <c r="U456" s="3" t="b">
        <f>IFERROR(__xludf.DUMMYFUNCTION("""COMPUTED_VALUE"""),TRUE)</f>
        <v>1</v>
      </c>
      <c r="V456" s="3" t="b">
        <f>IFERROR(__xludf.DUMMYFUNCTION("""COMPUTED_VALUE"""),FALSE)</f>
        <v>0</v>
      </c>
      <c r="W456" s="3" t="str">
        <f>IFERROR(__xludf.DUMMYFUNCTION("""COMPUTED_VALUE"""),"Delivery")</f>
        <v>Delivery</v>
      </c>
      <c r="X456" s="3"/>
      <c r="Y456" s="3"/>
      <c r="Z456" s="3" t="str">
        <f>IFERROR(__xludf.DUMMYFUNCTION("""COMPUTED_VALUE"""),"Enterprise Digital Transformation - BCM &amp; AWM")</f>
        <v>Enterprise Digital Transformation - BCM &amp; AWM</v>
      </c>
      <c r="AA456" s="3" t="b">
        <f>IFERROR(__xludf.DUMMYFUNCTION("""COMPUTED_VALUE"""),FALSE)</f>
        <v>0</v>
      </c>
    </row>
    <row r="457">
      <c r="A457" s="11">
        <f>IFERROR(__xludf.DUMMYFUNCTION("""COMPUTED_VALUE"""),1.01093101E8)</f>
        <v>101093101</v>
      </c>
      <c r="B457" s="3" t="str">
        <f>IFERROR(__xludf.DUMMYFUNCTION("""COMPUTED_VALUE"""),"Michael Hursta")</f>
        <v>Michael Hursta</v>
      </c>
      <c r="C457" s="3" t="str">
        <f>IFERROR(__xludf.DUMMYFUNCTION("""COMPUTED_VALUE"""),"Michael D. Hursta")</f>
        <v>Michael D. Hursta</v>
      </c>
      <c r="D457" s="3" t="str">
        <f>IFERROR(__xludf.DUMMYFUNCTION("""COMPUTED_VALUE"""),"Hursta, Michael D.")</f>
        <v>Hursta, Michael D.</v>
      </c>
      <c r="E457" s="3" t="str">
        <f>IFERROR(__xludf.DUMMYFUNCTION("""COMPUTED_VALUE"""),"Active")</f>
        <v>Active</v>
      </c>
      <c r="F457" s="3" t="str">
        <f>IFERROR(__xludf.DUMMYFUNCTION("""COMPUTED_VALUE"""),"michael.hursta@pwc.com")</f>
        <v>michael.hursta@pwc.com</v>
      </c>
      <c r="G457" s="3" t="str">
        <f>IFERROR(__xludf.DUMMYFUNCTION("""COMPUTED_VALUE"""),"FS")</f>
        <v>FS</v>
      </c>
      <c r="H457" s="3" t="str">
        <f>IFERROR(__xludf.DUMMYFUNCTION("""COMPUTED_VALUE"""),"Banking and Capital Markets")</f>
        <v>Banking and Capital Markets</v>
      </c>
      <c r="I457" s="3" t="str">
        <f>IFERROR(__xludf.DUMMYFUNCTION("""COMPUTED_VALUE"""),"FS - Banking and Capital Markets")</f>
        <v>FS - Banking and Capital Markets</v>
      </c>
      <c r="J457" s="3" t="str">
        <f>IFERROR(__xludf.DUMMYFUNCTION("""COMPUTED_VALUE"""),"Managing Director")</f>
        <v>Managing Director</v>
      </c>
      <c r="K457" s="12">
        <f>IFERROR(__xludf.DUMMYFUNCTION("""COMPUTED_VALUE"""),44417.0)</f>
        <v>44417</v>
      </c>
      <c r="L457" s="3" t="str">
        <f>IFERROR(__xludf.DUMMYFUNCTION("""COMPUTED_VALUE"""),"Denver")</f>
        <v>Denver</v>
      </c>
      <c r="M457" s="3" t="str">
        <f>IFERROR(__xludf.DUMMYFUNCTION("""COMPUTED_VALUE"""),"Denver - 1900 Sixteenth Street")</f>
        <v>Denver - 1900 Sixteenth Street</v>
      </c>
      <c r="N457" s="3" t="b">
        <f>IFERROR(__xludf.DUMMYFUNCTION("""COMPUTED_VALUE"""),FALSE)</f>
        <v>0</v>
      </c>
      <c r="O457" s="3" t="str">
        <f>IFERROR(__xludf.DUMMYFUNCTION("""COMPUTED_VALUE"""),"james.s.russell@pwc.com")</f>
        <v>james.s.russell@pwc.com</v>
      </c>
      <c r="P457" s="3" t="str">
        <f>IFERROR(__xludf.DUMMYFUNCTION("""COMPUTED_VALUE"""),"FY22")</f>
        <v>FY22</v>
      </c>
      <c r="Q457" s="3" t="b">
        <f>IFERROR(__xludf.DUMMYFUNCTION("""COMPUTED_VALUE"""),FALSE)</f>
        <v>0</v>
      </c>
      <c r="R457" s="3"/>
      <c r="S457" s="3"/>
      <c r="T457" s="3" t="b">
        <f>IFERROR(__xludf.DUMMYFUNCTION("""COMPUTED_VALUE"""),FALSE)</f>
        <v>0</v>
      </c>
      <c r="U457" s="3" t="b">
        <f>IFERROR(__xludf.DUMMYFUNCTION("""COMPUTED_VALUE"""),TRUE)</f>
        <v>1</v>
      </c>
      <c r="V457" s="3" t="b">
        <f>IFERROR(__xludf.DUMMYFUNCTION("""COMPUTED_VALUE"""),TRUE)</f>
        <v>1</v>
      </c>
      <c r="W457" s="3" t="str">
        <f>IFERROR(__xludf.DUMMYFUNCTION("""COMPUTED_VALUE"""),"Catalyst")</f>
        <v>Catalyst</v>
      </c>
      <c r="X457" s="3"/>
      <c r="Y457" s="3"/>
      <c r="Z457" s="3" t="str">
        <f>IFERROR(__xludf.DUMMYFUNCTION("""COMPUTED_VALUE"""),"Banking Transformation")</f>
        <v>Banking Transformation</v>
      </c>
      <c r="AA457" s="3" t="b">
        <f>IFERROR(__xludf.DUMMYFUNCTION("""COMPUTED_VALUE"""),FALSE)</f>
        <v>0</v>
      </c>
    </row>
    <row r="458">
      <c r="A458" s="11">
        <f>IFERROR(__xludf.DUMMYFUNCTION("""COMPUTED_VALUE"""),1.00646804E8)</f>
        <v>100646804</v>
      </c>
      <c r="B458" s="3" t="str">
        <f>IFERROR(__xludf.DUMMYFUNCTION("""COMPUTED_VALUE"""),"Michael Mariani")</f>
        <v>Michael Mariani</v>
      </c>
      <c r="C458" s="3" t="str">
        <f>IFERROR(__xludf.DUMMYFUNCTION("""COMPUTED_VALUE"""),"Michael Joseph Mariani")</f>
        <v>Michael Joseph Mariani</v>
      </c>
      <c r="D458" s="3" t="str">
        <f>IFERROR(__xludf.DUMMYFUNCTION("""COMPUTED_VALUE"""),"Mariani, Michael Joseph")</f>
        <v>Mariani, Michael Joseph</v>
      </c>
      <c r="E458" s="3" t="str">
        <f>IFERROR(__xludf.DUMMYFUNCTION("""COMPUTED_VALUE"""),"Active")</f>
        <v>Active</v>
      </c>
      <c r="F458" s="3" t="str">
        <f>IFERROR(__xludf.DUMMYFUNCTION("""COMPUTED_VALUE"""),"michael.j.mariani@pwc.com")</f>
        <v>michael.j.mariani@pwc.com</v>
      </c>
      <c r="G458" s="3" t="str">
        <f>IFERROR(__xludf.DUMMYFUNCTION("""COMPUTED_VALUE"""),"Deals Transformation")</f>
        <v>Deals Transformation</v>
      </c>
      <c r="H458" s="3" t="str">
        <f>IFERROR(__xludf.DUMMYFUNCTION("""COMPUTED_VALUE"""),"Insurance")</f>
        <v>Insurance</v>
      </c>
      <c r="I458" s="3" t="str">
        <f>IFERROR(__xludf.DUMMYFUNCTION("""COMPUTED_VALUE"""),"DDV - ISD (Integration, Separation, Divestitures)")</f>
        <v>DDV - ISD (Integration, Separation, Divestitures)</v>
      </c>
      <c r="J458" s="3" t="str">
        <f>IFERROR(__xludf.DUMMYFUNCTION("""COMPUTED_VALUE"""),"Partner")</f>
        <v>Partner</v>
      </c>
      <c r="K458" s="12">
        <f>IFERROR(__xludf.DUMMYFUNCTION("""COMPUTED_VALUE"""),40485.0)</f>
        <v>40485</v>
      </c>
      <c r="L458" s="3" t="str">
        <f>IFERROR(__xludf.DUMMYFUNCTION("""COMPUTED_VALUE"""),"Boston")</f>
        <v>Boston</v>
      </c>
      <c r="M458" s="3" t="str">
        <f>IFERROR(__xludf.DUMMYFUNCTION("""COMPUTED_VALUE"""),"Boston - 101 Seaport Boulevard")</f>
        <v>Boston - 101 Seaport Boulevard</v>
      </c>
      <c r="N458" s="3" t="b">
        <f>IFERROR(__xludf.DUMMYFUNCTION("""COMPUTED_VALUE"""),FALSE)</f>
        <v>0</v>
      </c>
      <c r="O458" s="3" t="str">
        <f>IFERROR(__xludf.DUMMYFUNCTION("""COMPUTED_VALUE"""),"derek.b.townsend@pwc.com")</f>
        <v>derek.b.townsend@pwc.com</v>
      </c>
      <c r="P458" s="3" t="str">
        <f>IFERROR(__xludf.DUMMYFUNCTION("""COMPUTED_VALUE"""),"No")</f>
        <v>No</v>
      </c>
      <c r="Q458" s="3" t="b">
        <f>IFERROR(__xludf.DUMMYFUNCTION("""COMPUTED_VALUE"""),TRUE)</f>
        <v>1</v>
      </c>
      <c r="R458" s="3" t="str">
        <f>IFERROR(__xludf.DUMMYFUNCTION("""COMPUTED_VALUE"""),"LCP Low")</f>
        <v>LCP Low</v>
      </c>
      <c r="S458" s="3"/>
      <c r="T458" s="3" t="b">
        <f>IFERROR(__xludf.DUMMYFUNCTION("""COMPUTED_VALUE"""),FALSE)</f>
        <v>0</v>
      </c>
      <c r="U458" s="3" t="b">
        <f>IFERROR(__xludf.DUMMYFUNCTION("""COMPUTED_VALUE"""),FALSE)</f>
        <v>0</v>
      </c>
      <c r="V458" s="3" t="b">
        <f>IFERROR(__xludf.DUMMYFUNCTION("""COMPUTED_VALUE"""),FALSE)</f>
        <v>0</v>
      </c>
      <c r="W458" s="3" t="str">
        <f>IFERROR(__xludf.DUMMYFUNCTION("""COMPUTED_VALUE"""),"LCP")</f>
        <v>LCP</v>
      </c>
      <c r="X458" s="3" t="str">
        <f>IFERROR(__xludf.DUMMYFUNCTION("""COMPUTED_VALUE"""),"Investment")</f>
        <v>Investment</v>
      </c>
      <c r="Y458" s="3" t="str">
        <f>IFERROR(__xludf.DUMMYFUNCTION("""COMPUTED_VALUE"""),"GEP - Low")</f>
        <v>GEP - Low</v>
      </c>
      <c r="Z458" s="3" t="str">
        <f>IFERROR(__xludf.DUMMYFUNCTION("""COMPUTED_VALUE"""),"Corporate M&amp;A Transformation - FS")</f>
        <v>Corporate M&amp;A Transformation - FS</v>
      </c>
      <c r="AA458" s="3" t="b">
        <f>IFERROR(__xludf.DUMMYFUNCTION("""COMPUTED_VALUE"""),FALSE)</f>
        <v>0</v>
      </c>
    </row>
    <row r="459">
      <c r="A459" s="11">
        <f>IFERROR(__xludf.DUMMYFUNCTION("""COMPUTED_VALUE"""),1.00629231E8)</f>
        <v>100629231</v>
      </c>
      <c r="B459" s="3" t="str">
        <f>IFERROR(__xludf.DUMMYFUNCTION("""COMPUTED_VALUE"""),"Michael Oliveri")</f>
        <v>Michael Oliveri</v>
      </c>
      <c r="C459" s="3" t="str">
        <f>IFERROR(__xludf.DUMMYFUNCTION("""COMPUTED_VALUE"""),"Michael  Oliveri")</f>
        <v>Michael  Oliveri</v>
      </c>
      <c r="D459" s="3" t="str">
        <f>IFERROR(__xludf.DUMMYFUNCTION("""COMPUTED_VALUE"""),"Oliveri, Michael")</f>
        <v>Oliveri, Michael</v>
      </c>
      <c r="E459" s="3" t="str">
        <f>IFERROR(__xludf.DUMMYFUNCTION("""COMPUTED_VALUE"""),"Active")</f>
        <v>Active</v>
      </c>
      <c r="F459" s="3" t="str">
        <f>IFERROR(__xludf.DUMMYFUNCTION("""COMPUTED_VALUE"""),"michael.oliveri@pwc.com")</f>
        <v>michael.oliveri@pwc.com</v>
      </c>
      <c r="G459" s="3" t="str">
        <f>IFERROR(__xludf.DUMMYFUNCTION("""COMPUTED_VALUE"""),"Deals Transformation")</f>
        <v>Deals Transformation</v>
      </c>
      <c r="H459" s="3" t="str">
        <f>IFERROR(__xludf.DUMMYFUNCTION("""COMPUTED_VALUE"""),"Asset and Wealth Management")</f>
        <v>Asset and Wealth Management</v>
      </c>
      <c r="I459" s="3" t="str">
        <f>IFERROR(__xludf.DUMMYFUNCTION("""COMPUTED_VALUE"""),"DDV - ISD (Integration, Separation, Divestitures)")</f>
        <v>DDV - ISD (Integration, Separation, Divestitures)</v>
      </c>
      <c r="J459" s="3" t="str">
        <f>IFERROR(__xludf.DUMMYFUNCTION("""COMPUTED_VALUE"""),"Partner")</f>
        <v>Partner</v>
      </c>
      <c r="K459" s="12">
        <f>IFERROR(__xludf.DUMMYFUNCTION("""COMPUTED_VALUE"""),39650.0)</f>
        <v>39650</v>
      </c>
      <c r="L459" s="3" t="str">
        <f>IFERROR(__xludf.DUMMYFUNCTION("""COMPUTED_VALUE"""),"Boston")</f>
        <v>Boston</v>
      </c>
      <c r="M459" s="3" t="str">
        <f>IFERROR(__xludf.DUMMYFUNCTION("""COMPUTED_VALUE"""),"Boston - 101 Seaport Boulevard")</f>
        <v>Boston - 101 Seaport Boulevard</v>
      </c>
      <c r="N459" s="3" t="b">
        <f>IFERROR(__xludf.DUMMYFUNCTION("""COMPUTED_VALUE"""),FALSE)</f>
        <v>0</v>
      </c>
      <c r="O459" s="3" t="str">
        <f>IFERROR(__xludf.DUMMYFUNCTION("""COMPUTED_VALUE"""),"derek.b.townsend@pwc.com")</f>
        <v>derek.b.townsend@pwc.com</v>
      </c>
      <c r="P459" s="3" t="str">
        <f>IFERROR(__xludf.DUMMYFUNCTION("""COMPUTED_VALUE"""),"No")</f>
        <v>No</v>
      </c>
      <c r="Q459" s="3" t="b">
        <f>IFERROR(__xludf.DUMMYFUNCTION("""COMPUTED_VALUE"""),FALSE)</f>
        <v>0</v>
      </c>
      <c r="R459" s="3"/>
      <c r="S459" s="3"/>
      <c r="T459" s="3" t="b">
        <f>IFERROR(__xludf.DUMMYFUNCTION("""COMPUTED_VALUE"""),FALSE)</f>
        <v>0</v>
      </c>
      <c r="U459" s="3" t="b">
        <f>IFERROR(__xludf.DUMMYFUNCTION("""COMPUTED_VALUE"""),TRUE)</f>
        <v>1</v>
      </c>
      <c r="V459" s="3" t="b">
        <f>IFERROR(__xludf.DUMMYFUNCTION("""COMPUTED_VALUE"""),FALSE)</f>
        <v>0</v>
      </c>
      <c r="W459" s="3" t="str">
        <f>IFERROR(__xludf.DUMMYFUNCTION("""COMPUTED_VALUE"""),"Delivery")</f>
        <v>Delivery</v>
      </c>
      <c r="X459" s="3"/>
      <c r="Y459" s="3"/>
      <c r="Z459" s="3" t="str">
        <f>IFERROR(__xludf.DUMMYFUNCTION("""COMPUTED_VALUE"""),"Corporate M&amp;A Transformation - FS")</f>
        <v>Corporate M&amp;A Transformation - FS</v>
      </c>
      <c r="AA459" s="3" t="b">
        <f>IFERROR(__xludf.DUMMYFUNCTION("""COMPUTED_VALUE"""),FALSE)</f>
        <v>0</v>
      </c>
    </row>
    <row r="460">
      <c r="A460" s="3">
        <f>IFERROR(__xludf.DUMMYFUNCTION("""COMPUTED_VALUE"""),1.01169845E8)</f>
        <v>101169845</v>
      </c>
      <c r="B460" s="3" t="str">
        <f>IFERROR(__xludf.DUMMYFUNCTION("""COMPUTED_VALUE"""),"Michael Petersen")</f>
        <v>Michael Petersen</v>
      </c>
      <c r="C460" s="3" t="str">
        <f>IFERROR(__xludf.DUMMYFUNCTION("""COMPUTED_VALUE"""),"Michael Charles Petersen")</f>
        <v>Michael Charles Petersen</v>
      </c>
      <c r="D460" s="3" t="str">
        <f>IFERROR(__xludf.DUMMYFUNCTION("""COMPUTED_VALUE"""),"Petersen, Michael Charles")</f>
        <v>Petersen, Michael Charles</v>
      </c>
      <c r="E460" s="3" t="str">
        <f>IFERROR(__xludf.DUMMYFUNCTION("""COMPUTED_VALUE"""),"Active")</f>
        <v>Active</v>
      </c>
      <c r="F460" s="3" t="str">
        <f>IFERROR(__xludf.DUMMYFUNCTION("""COMPUTED_VALUE"""),"michael.c.petersen@pwc.com")</f>
        <v>michael.c.petersen@pwc.com</v>
      </c>
      <c r="G460" s="3" t="str">
        <f>IFERROR(__xludf.DUMMYFUNCTION("""COMPUTED_VALUE"""),"Health")</f>
        <v>Health</v>
      </c>
      <c r="H460" s="3" t="str">
        <f>IFERROR(__xludf.DUMMYFUNCTION("""COMPUTED_VALUE"""),"Health Services")</f>
        <v>Health Services</v>
      </c>
      <c r="I460" s="3" t="str">
        <f>IFERROR(__xludf.DUMMYFUNCTION("""COMPUTED_VALUE"""),"Health - Provider FFG")</f>
        <v>Health - Provider FFG</v>
      </c>
      <c r="J460" s="3" t="str">
        <f>IFERROR(__xludf.DUMMYFUNCTION("""COMPUTED_VALUE"""),"Managing Director")</f>
        <v>Managing Director</v>
      </c>
      <c r="K460" s="12">
        <f>IFERROR(__xludf.DUMMYFUNCTION("""COMPUTED_VALUE"""),44536.0)</f>
        <v>44536</v>
      </c>
      <c r="L460" s="3" t="str">
        <f>IFERROR(__xludf.DUMMYFUNCTION("""COMPUTED_VALUE"""),"Austin")</f>
        <v>Austin</v>
      </c>
      <c r="M460" s="3" t="str">
        <f>IFERROR(__xludf.DUMMYFUNCTION("""COMPUTED_VALUE"""),"Austin - 835 West 6th Street")</f>
        <v>Austin - 835 West 6th Street</v>
      </c>
      <c r="N460" s="3" t="b">
        <f>IFERROR(__xludf.DUMMYFUNCTION("""COMPUTED_VALUE"""),FALSE)</f>
        <v>0</v>
      </c>
      <c r="O460" s="3" t="str">
        <f>IFERROR(__xludf.DUMMYFUNCTION("""COMPUTED_VALUE"""),"craig.e.gooch@pwc.com")</f>
        <v>craig.e.gooch@pwc.com</v>
      </c>
      <c r="P460" s="3" t="str">
        <f>IFERROR(__xludf.DUMMYFUNCTION("""COMPUTED_VALUE"""),"FY22")</f>
        <v>FY22</v>
      </c>
      <c r="Q460" s="3" t="b">
        <f>IFERROR(__xludf.DUMMYFUNCTION("""COMPUTED_VALUE"""),FALSE)</f>
        <v>0</v>
      </c>
      <c r="R460" s="3"/>
      <c r="S460" s="3"/>
      <c r="T460" s="3" t="b">
        <f>IFERROR(__xludf.DUMMYFUNCTION("""COMPUTED_VALUE"""),FALSE)</f>
        <v>0</v>
      </c>
      <c r="U460" s="3" t="b">
        <f>IFERROR(__xludf.DUMMYFUNCTION("""COMPUTED_VALUE"""),FALSE)</f>
        <v>0</v>
      </c>
      <c r="V460" s="3" t="b">
        <f>IFERROR(__xludf.DUMMYFUNCTION("""COMPUTED_VALUE"""),TRUE)</f>
        <v>1</v>
      </c>
      <c r="W460" s="3" t="str">
        <f>IFERROR(__xludf.DUMMYFUNCTION("""COMPUTED_VALUE"""),"Catalyst")</f>
        <v>Catalyst</v>
      </c>
      <c r="X460" s="3"/>
      <c r="Y460" s="3" t="str">
        <f>IFERROR(__xludf.DUMMYFUNCTION("""COMPUTED_VALUE"""),"FY22")</f>
        <v>FY22</v>
      </c>
      <c r="Z460" s="3" t="str">
        <f>IFERROR(__xludf.DUMMYFUNCTION("""COMPUTED_VALUE"""),"Provider Transformation")</f>
        <v>Provider Transformation</v>
      </c>
      <c r="AA460" s="3" t="b">
        <f>IFERROR(__xludf.DUMMYFUNCTION("""COMPUTED_VALUE"""),FALSE)</f>
        <v>0</v>
      </c>
    </row>
    <row r="461">
      <c r="A461" s="11">
        <f>IFERROR(__xludf.DUMMYFUNCTION("""COMPUTED_VALUE"""),1.0089503E8)</f>
        <v>100895030</v>
      </c>
      <c r="B461" s="3" t="str">
        <f>IFERROR(__xludf.DUMMYFUNCTION("""COMPUTED_VALUE"""),"Michael Pino")</f>
        <v>Michael Pino</v>
      </c>
      <c r="C461" s="3" t="str">
        <f>IFERROR(__xludf.DUMMYFUNCTION("""COMPUTED_VALUE"""),"Michael John Pino")</f>
        <v>Michael John Pino</v>
      </c>
      <c r="D461" s="3" t="str">
        <f>IFERROR(__xludf.DUMMYFUNCTION("""COMPUTED_VALUE"""),"Pino, Michael John")</f>
        <v>Pino, Michael John</v>
      </c>
      <c r="E461" s="3" t="str">
        <f>IFERROR(__xludf.DUMMYFUNCTION("""COMPUTED_VALUE"""),"Active")</f>
        <v>Active</v>
      </c>
      <c r="F461" s="3" t="str">
        <f>IFERROR(__xludf.DUMMYFUNCTION("""COMPUTED_VALUE"""),"mike.pino@pwc.com")</f>
        <v>mike.pino@pwc.com</v>
      </c>
      <c r="G461" s="3" t="str">
        <f>IFERROR(__xludf.DUMMYFUNCTION("""COMPUTED_VALUE"""),"Workforce")</f>
        <v>Workforce</v>
      </c>
      <c r="H461" s="3" t="str">
        <f>IFERROR(__xludf.DUMMYFUNCTION("""COMPUTED_VALUE"""),"TMT X-Sector")</f>
        <v>TMT X-Sector</v>
      </c>
      <c r="I461" s="3" t="str">
        <f>IFERROR(__xludf.DUMMYFUNCTION("""COMPUTED_VALUE"""),"Workforce - Talent, Change &amp; Behaviors")</f>
        <v>Workforce - Talent, Change &amp; Behaviors</v>
      </c>
      <c r="J461" s="3" t="str">
        <f>IFERROR(__xludf.DUMMYFUNCTION("""COMPUTED_VALUE"""),"Partner")</f>
        <v>Partner</v>
      </c>
      <c r="K461" s="12">
        <f>IFERROR(__xludf.DUMMYFUNCTION("""COMPUTED_VALUE"""),43578.0)</f>
        <v>43578</v>
      </c>
      <c r="L461" s="3" t="str">
        <f>IFERROR(__xludf.DUMMYFUNCTION("""COMPUTED_VALUE"""),"Atlanta")</f>
        <v>Atlanta</v>
      </c>
      <c r="M461" s="3" t="str">
        <f>IFERROR(__xludf.DUMMYFUNCTION("""COMPUTED_VALUE"""),"Atlanta - 1075 Peachtree Street NE")</f>
        <v>Atlanta - 1075 Peachtree Street NE</v>
      </c>
      <c r="N461" s="3" t="b">
        <f>IFERROR(__xludf.DUMMYFUNCTION("""COMPUTED_VALUE"""),FALSE)</f>
        <v>0</v>
      </c>
      <c r="O461" s="3" t="str">
        <f>IFERROR(__xludf.DUMMYFUNCTION("""COMPUTED_VALUE"""),"craig.odonnell@pwc.com")</f>
        <v>craig.odonnell@pwc.com</v>
      </c>
      <c r="P461" s="3" t="str">
        <f>IFERROR(__xludf.DUMMYFUNCTION("""COMPUTED_VALUE"""),"No")</f>
        <v>No</v>
      </c>
      <c r="Q461" s="3" t="b">
        <f>IFERROR(__xludf.DUMMYFUNCTION("""COMPUTED_VALUE"""),FALSE)</f>
        <v>0</v>
      </c>
      <c r="R461" s="3"/>
      <c r="S461" s="3"/>
      <c r="T461" s="3" t="b">
        <f>IFERROR(__xludf.DUMMYFUNCTION("""COMPUTED_VALUE"""),FALSE)</f>
        <v>0</v>
      </c>
      <c r="U461" s="3" t="b">
        <f>IFERROR(__xludf.DUMMYFUNCTION("""COMPUTED_VALUE"""),FALSE)</f>
        <v>0</v>
      </c>
      <c r="V461" s="3" t="b">
        <f>IFERROR(__xludf.DUMMYFUNCTION("""COMPUTED_VALUE"""),FALSE)</f>
        <v>0</v>
      </c>
      <c r="W461" s="3" t="str">
        <f>IFERROR(__xludf.DUMMYFUNCTION("""COMPUTED_VALUE"""),"#N/A")</f>
        <v>#N/A</v>
      </c>
      <c r="X461" s="3" t="str">
        <f>IFERROR(__xludf.DUMMYFUNCTION("""COMPUTED_VALUE"""),"#N/A")</f>
        <v>#N/A</v>
      </c>
      <c r="Y461" s="3" t="str">
        <f>IFERROR(__xludf.DUMMYFUNCTION("""COMPUTED_VALUE"""),"#N/A")</f>
        <v>#N/A</v>
      </c>
      <c r="Z461" s="3" t="str">
        <f>IFERROR(__xludf.DUMMYFUNCTION("""COMPUTED_VALUE"""),"Unknown")</f>
        <v>Unknown</v>
      </c>
      <c r="AA461" s="3" t="b">
        <f>IFERROR(__xludf.DUMMYFUNCTION("""COMPUTED_VALUE"""),FALSE)</f>
        <v>0</v>
      </c>
    </row>
    <row r="462">
      <c r="A462" s="11">
        <f>IFERROR(__xludf.DUMMYFUNCTION("""COMPUTED_VALUE"""),1.006376E8)</f>
        <v>100637600</v>
      </c>
      <c r="B462" s="3" t="str">
        <f>IFERROR(__xludf.DUMMYFUNCTION("""COMPUTED_VALUE"""),"Michael Proppe")</f>
        <v>Michael Proppe</v>
      </c>
      <c r="C462" s="3" t="str">
        <f>IFERROR(__xludf.DUMMYFUNCTION("""COMPUTED_VALUE"""),"Michael  Proppe")</f>
        <v>Michael  Proppe</v>
      </c>
      <c r="D462" s="3" t="str">
        <f>IFERROR(__xludf.DUMMYFUNCTION("""COMPUTED_VALUE"""),"Proppe, Michael")</f>
        <v>Proppe, Michael</v>
      </c>
      <c r="E462" s="3" t="str">
        <f>IFERROR(__xludf.DUMMYFUNCTION("""COMPUTED_VALUE"""),"Active")</f>
        <v>Active</v>
      </c>
      <c r="F462" s="3" t="str">
        <f>IFERROR(__xludf.DUMMYFUNCTION("""COMPUTED_VALUE"""),"michael.proppe@pwc.com")</f>
        <v>michael.proppe@pwc.com</v>
      </c>
      <c r="G462" s="3" t="str">
        <f>IFERROR(__xludf.DUMMYFUNCTION("""COMPUTED_VALUE"""),"Workforce")</f>
        <v>Workforce</v>
      </c>
      <c r="H462" s="3" t="str">
        <f>IFERROR(__xludf.DUMMYFUNCTION("""COMPUTED_VALUE"""),"TMT X-Sector")</f>
        <v>TMT X-Sector</v>
      </c>
      <c r="I462" s="3" t="str">
        <f>IFERROR(__xludf.DUMMYFUNCTION("""COMPUTED_VALUE"""),"Workforce - Deals")</f>
        <v>Workforce - Deals</v>
      </c>
      <c r="J462" s="3" t="str">
        <f>IFERROR(__xludf.DUMMYFUNCTION("""COMPUTED_VALUE"""),"Partner")</f>
        <v>Partner</v>
      </c>
      <c r="K462" s="12">
        <f>IFERROR(__xludf.DUMMYFUNCTION("""COMPUTED_VALUE"""),42022.0)</f>
        <v>42022</v>
      </c>
      <c r="L462" s="3" t="str">
        <f>IFERROR(__xludf.DUMMYFUNCTION("""COMPUTED_VALUE"""),"San Francisco")</f>
        <v>San Francisco</v>
      </c>
      <c r="M462" s="3" t="str">
        <f>IFERROR(__xludf.DUMMYFUNCTION("""COMPUTED_VALUE"""),"San Jose - 488 Almaden Boulevard")</f>
        <v>San Jose - 488 Almaden Boulevard</v>
      </c>
      <c r="N462" s="3" t="b">
        <f>IFERROR(__xludf.DUMMYFUNCTION("""COMPUTED_VALUE"""),FALSE)</f>
        <v>0</v>
      </c>
      <c r="O462" s="3" t="str">
        <f>IFERROR(__xludf.DUMMYFUNCTION("""COMPUTED_VALUE"""),"craig.odonnell@pwc.com")</f>
        <v>craig.odonnell@pwc.com</v>
      </c>
      <c r="P462" s="3" t="str">
        <f>IFERROR(__xludf.DUMMYFUNCTION("""COMPUTED_VALUE"""),"No")</f>
        <v>No</v>
      </c>
      <c r="Q462" s="3" t="b">
        <f>IFERROR(__xludf.DUMMYFUNCTION("""COMPUTED_VALUE"""),FALSE)</f>
        <v>0</v>
      </c>
      <c r="R462" s="3"/>
      <c r="S462" s="3"/>
      <c r="T462" s="3" t="b">
        <f>IFERROR(__xludf.DUMMYFUNCTION("""COMPUTED_VALUE"""),FALSE)</f>
        <v>0</v>
      </c>
      <c r="U462" s="3" t="b">
        <f>IFERROR(__xludf.DUMMYFUNCTION("""COMPUTED_VALUE"""),FALSE)</f>
        <v>0</v>
      </c>
      <c r="V462" s="3" t="b">
        <f>IFERROR(__xludf.DUMMYFUNCTION("""COMPUTED_VALUE"""),FALSE)</f>
        <v>0</v>
      </c>
      <c r="W462" s="3" t="str">
        <f>IFERROR(__xludf.DUMMYFUNCTION("""COMPUTED_VALUE"""),"#N/A")</f>
        <v>#N/A</v>
      </c>
      <c r="X462" s="3" t="str">
        <f>IFERROR(__xludf.DUMMYFUNCTION("""COMPUTED_VALUE"""),"#N/A")</f>
        <v>#N/A</v>
      </c>
      <c r="Y462" s="3" t="str">
        <f>IFERROR(__xludf.DUMMYFUNCTION("""COMPUTED_VALUE"""),"#N/A")</f>
        <v>#N/A</v>
      </c>
      <c r="Z462" s="3" t="str">
        <f>IFERROR(__xludf.DUMMYFUNCTION("""COMPUTED_VALUE"""),"Unknown")</f>
        <v>Unknown</v>
      </c>
      <c r="AA462" s="3" t="b">
        <f>IFERROR(__xludf.DUMMYFUNCTION("""COMPUTED_VALUE"""),FALSE)</f>
        <v>0</v>
      </c>
    </row>
    <row r="463">
      <c r="A463" s="11">
        <f>IFERROR(__xludf.DUMMYFUNCTION("""COMPUTED_VALUE"""),1.00612111E8)</f>
        <v>100612111</v>
      </c>
      <c r="B463" s="3" t="str">
        <f>IFERROR(__xludf.DUMMYFUNCTION("""COMPUTED_VALUE"""),"Michael Savelloni")</f>
        <v>Michael Savelloni</v>
      </c>
      <c r="C463" s="3" t="str">
        <f>IFERROR(__xludf.DUMMYFUNCTION("""COMPUTED_VALUE"""),"Michael B Savelloni")</f>
        <v>Michael B Savelloni</v>
      </c>
      <c r="D463" s="3" t="str">
        <f>IFERROR(__xludf.DUMMYFUNCTION("""COMPUTED_VALUE"""),"Savelloni, Michael B")</f>
        <v>Savelloni, Michael B</v>
      </c>
      <c r="E463" s="3" t="str">
        <f>IFERROR(__xludf.DUMMYFUNCTION("""COMPUTED_VALUE"""),"Active")</f>
        <v>Active</v>
      </c>
      <c r="F463" s="3" t="str">
        <f>IFERROR(__xludf.DUMMYFUNCTION("""COMPUTED_VALUE"""),"michael.b.savelloni@pwc.com")</f>
        <v>michael.b.savelloni@pwc.com</v>
      </c>
      <c r="G463" s="3" t="str">
        <f>IFERROR(__xludf.DUMMYFUNCTION("""COMPUTED_VALUE"""),"FS")</f>
        <v>FS</v>
      </c>
      <c r="H463" s="3" t="str">
        <f>IFERROR(__xludf.DUMMYFUNCTION("""COMPUTED_VALUE"""),"Banking and Capital Markets")</f>
        <v>Banking and Capital Markets</v>
      </c>
      <c r="I463" s="3" t="str">
        <f>IFERROR(__xludf.DUMMYFUNCTION("""COMPUTED_VALUE"""),"FS - Banking and Capital Markets")</f>
        <v>FS - Banking and Capital Markets</v>
      </c>
      <c r="J463" s="3" t="str">
        <f>IFERROR(__xludf.DUMMYFUNCTION("""COMPUTED_VALUE"""),"Partner")</f>
        <v>Partner</v>
      </c>
      <c r="K463" s="12">
        <f>IFERROR(__xludf.DUMMYFUNCTION("""COMPUTED_VALUE"""),37704.0)</f>
        <v>37704</v>
      </c>
      <c r="L463" s="3" t="str">
        <f>IFERROR(__xludf.DUMMYFUNCTION("""COMPUTED_VALUE"""),"Boston")</f>
        <v>Boston</v>
      </c>
      <c r="M463" s="3" t="str">
        <f>IFERROR(__xludf.DUMMYFUNCTION("""COMPUTED_VALUE"""),"Boston - 101 Seaport Boulevard")</f>
        <v>Boston - 101 Seaport Boulevard</v>
      </c>
      <c r="N463" s="3" t="b">
        <f>IFERROR(__xludf.DUMMYFUNCTION("""COMPUTED_VALUE"""),FALSE)</f>
        <v>0</v>
      </c>
      <c r="O463" s="3" t="str">
        <f>IFERROR(__xludf.DUMMYFUNCTION("""COMPUTED_VALUE"""),"alison.hoover@pwc.com")</f>
        <v>alison.hoover@pwc.com</v>
      </c>
      <c r="P463" s="3" t="str">
        <f>IFERROR(__xludf.DUMMYFUNCTION("""COMPUTED_VALUE"""),"No")</f>
        <v>No</v>
      </c>
      <c r="Q463" s="3" t="b">
        <f>IFERROR(__xludf.DUMMYFUNCTION("""COMPUTED_VALUE"""),FALSE)</f>
        <v>0</v>
      </c>
      <c r="R463" s="3"/>
      <c r="S463" s="3"/>
      <c r="T463" s="3" t="b">
        <f>IFERROR(__xludf.DUMMYFUNCTION("""COMPUTED_VALUE"""),FALSE)</f>
        <v>0</v>
      </c>
      <c r="U463" s="3" t="b">
        <f>IFERROR(__xludf.DUMMYFUNCTION("""COMPUTED_VALUE"""),TRUE)</f>
        <v>1</v>
      </c>
      <c r="V463" s="3" t="b">
        <f>IFERROR(__xludf.DUMMYFUNCTION("""COMPUTED_VALUE"""),FALSE)</f>
        <v>0</v>
      </c>
      <c r="W463" s="3" t="str">
        <f>IFERROR(__xludf.DUMMYFUNCTION("""COMPUTED_VALUE"""),"Delivery")</f>
        <v>Delivery</v>
      </c>
      <c r="X463" s="3"/>
      <c r="Y463" s="3"/>
      <c r="Z463" s="3" t="str">
        <f>IFERROR(__xludf.DUMMYFUNCTION("""COMPUTED_VALUE"""),"Banking Transformation")</f>
        <v>Banking Transformation</v>
      </c>
      <c r="AA463" s="3" t="b">
        <f>IFERROR(__xludf.DUMMYFUNCTION("""COMPUTED_VALUE"""),FALSE)</f>
        <v>0</v>
      </c>
    </row>
    <row r="464">
      <c r="A464" s="11">
        <f>IFERROR(__xludf.DUMMYFUNCTION("""COMPUTED_VALUE"""),1.0059568E8)</f>
        <v>100595680</v>
      </c>
      <c r="B464" s="3" t="str">
        <f>IFERROR(__xludf.DUMMYFUNCTION("""COMPUTED_VALUE"""),"Michael Sculnick (On Leave)")</f>
        <v>Michael Sculnick (On Leave)</v>
      </c>
      <c r="C464" s="3" t="str">
        <f>IFERROR(__xludf.DUMMYFUNCTION("""COMPUTED_VALUE"""),"Michael W Sculnick")</f>
        <v>Michael W Sculnick</v>
      </c>
      <c r="D464" s="3" t="str">
        <f>IFERROR(__xludf.DUMMYFUNCTION("""COMPUTED_VALUE"""),"Sculnick, Michael W")</f>
        <v>Sculnick, Michael W</v>
      </c>
      <c r="E464" s="3" t="str">
        <f>IFERROR(__xludf.DUMMYFUNCTION("""COMPUTED_VALUE"""),"Leave of Absence")</f>
        <v>Leave of Absence</v>
      </c>
      <c r="F464" s="3" t="str">
        <f>IFERROR(__xludf.DUMMYFUNCTION("""COMPUTED_VALUE"""),"michael.w.sculnick@pwc.com")</f>
        <v>michael.w.sculnick@pwc.com</v>
      </c>
      <c r="G464" s="3" t="str">
        <f>IFERROR(__xludf.DUMMYFUNCTION("""COMPUTED_VALUE"""),"Workforce")</f>
        <v>Workforce</v>
      </c>
      <c r="H464" s="3" t="str">
        <f>IFERROR(__xludf.DUMMYFUNCTION("""COMPUTED_VALUE"""),"IMA X-Sector")</f>
        <v>IMA X-Sector</v>
      </c>
      <c r="I464" s="3" t="str">
        <f>IFERROR(__xludf.DUMMYFUNCTION("""COMPUTED_VALUE"""),"Workforce - Deals")</f>
        <v>Workforce - Deals</v>
      </c>
      <c r="J464" s="3" t="str">
        <f>IFERROR(__xludf.DUMMYFUNCTION("""COMPUTED_VALUE"""),"Managing Director (On Leave)")</f>
        <v>Managing Director (On Leave)</v>
      </c>
      <c r="K464" s="12">
        <f>IFERROR(__xludf.DUMMYFUNCTION("""COMPUTED_VALUE"""),35436.0)</f>
        <v>35436</v>
      </c>
      <c r="L464" s="3" t="str">
        <f>IFERROR(__xludf.DUMMYFUNCTION("""COMPUTED_VALUE"""),"Hallandale Beach")</f>
        <v>Hallandale Beach</v>
      </c>
      <c r="M464" s="3" t="str">
        <f>IFERROR(__xludf.DUMMYFUNCTION("""COMPUTED_VALUE"""),"Hallandale Beach - 600 Silks Run")</f>
        <v>Hallandale Beach - 600 Silks Run</v>
      </c>
      <c r="N464" s="3" t="b">
        <f>IFERROR(__xludf.DUMMYFUNCTION("""COMPUTED_VALUE"""),FALSE)</f>
        <v>0</v>
      </c>
      <c r="O464" s="3" t="str">
        <f>IFERROR(__xludf.DUMMYFUNCTION("""COMPUTED_VALUE"""),"cindy.fraterrigo@pwc.com")</f>
        <v>cindy.fraterrigo@pwc.com</v>
      </c>
      <c r="P464" s="3" t="str">
        <f>IFERROR(__xludf.DUMMYFUNCTION("""COMPUTED_VALUE"""),"No")</f>
        <v>No</v>
      </c>
      <c r="Q464" s="3" t="b">
        <f>IFERROR(__xludf.DUMMYFUNCTION("""COMPUTED_VALUE"""),FALSE)</f>
        <v>0</v>
      </c>
      <c r="R464" s="3"/>
      <c r="S464" s="3"/>
      <c r="T464" s="3" t="b">
        <f>IFERROR(__xludf.DUMMYFUNCTION("""COMPUTED_VALUE"""),FALSE)</f>
        <v>0</v>
      </c>
      <c r="U464" s="3" t="b">
        <f>IFERROR(__xludf.DUMMYFUNCTION("""COMPUTED_VALUE"""),FALSE)</f>
        <v>0</v>
      </c>
      <c r="V464" s="3" t="b">
        <f>IFERROR(__xludf.DUMMYFUNCTION("""COMPUTED_VALUE"""),FALSE)</f>
        <v>0</v>
      </c>
      <c r="W464" s="3" t="str">
        <f>IFERROR(__xludf.DUMMYFUNCTION("""COMPUTED_VALUE"""),"#N/A")</f>
        <v>#N/A</v>
      </c>
      <c r="X464" s="3" t="str">
        <f>IFERROR(__xludf.DUMMYFUNCTION("""COMPUTED_VALUE"""),"#N/A")</f>
        <v>#N/A</v>
      </c>
      <c r="Y464" s="3" t="str">
        <f>IFERROR(__xludf.DUMMYFUNCTION("""COMPUTED_VALUE"""),"#N/A")</f>
        <v>#N/A</v>
      </c>
      <c r="Z464" s="3" t="str">
        <f>IFERROR(__xludf.DUMMYFUNCTION("""COMPUTED_VALUE"""),"Unknown")</f>
        <v>Unknown</v>
      </c>
      <c r="AA464" s="3" t="b">
        <f>IFERROR(__xludf.DUMMYFUNCTION("""COMPUTED_VALUE"""),FALSE)</f>
        <v>0</v>
      </c>
    </row>
    <row r="465">
      <c r="A465" s="11">
        <f>IFERROR(__xludf.DUMMYFUNCTION("""COMPUTED_VALUE"""),1.00657831E8)</f>
        <v>100657831</v>
      </c>
      <c r="B465" s="3" t="str">
        <f>IFERROR(__xludf.DUMMYFUNCTION("""COMPUTED_VALUE"""),"Michael Van Demark")</f>
        <v>Michael Van Demark</v>
      </c>
      <c r="C465" s="3" t="str">
        <f>IFERROR(__xludf.DUMMYFUNCTION("""COMPUTED_VALUE"""),"Michael William Van Demark")</f>
        <v>Michael William Van Demark</v>
      </c>
      <c r="D465" s="3" t="str">
        <f>IFERROR(__xludf.DUMMYFUNCTION("""COMPUTED_VALUE"""),"Van Demark, Michael William")</f>
        <v>Van Demark, Michael William</v>
      </c>
      <c r="E465" s="3" t="str">
        <f>IFERROR(__xludf.DUMMYFUNCTION("""COMPUTED_VALUE"""),"Active")</f>
        <v>Active</v>
      </c>
      <c r="F465" s="3" t="str">
        <f>IFERROR(__xludf.DUMMYFUNCTION("""COMPUTED_VALUE"""),"michael.vandemark@pwc.com")</f>
        <v>michael.vandemark@pwc.com</v>
      </c>
      <c r="G465" s="3" t="str">
        <f>IFERROR(__xludf.DUMMYFUNCTION("""COMPUTED_VALUE"""),"FS")</f>
        <v>FS</v>
      </c>
      <c r="H465" s="3" t="str">
        <f>IFERROR(__xludf.DUMMYFUNCTION("""COMPUTED_VALUE"""),"Asset and Wealth Management")</f>
        <v>Asset and Wealth Management</v>
      </c>
      <c r="I465" s="3" t="str">
        <f>IFERROR(__xludf.DUMMYFUNCTION("""COMPUTED_VALUE"""),"FS - Asset Wealth Management")</f>
        <v>FS - Asset Wealth Management</v>
      </c>
      <c r="J465" s="3" t="str">
        <f>IFERROR(__xludf.DUMMYFUNCTION("""COMPUTED_VALUE"""),"Partner")</f>
        <v>Partner</v>
      </c>
      <c r="K465" s="12">
        <f>IFERROR(__xludf.DUMMYFUNCTION("""COMPUTED_VALUE"""),34365.0)</f>
        <v>34365</v>
      </c>
      <c r="L465" s="3" t="str">
        <f>IFERROR(__xludf.DUMMYFUNCTION("""COMPUTED_VALUE"""),"New York")</f>
        <v>New York</v>
      </c>
      <c r="M465" s="3" t="str">
        <f>IFERROR(__xludf.DUMMYFUNCTION("""COMPUTED_VALUE"""),"New York - 300 Madison Avenue")</f>
        <v>New York - 300 Madison Avenue</v>
      </c>
      <c r="N465" s="3" t="b">
        <f>IFERROR(__xludf.DUMMYFUNCTION("""COMPUTED_VALUE"""),FALSE)</f>
        <v>0</v>
      </c>
      <c r="O465" s="3" t="str">
        <f>IFERROR(__xludf.DUMMYFUNCTION("""COMPUTED_VALUE"""),"alison.hoover@pwc.com")</f>
        <v>alison.hoover@pwc.com</v>
      </c>
      <c r="P465" s="3" t="str">
        <f>IFERROR(__xludf.DUMMYFUNCTION("""COMPUTED_VALUE"""),"No")</f>
        <v>No</v>
      </c>
      <c r="Q465" s="3" t="b">
        <f>IFERROR(__xludf.DUMMYFUNCTION("""COMPUTED_VALUE"""),TRUE)</f>
        <v>1</v>
      </c>
      <c r="R465" s="3" t="str">
        <f>IFERROR(__xludf.DUMMYFUNCTION("""COMPUTED_VALUE"""),"LCP High")</f>
        <v>LCP High</v>
      </c>
      <c r="S465" s="3"/>
      <c r="T465" s="3" t="b">
        <f>IFERROR(__xludf.DUMMYFUNCTION("""COMPUTED_VALUE"""),FALSE)</f>
        <v>0</v>
      </c>
      <c r="U465" s="3" t="b">
        <f>IFERROR(__xludf.DUMMYFUNCTION("""COMPUTED_VALUE"""),FALSE)</f>
        <v>0</v>
      </c>
      <c r="V465" s="3" t="b">
        <f>IFERROR(__xludf.DUMMYFUNCTION("""COMPUTED_VALUE"""),FALSE)</f>
        <v>0</v>
      </c>
      <c r="W465" s="3" t="str">
        <f>IFERROR(__xludf.DUMMYFUNCTION("""COMPUTED_VALUE"""),"LCP")</f>
        <v>LCP</v>
      </c>
      <c r="X465" s="3"/>
      <c r="Y465" s="3" t="str">
        <f>IFERROR(__xludf.DUMMYFUNCTION("""COMPUTED_VALUE"""),"GEP - High")</f>
        <v>GEP - High</v>
      </c>
      <c r="Z465" s="3" t="str">
        <f>IFERROR(__xludf.DUMMYFUNCTION("""COMPUTED_VALUE"""),"AWM Transformation")</f>
        <v>AWM Transformation</v>
      </c>
      <c r="AA465" s="3" t="b">
        <f>IFERROR(__xludf.DUMMYFUNCTION("""COMPUTED_VALUE"""),TRUE)</f>
        <v>1</v>
      </c>
    </row>
    <row r="466">
      <c r="A466" s="11">
        <f>IFERROR(__xludf.DUMMYFUNCTION("""COMPUTED_VALUE"""),1.00587434E8)</f>
        <v>100587434</v>
      </c>
      <c r="B466" s="3" t="str">
        <f>IFERROR(__xludf.DUMMYFUNCTION("""COMPUTED_VALUE"""),"Michael Whitman")</f>
        <v>Michael Whitman</v>
      </c>
      <c r="C466" s="3" t="str">
        <f>IFERROR(__xludf.DUMMYFUNCTION("""COMPUTED_VALUE"""),"Michael James Whitman")</f>
        <v>Michael James Whitman</v>
      </c>
      <c r="D466" s="3" t="str">
        <f>IFERROR(__xludf.DUMMYFUNCTION("""COMPUTED_VALUE"""),"Whitman, Michael James")</f>
        <v>Whitman, Michael James</v>
      </c>
      <c r="E466" s="3" t="str">
        <f>IFERROR(__xludf.DUMMYFUNCTION("""COMPUTED_VALUE"""),"Active")</f>
        <v>Active</v>
      </c>
      <c r="F466" s="3" t="str">
        <f>IFERROR(__xludf.DUMMYFUNCTION("""COMPUTED_VALUE"""),"michael.j.whitman@pwc.com")</f>
        <v>michael.j.whitman@pwc.com</v>
      </c>
      <c r="G466" s="3" t="str">
        <f>IFERROR(__xludf.DUMMYFUNCTION("""COMPUTED_VALUE"""),"Ops")</f>
        <v>Ops</v>
      </c>
      <c r="H466" s="3" t="str">
        <f>IFERROR(__xludf.DUMMYFUNCTION("""COMPUTED_VALUE"""),"TMT X-Sector")</f>
        <v>TMT X-Sector</v>
      </c>
      <c r="I466" s="3" t="str">
        <f>IFERROR(__xludf.DUMMYFUNCTION("""COMPUTED_VALUE"""),"Ops - Connected Supply Chain (CSC)")</f>
        <v>Ops - Connected Supply Chain (CSC)</v>
      </c>
      <c r="J466" s="3" t="str">
        <f>IFERROR(__xludf.DUMMYFUNCTION("""COMPUTED_VALUE"""),"Partner")</f>
        <v>Partner</v>
      </c>
      <c r="K466" s="12">
        <f>IFERROR(__xludf.DUMMYFUNCTION("""COMPUTED_VALUE"""),40798.0)</f>
        <v>40798</v>
      </c>
      <c r="L466" s="3" t="str">
        <f>IFERROR(__xludf.DUMMYFUNCTION("""COMPUTED_VALUE"""),"San Jose")</f>
        <v>San Jose</v>
      </c>
      <c r="M466" s="3" t="str">
        <f>IFERROR(__xludf.DUMMYFUNCTION("""COMPUTED_VALUE"""),"San Jose - 488 Almaden Boulevard")</f>
        <v>San Jose - 488 Almaden Boulevard</v>
      </c>
      <c r="N466" s="3" t="b">
        <f>IFERROR(__xludf.DUMMYFUNCTION("""COMPUTED_VALUE"""),FALSE)</f>
        <v>0</v>
      </c>
      <c r="O466" s="3" t="str">
        <f>IFERROR(__xludf.DUMMYFUNCTION("""COMPUTED_VALUE"""),"matthew.r.comte@pwc.com")</f>
        <v>matthew.r.comte@pwc.com</v>
      </c>
      <c r="P466" s="3" t="str">
        <f>IFERROR(__xludf.DUMMYFUNCTION("""COMPUTED_VALUE"""),"No")</f>
        <v>No</v>
      </c>
      <c r="Q466" s="3" t="b">
        <f>IFERROR(__xludf.DUMMYFUNCTION("""COMPUTED_VALUE"""),FALSE)</f>
        <v>0</v>
      </c>
      <c r="R466" s="3"/>
      <c r="S466" s="3"/>
      <c r="T466" s="3" t="b">
        <f>IFERROR(__xludf.DUMMYFUNCTION("""COMPUTED_VALUE"""),FALSE)</f>
        <v>0</v>
      </c>
      <c r="U466" s="3" t="b">
        <f>IFERROR(__xludf.DUMMYFUNCTION("""COMPUTED_VALUE"""),TRUE)</f>
        <v>1</v>
      </c>
      <c r="V466" s="3" t="b">
        <f>IFERROR(__xludf.DUMMYFUNCTION("""COMPUTED_VALUE"""),FALSE)</f>
        <v>0</v>
      </c>
      <c r="W466" s="3" t="str">
        <f>IFERROR(__xludf.DUMMYFUNCTION("""COMPUTED_VALUE"""),"Delivery")</f>
        <v>Delivery</v>
      </c>
      <c r="X466" s="3"/>
      <c r="Y466" s="3"/>
      <c r="Z466" s="3" t="str">
        <f>IFERROR(__xludf.DUMMYFUNCTION("""COMPUTED_VALUE"""),"IP + Technology Ops Transformation")</f>
        <v>IP + Technology Ops Transformation</v>
      </c>
      <c r="AA466" s="3" t="b">
        <f>IFERROR(__xludf.DUMMYFUNCTION("""COMPUTED_VALUE"""),FALSE)</f>
        <v>0</v>
      </c>
    </row>
    <row r="467">
      <c r="A467" s="11">
        <f>IFERROR(__xludf.DUMMYFUNCTION("""COMPUTED_VALUE"""),1.0058671E8)</f>
        <v>100586710</v>
      </c>
      <c r="B467" s="3" t="str">
        <f>IFERROR(__xludf.DUMMYFUNCTION("""COMPUTED_VALUE"""),"Michael Wright")</f>
        <v>Michael Wright</v>
      </c>
      <c r="C467" s="3" t="str">
        <f>IFERROR(__xludf.DUMMYFUNCTION("""COMPUTED_VALUE"""),"Michael R Wright")</f>
        <v>Michael R Wright</v>
      </c>
      <c r="D467" s="3" t="str">
        <f>IFERROR(__xludf.DUMMYFUNCTION("""COMPUTED_VALUE"""),"Wright, Michael R")</f>
        <v>Wright, Michael R</v>
      </c>
      <c r="E467" s="3" t="str">
        <f>IFERROR(__xludf.DUMMYFUNCTION("""COMPUTED_VALUE"""),"Active")</f>
        <v>Active</v>
      </c>
      <c r="F467" s="3" t="str">
        <f>IFERROR(__xludf.DUMMYFUNCTION("""COMPUTED_VALUE"""),"michael.r.wright@pwc.com")</f>
        <v>michael.r.wright@pwc.com</v>
      </c>
      <c r="G467" s="3" t="str">
        <f>IFERROR(__xludf.DUMMYFUNCTION("""COMPUTED_VALUE"""),"Deals Transformation")</f>
        <v>Deals Transformation</v>
      </c>
      <c r="H467" s="3" t="str">
        <f>IFERROR(__xludf.DUMMYFUNCTION("""COMPUTED_VALUE"""),"Health Services")</f>
        <v>Health Services</v>
      </c>
      <c r="I467" s="3" t="str">
        <f>IFERROR(__xludf.DUMMYFUNCTION("""COMPUTED_VALUE"""),"DDV - ISD (Integration, Separation, Divestitures)")</f>
        <v>DDV - ISD (Integration, Separation, Divestitures)</v>
      </c>
      <c r="J467" s="3" t="str">
        <f>IFERROR(__xludf.DUMMYFUNCTION("""COMPUTED_VALUE"""),"Partner")</f>
        <v>Partner</v>
      </c>
      <c r="K467" s="12">
        <f>IFERROR(__xludf.DUMMYFUNCTION("""COMPUTED_VALUE"""),36353.0)</f>
        <v>36353</v>
      </c>
      <c r="L467" s="3" t="str">
        <f>IFERROR(__xludf.DUMMYFUNCTION("""COMPUTED_VALUE"""),"New York")</f>
        <v>New York</v>
      </c>
      <c r="M467" s="3" t="str">
        <f>IFERROR(__xludf.DUMMYFUNCTION("""COMPUTED_VALUE"""),"New York - 300 Madison Avenue")</f>
        <v>New York - 300 Madison Avenue</v>
      </c>
      <c r="N467" s="3" t="b">
        <f>IFERROR(__xludf.DUMMYFUNCTION("""COMPUTED_VALUE"""),FALSE)</f>
        <v>0</v>
      </c>
      <c r="O467" s="3" t="str">
        <f>IFERROR(__xludf.DUMMYFUNCTION("""COMPUTED_VALUE"""),"derek.b.townsend@pwc.com")</f>
        <v>derek.b.townsend@pwc.com</v>
      </c>
      <c r="P467" s="3" t="str">
        <f>IFERROR(__xludf.DUMMYFUNCTION("""COMPUTED_VALUE"""),"No")</f>
        <v>No</v>
      </c>
      <c r="Q467" s="3" t="b">
        <f>IFERROR(__xludf.DUMMYFUNCTION("""COMPUTED_VALUE"""),FALSE)</f>
        <v>0</v>
      </c>
      <c r="R467" s="3"/>
      <c r="S467" s="3"/>
      <c r="T467" s="3" t="b">
        <f>IFERROR(__xludf.DUMMYFUNCTION("""COMPUTED_VALUE"""),TRUE)</f>
        <v>1</v>
      </c>
      <c r="U467" s="3" t="b">
        <f>IFERROR(__xludf.DUMMYFUNCTION("""COMPUTED_VALUE"""),FALSE)</f>
        <v>0</v>
      </c>
      <c r="V467" s="3" t="b">
        <f>IFERROR(__xludf.DUMMYFUNCTION("""COMPUTED_VALUE"""),FALSE)</f>
        <v>0</v>
      </c>
      <c r="W467" s="3" t="str">
        <f>IFERROR(__xludf.DUMMYFUNCTION("""COMPUTED_VALUE"""),"Delivery")</f>
        <v>Delivery</v>
      </c>
      <c r="X467" s="3"/>
      <c r="Y467" s="3" t="str">
        <f>IFERROR(__xludf.DUMMYFUNCTION("""COMPUTED_VALUE"""),"Rainmaker")</f>
        <v>Rainmaker</v>
      </c>
      <c r="Z467" s="3" t="str">
        <f>IFERROR(__xludf.DUMMYFUNCTION("""COMPUTED_VALUE"""),"PE M&amp;A Transformation")</f>
        <v>PE M&amp;A Transformation</v>
      </c>
      <c r="AA467" s="3" t="b">
        <f>IFERROR(__xludf.DUMMYFUNCTION("""COMPUTED_VALUE"""),TRUE)</f>
        <v>1</v>
      </c>
    </row>
    <row r="468">
      <c r="A468" s="11">
        <f>IFERROR(__xludf.DUMMYFUNCTION("""COMPUTED_VALUE"""),1.00609611E8)</f>
        <v>100609611</v>
      </c>
      <c r="B468" s="3" t="str">
        <f>IFERROR(__xludf.DUMMYFUNCTION("""COMPUTED_VALUE"""),"Michelle Gibson")</f>
        <v>Michelle Gibson</v>
      </c>
      <c r="C468" s="3" t="str">
        <f>IFERROR(__xludf.DUMMYFUNCTION("""COMPUTED_VALUE"""),"Michelle M Gibson")</f>
        <v>Michelle M Gibson</v>
      </c>
      <c r="D468" s="3" t="str">
        <f>IFERROR(__xludf.DUMMYFUNCTION("""COMPUTED_VALUE"""),"Gibson, Michelle M")</f>
        <v>Gibson, Michelle M</v>
      </c>
      <c r="E468" s="3" t="str">
        <f>IFERROR(__xludf.DUMMYFUNCTION("""COMPUTED_VALUE"""),"Active")</f>
        <v>Active</v>
      </c>
      <c r="F468" s="3" t="str">
        <f>IFERROR(__xludf.DUMMYFUNCTION("""COMPUTED_VALUE"""),"michelle.gibson@pwc.com")</f>
        <v>michelle.gibson@pwc.com</v>
      </c>
      <c r="G468" s="3" t="str">
        <f>IFERROR(__xludf.DUMMYFUNCTION("""COMPUTED_VALUE"""),"Workforce")</f>
        <v>Workforce</v>
      </c>
      <c r="H468" s="3" t="str">
        <f>IFERROR(__xludf.DUMMYFUNCTION("""COMPUTED_VALUE"""),"CM X-Sector")</f>
        <v>CM X-Sector</v>
      </c>
      <c r="I468" s="3" t="str">
        <f>IFERROR(__xludf.DUMMYFUNCTION("""COMPUTED_VALUE"""),"Workforce - Talent, Change &amp; Behaviors")</f>
        <v>Workforce - Talent, Change &amp; Behaviors</v>
      </c>
      <c r="J468" s="3" t="str">
        <f>IFERROR(__xludf.DUMMYFUNCTION("""COMPUTED_VALUE"""),"Partner")</f>
        <v>Partner</v>
      </c>
      <c r="K468" s="12">
        <f>IFERROR(__xludf.DUMMYFUNCTION("""COMPUTED_VALUE"""),42309.0)</f>
        <v>42309</v>
      </c>
      <c r="L468" s="3" t="str">
        <f>IFERROR(__xludf.DUMMYFUNCTION("""COMPUTED_VALUE"""),"Minneapolis")</f>
        <v>Minneapolis</v>
      </c>
      <c r="M468" s="3" t="str">
        <f>IFERROR(__xludf.DUMMYFUNCTION("""COMPUTED_VALUE"""),"Minneapolis - 45 South 7th Street")</f>
        <v>Minneapolis - 45 South 7th Street</v>
      </c>
      <c r="N468" s="3" t="b">
        <f>IFERROR(__xludf.DUMMYFUNCTION("""COMPUTED_VALUE"""),FALSE)</f>
        <v>0</v>
      </c>
      <c r="O468" s="3" t="str">
        <f>IFERROR(__xludf.DUMMYFUNCTION("""COMPUTED_VALUE"""),"craig.odonnell@pwc.com")</f>
        <v>craig.odonnell@pwc.com</v>
      </c>
      <c r="P468" s="3" t="str">
        <f>IFERROR(__xludf.DUMMYFUNCTION("""COMPUTED_VALUE"""),"No")</f>
        <v>No</v>
      </c>
      <c r="Q468" s="3" t="b">
        <f>IFERROR(__xludf.DUMMYFUNCTION("""COMPUTED_VALUE"""),TRUE)</f>
        <v>1</v>
      </c>
      <c r="R468" s="3" t="str">
        <f>IFERROR(__xludf.DUMMYFUNCTION("""COMPUTED_VALUE"""),"LCP Low")</f>
        <v>LCP Low</v>
      </c>
      <c r="S468" s="3"/>
      <c r="T468" s="3" t="b">
        <f>IFERROR(__xludf.DUMMYFUNCTION("""COMPUTED_VALUE"""),FALSE)</f>
        <v>0</v>
      </c>
      <c r="U468" s="3" t="b">
        <f>IFERROR(__xludf.DUMMYFUNCTION("""COMPUTED_VALUE"""),FALSE)</f>
        <v>0</v>
      </c>
      <c r="V468" s="3" t="b">
        <f>IFERROR(__xludf.DUMMYFUNCTION("""COMPUTED_VALUE"""),FALSE)</f>
        <v>0</v>
      </c>
      <c r="W468" s="3" t="str">
        <f>IFERROR(__xludf.DUMMYFUNCTION("""COMPUTED_VALUE"""),"LCP")</f>
        <v>LCP</v>
      </c>
      <c r="X468" s="3" t="str">
        <f>IFERROR(__xludf.DUMMYFUNCTION("""COMPUTED_VALUE"""),"#N/A")</f>
        <v>#N/A</v>
      </c>
      <c r="Y468" s="3" t="str">
        <f>IFERROR(__xludf.DUMMYFUNCTION("""COMPUTED_VALUE"""),"#N/A")</f>
        <v>#N/A</v>
      </c>
      <c r="Z468" s="3" t="str">
        <f>IFERROR(__xludf.DUMMYFUNCTION("""COMPUTED_VALUE"""),"Unknown")</f>
        <v>Unknown</v>
      </c>
      <c r="AA468" s="3" t="b">
        <f>IFERROR(__xludf.DUMMYFUNCTION("""COMPUTED_VALUE"""),FALSE)</f>
        <v>0</v>
      </c>
    </row>
    <row r="469">
      <c r="A469" s="11">
        <f>IFERROR(__xludf.DUMMYFUNCTION("""COMPUTED_VALUE"""),1.00654864E8)</f>
        <v>100654864</v>
      </c>
      <c r="B469" s="3" t="str">
        <f>IFERROR(__xludf.DUMMYFUNCTION("""COMPUTED_VALUE"""),"Mike Boro")</f>
        <v>Mike Boro</v>
      </c>
      <c r="C469" s="3" t="str">
        <f>IFERROR(__xludf.DUMMYFUNCTION("""COMPUTED_VALUE"""),"Michael J Boro")</f>
        <v>Michael J Boro</v>
      </c>
      <c r="D469" s="3" t="str">
        <f>IFERROR(__xludf.DUMMYFUNCTION("""COMPUTED_VALUE"""),"Boro, Michael J")</f>
        <v>Boro, Michael J</v>
      </c>
      <c r="E469" s="3" t="str">
        <f>IFERROR(__xludf.DUMMYFUNCTION("""COMPUTED_VALUE"""),"Active")</f>
        <v>Active</v>
      </c>
      <c r="F469" s="3" t="str">
        <f>IFERROR(__xludf.DUMMYFUNCTION("""COMPUTED_VALUE"""),"michael.boro@pwc.com")</f>
        <v>michael.boro@pwc.com</v>
      </c>
      <c r="G469" s="3" t="str">
        <f>IFERROR(__xludf.DUMMYFUNCTION("""COMPUTED_VALUE"""),"Workforce")</f>
        <v>Workforce</v>
      </c>
      <c r="H469" s="3" t="str">
        <f>IFERROR(__xludf.DUMMYFUNCTION("""COMPUTED_VALUE"""),"TMT X-Sector")</f>
        <v>TMT X-Sector</v>
      </c>
      <c r="I469" s="3" t="str">
        <f>IFERROR(__xludf.DUMMYFUNCTION("""COMPUTED_VALUE"""),"Workforce - Rewards &amp; Well Being")</f>
        <v>Workforce - Rewards &amp; Well Being</v>
      </c>
      <c r="J469" s="3" t="str">
        <f>IFERROR(__xludf.DUMMYFUNCTION("""COMPUTED_VALUE"""),"Partner")</f>
        <v>Partner</v>
      </c>
      <c r="K469" s="12">
        <f>IFERROR(__xludf.DUMMYFUNCTION("""COMPUTED_VALUE"""),34442.0)</f>
        <v>34442</v>
      </c>
      <c r="L469" s="3" t="str">
        <f>IFERROR(__xludf.DUMMYFUNCTION("""COMPUTED_VALUE"""),"New York")</f>
        <v>New York</v>
      </c>
      <c r="M469" s="3" t="str">
        <f>IFERROR(__xludf.DUMMYFUNCTION("""COMPUTED_VALUE"""),"New York - 300 Madison Avenue")</f>
        <v>New York - 300 Madison Avenue</v>
      </c>
      <c r="N469" s="3" t="b">
        <f>IFERROR(__xludf.DUMMYFUNCTION("""COMPUTED_VALUE"""),FALSE)</f>
        <v>0</v>
      </c>
      <c r="O469" s="3" t="str">
        <f>IFERROR(__xludf.DUMMYFUNCTION("""COMPUTED_VALUE"""),"craig.odonnell@pwc.com")</f>
        <v>craig.odonnell@pwc.com</v>
      </c>
      <c r="P469" s="3" t="str">
        <f>IFERROR(__xludf.DUMMYFUNCTION("""COMPUTED_VALUE"""),"No")</f>
        <v>No</v>
      </c>
      <c r="Q469" s="3" t="b">
        <f>IFERROR(__xludf.DUMMYFUNCTION("""COMPUTED_VALUE"""),FALSE)</f>
        <v>0</v>
      </c>
      <c r="R469" s="3"/>
      <c r="S469" s="3"/>
      <c r="T469" s="3" t="b">
        <f>IFERROR(__xludf.DUMMYFUNCTION("""COMPUTED_VALUE"""),FALSE)</f>
        <v>0</v>
      </c>
      <c r="U469" s="3" t="b">
        <f>IFERROR(__xludf.DUMMYFUNCTION("""COMPUTED_VALUE"""),FALSE)</f>
        <v>0</v>
      </c>
      <c r="V469" s="3" t="b">
        <f>IFERROR(__xludf.DUMMYFUNCTION("""COMPUTED_VALUE"""),FALSE)</f>
        <v>0</v>
      </c>
      <c r="W469" s="3" t="str">
        <f>IFERROR(__xludf.DUMMYFUNCTION("""COMPUTED_VALUE"""),"#N/A")</f>
        <v>#N/A</v>
      </c>
      <c r="X469" s="3" t="str">
        <f>IFERROR(__xludf.DUMMYFUNCTION("""COMPUTED_VALUE"""),"#N/A")</f>
        <v>#N/A</v>
      </c>
      <c r="Y469" s="3" t="str">
        <f>IFERROR(__xludf.DUMMYFUNCTION("""COMPUTED_VALUE"""),"#N/A")</f>
        <v>#N/A</v>
      </c>
      <c r="Z469" s="3" t="str">
        <f>IFERROR(__xludf.DUMMYFUNCTION("""COMPUTED_VALUE"""),"Unknown")</f>
        <v>Unknown</v>
      </c>
      <c r="AA469" s="3" t="b">
        <f>IFERROR(__xludf.DUMMYFUNCTION("""COMPUTED_VALUE"""),FALSE)</f>
        <v>0</v>
      </c>
    </row>
    <row r="470">
      <c r="A470" s="11">
        <f>IFERROR(__xludf.DUMMYFUNCTION("""COMPUTED_VALUE"""),1.00586524E8)</f>
        <v>100586524</v>
      </c>
      <c r="B470" s="3" t="str">
        <f>IFERROR(__xludf.DUMMYFUNCTION("""COMPUTED_VALUE"""),"Mike Goulet")</f>
        <v>Mike Goulet</v>
      </c>
      <c r="C470" s="3" t="str">
        <f>IFERROR(__xludf.DUMMYFUNCTION("""COMPUTED_VALUE"""),"Michael P Goulet")</f>
        <v>Michael P Goulet</v>
      </c>
      <c r="D470" s="3" t="str">
        <f>IFERROR(__xludf.DUMMYFUNCTION("""COMPUTED_VALUE"""),"Goulet, Michael P")</f>
        <v>Goulet, Michael P</v>
      </c>
      <c r="E470" s="3" t="str">
        <f>IFERROR(__xludf.DUMMYFUNCTION("""COMPUTED_VALUE"""),"Active")</f>
        <v>Active</v>
      </c>
      <c r="F470" s="3" t="str">
        <f>IFERROR(__xludf.DUMMYFUNCTION("""COMPUTED_VALUE"""),"mgoulet@pwc.com")</f>
        <v>mgoulet@pwc.com</v>
      </c>
      <c r="G470" s="3" t="str">
        <f>IFERROR(__xludf.DUMMYFUNCTION("""COMPUTED_VALUE"""),"ESV")</f>
        <v>ESV</v>
      </c>
      <c r="H470" s="3" t="str">
        <f>IFERROR(__xludf.DUMMYFUNCTION("""COMPUTED_VALUE"""),"Aerospace and Defence")</f>
        <v>Aerospace and Defence</v>
      </c>
      <c r="I470" s="3" t="str">
        <f>IFERROR(__xludf.DUMMYFUNCTION("""COMPUTED_VALUE"""),"ESV - IPS")</f>
        <v>ESV - IPS</v>
      </c>
      <c r="J470" s="3" t="str">
        <f>IFERROR(__xludf.DUMMYFUNCTION("""COMPUTED_VALUE"""),"Managing Director")</f>
        <v>Managing Director</v>
      </c>
      <c r="K470" s="12">
        <f>IFERROR(__xludf.DUMMYFUNCTION("""COMPUTED_VALUE"""),40798.0)</f>
        <v>40798</v>
      </c>
      <c r="L470" s="3" t="str">
        <f>IFERROR(__xludf.DUMMYFUNCTION("""COMPUTED_VALUE"""),"Hallandale Beach")</f>
        <v>Hallandale Beach</v>
      </c>
      <c r="M470" s="3" t="str">
        <f>IFERROR(__xludf.DUMMYFUNCTION("""COMPUTED_VALUE"""),"Hallandale Beach - 600 Silks Run")</f>
        <v>Hallandale Beach - 600 Silks Run</v>
      </c>
      <c r="N470" s="3" t="b">
        <f>IFERROR(__xludf.DUMMYFUNCTION("""COMPUTED_VALUE"""),FALSE)</f>
        <v>0</v>
      </c>
      <c r="O470" s="3" t="str">
        <f>IFERROR(__xludf.DUMMYFUNCTION("""COMPUTED_VALUE"""),"william.j.lay@pwc.com")</f>
        <v>william.j.lay@pwc.com</v>
      </c>
      <c r="P470" s="3" t="str">
        <f>IFERROR(__xludf.DUMMYFUNCTION("""COMPUTED_VALUE"""),"No")</f>
        <v>No</v>
      </c>
      <c r="Q470" s="3" t="b">
        <f>IFERROR(__xludf.DUMMYFUNCTION("""COMPUTED_VALUE"""),FALSE)</f>
        <v>0</v>
      </c>
      <c r="R470" s="3"/>
      <c r="S470" s="3"/>
      <c r="T470" s="3" t="b">
        <f>IFERROR(__xludf.DUMMYFUNCTION("""COMPUTED_VALUE"""),FALSE)</f>
        <v>0</v>
      </c>
      <c r="U470" s="3" t="b">
        <f>IFERROR(__xludf.DUMMYFUNCTION("""COMPUTED_VALUE"""),FALSE)</f>
        <v>0</v>
      </c>
      <c r="V470" s="3" t="b">
        <f>IFERROR(__xludf.DUMMYFUNCTION("""COMPUTED_VALUE"""),FALSE)</f>
        <v>0</v>
      </c>
      <c r="W470" s="3" t="str">
        <f>IFERROR(__xludf.DUMMYFUNCTION("""COMPUTED_VALUE"""),"Delivery")</f>
        <v>Delivery</v>
      </c>
      <c r="X470" s="3"/>
      <c r="Y470" s="3"/>
      <c r="Z470" s="3" t="str">
        <f>IFERROR(__xludf.DUMMYFUNCTION("""COMPUTED_VALUE"""),"")</f>
        <v/>
      </c>
      <c r="AA470" s="3" t="b">
        <f>IFERROR(__xludf.DUMMYFUNCTION("""COMPUTED_VALUE"""),FALSE)</f>
        <v>0</v>
      </c>
    </row>
    <row r="471">
      <c r="A471" s="3">
        <f>IFERROR(__xludf.DUMMYFUNCTION("""COMPUTED_VALUE"""),1.0112897E8)</f>
        <v>101128970</v>
      </c>
      <c r="B471" s="3" t="str">
        <f>IFERROR(__xludf.DUMMYFUNCTION("""COMPUTED_VALUE"""),"Mike Larson")</f>
        <v>Mike Larson</v>
      </c>
      <c r="C471" s="3" t="str">
        <f>IFERROR(__xludf.DUMMYFUNCTION("""COMPUTED_VALUE"""),"Michael  Larson")</f>
        <v>Michael  Larson</v>
      </c>
      <c r="D471" s="3" t="str">
        <f>IFERROR(__xludf.DUMMYFUNCTION("""COMPUTED_VALUE"""),"Larson, Michael")</f>
        <v>Larson, Michael</v>
      </c>
      <c r="E471" s="3" t="str">
        <f>IFERROR(__xludf.DUMMYFUNCTION("""COMPUTED_VALUE"""),"Active")</f>
        <v>Active</v>
      </c>
      <c r="F471" s="3" t="str">
        <f>IFERROR(__xludf.DUMMYFUNCTION("""COMPUTED_VALUE"""),"mike.larson@pwc.com")</f>
        <v>mike.larson@pwc.com</v>
      </c>
      <c r="G471" s="3" t="str">
        <f>IFERROR(__xludf.DUMMYFUNCTION("""COMPUTED_VALUE"""),"Health")</f>
        <v>Health</v>
      </c>
      <c r="H471" s="3" t="str">
        <f>IFERROR(__xludf.DUMMYFUNCTION("""COMPUTED_VALUE"""),"Health Services")</f>
        <v>Health Services</v>
      </c>
      <c r="I471" s="3" t="str">
        <f>IFERROR(__xludf.DUMMYFUNCTION("""COMPUTED_VALUE"""),"Health - Provider Revenue Cycle")</f>
        <v>Health - Provider Revenue Cycle</v>
      </c>
      <c r="J471" s="3" t="str">
        <f>IFERROR(__xludf.DUMMYFUNCTION("""COMPUTED_VALUE"""),"Partner")</f>
        <v>Partner</v>
      </c>
      <c r="K471" s="12">
        <f>IFERROR(__xludf.DUMMYFUNCTION("""COMPUTED_VALUE"""),44459.0)</f>
        <v>44459</v>
      </c>
      <c r="L471" s="3" t="str">
        <f>IFERROR(__xludf.DUMMYFUNCTION("""COMPUTED_VALUE"""),"Minneapolis")</f>
        <v>Minneapolis</v>
      </c>
      <c r="M471" s="3" t="str">
        <f>IFERROR(__xludf.DUMMYFUNCTION("""COMPUTED_VALUE"""),"Minneapolis - 45 South 7th Street")</f>
        <v>Minneapolis - 45 South 7th Street</v>
      </c>
      <c r="N471" s="3" t="b">
        <f>IFERROR(__xludf.DUMMYFUNCTION("""COMPUTED_VALUE"""),FALSE)</f>
        <v>0</v>
      </c>
      <c r="O471" s="3" t="str">
        <f>IFERROR(__xludf.DUMMYFUNCTION("""COMPUTED_VALUE"""),"craig.e.gooch@pwc.com")</f>
        <v>craig.e.gooch@pwc.com</v>
      </c>
      <c r="P471" s="3" t="str">
        <f>IFERROR(__xludf.DUMMYFUNCTION("""COMPUTED_VALUE"""),"FY22")</f>
        <v>FY22</v>
      </c>
      <c r="Q471" s="3" t="b">
        <f>IFERROR(__xludf.DUMMYFUNCTION("""COMPUTED_VALUE"""),FALSE)</f>
        <v>0</v>
      </c>
      <c r="R471" s="3"/>
      <c r="S471" s="3"/>
      <c r="T471" s="3" t="b">
        <f>IFERROR(__xludf.DUMMYFUNCTION("""COMPUTED_VALUE"""),FALSE)</f>
        <v>0</v>
      </c>
      <c r="U471" s="3" t="b">
        <f>IFERROR(__xludf.DUMMYFUNCTION("""COMPUTED_VALUE"""),TRUE)</f>
        <v>1</v>
      </c>
      <c r="V471" s="3" t="b">
        <f>IFERROR(__xludf.DUMMYFUNCTION("""COMPUTED_VALUE"""),FALSE)</f>
        <v>0</v>
      </c>
      <c r="W471" s="3" t="str">
        <f>IFERROR(__xludf.DUMMYFUNCTION("""COMPUTED_VALUE"""),"Catalyst")</f>
        <v>Catalyst</v>
      </c>
      <c r="X471" s="3"/>
      <c r="Y471" s="3" t="str">
        <f>IFERROR(__xludf.DUMMYFUNCTION("""COMPUTED_VALUE"""),"FY22")</f>
        <v>FY22</v>
      </c>
      <c r="Z471" s="3" t="str">
        <f>IFERROR(__xludf.DUMMYFUNCTION("""COMPUTED_VALUE"""),"Provider Transformation")</f>
        <v>Provider Transformation</v>
      </c>
      <c r="AA471" s="3" t="b">
        <f>IFERROR(__xludf.DUMMYFUNCTION("""COMPUTED_VALUE"""),FALSE)</f>
        <v>0</v>
      </c>
    </row>
    <row r="472">
      <c r="A472" s="11">
        <f>IFERROR(__xludf.DUMMYFUNCTION("""COMPUTED_VALUE"""),1.00929557E8)</f>
        <v>100929557</v>
      </c>
      <c r="B472" s="3" t="str">
        <f>IFERROR(__xludf.DUMMYFUNCTION("""COMPUTED_VALUE"""),"Mike Lee")</f>
        <v>Mike Lee</v>
      </c>
      <c r="C472" s="3" t="str">
        <f>IFERROR(__xludf.DUMMYFUNCTION("""COMPUTED_VALUE"""),"Michael  Lee")</f>
        <v>Michael  Lee</v>
      </c>
      <c r="D472" s="3" t="str">
        <f>IFERROR(__xludf.DUMMYFUNCTION("""COMPUTED_VALUE"""),"Lee, Michael")</f>
        <v>Lee, Michael</v>
      </c>
      <c r="E472" s="3" t="str">
        <f>IFERROR(__xludf.DUMMYFUNCTION("""COMPUTED_VALUE"""),"Active")</f>
        <v>Active</v>
      </c>
      <c r="F472" s="3" t="str">
        <f>IFERROR(__xludf.DUMMYFUNCTION("""COMPUTED_VALUE"""),"mike.lee@pwc.com")</f>
        <v>mike.lee@pwc.com</v>
      </c>
      <c r="G472" s="3" t="str">
        <f>IFERROR(__xludf.DUMMYFUNCTION("""COMPUTED_VALUE"""),"Health")</f>
        <v>Health</v>
      </c>
      <c r="H472" s="3" t="str">
        <f>IFERROR(__xludf.DUMMYFUNCTION("""COMPUTED_VALUE"""),"Health Services")</f>
        <v>Health Services</v>
      </c>
      <c r="I472" s="3" t="str">
        <f>IFERROR(__xludf.DUMMYFUNCTION("""COMPUTED_VALUE"""),"Health - Payer Clinical Transformation")</f>
        <v>Health - Payer Clinical Transformation</v>
      </c>
      <c r="J472" s="3" t="str">
        <f>IFERROR(__xludf.DUMMYFUNCTION("""COMPUTED_VALUE"""),"Managing Director")</f>
        <v>Managing Director</v>
      </c>
      <c r="K472" s="12">
        <f>IFERROR(__xludf.DUMMYFUNCTION("""COMPUTED_VALUE"""),43703.0)</f>
        <v>43703</v>
      </c>
      <c r="L472" s="3" t="str">
        <f>IFERROR(__xludf.DUMMYFUNCTION("""COMPUTED_VALUE"""),"Washington")</f>
        <v>Washington</v>
      </c>
      <c r="M472" s="3" t="str">
        <f>IFERROR(__xludf.DUMMYFUNCTION("""COMPUTED_VALUE"""),"Washington DC - 655 New York Avenue")</f>
        <v>Washington DC - 655 New York Avenue</v>
      </c>
      <c r="N472" s="3" t="b">
        <f>IFERROR(__xludf.DUMMYFUNCTION("""COMPUTED_VALUE"""),FALSE)</f>
        <v>0</v>
      </c>
      <c r="O472" s="3" t="str">
        <f>IFERROR(__xludf.DUMMYFUNCTION("""COMPUTED_VALUE"""),"thom.bales@pwc.com")</f>
        <v>thom.bales@pwc.com</v>
      </c>
      <c r="P472" s="3" t="str">
        <f>IFERROR(__xludf.DUMMYFUNCTION("""COMPUTED_VALUE"""),"No")</f>
        <v>No</v>
      </c>
      <c r="Q472" s="3" t="b">
        <f>IFERROR(__xludf.DUMMYFUNCTION("""COMPUTED_VALUE"""),FALSE)</f>
        <v>0</v>
      </c>
      <c r="R472" s="3"/>
      <c r="S472" s="3"/>
      <c r="T472" s="3" t="b">
        <f>IFERROR(__xludf.DUMMYFUNCTION("""COMPUTED_VALUE"""),FALSE)</f>
        <v>0</v>
      </c>
      <c r="U472" s="3" t="b">
        <f>IFERROR(__xludf.DUMMYFUNCTION("""COMPUTED_VALUE"""),TRUE)</f>
        <v>1</v>
      </c>
      <c r="V472" s="3" t="b">
        <f>IFERROR(__xludf.DUMMYFUNCTION("""COMPUTED_VALUE"""),FALSE)</f>
        <v>0</v>
      </c>
      <c r="W472" s="3" t="str">
        <f>IFERROR(__xludf.DUMMYFUNCTION("""COMPUTED_VALUE"""),"Delivery")</f>
        <v>Delivery</v>
      </c>
      <c r="X472" s="3" t="str">
        <f>IFERROR(__xludf.DUMMYFUNCTION("""COMPUTED_VALUE"""),"Investment")</f>
        <v>Investment</v>
      </c>
      <c r="Y472" s="3"/>
      <c r="Z472" s="3" t="str">
        <f>IFERROR(__xludf.DUMMYFUNCTION("""COMPUTED_VALUE"""),"Payer Transformation")</f>
        <v>Payer Transformation</v>
      </c>
      <c r="AA472" s="3" t="b">
        <f>IFERROR(__xludf.DUMMYFUNCTION("""COMPUTED_VALUE"""),FALSE)</f>
        <v>0</v>
      </c>
    </row>
    <row r="473">
      <c r="A473" s="11">
        <f>IFERROR(__xludf.DUMMYFUNCTION("""COMPUTED_VALUE"""),1.00646452E8)</f>
        <v>100646452</v>
      </c>
      <c r="B473" s="3" t="str">
        <f>IFERROR(__xludf.DUMMYFUNCTION("""COMPUTED_VALUE"""),"Mike Longacre")</f>
        <v>Mike Longacre</v>
      </c>
      <c r="C473" s="3" t="str">
        <f>IFERROR(__xludf.DUMMYFUNCTION("""COMPUTED_VALUE"""),"Michael C Longacre")</f>
        <v>Michael C Longacre</v>
      </c>
      <c r="D473" s="3" t="str">
        <f>IFERROR(__xludf.DUMMYFUNCTION("""COMPUTED_VALUE"""),"Longacre, Michael C")</f>
        <v>Longacre, Michael C</v>
      </c>
      <c r="E473" s="3" t="str">
        <f>IFERROR(__xludf.DUMMYFUNCTION("""COMPUTED_VALUE"""),"Active")</f>
        <v>Active</v>
      </c>
      <c r="F473" s="3" t="str">
        <f>IFERROR(__xludf.DUMMYFUNCTION("""COMPUTED_VALUE"""),"mike.longacre@pwc.com")</f>
        <v>mike.longacre@pwc.com</v>
      </c>
      <c r="G473" s="3" t="str">
        <f>IFERROR(__xludf.DUMMYFUNCTION("""COMPUTED_VALUE"""),"Health")</f>
        <v>Health</v>
      </c>
      <c r="H473" s="3" t="str">
        <f>IFERROR(__xludf.DUMMYFUNCTION("""COMPUTED_VALUE"""),"Health Services")</f>
        <v>Health Services</v>
      </c>
      <c r="I473" s="3" t="str">
        <f>IFERROR(__xludf.DUMMYFUNCTION("""COMPUTED_VALUE"""),"Health - Payer Government Programs")</f>
        <v>Health - Payer Government Programs</v>
      </c>
      <c r="J473" s="3" t="str">
        <f>IFERROR(__xludf.DUMMYFUNCTION("""COMPUTED_VALUE"""),"Partner")</f>
        <v>Partner</v>
      </c>
      <c r="K473" s="12">
        <f>IFERROR(__xludf.DUMMYFUNCTION("""COMPUTED_VALUE"""),40308.0)</f>
        <v>40308</v>
      </c>
      <c r="L473" s="3" t="str">
        <f>IFERROR(__xludf.DUMMYFUNCTION("""COMPUTED_VALUE"""),"Los Angeles")</f>
        <v>Los Angeles</v>
      </c>
      <c r="M473" s="3" t="str">
        <f>IFERROR(__xludf.DUMMYFUNCTION("""COMPUTED_VALUE"""),"Los Angeles - 601 South Figueroa Street")</f>
        <v>Los Angeles - 601 South Figueroa Street</v>
      </c>
      <c r="N473" s="3" t="b">
        <f>IFERROR(__xludf.DUMMYFUNCTION("""COMPUTED_VALUE"""),FALSE)</f>
        <v>0</v>
      </c>
      <c r="O473" s="3" t="str">
        <f>IFERROR(__xludf.DUMMYFUNCTION("""COMPUTED_VALUE"""),"craig.e.gooch@pwc.com")</f>
        <v>craig.e.gooch@pwc.com</v>
      </c>
      <c r="P473" s="3" t="str">
        <f>IFERROR(__xludf.DUMMYFUNCTION("""COMPUTED_VALUE"""),"No")</f>
        <v>No</v>
      </c>
      <c r="Q473" s="3" t="b">
        <f>IFERROR(__xludf.DUMMYFUNCTION("""COMPUTED_VALUE"""),FALSE)</f>
        <v>0</v>
      </c>
      <c r="R473" s="3"/>
      <c r="S473" s="3"/>
      <c r="T473" s="3" t="b">
        <f>IFERROR(__xludf.DUMMYFUNCTION("""COMPUTED_VALUE"""),FALSE)</f>
        <v>0</v>
      </c>
      <c r="U473" s="3" t="b">
        <f>IFERROR(__xludf.DUMMYFUNCTION("""COMPUTED_VALUE"""),TRUE)</f>
        <v>1</v>
      </c>
      <c r="V473" s="3" t="b">
        <f>IFERROR(__xludf.DUMMYFUNCTION("""COMPUTED_VALUE"""),FALSE)</f>
        <v>0</v>
      </c>
      <c r="W473" s="3" t="str">
        <f>IFERROR(__xludf.DUMMYFUNCTION("""COMPUTED_VALUE"""),"Delivery")</f>
        <v>Delivery</v>
      </c>
      <c r="X473" s="3"/>
      <c r="Y473" s="3"/>
      <c r="Z473" s="3" t="str">
        <f>IFERROR(__xludf.DUMMYFUNCTION("""COMPUTED_VALUE"""),"Payer Transformation")</f>
        <v>Payer Transformation</v>
      </c>
      <c r="AA473" s="3" t="b">
        <f>IFERROR(__xludf.DUMMYFUNCTION("""COMPUTED_VALUE"""),FALSE)</f>
        <v>0</v>
      </c>
    </row>
    <row r="474">
      <c r="A474" s="11">
        <f>IFERROR(__xludf.DUMMYFUNCTION("""COMPUTED_VALUE"""),1.00624797E8)</f>
        <v>100624797</v>
      </c>
      <c r="B474" s="3" t="str">
        <f>IFERROR(__xludf.DUMMYFUNCTION("""COMPUTED_VALUE"""),"Mike McNulty")</f>
        <v>Mike McNulty</v>
      </c>
      <c r="C474" s="3" t="str">
        <f>IFERROR(__xludf.DUMMYFUNCTION("""COMPUTED_VALUE"""),"Michael  McNulty")</f>
        <v>Michael  McNulty</v>
      </c>
      <c r="D474" s="3" t="str">
        <f>IFERROR(__xludf.DUMMYFUNCTION("""COMPUTED_VALUE"""),"McNulty, Michael")</f>
        <v>McNulty, Michael</v>
      </c>
      <c r="E474" s="3" t="str">
        <f>IFERROR(__xludf.DUMMYFUNCTION("""COMPUTED_VALUE"""),"Active")</f>
        <v>Active</v>
      </c>
      <c r="F474" s="3" t="str">
        <f>IFERROR(__xludf.DUMMYFUNCTION("""COMPUTED_VALUE"""),"michael.mcnulty@pwc.com")</f>
        <v>michael.mcnulty@pwc.com</v>
      </c>
      <c r="G474" s="3" t="str">
        <f>IFERROR(__xludf.DUMMYFUNCTION("""COMPUTED_VALUE"""),"Deals Transformation")</f>
        <v>Deals Transformation</v>
      </c>
      <c r="H474" s="3" t="str">
        <f>IFERROR(__xludf.DUMMYFUNCTION("""COMPUTED_VALUE"""),"Health Services")</f>
        <v>Health Services</v>
      </c>
      <c r="I474" s="3" t="str">
        <f>IFERROR(__xludf.DUMMYFUNCTION("""COMPUTED_VALUE"""),"DDV - ISD (Integration, Separation, Divestitures)")</f>
        <v>DDV - ISD (Integration, Separation, Divestitures)</v>
      </c>
      <c r="J474" s="3" t="str">
        <f>IFERROR(__xludf.DUMMYFUNCTION("""COMPUTED_VALUE"""),"Partner")</f>
        <v>Partner</v>
      </c>
      <c r="K474" s="12">
        <f>IFERROR(__xludf.DUMMYFUNCTION("""COMPUTED_VALUE"""),38579.0)</f>
        <v>38579</v>
      </c>
      <c r="L474" s="3" t="str">
        <f>IFERROR(__xludf.DUMMYFUNCTION("""COMPUTED_VALUE"""),"New York")</f>
        <v>New York</v>
      </c>
      <c r="M474" s="3" t="str">
        <f>IFERROR(__xludf.DUMMYFUNCTION("""COMPUTED_VALUE"""),"New York - 300 Madison Avenue")</f>
        <v>New York - 300 Madison Avenue</v>
      </c>
      <c r="N474" s="3" t="b">
        <f>IFERROR(__xludf.DUMMYFUNCTION("""COMPUTED_VALUE"""),FALSE)</f>
        <v>0</v>
      </c>
      <c r="O474" s="3" t="str">
        <f>IFERROR(__xludf.DUMMYFUNCTION("""COMPUTED_VALUE"""),"derek.b.townsend@pwc.com")</f>
        <v>derek.b.townsend@pwc.com</v>
      </c>
      <c r="P474" s="3" t="str">
        <f>IFERROR(__xludf.DUMMYFUNCTION("""COMPUTED_VALUE"""),"No")</f>
        <v>No</v>
      </c>
      <c r="Q474" s="3" t="b">
        <f>IFERROR(__xludf.DUMMYFUNCTION("""COMPUTED_VALUE"""),FALSE)</f>
        <v>0</v>
      </c>
      <c r="R474" s="3"/>
      <c r="S474" s="3"/>
      <c r="T474" s="3" t="b">
        <f>IFERROR(__xludf.DUMMYFUNCTION("""COMPUTED_VALUE"""),FALSE)</f>
        <v>0</v>
      </c>
      <c r="U474" s="3" t="b">
        <f>IFERROR(__xludf.DUMMYFUNCTION("""COMPUTED_VALUE"""),TRUE)</f>
        <v>1</v>
      </c>
      <c r="V474" s="3" t="b">
        <f>IFERROR(__xludf.DUMMYFUNCTION("""COMPUTED_VALUE"""),FALSE)</f>
        <v>0</v>
      </c>
      <c r="W474" s="3" t="str">
        <f>IFERROR(__xludf.DUMMYFUNCTION("""COMPUTED_VALUE"""),"Delivery")</f>
        <v>Delivery</v>
      </c>
      <c r="X474" s="3"/>
      <c r="Y474" s="3"/>
      <c r="Z474" s="3" t="str">
        <f>IFERROR(__xludf.DUMMYFUNCTION("""COMPUTED_VALUE"""),"Corporate M&amp;A Transformation - PLS/Med Device")</f>
        <v>Corporate M&amp;A Transformation - PLS/Med Device</v>
      </c>
      <c r="AA474" s="3" t="b">
        <f>IFERROR(__xludf.DUMMYFUNCTION("""COMPUTED_VALUE"""),FALSE)</f>
        <v>0</v>
      </c>
    </row>
    <row r="475">
      <c r="A475" s="11">
        <f>IFERROR(__xludf.DUMMYFUNCTION("""COMPUTED_VALUE"""),1.0060843E8)</f>
        <v>100608430</v>
      </c>
      <c r="B475" s="3" t="str">
        <f>IFERROR(__xludf.DUMMYFUNCTION("""COMPUTED_VALUE"""),"Mike Pegler")</f>
        <v>Mike Pegler</v>
      </c>
      <c r="C475" s="3" t="str">
        <f>IFERROR(__xludf.DUMMYFUNCTION("""COMPUTED_VALUE"""),"Michael D Pegler")</f>
        <v>Michael D Pegler</v>
      </c>
      <c r="D475" s="3" t="str">
        <f>IFERROR(__xludf.DUMMYFUNCTION("""COMPUTED_VALUE"""),"Pegler, Michael D")</f>
        <v>Pegler, Michael D</v>
      </c>
      <c r="E475" s="3" t="str">
        <f>IFERROR(__xludf.DUMMYFUNCTION("""COMPUTED_VALUE"""),"Active")</f>
        <v>Active</v>
      </c>
      <c r="F475" s="3" t="str">
        <f>IFERROR(__xludf.DUMMYFUNCTION("""COMPUTED_VALUE"""),"mike.d.pegler@pwc.com")</f>
        <v>mike.d.pegler@pwc.com</v>
      </c>
      <c r="G475" s="3" t="str">
        <f>IFERROR(__xludf.DUMMYFUNCTION("""COMPUTED_VALUE"""),"Ops")</f>
        <v>Ops</v>
      </c>
      <c r="H475" s="3" t="str">
        <f>IFERROR(__xludf.DUMMYFUNCTION("""COMPUTED_VALUE"""),"TMT X-Sector")</f>
        <v>TMT X-Sector</v>
      </c>
      <c r="I475" s="3" t="str">
        <f>IFERROR(__xludf.DUMMYFUNCTION("""COMPUTED_VALUE"""),"Ops - Product Development &amp; Manufacturing (PDM)")</f>
        <v>Ops - Product Development &amp; Manufacturing (PDM)</v>
      </c>
      <c r="J475" s="3" t="str">
        <f>IFERROR(__xludf.DUMMYFUNCTION("""COMPUTED_VALUE"""),"Partner")</f>
        <v>Partner</v>
      </c>
      <c r="K475" s="12">
        <f>IFERROR(__xludf.DUMMYFUNCTION("""COMPUTED_VALUE"""),40777.0)</f>
        <v>40777</v>
      </c>
      <c r="L475" s="3" t="str">
        <f>IFERROR(__xludf.DUMMYFUNCTION("""COMPUTED_VALUE"""),"San Jose")</f>
        <v>San Jose</v>
      </c>
      <c r="M475" s="3" t="str">
        <f>IFERROR(__xludf.DUMMYFUNCTION("""COMPUTED_VALUE"""),"San Jose - 488 Almaden Boulevard")</f>
        <v>San Jose - 488 Almaden Boulevard</v>
      </c>
      <c r="N475" s="3" t="b">
        <f>IFERROR(__xludf.DUMMYFUNCTION("""COMPUTED_VALUE"""),FALSE)</f>
        <v>0</v>
      </c>
      <c r="O475" s="3" t="str">
        <f>IFERROR(__xludf.DUMMYFUNCTION("""COMPUTED_VALUE"""),"matthew.r.comte@pwc.com")</f>
        <v>matthew.r.comte@pwc.com</v>
      </c>
      <c r="P475" s="3" t="str">
        <f>IFERROR(__xludf.DUMMYFUNCTION("""COMPUTED_VALUE"""),"No")</f>
        <v>No</v>
      </c>
      <c r="Q475" s="3" t="b">
        <f>IFERROR(__xludf.DUMMYFUNCTION("""COMPUTED_VALUE"""),TRUE)</f>
        <v>1</v>
      </c>
      <c r="R475" s="3" t="str">
        <f>IFERROR(__xludf.DUMMYFUNCTION("""COMPUTED_VALUE"""),"LCP Low")</f>
        <v>LCP Low</v>
      </c>
      <c r="S475" s="3"/>
      <c r="T475" s="3" t="b">
        <f>IFERROR(__xludf.DUMMYFUNCTION("""COMPUTED_VALUE"""),FALSE)</f>
        <v>0</v>
      </c>
      <c r="U475" s="3" t="b">
        <f>IFERROR(__xludf.DUMMYFUNCTION("""COMPUTED_VALUE"""),FALSE)</f>
        <v>0</v>
      </c>
      <c r="V475" s="3" t="b">
        <f>IFERROR(__xludf.DUMMYFUNCTION("""COMPUTED_VALUE"""),FALSE)</f>
        <v>0</v>
      </c>
      <c r="W475" s="3" t="str">
        <f>IFERROR(__xludf.DUMMYFUNCTION("""COMPUTED_VALUE"""),"LCP")</f>
        <v>LCP</v>
      </c>
      <c r="X475" s="3"/>
      <c r="Y475" s="3" t="str">
        <f>IFERROR(__xludf.DUMMYFUNCTION("""COMPUTED_VALUE"""),"GEP - Low")</f>
        <v>GEP - Low</v>
      </c>
      <c r="Z475" s="3" t="str">
        <f>IFERROR(__xludf.DUMMYFUNCTION("""COMPUTED_VALUE"""),"IP + Technology Ops Transformation")</f>
        <v>IP + Technology Ops Transformation</v>
      </c>
      <c r="AA475" s="3" t="b">
        <f>IFERROR(__xludf.DUMMYFUNCTION("""COMPUTED_VALUE"""),FALSE)</f>
        <v>0</v>
      </c>
    </row>
    <row r="476">
      <c r="A476" s="11">
        <f>IFERROR(__xludf.DUMMYFUNCTION("""COMPUTED_VALUE"""),1.00622378E8)</f>
        <v>100622378</v>
      </c>
      <c r="B476" s="3" t="str">
        <f>IFERROR(__xludf.DUMMYFUNCTION("""COMPUTED_VALUE"""),"Mike Pokorski")</f>
        <v>Mike Pokorski</v>
      </c>
      <c r="C476" s="3" t="str">
        <f>IFERROR(__xludf.DUMMYFUNCTION("""COMPUTED_VALUE"""),"Michael  Pokorski")</f>
        <v>Michael  Pokorski</v>
      </c>
      <c r="D476" s="3" t="str">
        <f>IFERROR(__xludf.DUMMYFUNCTION("""COMPUTED_VALUE"""),"Pokorski, Michael")</f>
        <v>Pokorski, Michael</v>
      </c>
      <c r="E476" s="3" t="str">
        <f>IFERROR(__xludf.DUMMYFUNCTION("""COMPUTED_VALUE"""),"Active")</f>
        <v>Active</v>
      </c>
      <c r="F476" s="3" t="str">
        <f>IFERROR(__xludf.DUMMYFUNCTION("""COMPUTED_VALUE"""),"michael.pokorski@pwc.com")</f>
        <v>michael.pokorski@pwc.com</v>
      </c>
      <c r="G476" s="3" t="str">
        <f>IFERROR(__xludf.DUMMYFUNCTION("""COMPUTED_VALUE"""),"Deals Transformation")</f>
        <v>Deals Transformation</v>
      </c>
      <c r="H476" s="3" t="str">
        <f>IFERROR(__xludf.DUMMYFUNCTION("""COMPUTED_VALUE"""),"CM X-Sector")</f>
        <v>CM X-Sector</v>
      </c>
      <c r="I476" s="3" t="str">
        <f>IFERROR(__xludf.DUMMYFUNCTION("""COMPUTED_VALUE"""),"DDV - ISD (Integration, Separation, Divestitures)")</f>
        <v>DDV - ISD (Integration, Separation, Divestitures)</v>
      </c>
      <c r="J476" s="3" t="str">
        <f>IFERROR(__xludf.DUMMYFUNCTION("""COMPUTED_VALUE"""),"Partner")</f>
        <v>Partner</v>
      </c>
      <c r="K476" s="12">
        <f>IFERROR(__xludf.DUMMYFUNCTION("""COMPUTED_VALUE"""),38089.0)</f>
        <v>38089</v>
      </c>
      <c r="L476" s="3" t="str">
        <f>IFERROR(__xludf.DUMMYFUNCTION("""COMPUTED_VALUE"""),"New York")</f>
        <v>New York</v>
      </c>
      <c r="M476" s="3" t="str">
        <f>IFERROR(__xludf.DUMMYFUNCTION("""COMPUTED_VALUE"""),"New York - 300 Madison Avenue")</f>
        <v>New York - 300 Madison Avenue</v>
      </c>
      <c r="N476" s="3" t="b">
        <f>IFERROR(__xludf.DUMMYFUNCTION("""COMPUTED_VALUE"""),FALSE)</f>
        <v>0</v>
      </c>
      <c r="O476" s="3" t="str">
        <f>IFERROR(__xludf.DUMMYFUNCTION("""COMPUTED_VALUE"""),"derek.b.townsend@pwc.com")</f>
        <v>derek.b.townsend@pwc.com</v>
      </c>
      <c r="P476" s="3" t="str">
        <f>IFERROR(__xludf.DUMMYFUNCTION("""COMPUTED_VALUE"""),"No")</f>
        <v>No</v>
      </c>
      <c r="Q476" s="3" t="b">
        <f>IFERROR(__xludf.DUMMYFUNCTION("""COMPUTED_VALUE"""),FALSE)</f>
        <v>0</v>
      </c>
      <c r="R476" s="3"/>
      <c r="S476" s="3"/>
      <c r="T476" s="3" t="b">
        <f>IFERROR(__xludf.DUMMYFUNCTION("""COMPUTED_VALUE"""),FALSE)</f>
        <v>0</v>
      </c>
      <c r="U476" s="3" t="b">
        <f>IFERROR(__xludf.DUMMYFUNCTION("""COMPUTED_VALUE"""),FALSE)</f>
        <v>0</v>
      </c>
      <c r="V476" s="3" t="b">
        <f>IFERROR(__xludf.DUMMYFUNCTION("""COMPUTED_VALUE"""),FALSE)</f>
        <v>0</v>
      </c>
      <c r="W476" s="3" t="str">
        <f>IFERROR(__xludf.DUMMYFUNCTION("""COMPUTED_VALUE"""),"Delivery")</f>
        <v>Delivery</v>
      </c>
      <c r="X476" s="3" t="str">
        <f>IFERROR(__xludf.DUMMYFUNCTION("""COMPUTED_VALUE"""),"Investment")</f>
        <v>Investment</v>
      </c>
      <c r="Y476" s="3"/>
      <c r="Z476" s="3" t="str">
        <f>IFERROR(__xludf.DUMMYFUNCTION("""COMPUTED_VALUE"""),"Corporate M&amp;A Transformation - CM")</f>
        <v>Corporate M&amp;A Transformation - CM</v>
      </c>
      <c r="AA476" s="3" t="b">
        <f>IFERROR(__xludf.DUMMYFUNCTION("""COMPUTED_VALUE"""),TRUE)</f>
        <v>1</v>
      </c>
    </row>
    <row r="477">
      <c r="A477" s="11">
        <f>IFERROR(__xludf.DUMMYFUNCTION("""COMPUTED_VALUE"""),1.00612518E8)</f>
        <v>100612518</v>
      </c>
      <c r="B477" s="3" t="str">
        <f>IFERROR(__xludf.DUMMYFUNCTION("""COMPUTED_VALUE"""),"Mike Ross")</f>
        <v>Mike Ross</v>
      </c>
      <c r="C477" s="3" t="str">
        <f>IFERROR(__xludf.DUMMYFUNCTION("""COMPUTED_VALUE"""),"Michael D Ross")</f>
        <v>Michael D Ross</v>
      </c>
      <c r="D477" s="3" t="str">
        <f>IFERROR(__xludf.DUMMYFUNCTION("""COMPUTED_VALUE"""),"Ross, Michael D")</f>
        <v>Ross, Michael D</v>
      </c>
      <c r="E477" s="3" t="str">
        <f>IFERROR(__xludf.DUMMYFUNCTION("""COMPUTED_VALUE"""),"Active")</f>
        <v>Active</v>
      </c>
      <c r="F477" s="3" t="str">
        <f>IFERROR(__xludf.DUMMYFUNCTION("""COMPUTED_VALUE"""),"michael.d.ross@pwc.com")</f>
        <v>michael.d.ross@pwc.com</v>
      </c>
      <c r="G477" s="3" t="str">
        <f>IFERROR(__xludf.DUMMYFUNCTION("""COMPUTED_VALUE"""),"Deals Transformation")</f>
        <v>Deals Transformation</v>
      </c>
      <c r="H477" s="3" t="str">
        <f>IFERROR(__xludf.DUMMYFUNCTION("""COMPUTED_VALUE"""),"CM X-Sector")</f>
        <v>CM X-Sector</v>
      </c>
      <c r="I477" s="3" t="str">
        <f>IFERROR(__xludf.DUMMYFUNCTION("""COMPUTED_VALUE"""),"DDV - ISD (Integration, Separation, Divestitures)")</f>
        <v>DDV - ISD (Integration, Separation, Divestitures)</v>
      </c>
      <c r="J477" s="3" t="str">
        <f>IFERROR(__xludf.DUMMYFUNCTION("""COMPUTED_VALUE"""),"Partner")</f>
        <v>Partner</v>
      </c>
      <c r="K477" s="12">
        <f>IFERROR(__xludf.DUMMYFUNCTION("""COMPUTED_VALUE"""),37473.0)</f>
        <v>37473</v>
      </c>
      <c r="L477" s="3" t="str">
        <f>IFERROR(__xludf.DUMMYFUNCTION("""COMPUTED_VALUE"""),"Boston")</f>
        <v>Boston</v>
      </c>
      <c r="M477" s="3" t="str">
        <f>IFERROR(__xludf.DUMMYFUNCTION("""COMPUTED_VALUE"""),"Boston - 101 Seaport Boulevard")</f>
        <v>Boston - 101 Seaport Boulevard</v>
      </c>
      <c r="N477" s="3" t="b">
        <f>IFERROR(__xludf.DUMMYFUNCTION("""COMPUTED_VALUE"""),FALSE)</f>
        <v>0</v>
      </c>
      <c r="O477" s="3" t="str">
        <f>IFERROR(__xludf.DUMMYFUNCTION("""COMPUTED_VALUE"""),"derek.b.townsend@pwc.com")</f>
        <v>derek.b.townsend@pwc.com</v>
      </c>
      <c r="P477" s="3" t="str">
        <f>IFERROR(__xludf.DUMMYFUNCTION("""COMPUTED_VALUE"""),"No")</f>
        <v>No</v>
      </c>
      <c r="Q477" s="3" t="b">
        <f>IFERROR(__xludf.DUMMYFUNCTION("""COMPUTED_VALUE"""),FALSE)</f>
        <v>0</v>
      </c>
      <c r="R477" s="3"/>
      <c r="S477" s="3"/>
      <c r="T477" s="3" t="b">
        <f>IFERROR(__xludf.DUMMYFUNCTION("""COMPUTED_VALUE"""),FALSE)</f>
        <v>0</v>
      </c>
      <c r="U477" s="3" t="b">
        <f>IFERROR(__xludf.DUMMYFUNCTION("""COMPUTED_VALUE"""),FALSE)</f>
        <v>0</v>
      </c>
      <c r="V477" s="3" t="b">
        <f>IFERROR(__xludf.DUMMYFUNCTION("""COMPUTED_VALUE"""),FALSE)</f>
        <v>0</v>
      </c>
      <c r="W477" s="3" t="str">
        <f>IFERROR(__xludf.DUMMYFUNCTION("""COMPUTED_VALUE"""),"Delivery")</f>
        <v>Delivery</v>
      </c>
      <c r="X477" s="3"/>
      <c r="Y477" s="3" t="str">
        <f>IFERROR(__xludf.DUMMYFUNCTION("""COMPUTED_VALUE"""),"Point Partner")</f>
        <v>Point Partner</v>
      </c>
      <c r="Z477" s="3" t="str">
        <f>IFERROR(__xludf.DUMMYFUNCTION("""COMPUTED_VALUE"""),"Corporate M&amp;A Transformation - CM")</f>
        <v>Corporate M&amp;A Transformation - CM</v>
      </c>
      <c r="AA477" s="3" t="b">
        <f>IFERROR(__xludf.DUMMYFUNCTION("""COMPUTED_VALUE"""),FALSE)</f>
        <v>0</v>
      </c>
    </row>
    <row r="478">
      <c r="A478" s="11">
        <f>IFERROR(__xludf.DUMMYFUNCTION("""COMPUTED_VALUE"""),1.00601386E8)</f>
        <v>100601386</v>
      </c>
      <c r="B478" s="3" t="str">
        <f>IFERROR(__xludf.DUMMYFUNCTION("""COMPUTED_VALUE"""),"Mike Scheller")</f>
        <v>Mike Scheller</v>
      </c>
      <c r="C478" s="3" t="str">
        <f>IFERROR(__xludf.DUMMYFUNCTION("""COMPUTED_VALUE"""),"Michael J Scheller")</f>
        <v>Michael J Scheller</v>
      </c>
      <c r="D478" s="3" t="str">
        <f>IFERROR(__xludf.DUMMYFUNCTION("""COMPUTED_VALUE"""),"Scheller, Michael J")</f>
        <v>Scheller, Michael J</v>
      </c>
      <c r="E478" s="3" t="str">
        <f>IFERROR(__xludf.DUMMYFUNCTION("""COMPUTED_VALUE"""),"Active")</f>
        <v>Active</v>
      </c>
      <c r="F478" s="3" t="str">
        <f>IFERROR(__xludf.DUMMYFUNCTION("""COMPUTED_VALUE"""),"michael.j.scheller@pwc.com")</f>
        <v>michael.j.scheller@pwc.com</v>
      </c>
      <c r="G478" s="3" t="str">
        <f>IFERROR(__xludf.DUMMYFUNCTION("""COMPUTED_VALUE"""),"Ops")</f>
        <v>Ops</v>
      </c>
      <c r="H478" s="3" t="str">
        <f>IFERROR(__xludf.DUMMYFUNCTION("""COMPUTED_VALUE"""),"Energy")</f>
        <v>Energy</v>
      </c>
      <c r="I478" s="3" t="str">
        <f>IFERROR(__xludf.DUMMYFUNCTION("""COMPUTED_VALUE"""),"Ops - Org Strategy Strategy &amp; Solutions (OSS)")</f>
        <v>Ops - Org Strategy Strategy &amp; Solutions (OSS)</v>
      </c>
      <c r="J478" s="3" t="str">
        <f>IFERROR(__xludf.DUMMYFUNCTION("""COMPUTED_VALUE"""),"Partner")</f>
        <v>Partner</v>
      </c>
      <c r="K478" s="12">
        <f>IFERROR(__xludf.DUMMYFUNCTION("""COMPUTED_VALUE"""),36745.0)</f>
        <v>36745</v>
      </c>
      <c r="L478" s="3" t="str">
        <f>IFERROR(__xludf.DUMMYFUNCTION("""COMPUTED_VALUE"""),"Denver")</f>
        <v>Denver</v>
      </c>
      <c r="M478" s="3" t="str">
        <f>IFERROR(__xludf.DUMMYFUNCTION("""COMPUTED_VALUE"""),"Denver - 1900 Sixteenth Street")</f>
        <v>Denver - 1900 Sixteenth Street</v>
      </c>
      <c r="N478" s="3" t="b">
        <f>IFERROR(__xludf.DUMMYFUNCTION("""COMPUTED_VALUE"""),FALSE)</f>
        <v>0</v>
      </c>
      <c r="O478" s="3" t="str">
        <f>IFERROR(__xludf.DUMMYFUNCTION("""COMPUTED_VALUE"""),"matthew.r.comte@pwc.com")</f>
        <v>matthew.r.comte@pwc.com</v>
      </c>
      <c r="P478" s="3" t="str">
        <f>IFERROR(__xludf.DUMMYFUNCTION("""COMPUTED_VALUE"""),"No")</f>
        <v>No</v>
      </c>
      <c r="Q478" s="3" t="b">
        <f>IFERROR(__xludf.DUMMYFUNCTION("""COMPUTED_VALUE"""),FALSE)</f>
        <v>0</v>
      </c>
      <c r="R478" s="3"/>
      <c r="S478" s="3"/>
      <c r="T478" s="3" t="b">
        <f>IFERROR(__xludf.DUMMYFUNCTION("""COMPUTED_VALUE"""),FALSE)</f>
        <v>0</v>
      </c>
      <c r="U478" s="3" t="b">
        <f>IFERROR(__xludf.DUMMYFUNCTION("""COMPUTED_VALUE"""),TRUE)</f>
        <v>1</v>
      </c>
      <c r="V478" s="3" t="b">
        <f>IFERROR(__xludf.DUMMYFUNCTION("""COMPUTED_VALUE"""),FALSE)</f>
        <v>0</v>
      </c>
      <c r="W478" s="3" t="str">
        <f>IFERROR(__xludf.DUMMYFUNCTION("""COMPUTED_VALUE"""),"Delivery")</f>
        <v>Delivery</v>
      </c>
      <c r="X478" s="3"/>
      <c r="Y478" s="3"/>
      <c r="Z478" s="3" t="str">
        <f>IFERROR(__xludf.DUMMYFUNCTION("""COMPUTED_VALUE"""),"EUM + Telecom Ops Transformation")</f>
        <v>EUM + Telecom Ops Transformation</v>
      </c>
      <c r="AA478" s="3" t="b">
        <f>IFERROR(__xludf.DUMMYFUNCTION("""COMPUTED_VALUE"""),FALSE)</f>
        <v>0</v>
      </c>
    </row>
    <row r="479">
      <c r="A479" s="11">
        <f>IFERROR(__xludf.DUMMYFUNCTION("""COMPUTED_VALUE"""),1.01140608E8)</f>
        <v>101140608</v>
      </c>
      <c r="B479" s="3" t="str">
        <f>IFERROR(__xludf.DUMMYFUNCTION("""COMPUTED_VALUE"""),"Mike Stachowiak")</f>
        <v>Mike Stachowiak</v>
      </c>
      <c r="C479" s="3" t="str">
        <f>IFERROR(__xludf.DUMMYFUNCTION("""COMPUTED_VALUE"""),"Michael J. Stachowiak")</f>
        <v>Michael J. Stachowiak</v>
      </c>
      <c r="D479" s="3" t="str">
        <f>IFERROR(__xludf.DUMMYFUNCTION("""COMPUTED_VALUE"""),"Stachowiak, Michael J.")</f>
        <v>Stachowiak, Michael J.</v>
      </c>
      <c r="E479" s="3" t="str">
        <f>IFERROR(__xludf.DUMMYFUNCTION("""COMPUTED_VALUE"""),"Active")</f>
        <v>Active</v>
      </c>
      <c r="F479" s="3" t="str">
        <f>IFERROR(__xludf.DUMMYFUNCTION("""COMPUTED_VALUE"""),"mike.stachowiak@pwc.com")</f>
        <v>mike.stachowiak@pwc.com</v>
      </c>
      <c r="G479" s="3" t="str">
        <f>IFERROR(__xludf.DUMMYFUNCTION("""COMPUTED_VALUE"""),"ESV")</f>
        <v>ESV</v>
      </c>
      <c r="H479" s="3" t="str">
        <f>IFERROR(__xludf.DUMMYFUNCTION("""COMPUTED_VALUE"""),"Banking and Capital Markets")</f>
        <v>Banking and Capital Markets</v>
      </c>
      <c r="I479" s="3" t="str">
        <f>IFERROR(__xludf.DUMMYFUNCTION("""COMPUTED_VALUE"""),"ESV - BCM")</f>
        <v>ESV - BCM</v>
      </c>
      <c r="J479" s="3" t="str">
        <f>IFERROR(__xludf.DUMMYFUNCTION("""COMPUTED_VALUE"""),"Managing Director")</f>
        <v>Managing Director</v>
      </c>
      <c r="K479" s="12">
        <f>IFERROR(__xludf.DUMMYFUNCTION("""COMPUTED_VALUE"""),44473.0)</f>
        <v>44473</v>
      </c>
      <c r="L479" s="3" t="str">
        <f>IFERROR(__xludf.DUMMYFUNCTION("""COMPUTED_VALUE"""),"Chicago")</f>
        <v>Chicago</v>
      </c>
      <c r="M479" s="3" t="str">
        <f>IFERROR(__xludf.DUMMYFUNCTION("""COMPUTED_VALUE"""),"Chicago - One North Wacker Drive")</f>
        <v>Chicago - One North Wacker Drive</v>
      </c>
      <c r="N479" s="3" t="b">
        <f>IFERROR(__xludf.DUMMYFUNCTION("""COMPUTED_VALUE"""),FALSE)</f>
        <v>0</v>
      </c>
      <c r="O479" s="3" t="str">
        <f>IFERROR(__xludf.DUMMYFUNCTION("""COMPUTED_VALUE"""),"mohib.yousufani@pwc.com")</f>
        <v>mohib.yousufani@pwc.com</v>
      </c>
      <c r="P479" s="3" t="str">
        <f>IFERROR(__xludf.DUMMYFUNCTION("""COMPUTED_VALUE"""),"FY22")</f>
        <v>FY22</v>
      </c>
      <c r="Q479" s="3" t="b">
        <f>IFERROR(__xludf.DUMMYFUNCTION("""COMPUTED_VALUE"""),FALSE)</f>
        <v>0</v>
      </c>
      <c r="R479" s="3"/>
      <c r="S479" s="3"/>
      <c r="T479" s="3" t="b">
        <f>IFERROR(__xludf.DUMMYFUNCTION("""COMPUTED_VALUE"""),FALSE)</f>
        <v>0</v>
      </c>
      <c r="U479" s="3" t="b">
        <f>IFERROR(__xludf.DUMMYFUNCTION("""COMPUTED_VALUE"""),TRUE)</f>
        <v>1</v>
      </c>
      <c r="V479" s="3" t="b">
        <f>IFERROR(__xludf.DUMMYFUNCTION("""COMPUTED_VALUE"""),FALSE)</f>
        <v>0</v>
      </c>
      <c r="W479" s="3" t="str">
        <f>IFERROR(__xludf.DUMMYFUNCTION("""COMPUTED_VALUE"""),"Catalyst")</f>
        <v>Catalyst</v>
      </c>
      <c r="X479" s="3"/>
      <c r="Y479" s="3" t="str">
        <f>IFERROR(__xludf.DUMMYFUNCTION("""COMPUTED_VALUE"""),"FY22")</f>
        <v>FY22</v>
      </c>
      <c r="Z479" s="3" t="str">
        <f>IFERROR(__xludf.DUMMYFUNCTION("""COMPUTED_VALUE"""),"Enterprise Digital Transformation - BCM &amp; AWM")</f>
        <v>Enterprise Digital Transformation - BCM &amp; AWM</v>
      </c>
      <c r="AA479" s="3" t="b">
        <f>IFERROR(__xludf.DUMMYFUNCTION("""COMPUTED_VALUE"""),FALSE)</f>
        <v>0</v>
      </c>
    </row>
    <row r="480">
      <c r="A480" s="11">
        <f>IFERROR(__xludf.DUMMYFUNCTION("""COMPUTED_VALUE"""),1.0059112E8)</f>
        <v>100591120</v>
      </c>
      <c r="B480" s="3" t="str">
        <f>IFERROR(__xludf.DUMMYFUNCTION("""COMPUTED_VALUE"""),"Mithun Samani Mohan")</f>
        <v>Mithun Samani Mohan</v>
      </c>
      <c r="C480" s="3" t="str">
        <f>IFERROR(__xludf.DUMMYFUNCTION("""COMPUTED_VALUE"""),"Mithun Kumar Samani Mohan")</f>
        <v>Mithun Kumar Samani Mohan</v>
      </c>
      <c r="D480" s="3" t="str">
        <f>IFERROR(__xludf.DUMMYFUNCTION("""COMPUTED_VALUE"""),"Samani Mohan, Mithun Kumar")</f>
        <v>Samani Mohan, Mithun Kumar</v>
      </c>
      <c r="E480" s="3" t="str">
        <f>IFERROR(__xludf.DUMMYFUNCTION("""COMPUTED_VALUE"""),"Active")</f>
        <v>Active</v>
      </c>
      <c r="F480" s="3" t="str">
        <f>IFERROR(__xludf.DUMMYFUNCTION("""COMPUTED_VALUE"""),"mithun.samani@pwc.com")</f>
        <v>mithun.samani@pwc.com</v>
      </c>
      <c r="G480" s="3" t="str">
        <f>IFERROR(__xludf.DUMMYFUNCTION("""COMPUTED_VALUE"""),"Ops")</f>
        <v>Ops</v>
      </c>
      <c r="H480" s="3" t="str">
        <f>IFERROR(__xludf.DUMMYFUNCTION("""COMPUTED_VALUE"""),"CM X-Sector")</f>
        <v>CM X-Sector</v>
      </c>
      <c r="I480" s="3" t="str">
        <f>IFERROR(__xludf.DUMMYFUNCTION("""COMPUTED_VALUE"""),"Ops - Connected Supply Chain (CSC)")</f>
        <v>Ops - Connected Supply Chain (CSC)</v>
      </c>
      <c r="J480" s="3" t="str">
        <f>IFERROR(__xludf.DUMMYFUNCTION("""COMPUTED_VALUE"""),"Partner")</f>
        <v>Partner</v>
      </c>
      <c r="K480" s="12">
        <f>IFERROR(__xludf.DUMMYFUNCTION("""COMPUTED_VALUE"""),40798.0)</f>
        <v>40798</v>
      </c>
      <c r="L480" s="3" t="str">
        <f>IFERROR(__xludf.DUMMYFUNCTION("""COMPUTED_VALUE"""),"Dallas")</f>
        <v>Dallas</v>
      </c>
      <c r="M480" s="3" t="str">
        <f>IFERROR(__xludf.DUMMYFUNCTION("""COMPUTED_VALUE"""),"Dallas - 2121 North Pearl Street")</f>
        <v>Dallas - 2121 North Pearl Street</v>
      </c>
      <c r="N480" s="3" t="b">
        <f>IFERROR(__xludf.DUMMYFUNCTION("""COMPUTED_VALUE"""),FALSE)</f>
        <v>0</v>
      </c>
      <c r="O480" s="3" t="str">
        <f>IFERROR(__xludf.DUMMYFUNCTION("""COMPUTED_VALUE"""),"matthew.r.comte@pwc.com")</f>
        <v>matthew.r.comte@pwc.com</v>
      </c>
      <c r="P480" s="3" t="str">
        <f>IFERROR(__xludf.DUMMYFUNCTION("""COMPUTED_VALUE"""),"No")</f>
        <v>No</v>
      </c>
      <c r="Q480" s="3" t="b">
        <f>IFERROR(__xludf.DUMMYFUNCTION("""COMPUTED_VALUE"""),FALSE)</f>
        <v>0</v>
      </c>
      <c r="R480" s="3"/>
      <c r="S480" s="3"/>
      <c r="T480" s="3" t="b">
        <f>IFERROR(__xludf.DUMMYFUNCTION("""COMPUTED_VALUE"""),FALSE)</f>
        <v>0</v>
      </c>
      <c r="U480" s="3" t="b">
        <f>IFERROR(__xludf.DUMMYFUNCTION("""COMPUTED_VALUE"""),TRUE)</f>
        <v>1</v>
      </c>
      <c r="V480" s="3" t="b">
        <f>IFERROR(__xludf.DUMMYFUNCTION("""COMPUTED_VALUE"""),FALSE)</f>
        <v>0</v>
      </c>
      <c r="W480" s="3" t="str">
        <f>IFERROR(__xludf.DUMMYFUNCTION("""COMPUTED_VALUE"""),"Delivery")</f>
        <v>Delivery</v>
      </c>
      <c r="X480" s="3"/>
      <c r="Y480" s="3"/>
      <c r="Z480" s="3" t="str">
        <f>IFERROR(__xludf.DUMMYFUNCTION("""COMPUTED_VALUE"""),"CM Ops Transformation")</f>
        <v>CM Ops Transformation</v>
      </c>
      <c r="AA480" s="3" t="b">
        <f>IFERROR(__xludf.DUMMYFUNCTION("""COMPUTED_VALUE"""),FALSE)</f>
        <v>0</v>
      </c>
    </row>
    <row r="481">
      <c r="A481" s="11">
        <f>IFERROR(__xludf.DUMMYFUNCTION("""COMPUTED_VALUE"""),1.00651441E8)</f>
        <v>100651441</v>
      </c>
      <c r="B481" s="3" t="str">
        <f>IFERROR(__xludf.DUMMYFUNCTION("""COMPUTED_VALUE"""),"Mohib Yousufani")</f>
        <v>Mohib Yousufani</v>
      </c>
      <c r="C481" s="3" t="str">
        <f>IFERROR(__xludf.DUMMYFUNCTION("""COMPUTED_VALUE"""),"Mohibullah  Yousufani")</f>
        <v>Mohibullah  Yousufani</v>
      </c>
      <c r="D481" s="3" t="str">
        <f>IFERROR(__xludf.DUMMYFUNCTION("""COMPUTED_VALUE"""),"Yousufani, Mohibullah")</f>
        <v>Yousufani, Mohibullah</v>
      </c>
      <c r="E481" s="3" t="str">
        <f>IFERROR(__xludf.DUMMYFUNCTION("""COMPUTED_VALUE"""),"Active")</f>
        <v>Active</v>
      </c>
      <c r="F481" s="3" t="str">
        <f>IFERROR(__xludf.DUMMYFUNCTION("""COMPUTED_VALUE"""),"mohib.yousufani@pwc.com")</f>
        <v>mohib.yousufani@pwc.com</v>
      </c>
      <c r="G481" s="3" t="str">
        <f>IFERROR(__xludf.DUMMYFUNCTION("""COMPUTED_VALUE"""),"ESV")</f>
        <v>ESV</v>
      </c>
      <c r="H481" s="3" t="str">
        <f>IFERROR(__xludf.DUMMYFUNCTION("""COMPUTED_VALUE"""),"Banking and Capital Markets")</f>
        <v>Banking and Capital Markets</v>
      </c>
      <c r="I481" s="3" t="str">
        <f>IFERROR(__xludf.DUMMYFUNCTION("""COMPUTED_VALUE"""),"ESV - BCM")</f>
        <v>ESV - BCM</v>
      </c>
      <c r="J481" s="3" t="str">
        <f>IFERROR(__xludf.DUMMYFUNCTION("""COMPUTED_VALUE"""),"Partner")</f>
        <v>Partner</v>
      </c>
      <c r="K481" s="12">
        <f>IFERROR(__xludf.DUMMYFUNCTION("""COMPUTED_VALUE"""),42186.0)</f>
        <v>42186</v>
      </c>
      <c r="L481" s="3" t="str">
        <f>IFERROR(__xludf.DUMMYFUNCTION("""COMPUTED_VALUE"""),"Chicago")</f>
        <v>Chicago</v>
      </c>
      <c r="M481" s="3" t="str">
        <f>IFERROR(__xludf.DUMMYFUNCTION("""COMPUTED_VALUE"""),"Chicago - One North Wacker Drive")</f>
        <v>Chicago - One North Wacker Drive</v>
      </c>
      <c r="N481" s="3" t="b">
        <f>IFERROR(__xludf.DUMMYFUNCTION("""COMPUTED_VALUE"""),FALSE)</f>
        <v>0</v>
      </c>
      <c r="O481" s="3" t="str">
        <f>IFERROR(__xludf.DUMMYFUNCTION("""COMPUTED_VALUE"""),"sundar.subramanian@pwc.com")</f>
        <v>sundar.subramanian@pwc.com</v>
      </c>
      <c r="P481" s="3" t="str">
        <f>IFERROR(__xludf.DUMMYFUNCTION("""COMPUTED_VALUE"""),"No")</f>
        <v>No</v>
      </c>
      <c r="Q481" s="3" t="b">
        <f>IFERROR(__xludf.DUMMYFUNCTION("""COMPUTED_VALUE"""),TRUE)</f>
        <v>1</v>
      </c>
      <c r="R481" s="3" t="str">
        <f>IFERROR(__xludf.DUMMYFUNCTION("""COMPUTED_VALUE"""),"LCP Low")</f>
        <v>LCP Low</v>
      </c>
      <c r="S481" s="3"/>
      <c r="T481" s="3" t="b">
        <f>IFERROR(__xludf.DUMMYFUNCTION("""COMPUTED_VALUE"""),FALSE)</f>
        <v>0</v>
      </c>
      <c r="U481" s="3" t="b">
        <f>IFERROR(__xludf.DUMMYFUNCTION("""COMPUTED_VALUE"""),FALSE)</f>
        <v>0</v>
      </c>
      <c r="V481" s="3" t="b">
        <f>IFERROR(__xludf.DUMMYFUNCTION("""COMPUTED_VALUE"""),FALSE)</f>
        <v>0</v>
      </c>
      <c r="W481" s="3" t="str">
        <f>IFERROR(__xludf.DUMMYFUNCTION("""COMPUTED_VALUE"""),"LCP")</f>
        <v>LCP</v>
      </c>
      <c r="X481" s="3"/>
      <c r="Y481" s="3" t="str">
        <f>IFERROR(__xludf.DUMMYFUNCTION("""COMPUTED_VALUE"""),"GEP - Low")</f>
        <v>GEP - Low</v>
      </c>
      <c r="Z481" s="3" t="str">
        <f>IFERROR(__xludf.DUMMYFUNCTION("""COMPUTED_VALUE"""),"Enterprise Digital Transformation - BCM &amp; AWM")</f>
        <v>Enterprise Digital Transformation - BCM &amp; AWM</v>
      </c>
      <c r="AA481" s="3" t="b">
        <f>IFERROR(__xludf.DUMMYFUNCTION("""COMPUTED_VALUE"""),TRUE)</f>
        <v>1</v>
      </c>
    </row>
    <row r="482">
      <c r="A482" s="11">
        <f>IFERROR(__xludf.DUMMYFUNCTION("""COMPUTED_VALUE"""),1.00629729E8)</f>
        <v>100629729</v>
      </c>
      <c r="B482" s="3" t="str">
        <f>IFERROR(__xludf.DUMMYFUNCTION("""COMPUTED_VALUE"""),"Muhammad Hassan")</f>
        <v>Muhammad Hassan</v>
      </c>
      <c r="C482" s="3" t="str">
        <f>IFERROR(__xludf.DUMMYFUNCTION("""COMPUTED_VALUE"""),"Muhammad Usman Hassan")</f>
        <v>Muhammad Usman Hassan</v>
      </c>
      <c r="D482" s="3" t="str">
        <f>IFERROR(__xludf.DUMMYFUNCTION("""COMPUTED_VALUE"""),"Hassan, Muhammad Usman")</f>
        <v>Hassan, Muhammad Usman</v>
      </c>
      <c r="E482" s="3" t="str">
        <f>IFERROR(__xludf.DUMMYFUNCTION("""COMPUTED_VALUE"""),"Active")</f>
        <v>Active</v>
      </c>
      <c r="F482" s="3" t="str">
        <f>IFERROR(__xludf.DUMMYFUNCTION("""COMPUTED_VALUE"""),"mu.hassan@pwc.com")</f>
        <v>mu.hassan@pwc.com</v>
      </c>
      <c r="G482" s="3" t="str">
        <f>IFERROR(__xludf.DUMMYFUNCTION("""COMPUTED_VALUE"""),"Finance")</f>
        <v>Finance</v>
      </c>
      <c r="H482" s="3" t="str">
        <f>IFERROR(__xludf.DUMMYFUNCTION("""COMPUTED_VALUE"""),"Pharma and Life Sciences")</f>
        <v>Pharma and Life Sciences</v>
      </c>
      <c r="I482" s="3" t="str">
        <f>IFERROR(__xludf.DUMMYFUNCTION("""COMPUTED_VALUE"""),"Finance - Enterprise Performance Management")</f>
        <v>Finance - Enterprise Performance Management</v>
      </c>
      <c r="J482" s="3" t="str">
        <f>IFERROR(__xludf.DUMMYFUNCTION("""COMPUTED_VALUE"""),"Partner")</f>
        <v>Partner</v>
      </c>
      <c r="K482" s="12">
        <f>IFERROR(__xludf.DUMMYFUNCTION("""COMPUTED_VALUE"""),39419.0)</f>
        <v>39419</v>
      </c>
      <c r="L482" s="3" t="str">
        <f>IFERROR(__xludf.DUMMYFUNCTION("""COMPUTED_VALUE"""),"Indianapolis")</f>
        <v>Indianapolis</v>
      </c>
      <c r="M482" s="3" t="str">
        <f>IFERROR(__xludf.DUMMYFUNCTION("""COMPUTED_VALUE"""),"Indianapolis - 101 West Washington Street")</f>
        <v>Indianapolis - 101 West Washington Street</v>
      </c>
      <c r="N482" s="3" t="b">
        <f>IFERROR(__xludf.DUMMYFUNCTION("""COMPUTED_VALUE"""),TRUE)</f>
        <v>1</v>
      </c>
      <c r="O482" s="3" t="str">
        <f>IFERROR(__xludf.DUMMYFUNCTION("""COMPUTED_VALUE"""),"kurtis.babczenko@pwc.com")</f>
        <v>kurtis.babczenko@pwc.com</v>
      </c>
      <c r="P482" s="3" t="str">
        <f>IFERROR(__xludf.DUMMYFUNCTION("""COMPUTED_VALUE"""),"No")</f>
        <v>No</v>
      </c>
      <c r="Q482" s="3" t="b">
        <f>IFERROR(__xludf.DUMMYFUNCTION("""COMPUTED_VALUE"""),FALSE)</f>
        <v>0</v>
      </c>
      <c r="R482" s="3"/>
      <c r="S482" s="3"/>
      <c r="T482" s="3" t="b">
        <f>IFERROR(__xludf.DUMMYFUNCTION("""COMPUTED_VALUE"""),FALSE)</f>
        <v>0</v>
      </c>
      <c r="U482" s="3" t="b">
        <f>IFERROR(__xludf.DUMMYFUNCTION("""COMPUTED_VALUE"""),TRUE)</f>
        <v>1</v>
      </c>
      <c r="V482" s="3" t="b">
        <f>IFERROR(__xludf.DUMMYFUNCTION("""COMPUTED_VALUE"""),FALSE)</f>
        <v>0</v>
      </c>
      <c r="W482" s="3" t="str">
        <f>IFERROR(__xludf.DUMMYFUNCTION("""COMPUTED_VALUE"""),"Delivery")</f>
        <v>Delivery</v>
      </c>
      <c r="X482" s="3"/>
      <c r="Y482" s="3"/>
      <c r="Z482" s="3" t="str">
        <f>IFERROR(__xludf.DUMMYFUNCTION("""COMPUTED_VALUE"""),"Finance Transformation - Payer &amp; Pharma")</f>
        <v>Finance Transformation - Payer &amp; Pharma</v>
      </c>
      <c r="AA482" s="3" t="b">
        <f>IFERROR(__xludf.DUMMYFUNCTION("""COMPUTED_VALUE"""),FALSE)</f>
        <v>0</v>
      </c>
    </row>
    <row r="483">
      <c r="A483" s="11">
        <f>IFERROR(__xludf.DUMMYFUNCTION("""COMPUTED_VALUE"""),1.00586701E8)</f>
        <v>100586701</v>
      </c>
      <c r="B483" s="3" t="str">
        <f>IFERROR(__xludf.DUMMYFUNCTION("""COMPUTED_VALUE"""),"Mukesh Singh")</f>
        <v>Mukesh Singh</v>
      </c>
      <c r="C483" s="3" t="str">
        <f>IFERROR(__xludf.DUMMYFUNCTION("""COMPUTED_VALUE"""),"Mukesh S Singh")</f>
        <v>Mukesh S Singh</v>
      </c>
      <c r="D483" s="3" t="str">
        <f>IFERROR(__xludf.DUMMYFUNCTION("""COMPUTED_VALUE"""),"Singh, Mukesh S")</f>
        <v>Singh, Mukesh S</v>
      </c>
      <c r="E483" s="3" t="str">
        <f>IFERROR(__xludf.DUMMYFUNCTION("""COMPUTED_VALUE"""),"Active")</f>
        <v>Active</v>
      </c>
      <c r="F483" s="3" t="str">
        <f>IFERROR(__xludf.DUMMYFUNCTION("""COMPUTED_VALUE"""),"mukesh.s.singh@pwc.com")</f>
        <v>mukesh.s.singh@pwc.com</v>
      </c>
      <c r="G483" s="3" t="str">
        <f>IFERROR(__xludf.DUMMYFUNCTION("""COMPUTED_VALUE"""),"Customer")</f>
        <v>Customer</v>
      </c>
      <c r="H483" s="3" t="str">
        <f>IFERROR(__xludf.DUMMYFUNCTION("""COMPUTED_VALUE"""),"TMT X-Sector")</f>
        <v>TMT X-Sector</v>
      </c>
      <c r="I483" s="3" t="str">
        <f>IFERROR(__xludf.DUMMYFUNCTION("""COMPUTED_VALUE"""),"Customer - Sales")</f>
        <v>Customer - Sales</v>
      </c>
      <c r="J483" s="3" t="str">
        <f>IFERROR(__xludf.DUMMYFUNCTION("""COMPUTED_VALUE"""),"Partner")</f>
        <v>Partner</v>
      </c>
      <c r="K483" s="12">
        <f>IFERROR(__xludf.DUMMYFUNCTION("""COMPUTED_VALUE"""),40798.0)</f>
        <v>40798</v>
      </c>
      <c r="L483" s="3" t="str">
        <f>IFERROR(__xludf.DUMMYFUNCTION("""COMPUTED_VALUE"""),"Dallas")</f>
        <v>Dallas</v>
      </c>
      <c r="M483" s="3" t="str">
        <f>IFERROR(__xludf.DUMMYFUNCTION("""COMPUTED_VALUE"""),"Dallas - 2121 North Pearl Street")</f>
        <v>Dallas - 2121 North Pearl Street</v>
      </c>
      <c r="N483" s="3" t="b">
        <f>IFERROR(__xludf.DUMMYFUNCTION("""COMPUTED_VALUE"""),FALSE)</f>
        <v>0</v>
      </c>
      <c r="O483" s="3" t="str">
        <f>IFERROR(__xludf.DUMMYFUNCTION("""COMPUTED_VALUE"""),"george.korizis@pwc.com")</f>
        <v>george.korizis@pwc.com</v>
      </c>
      <c r="P483" s="3" t="str">
        <f>IFERROR(__xludf.DUMMYFUNCTION("""COMPUTED_VALUE"""),"No")</f>
        <v>No</v>
      </c>
      <c r="Q483" s="3" t="b">
        <f>IFERROR(__xludf.DUMMYFUNCTION("""COMPUTED_VALUE"""),FALSE)</f>
        <v>0</v>
      </c>
      <c r="R483" s="3"/>
      <c r="S483" s="3"/>
      <c r="T483" s="3" t="b">
        <f>IFERROR(__xludf.DUMMYFUNCTION("""COMPUTED_VALUE"""),FALSE)</f>
        <v>0</v>
      </c>
      <c r="U483" s="3" t="b">
        <f>IFERROR(__xludf.DUMMYFUNCTION("""COMPUTED_VALUE"""),TRUE)</f>
        <v>1</v>
      </c>
      <c r="V483" s="3" t="b">
        <f>IFERROR(__xludf.DUMMYFUNCTION("""COMPUTED_VALUE"""),FALSE)</f>
        <v>0</v>
      </c>
      <c r="W483" s="3" t="str">
        <f>IFERROR(__xludf.DUMMYFUNCTION("""COMPUTED_VALUE"""),"Delivery")</f>
        <v>Delivery</v>
      </c>
      <c r="X483" s="3"/>
      <c r="Y483" s="3"/>
      <c r="Z483" s="3" t="str">
        <f>IFERROR(__xludf.DUMMYFUNCTION("""COMPUTED_VALUE"""),"Commercial / CRM Transformation - FS &amp; TMT")</f>
        <v>Commercial / CRM Transformation - FS &amp; TMT</v>
      </c>
      <c r="AA483" s="3" t="b">
        <f>IFERROR(__xludf.DUMMYFUNCTION("""COMPUTED_VALUE"""),FALSE)</f>
        <v>0</v>
      </c>
    </row>
    <row r="484">
      <c r="A484" s="11">
        <f>IFERROR(__xludf.DUMMYFUNCTION("""COMPUTED_VALUE"""),1.00949273E8)</f>
        <v>100949273</v>
      </c>
      <c r="B484" s="3" t="str">
        <f>IFERROR(__xludf.DUMMYFUNCTION("""COMPUTED_VALUE"""),"Mukul Agrawal")</f>
        <v>Mukul Agrawal</v>
      </c>
      <c r="C484" s="3" t="str">
        <f>IFERROR(__xludf.DUMMYFUNCTION("""COMPUTED_VALUE"""),"Mukul  Agrawal")</f>
        <v>Mukul  Agrawal</v>
      </c>
      <c r="D484" s="3" t="str">
        <f>IFERROR(__xludf.DUMMYFUNCTION("""COMPUTED_VALUE"""),"Agrawal, Mukul")</f>
        <v>Agrawal, Mukul</v>
      </c>
      <c r="E484" s="3" t="str">
        <f>IFERROR(__xludf.DUMMYFUNCTION("""COMPUTED_VALUE"""),"Active")</f>
        <v>Active</v>
      </c>
      <c r="F484" s="3" t="str">
        <f>IFERROR(__xludf.DUMMYFUNCTION("""COMPUTED_VALUE"""),"mukul.agrawal@pwc.com")</f>
        <v>mukul.agrawal@pwc.com</v>
      </c>
      <c r="G484" s="3" t="str">
        <f>IFERROR(__xludf.DUMMYFUNCTION("""COMPUTED_VALUE"""),"Deals Transformation")</f>
        <v>Deals Transformation</v>
      </c>
      <c r="H484" s="3" t="str">
        <f>IFERROR(__xludf.DUMMYFUNCTION("""COMPUTED_VALUE"""),"TMT X-Sector")</f>
        <v>TMT X-Sector</v>
      </c>
      <c r="I484" s="3" t="str">
        <f>IFERROR(__xludf.DUMMYFUNCTION("""COMPUTED_VALUE"""),"DDV - IT")</f>
        <v>DDV - IT</v>
      </c>
      <c r="J484" s="3" t="str">
        <f>IFERROR(__xludf.DUMMYFUNCTION("""COMPUTED_VALUE"""),"Managing Director")</f>
        <v>Managing Director</v>
      </c>
      <c r="K484" s="12">
        <f>IFERROR(__xludf.DUMMYFUNCTION("""COMPUTED_VALUE"""),43787.0)</f>
        <v>43787</v>
      </c>
      <c r="L484" s="3" t="str">
        <f>IFERROR(__xludf.DUMMYFUNCTION("""COMPUTED_VALUE"""),"Washington")</f>
        <v>Washington</v>
      </c>
      <c r="M484" s="3" t="str">
        <f>IFERROR(__xludf.DUMMYFUNCTION("""COMPUTED_VALUE"""),"Washington DC - 655 New York Avenue")</f>
        <v>Washington DC - 655 New York Avenue</v>
      </c>
      <c r="N484" s="3" t="b">
        <f>IFERROR(__xludf.DUMMYFUNCTION("""COMPUTED_VALUE"""),FALSE)</f>
        <v>0</v>
      </c>
      <c r="O484" s="3" t="str">
        <f>IFERROR(__xludf.DUMMYFUNCTION("""COMPUTED_VALUE"""),"joseph.joy@pwc.com")</f>
        <v>joseph.joy@pwc.com</v>
      </c>
      <c r="P484" s="3" t="str">
        <f>IFERROR(__xludf.DUMMYFUNCTION("""COMPUTED_VALUE"""),"No")</f>
        <v>No</v>
      </c>
      <c r="Q484" s="3" t="b">
        <f>IFERROR(__xludf.DUMMYFUNCTION("""COMPUTED_VALUE"""),FALSE)</f>
        <v>0</v>
      </c>
      <c r="R484" s="3"/>
      <c r="S484" s="3"/>
      <c r="T484" s="3" t="b">
        <f>IFERROR(__xludf.DUMMYFUNCTION("""COMPUTED_VALUE"""),FALSE)</f>
        <v>0</v>
      </c>
      <c r="U484" s="3" t="b">
        <f>IFERROR(__xludf.DUMMYFUNCTION("""COMPUTED_VALUE"""),TRUE)</f>
        <v>1</v>
      </c>
      <c r="V484" s="3" t="b">
        <f>IFERROR(__xludf.DUMMYFUNCTION("""COMPUTED_VALUE"""),FALSE)</f>
        <v>0</v>
      </c>
      <c r="W484" s="3" t="str">
        <f>IFERROR(__xludf.DUMMYFUNCTION("""COMPUTED_VALUE"""),"Delivery")</f>
        <v>Delivery</v>
      </c>
      <c r="X484" s="3"/>
      <c r="Y484" s="3"/>
      <c r="Z484" s="3" t="str">
        <f>IFERROR(__xludf.DUMMYFUNCTION("""COMPUTED_VALUE"""),"Corporate M&amp;A Transformation - TMT")</f>
        <v>Corporate M&amp;A Transformation - TMT</v>
      </c>
      <c r="AA484" s="3" t="b">
        <f>IFERROR(__xludf.DUMMYFUNCTION("""COMPUTED_VALUE"""),FALSE)</f>
        <v>0</v>
      </c>
    </row>
    <row r="485">
      <c r="A485" s="11">
        <f>IFERROR(__xludf.DUMMYFUNCTION("""COMPUTED_VALUE"""),1.00650575E8)</f>
        <v>100650575</v>
      </c>
      <c r="B485" s="3" t="str">
        <f>IFERROR(__xludf.DUMMYFUNCTION("""COMPUTED_VALUE"""),"Mukund Srirangapatnam")</f>
        <v>Mukund Srirangapatnam</v>
      </c>
      <c r="C485" s="3" t="str">
        <f>IFERROR(__xludf.DUMMYFUNCTION("""COMPUTED_VALUE"""),"Mukund  Srirangapatnam")</f>
        <v>Mukund  Srirangapatnam</v>
      </c>
      <c r="D485" s="3" t="str">
        <f>IFERROR(__xludf.DUMMYFUNCTION("""COMPUTED_VALUE"""),"Srirangapatnam, Mukund")</f>
        <v>Srirangapatnam, Mukund</v>
      </c>
      <c r="E485" s="3" t="str">
        <f>IFERROR(__xludf.DUMMYFUNCTION("""COMPUTED_VALUE"""),"Active")</f>
        <v>Active</v>
      </c>
      <c r="F485" s="3" t="str">
        <f>IFERROR(__xludf.DUMMYFUNCTION("""COMPUTED_VALUE"""),"mukund.srirangapatnam@pwc.com")</f>
        <v>mukund.srirangapatnam@pwc.com</v>
      </c>
      <c r="G485" s="3" t="str">
        <f>IFERROR(__xludf.DUMMYFUNCTION("""COMPUTED_VALUE"""),"Health")</f>
        <v>Health</v>
      </c>
      <c r="H485" s="3" t="str">
        <f>IFERROR(__xludf.DUMMYFUNCTION("""COMPUTED_VALUE"""),"Health Services")</f>
        <v>Health Services</v>
      </c>
      <c r="I485" s="3" t="str">
        <f>IFERROR(__xludf.DUMMYFUNCTION("""COMPUTED_VALUE"""),"Health - Payer CO&amp;I")</f>
        <v>Health - Payer CO&amp;I</v>
      </c>
      <c r="J485" s="3" t="str">
        <f>IFERROR(__xludf.DUMMYFUNCTION("""COMPUTED_VALUE"""),"Managing Director")</f>
        <v>Managing Director</v>
      </c>
      <c r="K485" s="12">
        <f>IFERROR(__xludf.DUMMYFUNCTION("""COMPUTED_VALUE"""),42186.0)</f>
        <v>42186</v>
      </c>
      <c r="L485" s="3" t="str">
        <f>IFERROR(__xludf.DUMMYFUNCTION("""COMPUTED_VALUE"""),"San Francisco")</f>
        <v>San Francisco</v>
      </c>
      <c r="M485" s="3" t="str">
        <f>IFERROR(__xludf.DUMMYFUNCTION("""COMPUTED_VALUE"""),"San Francisco - 405 Howard St")</f>
        <v>San Francisco - 405 Howard St</v>
      </c>
      <c r="N485" s="3" t="b">
        <f>IFERROR(__xludf.DUMMYFUNCTION("""COMPUTED_VALUE"""),FALSE)</f>
        <v>0</v>
      </c>
      <c r="O485" s="3" t="str">
        <f>IFERROR(__xludf.DUMMYFUNCTION("""COMPUTED_VALUE"""),"thom.bales@pwc.com")</f>
        <v>thom.bales@pwc.com</v>
      </c>
      <c r="P485" s="3" t="str">
        <f>IFERROR(__xludf.DUMMYFUNCTION("""COMPUTED_VALUE"""),"No")</f>
        <v>No</v>
      </c>
      <c r="Q485" s="3" t="b">
        <f>IFERROR(__xludf.DUMMYFUNCTION("""COMPUTED_VALUE"""),FALSE)</f>
        <v>0</v>
      </c>
      <c r="R485" s="3"/>
      <c r="S485" s="3"/>
      <c r="T485" s="3" t="b">
        <f>IFERROR(__xludf.DUMMYFUNCTION("""COMPUTED_VALUE"""),FALSE)</f>
        <v>0</v>
      </c>
      <c r="U485" s="3" t="b">
        <f>IFERROR(__xludf.DUMMYFUNCTION("""COMPUTED_VALUE"""),TRUE)</f>
        <v>1</v>
      </c>
      <c r="V485" s="3" t="b">
        <f>IFERROR(__xludf.DUMMYFUNCTION("""COMPUTED_VALUE"""),FALSE)</f>
        <v>0</v>
      </c>
      <c r="W485" s="3" t="str">
        <f>IFERROR(__xludf.DUMMYFUNCTION("""COMPUTED_VALUE"""),"Delivery")</f>
        <v>Delivery</v>
      </c>
      <c r="X485" s="3"/>
      <c r="Y485" s="3"/>
      <c r="Z485" s="3" t="str">
        <f>IFERROR(__xludf.DUMMYFUNCTION("""COMPUTED_VALUE"""),"Payer Transformation")</f>
        <v>Payer Transformation</v>
      </c>
      <c r="AA485" s="3" t="b">
        <f>IFERROR(__xludf.DUMMYFUNCTION("""COMPUTED_VALUE"""),FALSE)</f>
        <v>0</v>
      </c>
    </row>
    <row r="486">
      <c r="A486" s="11">
        <f>IFERROR(__xludf.DUMMYFUNCTION("""COMPUTED_VALUE"""),1.00586959E8)</f>
        <v>100586959</v>
      </c>
      <c r="B486" s="3" t="str">
        <f>IFERROR(__xludf.DUMMYFUNCTION("""COMPUTED_VALUE"""),"Murali Nallapaty")</f>
        <v>Murali Nallapaty</v>
      </c>
      <c r="C486" s="3" t="str">
        <f>IFERROR(__xludf.DUMMYFUNCTION("""COMPUTED_VALUE"""),"Murali C Nallapaty")</f>
        <v>Murali C Nallapaty</v>
      </c>
      <c r="D486" s="3" t="str">
        <f>IFERROR(__xludf.DUMMYFUNCTION("""COMPUTED_VALUE"""),"Nallapaty, Murali C")</f>
        <v>Nallapaty, Murali C</v>
      </c>
      <c r="E486" s="3" t="str">
        <f>IFERROR(__xludf.DUMMYFUNCTION("""COMPUTED_VALUE"""),"Active")</f>
        <v>Active</v>
      </c>
      <c r="F486" s="3" t="str">
        <f>IFERROR(__xludf.DUMMYFUNCTION("""COMPUTED_VALUE"""),"murali.c.nallapaty@pwc.com")</f>
        <v>murali.c.nallapaty@pwc.com</v>
      </c>
      <c r="G486" s="3" t="str">
        <f>IFERROR(__xludf.DUMMYFUNCTION("""COMPUTED_VALUE"""),"FS")</f>
        <v>FS</v>
      </c>
      <c r="H486" s="3" t="str">
        <f>IFERROR(__xludf.DUMMYFUNCTION("""COMPUTED_VALUE"""),"Banking and Capital Markets")</f>
        <v>Banking and Capital Markets</v>
      </c>
      <c r="I486" s="3" t="str">
        <f>IFERROR(__xludf.DUMMYFUNCTION("""COMPUTED_VALUE"""),"FS - Banking and Capital Markets")</f>
        <v>FS - Banking and Capital Markets</v>
      </c>
      <c r="J486" s="3" t="str">
        <f>IFERROR(__xludf.DUMMYFUNCTION("""COMPUTED_VALUE"""),"Partner")</f>
        <v>Partner</v>
      </c>
      <c r="K486" s="12">
        <f>IFERROR(__xludf.DUMMYFUNCTION("""COMPUTED_VALUE"""),40679.0)</f>
        <v>40679</v>
      </c>
      <c r="L486" s="3" t="str">
        <f>IFERROR(__xludf.DUMMYFUNCTION("""COMPUTED_VALUE"""),"Cincinnati")</f>
        <v>Cincinnati</v>
      </c>
      <c r="M486" s="3" t="str">
        <f>IFERROR(__xludf.DUMMYFUNCTION("""COMPUTED_VALUE"""),"Cincinnati - 201 East Fifth Street")</f>
        <v>Cincinnati - 201 East Fifth Street</v>
      </c>
      <c r="N486" s="3" t="b">
        <f>IFERROR(__xludf.DUMMYFUNCTION("""COMPUTED_VALUE"""),FALSE)</f>
        <v>0</v>
      </c>
      <c r="O486" s="3" t="str">
        <f>IFERROR(__xludf.DUMMYFUNCTION("""COMPUTED_VALUE"""),"alison.hoover@pwc.com")</f>
        <v>alison.hoover@pwc.com</v>
      </c>
      <c r="P486" s="3" t="str">
        <f>IFERROR(__xludf.DUMMYFUNCTION("""COMPUTED_VALUE"""),"No")</f>
        <v>No</v>
      </c>
      <c r="Q486" s="3" t="b">
        <f>IFERROR(__xludf.DUMMYFUNCTION("""COMPUTED_VALUE"""),FALSE)</f>
        <v>0</v>
      </c>
      <c r="R486" s="3"/>
      <c r="S486" s="3"/>
      <c r="T486" s="3" t="b">
        <f>IFERROR(__xludf.DUMMYFUNCTION("""COMPUTED_VALUE"""),FALSE)</f>
        <v>0</v>
      </c>
      <c r="U486" s="3" t="b">
        <f>IFERROR(__xludf.DUMMYFUNCTION("""COMPUTED_VALUE"""),TRUE)</f>
        <v>1</v>
      </c>
      <c r="V486" s="3" t="b">
        <f>IFERROR(__xludf.DUMMYFUNCTION("""COMPUTED_VALUE"""),FALSE)</f>
        <v>0</v>
      </c>
      <c r="W486" s="3" t="str">
        <f>IFERROR(__xludf.DUMMYFUNCTION("""COMPUTED_VALUE"""),"Delivery")</f>
        <v>Delivery</v>
      </c>
      <c r="X486" s="3" t="str">
        <f>IFERROR(__xludf.DUMMYFUNCTION("""COMPUTED_VALUE"""),"Investment")</f>
        <v>Investment</v>
      </c>
      <c r="Y486" s="3"/>
      <c r="Z486" s="3" t="str">
        <f>IFERROR(__xludf.DUMMYFUNCTION("""COMPUTED_VALUE"""),"Banking Transformation")</f>
        <v>Banking Transformation</v>
      </c>
      <c r="AA486" s="3" t="b">
        <f>IFERROR(__xludf.DUMMYFUNCTION("""COMPUTED_VALUE"""),FALSE)</f>
        <v>0</v>
      </c>
    </row>
    <row r="487">
      <c r="A487" s="11">
        <f>IFERROR(__xludf.DUMMYFUNCTION("""COMPUTED_VALUE"""),1.00647463E8)</f>
        <v>100647463</v>
      </c>
      <c r="B487" s="3" t="str">
        <f>IFERROR(__xludf.DUMMYFUNCTION("""COMPUTED_VALUE"""),"Musi Qureshi")</f>
        <v>Musi Qureshi</v>
      </c>
      <c r="C487" s="3" t="str">
        <f>IFERROR(__xludf.DUMMYFUNCTION("""COMPUTED_VALUE"""),"Musarrat Islam Qureshi")</f>
        <v>Musarrat Islam Qureshi</v>
      </c>
      <c r="D487" s="3" t="str">
        <f>IFERROR(__xludf.DUMMYFUNCTION("""COMPUTED_VALUE"""),"Qureshi, Musarrat Islam")</f>
        <v>Qureshi, Musarrat Islam</v>
      </c>
      <c r="E487" s="3" t="str">
        <f>IFERROR(__xludf.DUMMYFUNCTION("""COMPUTED_VALUE"""),"Active")</f>
        <v>Active</v>
      </c>
      <c r="F487" s="3" t="str">
        <f>IFERROR(__xludf.DUMMYFUNCTION("""COMPUTED_VALUE"""),"musarrat.qureshi@pwc.com")</f>
        <v>musarrat.qureshi@pwc.com</v>
      </c>
      <c r="G487" s="3" t="str">
        <f>IFERROR(__xludf.DUMMYFUNCTION("""COMPUTED_VALUE"""),"FS")</f>
        <v>FS</v>
      </c>
      <c r="H487" s="3" t="str">
        <f>IFERROR(__xludf.DUMMYFUNCTION("""COMPUTED_VALUE"""),"Banking and Capital Markets")</f>
        <v>Banking and Capital Markets</v>
      </c>
      <c r="I487" s="3" t="str">
        <f>IFERROR(__xludf.DUMMYFUNCTION("""COMPUTED_VALUE"""),"FS - Banking and Capital Markets")</f>
        <v>FS - Banking and Capital Markets</v>
      </c>
      <c r="J487" s="3" t="str">
        <f>IFERROR(__xludf.DUMMYFUNCTION("""COMPUTED_VALUE"""),"Partner")</f>
        <v>Partner</v>
      </c>
      <c r="K487" s="12">
        <f>IFERROR(__xludf.DUMMYFUNCTION("""COMPUTED_VALUE"""),40485.0)</f>
        <v>40485</v>
      </c>
      <c r="L487" s="3" t="str">
        <f>IFERROR(__xludf.DUMMYFUNCTION("""COMPUTED_VALUE"""),"New York")</f>
        <v>New York</v>
      </c>
      <c r="M487" s="3" t="str">
        <f>IFERROR(__xludf.DUMMYFUNCTION("""COMPUTED_VALUE"""),"New York - 300 Madison Avenue")</f>
        <v>New York - 300 Madison Avenue</v>
      </c>
      <c r="N487" s="3" t="b">
        <f>IFERROR(__xludf.DUMMYFUNCTION("""COMPUTED_VALUE"""),FALSE)</f>
        <v>0</v>
      </c>
      <c r="O487" s="3" t="str">
        <f>IFERROR(__xludf.DUMMYFUNCTION("""COMPUTED_VALUE"""),"alison.hoover@pwc.com")</f>
        <v>alison.hoover@pwc.com</v>
      </c>
      <c r="P487" s="3" t="str">
        <f>IFERROR(__xludf.DUMMYFUNCTION("""COMPUTED_VALUE"""),"No")</f>
        <v>No</v>
      </c>
      <c r="Q487" s="3" t="b">
        <f>IFERROR(__xludf.DUMMYFUNCTION("""COMPUTED_VALUE"""),TRUE)</f>
        <v>1</v>
      </c>
      <c r="R487" s="3" t="str">
        <f>IFERROR(__xludf.DUMMYFUNCTION("""COMPUTED_VALUE"""),"LCP Low")</f>
        <v>LCP Low</v>
      </c>
      <c r="S487" s="3"/>
      <c r="T487" s="3" t="b">
        <f>IFERROR(__xludf.DUMMYFUNCTION("""COMPUTED_VALUE"""),FALSE)</f>
        <v>0</v>
      </c>
      <c r="U487" s="3" t="b">
        <f>IFERROR(__xludf.DUMMYFUNCTION("""COMPUTED_VALUE"""),TRUE)</f>
        <v>1</v>
      </c>
      <c r="V487" s="3" t="b">
        <f>IFERROR(__xludf.DUMMYFUNCTION("""COMPUTED_VALUE"""),FALSE)</f>
        <v>0</v>
      </c>
      <c r="W487" s="3" t="str">
        <f>IFERROR(__xludf.DUMMYFUNCTION("""COMPUTED_VALUE"""),"LCP")</f>
        <v>LCP</v>
      </c>
      <c r="X487" s="3" t="str">
        <f>IFERROR(__xludf.DUMMYFUNCTION("""COMPUTED_VALUE"""),"Investment")</f>
        <v>Investment</v>
      </c>
      <c r="Y487" s="3" t="str">
        <f>IFERROR(__xludf.DUMMYFUNCTION("""COMPUTED_VALUE"""),"GEP - Low")</f>
        <v>GEP - Low</v>
      </c>
      <c r="Z487" s="3" t="str">
        <f>IFERROR(__xludf.DUMMYFUNCTION("""COMPUTED_VALUE"""),"Banking Transformation")</f>
        <v>Banking Transformation</v>
      </c>
      <c r="AA487" s="3" t="b">
        <f>IFERROR(__xludf.DUMMYFUNCTION("""COMPUTED_VALUE"""),FALSE)</f>
        <v>0</v>
      </c>
    </row>
    <row r="488">
      <c r="A488" s="11">
        <f>IFERROR(__xludf.DUMMYFUNCTION("""COMPUTED_VALUE"""),1.00870972E8)</f>
        <v>100870972</v>
      </c>
      <c r="B488" s="3" t="str">
        <f>IFERROR(__xludf.DUMMYFUNCTION("""COMPUTED_VALUE"""),"Myra D'Souza")</f>
        <v>Myra D'Souza</v>
      </c>
      <c r="C488" s="3" t="str">
        <f>IFERROR(__xludf.DUMMYFUNCTION("""COMPUTED_VALUE"""),"Myra Nicole D'Souza")</f>
        <v>Myra Nicole D'Souza</v>
      </c>
      <c r="D488" s="3" t="str">
        <f>IFERROR(__xludf.DUMMYFUNCTION("""COMPUTED_VALUE"""),"D'Souza, Myra Nicole")</f>
        <v>D'Souza, Myra Nicole</v>
      </c>
      <c r="E488" s="3" t="str">
        <f>IFERROR(__xludf.DUMMYFUNCTION("""COMPUTED_VALUE"""),"Active")</f>
        <v>Active</v>
      </c>
      <c r="F488" s="3" t="str">
        <f>IFERROR(__xludf.DUMMYFUNCTION("""COMPUTED_VALUE"""),"myra.dsouza@pwc.com")</f>
        <v>myra.dsouza@pwc.com</v>
      </c>
      <c r="G488" s="3" t="str">
        <f>IFERROR(__xludf.DUMMYFUNCTION("""COMPUTED_VALUE"""),"Workforce")</f>
        <v>Workforce</v>
      </c>
      <c r="H488" s="3" t="str">
        <f>IFERROR(__xludf.DUMMYFUNCTION("""COMPUTED_VALUE"""),"Technology")</f>
        <v>Technology</v>
      </c>
      <c r="I488" s="3" t="str">
        <f>IFERROR(__xludf.DUMMYFUNCTION("""COMPUTED_VALUE"""),"Workforce - Deals")</f>
        <v>Workforce - Deals</v>
      </c>
      <c r="J488" s="3" t="str">
        <f>IFERROR(__xludf.DUMMYFUNCTION("""COMPUTED_VALUE"""),"Managing Director")</f>
        <v>Managing Director</v>
      </c>
      <c r="K488" s="12">
        <f>IFERROR(__xludf.DUMMYFUNCTION("""COMPUTED_VALUE"""),43507.0)</f>
        <v>43507</v>
      </c>
      <c r="L488" s="3" t="str">
        <f>IFERROR(__xludf.DUMMYFUNCTION("""COMPUTED_VALUE"""),"Los Angeles")</f>
        <v>Los Angeles</v>
      </c>
      <c r="M488" s="3" t="str">
        <f>IFERROR(__xludf.DUMMYFUNCTION("""COMPUTED_VALUE"""),"Los Angeles - 601 South Figueroa Street")</f>
        <v>Los Angeles - 601 South Figueroa Street</v>
      </c>
      <c r="N488" s="3" t="b">
        <f>IFERROR(__xludf.DUMMYFUNCTION("""COMPUTED_VALUE"""),FALSE)</f>
        <v>0</v>
      </c>
      <c r="O488" s="3" t="str">
        <f>IFERROR(__xludf.DUMMYFUNCTION("""COMPUTED_VALUE"""),"carrie.duarte@pwc.com")</f>
        <v>carrie.duarte@pwc.com</v>
      </c>
      <c r="P488" s="3" t="str">
        <f>IFERROR(__xludf.DUMMYFUNCTION("""COMPUTED_VALUE"""),"No")</f>
        <v>No</v>
      </c>
      <c r="Q488" s="3" t="b">
        <f>IFERROR(__xludf.DUMMYFUNCTION("""COMPUTED_VALUE"""),FALSE)</f>
        <v>0</v>
      </c>
      <c r="R488" s="3"/>
      <c r="S488" s="3"/>
      <c r="T488" s="3" t="b">
        <f>IFERROR(__xludf.DUMMYFUNCTION("""COMPUTED_VALUE"""),FALSE)</f>
        <v>0</v>
      </c>
      <c r="U488" s="3" t="b">
        <f>IFERROR(__xludf.DUMMYFUNCTION("""COMPUTED_VALUE"""),FALSE)</f>
        <v>0</v>
      </c>
      <c r="V488" s="3" t="b">
        <f>IFERROR(__xludf.DUMMYFUNCTION("""COMPUTED_VALUE"""),FALSE)</f>
        <v>0</v>
      </c>
      <c r="W488" s="3" t="str">
        <f>IFERROR(__xludf.DUMMYFUNCTION("""COMPUTED_VALUE"""),"#N/A")</f>
        <v>#N/A</v>
      </c>
      <c r="X488" s="3" t="str">
        <f>IFERROR(__xludf.DUMMYFUNCTION("""COMPUTED_VALUE"""),"#N/A")</f>
        <v>#N/A</v>
      </c>
      <c r="Y488" s="3" t="str">
        <f>IFERROR(__xludf.DUMMYFUNCTION("""COMPUTED_VALUE"""),"#N/A")</f>
        <v>#N/A</v>
      </c>
      <c r="Z488" s="3" t="str">
        <f>IFERROR(__xludf.DUMMYFUNCTION("""COMPUTED_VALUE"""),"Unknown")</f>
        <v>Unknown</v>
      </c>
      <c r="AA488" s="3" t="b">
        <f>IFERROR(__xludf.DUMMYFUNCTION("""COMPUTED_VALUE"""),FALSE)</f>
        <v>0</v>
      </c>
    </row>
    <row r="489">
      <c r="A489" s="11">
        <f>IFERROR(__xludf.DUMMYFUNCTION("""COMPUTED_VALUE"""),1.00611212E8)</f>
        <v>100611212</v>
      </c>
      <c r="B489" s="3" t="str">
        <f>IFERROR(__xludf.DUMMYFUNCTION("""COMPUTED_VALUE"""),"Nadirah Ibrahim")</f>
        <v>Nadirah Ibrahim</v>
      </c>
      <c r="C489" s="3" t="str">
        <f>IFERROR(__xludf.DUMMYFUNCTION("""COMPUTED_VALUE"""),"Nadirah  Ibrahim")</f>
        <v>Nadirah  Ibrahim</v>
      </c>
      <c r="D489" s="3" t="str">
        <f>IFERROR(__xludf.DUMMYFUNCTION("""COMPUTED_VALUE"""),"Ibrahim, Nadirah")</f>
        <v>Ibrahim, Nadirah</v>
      </c>
      <c r="E489" s="3" t="str">
        <f>IFERROR(__xludf.DUMMYFUNCTION("""COMPUTED_VALUE"""),"Active")</f>
        <v>Active</v>
      </c>
      <c r="F489" s="3" t="str">
        <f>IFERROR(__xludf.DUMMYFUNCTION("""COMPUTED_VALUE"""),"nadirah.ibrahim@pwc.com")</f>
        <v>nadirah.ibrahim@pwc.com</v>
      </c>
      <c r="G489" s="3" t="str">
        <f>IFERROR(__xludf.DUMMYFUNCTION("""COMPUTED_VALUE"""),"Workforce")</f>
        <v>Workforce</v>
      </c>
      <c r="H489" s="3" t="str">
        <f>IFERROR(__xludf.DUMMYFUNCTION("""COMPUTED_VALUE"""),"TMT X-Sector")</f>
        <v>TMT X-Sector</v>
      </c>
      <c r="I489" s="3" t="str">
        <f>IFERROR(__xludf.DUMMYFUNCTION("""COMPUTED_VALUE"""),"Workforce - Deals")</f>
        <v>Workforce - Deals</v>
      </c>
      <c r="J489" s="3" t="str">
        <f>IFERROR(__xludf.DUMMYFUNCTION("""COMPUTED_VALUE"""),"Partner")</f>
        <v>Partner</v>
      </c>
      <c r="K489" s="12">
        <f>IFERROR(__xludf.DUMMYFUNCTION("""COMPUTED_VALUE"""),37529.0)</f>
        <v>37529</v>
      </c>
      <c r="L489" s="3" t="str">
        <f>IFERROR(__xludf.DUMMYFUNCTION("""COMPUTED_VALUE"""),"New York")</f>
        <v>New York</v>
      </c>
      <c r="M489" s="3" t="str">
        <f>IFERROR(__xludf.DUMMYFUNCTION("""COMPUTED_VALUE"""),"New York - 300 Madison Avenue")</f>
        <v>New York - 300 Madison Avenue</v>
      </c>
      <c r="N489" s="3" t="b">
        <f>IFERROR(__xludf.DUMMYFUNCTION("""COMPUTED_VALUE"""),FALSE)</f>
        <v>0</v>
      </c>
      <c r="O489" s="3" t="str">
        <f>IFERROR(__xludf.DUMMYFUNCTION("""COMPUTED_VALUE"""),"craig.odonnell@pwc.com")</f>
        <v>craig.odonnell@pwc.com</v>
      </c>
      <c r="P489" s="3" t="str">
        <f>IFERROR(__xludf.DUMMYFUNCTION("""COMPUTED_VALUE"""),"No")</f>
        <v>No</v>
      </c>
      <c r="Q489" s="3" t="b">
        <f>IFERROR(__xludf.DUMMYFUNCTION("""COMPUTED_VALUE"""),TRUE)</f>
        <v>1</v>
      </c>
      <c r="R489" s="3" t="str">
        <f>IFERROR(__xludf.DUMMYFUNCTION("""COMPUTED_VALUE"""),"LCP Low")</f>
        <v>LCP Low</v>
      </c>
      <c r="S489" s="3"/>
      <c r="T489" s="3" t="b">
        <f>IFERROR(__xludf.DUMMYFUNCTION("""COMPUTED_VALUE"""),FALSE)</f>
        <v>0</v>
      </c>
      <c r="U489" s="3" t="b">
        <f>IFERROR(__xludf.DUMMYFUNCTION("""COMPUTED_VALUE"""),FALSE)</f>
        <v>0</v>
      </c>
      <c r="V489" s="3" t="b">
        <f>IFERROR(__xludf.DUMMYFUNCTION("""COMPUTED_VALUE"""),FALSE)</f>
        <v>0</v>
      </c>
      <c r="W489" s="3" t="str">
        <f>IFERROR(__xludf.DUMMYFUNCTION("""COMPUTED_VALUE"""),"LCP")</f>
        <v>LCP</v>
      </c>
      <c r="X489" s="3" t="str">
        <f>IFERROR(__xludf.DUMMYFUNCTION("""COMPUTED_VALUE"""),"#N/A")</f>
        <v>#N/A</v>
      </c>
      <c r="Y489" s="3" t="str">
        <f>IFERROR(__xludf.DUMMYFUNCTION("""COMPUTED_VALUE"""),"#N/A")</f>
        <v>#N/A</v>
      </c>
      <c r="Z489" s="3" t="str">
        <f>IFERROR(__xludf.DUMMYFUNCTION("""COMPUTED_VALUE"""),"Unknown")</f>
        <v>Unknown</v>
      </c>
      <c r="AA489" s="3" t="b">
        <f>IFERROR(__xludf.DUMMYFUNCTION("""COMPUTED_VALUE"""),FALSE)</f>
        <v>0</v>
      </c>
    </row>
    <row r="490">
      <c r="A490" s="11">
        <f>IFERROR(__xludf.DUMMYFUNCTION("""COMPUTED_VALUE"""),1.00652454E8)</f>
        <v>100652454</v>
      </c>
      <c r="B490" s="3" t="str">
        <f>IFERROR(__xludf.DUMMYFUNCTION("""COMPUTED_VALUE"""),"Namit Kapoor")</f>
        <v>Namit Kapoor</v>
      </c>
      <c r="C490" s="3" t="str">
        <f>IFERROR(__xludf.DUMMYFUNCTION("""COMPUTED_VALUE"""),"Namit  Kapoor")</f>
        <v>Namit  Kapoor</v>
      </c>
      <c r="D490" s="3" t="str">
        <f>IFERROR(__xludf.DUMMYFUNCTION("""COMPUTED_VALUE"""),"Kapoor, Namit")</f>
        <v>Kapoor, Namit</v>
      </c>
      <c r="E490" s="3" t="str">
        <f>IFERROR(__xludf.DUMMYFUNCTION("""COMPUTED_VALUE"""),"Active")</f>
        <v>Active</v>
      </c>
      <c r="F490" s="3" t="str">
        <f>IFERROR(__xludf.DUMMYFUNCTION("""COMPUTED_VALUE"""),"namit.kapoor@pwc.com")</f>
        <v>namit.kapoor@pwc.com</v>
      </c>
      <c r="G490" s="3" t="str">
        <f>IFERROR(__xludf.DUMMYFUNCTION("""COMPUTED_VALUE"""),"ESV")</f>
        <v>ESV</v>
      </c>
      <c r="H490" s="3" t="str">
        <f>IFERROR(__xludf.DUMMYFUNCTION("""COMPUTED_VALUE"""),"TMT X-Sector")</f>
        <v>TMT X-Sector</v>
      </c>
      <c r="I490" s="3" t="str">
        <f>IFERROR(__xludf.DUMMYFUNCTION("""COMPUTED_VALUE"""),"ESV - TMT")</f>
        <v>ESV - TMT</v>
      </c>
      <c r="J490" s="3" t="str">
        <f>IFERROR(__xludf.DUMMYFUNCTION("""COMPUTED_VALUE"""),"Partner")</f>
        <v>Partner</v>
      </c>
      <c r="K490" s="12">
        <f>IFERROR(__xludf.DUMMYFUNCTION("""COMPUTED_VALUE"""),42186.0)</f>
        <v>42186</v>
      </c>
      <c r="L490" s="3" t="str">
        <f>IFERROR(__xludf.DUMMYFUNCTION("""COMPUTED_VALUE"""),"Chicago")</f>
        <v>Chicago</v>
      </c>
      <c r="M490" s="3" t="str">
        <f>IFERROR(__xludf.DUMMYFUNCTION("""COMPUTED_VALUE"""),"Chicago - One North Wacker Drive")</f>
        <v>Chicago - One North Wacker Drive</v>
      </c>
      <c r="N490" s="3" t="b">
        <f>IFERROR(__xludf.DUMMYFUNCTION("""COMPUTED_VALUE"""),FALSE)</f>
        <v>0</v>
      </c>
      <c r="O490" s="3" t="str">
        <f>IFERROR(__xludf.DUMMYFUNCTION("""COMPUTED_VALUE"""),"sundar.subramanian@pwc.com")</f>
        <v>sundar.subramanian@pwc.com</v>
      </c>
      <c r="P490" s="3" t="str">
        <f>IFERROR(__xludf.DUMMYFUNCTION("""COMPUTED_VALUE"""),"No")</f>
        <v>No</v>
      </c>
      <c r="Q490" s="3" t="b">
        <f>IFERROR(__xludf.DUMMYFUNCTION("""COMPUTED_VALUE"""),FALSE)</f>
        <v>0</v>
      </c>
      <c r="R490" s="3"/>
      <c r="S490" s="3"/>
      <c r="T490" s="3" t="b">
        <f>IFERROR(__xludf.DUMMYFUNCTION("""COMPUTED_VALUE"""),FALSE)</f>
        <v>0</v>
      </c>
      <c r="U490" s="3" t="b">
        <f>IFERROR(__xludf.DUMMYFUNCTION("""COMPUTED_VALUE"""),TRUE)</f>
        <v>1</v>
      </c>
      <c r="V490" s="3" t="b">
        <f>IFERROR(__xludf.DUMMYFUNCTION("""COMPUTED_VALUE"""),FALSE)</f>
        <v>0</v>
      </c>
      <c r="W490" s="3" t="str">
        <f>IFERROR(__xludf.DUMMYFUNCTION("""COMPUTED_VALUE"""),"Delivery")</f>
        <v>Delivery</v>
      </c>
      <c r="X490" s="3" t="str">
        <f>IFERROR(__xludf.DUMMYFUNCTION("""COMPUTED_VALUE"""),"Investment")</f>
        <v>Investment</v>
      </c>
      <c r="Y490" s="3"/>
      <c r="Z490" s="3" t="str">
        <f>IFERROR(__xludf.DUMMYFUNCTION("""COMPUTED_VALUE"""),"Enterprise Digital Transformation - TMT")</f>
        <v>Enterprise Digital Transformation - TMT</v>
      </c>
      <c r="AA490" s="3" t="b">
        <f>IFERROR(__xludf.DUMMYFUNCTION("""COMPUTED_VALUE"""),TRUE)</f>
        <v>1</v>
      </c>
    </row>
    <row r="491">
      <c r="A491" s="11">
        <f>IFERROR(__xludf.DUMMYFUNCTION("""COMPUTED_VALUE"""),1.00651998E8)</f>
        <v>100651998</v>
      </c>
      <c r="B491" s="3" t="str">
        <f>IFERROR(__xludf.DUMMYFUNCTION("""COMPUTED_VALUE"""),"Namit Mehta")</f>
        <v>Namit Mehta</v>
      </c>
      <c r="C491" s="3" t="str">
        <f>IFERROR(__xludf.DUMMYFUNCTION("""COMPUTED_VALUE"""),"Namit  Mehta")</f>
        <v>Namit  Mehta</v>
      </c>
      <c r="D491" s="3" t="str">
        <f>IFERROR(__xludf.DUMMYFUNCTION("""COMPUTED_VALUE"""),"Mehta, Namit")</f>
        <v>Mehta, Namit</v>
      </c>
      <c r="E491" s="3" t="str">
        <f>IFERROR(__xludf.DUMMYFUNCTION("""COMPUTED_VALUE"""),"Active")</f>
        <v>Active</v>
      </c>
      <c r="F491" s="3" t="str">
        <f>IFERROR(__xludf.DUMMYFUNCTION("""COMPUTED_VALUE"""),"namit.mehta@pwc.com")</f>
        <v>namit.mehta@pwc.com</v>
      </c>
      <c r="G491" s="3" t="str">
        <f>IFERROR(__xludf.DUMMYFUNCTION("""COMPUTED_VALUE"""),"Ops")</f>
        <v>Ops</v>
      </c>
      <c r="H491" s="3" t="str">
        <f>IFERROR(__xludf.DUMMYFUNCTION("""COMPUTED_VALUE"""),"Pharma and Life Sciences")</f>
        <v>Pharma and Life Sciences</v>
      </c>
      <c r="I491" s="3" t="str">
        <f>IFERROR(__xludf.DUMMYFUNCTION("""COMPUTED_VALUE"""),"Ops - Product Development &amp; Manufacturing (PDM)")</f>
        <v>Ops - Product Development &amp; Manufacturing (PDM)</v>
      </c>
      <c r="J491" s="3" t="str">
        <f>IFERROR(__xludf.DUMMYFUNCTION("""COMPUTED_VALUE"""),"Partner")</f>
        <v>Partner</v>
      </c>
      <c r="K491" s="12">
        <f>IFERROR(__xludf.DUMMYFUNCTION("""COMPUTED_VALUE"""),42186.0)</f>
        <v>42186</v>
      </c>
      <c r="L491" s="3" t="str">
        <f>IFERROR(__xludf.DUMMYFUNCTION("""COMPUTED_VALUE"""),"Chicago")</f>
        <v>Chicago</v>
      </c>
      <c r="M491" s="3" t="str">
        <f>IFERROR(__xludf.DUMMYFUNCTION("""COMPUTED_VALUE"""),"Chicago - One North Wacker Drive")</f>
        <v>Chicago - One North Wacker Drive</v>
      </c>
      <c r="N491" s="3" t="b">
        <f>IFERROR(__xludf.DUMMYFUNCTION("""COMPUTED_VALUE"""),FALSE)</f>
        <v>0</v>
      </c>
      <c r="O491" s="3" t="str">
        <f>IFERROR(__xludf.DUMMYFUNCTION("""COMPUTED_VALUE"""),"matthew.r.comte@pwc.com")</f>
        <v>matthew.r.comte@pwc.com</v>
      </c>
      <c r="P491" s="3" t="str">
        <f>IFERROR(__xludf.DUMMYFUNCTION("""COMPUTED_VALUE"""),"No")</f>
        <v>No</v>
      </c>
      <c r="Q491" s="3" t="b">
        <f>IFERROR(__xludf.DUMMYFUNCTION("""COMPUTED_VALUE"""),FALSE)</f>
        <v>0</v>
      </c>
      <c r="R491" s="3"/>
      <c r="S491" s="3"/>
      <c r="T491" s="3" t="b">
        <f>IFERROR(__xludf.DUMMYFUNCTION("""COMPUTED_VALUE"""),FALSE)</f>
        <v>0</v>
      </c>
      <c r="U491" s="3" t="b">
        <f>IFERROR(__xludf.DUMMYFUNCTION("""COMPUTED_VALUE"""),TRUE)</f>
        <v>1</v>
      </c>
      <c r="V491" s="3" t="b">
        <f>IFERROR(__xludf.DUMMYFUNCTION("""COMPUTED_VALUE"""),FALSE)</f>
        <v>0</v>
      </c>
      <c r="W491" s="3" t="str">
        <f>IFERROR(__xludf.DUMMYFUNCTION("""COMPUTED_VALUE"""),"Delivery")</f>
        <v>Delivery</v>
      </c>
      <c r="X491" s="3" t="str">
        <f>IFERROR(__xludf.DUMMYFUNCTION("""COMPUTED_VALUE"""),"Investment")</f>
        <v>Investment</v>
      </c>
      <c r="Y491" s="3" t="str">
        <f>IFERROR(__xludf.DUMMYFUNCTION("""COMPUTED_VALUE"""),"Investment")</f>
        <v>Investment</v>
      </c>
      <c r="Z491" s="3" t="str">
        <f>IFERROR(__xludf.DUMMYFUNCTION("""COMPUTED_VALUE"""),"PLS Ops Transformation")</f>
        <v>PLS Ops Transformation</v>
      </c>
      <c r="AA491" s="3" t="b">
        <f>IFERROR(__xludf.DUMMYFUNCTION("""COMPUTED_VALUE"""),FALSE)</f>
        <v>0</v>
      </c>
    </row>
    <row r="492">
      <c r="A492" s="11">
        <f>IFERROR(__xludf.DUMMYFUNCTION("""COMPUTED_VALUE"""),1.00589248E8)</f>
        <v>100589248</v>
      </c>
      <c r="B492" s="3" t="str">
        <f>IFERROR(__xludf.DUMMYFUNCTION("""COMPUTED_VALUE"""),"Nathan Meyer")</f>
        <v>Nathan Meyer</v>
      </c>
      <c r="C492" s="3" t="str">
        <f>IFERROR(__xludf.DUMMYFUNCTION("""COMPUTED_VALUE"""),"Nathan  Meyer")</f>
        <v>Nathan  Meyer</v>
      </c>
      <c r="D492" s="3" t="str">
        <f>IFERROR(__xludf.DUMMYFUNCTION("""COMPUTED_VALUE"""),"Meyer, Nathan")</f>
        <v>Meyer, Nathan</v>
      </c>
      <c r="E492" s="3" t="str">
        <f>IFERROR(__xludf.DUMMYFUNCTION("""COMPUTED_VALUE"""),"Active")</f>
        <v>Active</v>
      </c>
      <c r="F492" s="3" t="str">
        <f>IFERROR(__xludf.DUMMYFUNCTION("""COMPUTED_VALUE"""),"nathan.meyer@pwc.com")</f>
        <v>nathan.meyer@pwc.com</v>
      </c>
      <c r="G492" s="3" t="str">
        <f>IFERROR(__xludf.DUMMYFUNCTION("""COMPUTED_VALUE"""),"Customer")</f>
        <v>Customer</v>
      </c>
      <c r="H492" s="3" t="str">
        <f>IFERROR(__xludf.DUMMYFUNCTION("""COMPUTED_VALUE"""),"TMT X-Sector")</f>
        <v>TMT X-Sector</v>
      </c>
      <c r="I492" s="3" t="str">
        <f>IFERROR(__xludf.DUMMYFUNCTION("""COMPUTED_VALUE"""),"Customer - Service")</f>
        <v>Customer - Service</v>
      </c>
      <c r="J492" s="3" t="str">
        <f>IFERROR(__xludf.DUMMYFUNCTION("""COMPUTED_VALUE"""),"Partner")</f>
        <v>Partner</v>
      </c>
      <c r="K492" s="12">
        <f>IFERROR(__xludf.DUMMYFUNCTION("""COMPUTED_VALUE"""),40798.0)</f>
        <v>40798</v>
      </c>
      <c r="L492" s="3" t="str">
        <f>IFERROR(__xludf.DUMMYFUNCTION("""COMPUTED_VALUE"""),"Dallas")</f>
        <v>Dallas</v>
      </c>
      <c r="M492" s="3" t="str">
        <f>IFERROR(__xludf.DUMMYFUNCTION("""COMPUTED_VALUE"""),"Dallas - 2121 North Pearl Street")</f>
        <v>Dallas - 2121 North Pearl Street</v>
      </c>
      <c r="N492" s="3" t="b">
        <f>IFERROR(__xludf.DUMMYFUNCTION("""COMPUTED_VALUE"""),FALSE)</f>
        <v>0</v>
      </c>
      <c r="O492" s="3" t="str">
        <f>IFERROR(__xludf.DUMMYFUNCTION("""COMPUTED_VALUE"""),"george.korizis@pwc.com")</f>
        <v>george.korizis@pwc.com</v>
      </c>
      <c r="P492" s="3" t="str">
        <f>IFERROR(__xludf.DUMMYFUNCTION("""COMPUTED_VALUE"""),"No")</f>
        <v>No</v>
      </c>
      <c r="Q492" s="3" t="b">
        <f>IFERROR(__xludf.DUMMYFUNCTION("""COMPUTED_VALUE"""),FALSE)</f>
        <v>0</v>
      </c>
      <c r="R492" s="3"/>
      <c r="S492" s="3"/>
      <c r="T492" s="3" t="b">
        <f>IFERROR(__xludf.DUMMYFUNCTION("""COMPUTED_VALUE"""),FALSE)</f>
        <v>0</v>
      </c>
      <c r="U492" s="3" t="b">
        <f>IFERROR(__xludf.DUMMYFUNCTION("""COMPUTED_VALUE"""),TRUE)</f>
        <v>1</v>
      </c>
      <c r="V492" s="3" t="b">
        <f>IFERROR(__xludf.DUMMYFUNCTION("""COMPUTED_VALUE"""),FALSE)</f>
        <v>0</v>
      </c>
      <c r="W492" s="3" t="str">
        <f>IFERROR(__xludf.DUMMYFUNCTION("""COMPUTED_VALUE"""),"Delivery")</f>
        <v>Delivery</v>
      </c>
      <c r="X492" s="3"/>
      <c r="Y492" s="3"/>
      <c r="Z492" s="3" t="str">
        <f>IFERROR(__xludf.DUMMYFUNCTION("""COMPUTED_VALUE"""),"Commercial / CRM Transformation - FS &amp; TMT")</f>
        <v>Commercial / CRM Transformation - FS &amp; TMT</v>
      </c>
      <c r="AA492" s="3" t="b">
        <f>IFERROR(__xludf.DUMMYFUNCTION("""COMPUTED_VALUE"""),FALSE)</f>
        <v>0</v>
      </c>
    </row>
    <row r="493">
      <c r="A493" s="11">
        <f>IFERROR(__xludf.DUMMYFUNCTION("""COMPUTED_VALUE"""),1.00586233E8)</f>
        <v>100586233</v>
      </c>
      <c r="B493" s="3" t="str">
        <f>IFERROR(__xludf.DUMMYFUNCTION("""COMPUTED_VALUE"""),"Nick Bonny")</f>
        <v>Nick Bonny</v>
      </c>
      <c r="C493" s="3" t="str">
        <f>IFERROR(__xludf.DUMMYFUNCTION("""COMPUTED_VALUE"""),"Nicholas Justin Bonny")</f>
        <v>Nicholas Justin Bonny</v>
      </c>
      <c r="D493" s="3" t="str">
        <f>IFERROR(__xludf.DUMMYFUNCTION("""COMPUTED_VALUE"""),"Bonny, Nicholas Justin")</f>
        <v>Bonny, Nicholas Justin</v>
      </c>
      <c r="E493" s="3" t="str">
        <f>IFERROR(__xludf.DUMMYFUNCTION("""COMPUTED_VALUE"""),"Active")</f>
        <v>Active</v>
      </c>
      <c r="F493" s="3" t="str">
        <f>IFERROR(__xludf.DUMMYFUNCTION("""COMPUTED_VALUE"""),"nick.bonny@pwc.com")</f>
        <v>nick.bonny@pwc.com</v>
      </c>
      <c r="G493" s="3" t="str">
        <f>IFERROR(__xludf.DUMMYFUNCTION("""COMPUTED_VALUE"""),"Ops")</f>
        <v>Ops</v>
      </c>
      <c r="H493" s="3" t="str">
        <f>IFERROR(__xludf.DUMMYFUNCTION("""COMPUTED_VALUE"""),"Pharma and Life Sciences")</f>
        <v>Pharma and Life Sciences</v>
      </c>
      <c r="I493" s="3" t="str">
        <f>IFERROR(__xludf.DUMMYFUNCTION("""COMPUTED_VALUE"""),"Ops - Connected Supply Chain (CSC)")</f>
        <v>Ops - Connected Supply Chain (CSC)</v>
      </c>
      <c r="J493" s="3" t="str">
        <f>IFERROR(__xludf.DUMMYFUNCTION("""COMPUTED_VALUE"""),"Partner")</f>
        <v>Partner</v>
      </c>
      <c r="K493" s="12">
        <f>IFERROR(__xludf.DUMMYFUNCTION("""COMPUTED_VALUE"""),40798.0)</f>
        <v>40798</v>
      </c>
      <c r="L493" s="3" t="str">
        <f>IFERROR(__xludf.DUMMYFUNCTION("""COMPUTED_VALUE"""),"Boston")</f>
        <v>Boston</v>
      </c>
      <c r="M493" s="3" t="str">
        <f>IFERROR(__xludf.DUMMYFUNCTION("""COMPUTED_VALUE"""),"Boston - 101 Seaport Boulevard")</f>
        <v>Boston - 101 Seaport Boulevard</v>
      </c>
      <c r="N493" s="3" t="b">
        <f>IFERROR(__xludf.DUMMYFUNCTION("""COMPUTED_VALUE"""),FALSE)</f>
        <v>0</v>
      </c>
      <c r="O493" s="3" t="str">
        <f>IFERROR(__xludf.DUMMYFUNCTION("""COMPUTED_VALUE"""),"matthew.r.comte@pwc.com")</f>
        <v>matthew.r.comte@pwc.com</v>
      </c>
      <c r="P493" s="3" t="str">
        <f>IFERROR(__xludf.DUMMYFUNCTION("""COMPUTED_VALUE"""),"No")</f>
        <v>No</v>
      </c>
      <c r="Q493" s="3" t="b">
        <f>IFERROR(__xludf.DUMMYFUNCTION("""COMPUTED_VALUE"""),FALSE)</f>
        <v>0</v>
      </c>
      <c r="R493" s="3"/>
      <c r="S493" s="3"/>
      <c r="T493" s="3" t="b">
        <f>IFERROR(__xludf.DUMMYFUNCTION("""COMPUTED_VALUE"""),FALSE)</f>
        <v>0</v>
      </c>
      <c r="U493" s="3" t="b">
        <f>IFERROR(__xludf.DUMMYFUNCTION("""COMPUTED_VALUE"""),TRUE)</f>
        <v>1</v>
      </c>
      <c r="V493" s="3" t="b">
        <f>IFERROR(__xludf.DUMMYFUNCTION("""COMPUTED_VALUE"""),FALSE)</f>
        <v>0</v>
      </c>
      <c r="W493" s="3" t="str">
        <f>IFERROR(__xludf.DUMMYFUNCTION("""COMPUTED_VALUE"""),"Delivery")</f>
        <v>Delivery</v>
      </c>
      <c r="X493" s="3"/>
      <c r="Y493" s="3"/>
      <c r="Z493" s="3" t="str">
        <f>IFERROR(__xludf.DUMMYFUNCTION("""COMPUTED_VALUE"""),"PLS Ops Transformation")</f>
        <v>PLS Ops Transformation</v>
      </c>
      <c r="AA493" s="3" t="b">
        <f>IFERROR(__xludf.DUMMYFUNCTION("""COMPUTED_VALUE"""),FALSE)</f>
        <v>0</v>
      </c>
    </row>
    <row r="494">
      <c r="A494" s="11">
        <f>IFERROR(__xludf.DUMMYFUNCTION("""COMPUTED_VALUE"""),1.00602248E8)</f>
        <v>100602248</v>
      </c>
      <c r="B494" s="3" t="str">
        <f>IFERROR(__xludf.DUMMYFUNCTION("""COMPUTED_VALUE"""),"Nik Shah")</f>
        <v>Nik Shah</v>
      </c>
      <c r="C494" s="3" t="str">
        <f>IFERROR(__xludf.DUMMYFUNCTION("""COMPUTED_VALUE"""),"Nikur D Shah")</f>
        <v>Nikur D Shah</v>
      </c>
      <c r="D494" s="3" t="str">
        <f>IFERROR(__xludf.DUMMYFUNCTION("""COMPUTED_VALUE"""),"Shah, Nikur D")</f>
        <v>Shah, Nikur D</v>
      </c>
      <c r="E494" s="3" t="str">
        <f>IFERROR(__xludf.DUMMYFUNCTION("""COMPUTED_VALUE"""),"Active")</f>
        <v>Active</v>
      </c>
      <c r="F494" s="3" t="str">
        <f>IFERROR(__xludf.DUMMYFUNCTION("""COMPUTED_VALUE"""),"nik.shah@pwc.com")</f>
        <v>nik.shah@pwc.com</v>
      </c>
      <c r="G494" s="3" t="str">
        <f>IFERROR(__xludf.DUMMYFUNCTION("""COMPUTED_VALUE"""),"Workforce")</f>
        <v>Workforce</v>
      </c>
      <c r="H494" s="3" t="str">
        <f>IFERROR(__xludf.DUMMYFUNCTION("""COMPUTED_VALUE"""),"FS X-Sector")</f>
        <v>FS X-Sector</v>
      </c>
      <c r="I494" s="3" t="str">
        <f>IFERROR(__xludf.DUMMYFUNCTION("""COMPUTED_VALUE"""),"Workforce - Rewards &amp; Well Being")</f>
        <v>Workforce - Rewards &amp; Well Being</v>
      </c>
      <c r="J494" s="3" t="str">
        <f>IFERROR(__xludf.DUMMYFUNCTION("""COMPUTED_VALUE"""),"Partner")</f>
        <v>Partner</v>
      </c>
      <c r="K494" s="12">
        <f>IFERROR(__xludf.DUMMYFUNCTION("""COMPUTED_VALUE"""),37130.0)</f>
        <v>37130</v>
      </c>
      <c r="L494" s="3" t="str">
        <f>IFERROR(__xludf.DUMMYFUNCTION("""COMPUTED_VALUE"""),"Washington")</f>
        <v>Washington</v>
      </c>
      <c r="M494" s="3" t="str">
        <f>IFERROR(__xludf.DUMMYFUNCTION("""COMPUTED_VALUE"""),"Washington DC - 655 New York Avenue")</f>
        <v>Washington DC - 655 New York Avenue</v>
      </c>
      <c r="N494" s="3" t="b">
        <f>IFERROR(__xludf.DUMMYFUNCTION("""COMPUTED_VALUE"""),FALSE)</f>
        <v>0</v>
      </c>
      <c r="O494" s="3" t="str">
        <f>IFERROR(__xludf.DUMMYFUNCTION("""COMPUTED_VALUE"""),"craig.odonnell@pwc.com")</f>
        <v>craig.odonnell@pwc.com</v>
      </c>
      <c r="P494" s="3" t="str">
        <f>IFERROR(__xludf.DUMMYFUNCTION("""COMPUTED_VALUE"""),"No")</f>
        <v>No</v>
      </c>
      <c r="Q494" s="3" t="b">
        <f>IFERROR(__xludf.DUMMYFUNCTION("""COMPUTED_VALUE"""),FALSE)</f>
        <v>0</v>
      </c>
      <c r="R494" s="3"/>
      <c r="S494" s="3"/>
      <c r="T494" s="3" t="b">
        <f>IFERROR(__xludf.DUMMYFUNCTION("""COMPUTED_VALUE"""),FALSE)</f>
        <v>0</v>
      </c>
      <c r="U494" s="3" t="b">
        <f>IFERROR(__xludf.DUMMYFUNCTION("""COMPUTED_VALUE"""),FALSE)</f>
        <v>0</v>
      </c>
      <c r="V494" s="3" t="b">
        <f>IFERROR(__xludf.DUMMYFUNCTION("""COMPUTED_VALUE"""),FALSE)</f>
        <v>0</v>
      </c>
      <c r="W494" s="3" t="str">
        <f>IFERROR(__xludf.DUMMYFUNCTION("""COMPUTED_VALUE"""),"#N/A")</f>
        <v>#N/A</v>
      </c>
      <c r="X494" s="3" t="str">
        <f>IFERROR(__xludf.DUMMYFUNCTION("""COMPUTED_VALUE"""),"#N/A")</f>
        <v>#N/A</v>
      </c>
      <c r="Y494" s="3" t="str">
        <f>IFERROR(__xludf.DUMMYFUNCTION("""COMPUTED_VALUE"""),"#N/A")</f>
        <v>#N/A</v>
      </c>
      <c r="Z494" s="3" t="str">
        <f>IFERROR(__xludf.DUMMYFUNCTION("""COMPUTED_VALUE"""),"Unknown")</f>
        <v>Unknown</v>
      </c>
      <c r="AA494" s="3" t="b">
        <f>IFERROR(__xludf.DUMMYFUNCTION("""COMPUTED_VALUE"""),FALSE)</f>
        <v>0</v>
      </c>
    </row>
    <row r="495">
      <c r="A495" s="11">
        <f>IFERROR(__xludf.DUMMYFUNCTION("""COMPUTED_VALUE"""),1.00904603E8)</f>
        <v>100904603</v>
      </c>
      <c r="B495" s="3" t="str">
        <f>IFERROR(__xludf.DUMMYFUNCTION("""COMPUTED_VALUE"""),"Nikhil Menon")</f>
        <v>Nikhil Menon</v>
      </c>
      <c r="C495" s="3" t="str">
        <f>IFERROR(__xludf.DUMMYFUNCTION("""COMPUTED_VALUE"""),"Nikhil  Menon")</f>
        <v>Nikhil  Menon</v>
      </c>
      <c r="D495" s="3" t="str">
        <f>IFERROR(__xludf.DUMMYFUNCTION("""COMPUTED_VALUE"""),"Menon, Nikhil")</f>
        <v>Menon, Nikhil</v>
      </c>
      <c r="E495" s="3" t="str">
        <f>IFERROR(__xludf.DUMMYFUNCTION("""COMPUTED_VALUE"""),"Active")</f>
        <v>Active</v>
      </c>
      <c r="F495" s="3" t="str">
        <f>IFERROR(__xludf.DUMMYFUNCTION("""COMPUTED_VALUE"""),"nikhil.menon@pwc.com")</f>
        <v>nikhil.menon@pwc.com</v>
      </c>
      <c r="G495" s="3" t="str">
        <f>IFERROR(__xludf.DUMMYFUNCTION("""COMPUTED_VALUE"""),"Deals Transformation")</f>
        <v>Deals Transformation</v>
      </c>
      <c r="H495" s="3" t="str">
        <f>IFERROR(__xludf.DUMMYFUNCTION("""COMPUTED_VALUE"""),"TMT X-Sector")</f>
        <v>TMT X-Sector</v>
      </c>
      <c r="I495" s="3" t="str">
        <f>IFERROR(__xludf.DUMMYFUNCTION("""COMPUTED_VALUE"""),"DDV - IT")</f>
        <v>DDV - IT</v>
      </c>
      <c r="J495" s="3" t="str">
        <f>IFERROR(__xludf.DUMMYFUNCTION("""COMPUTED_VALUE"""),"Partner")</f>
        <v>Partner</v>
      </c>
      <c r="K495" s="12">
        <f>IFERROR(__xludf.DUMMYFUNCTION("""COMPUTED_VALUE"""),43619.0)</f>
        <v>43619</v>
      </c>
      <c r="L495" s="3" t="str">
        <f>IFERROR(__xludf.DUMMYFUNCTION("""COMPUTED_VALUE"""),"San Jose")</f>
        <v>San Jose</v>
      </c>
      <c r="M495" s="3" t="str">
        <f>IFERROR(__xludf.DUMMYFUNCTION("""COMPUTED_VALUE"""),"San Jose - 488 Almaden Boulevard")</f>
        <v>San Jose - 488 Almaden Boulevard</v>
      </c>
      <c r="N495" s="3" t="b">
        <f>IFERROR(__xludf.DUMMYFUNCTION("""COMPUTED_VALUE"""),FALSE)</f>
        <v>0</v>
      </c>
      <c r="O495" s="3" t="str">
        <f>IFERROR(__xludf.DUMMYFUNCTION("""COMPUTED_VALUE"""),"derek.b.townsend@pwc.com")</f>
        <v>derek.b.townsend@pwc.com</v>
      </c>
      <c r="P495" s="3" t="str">
        <f>IFERROR(__xludf.DUMMYFUNCTION("""COMPUTED_VALUE"""),"No")</f>
        <v>No</v>
      </c>
      <c r="Q495" s="3" t="b">
        <f>IFERROR(__xludf.DUMMYFUNCTION("""COMPUTED_VALUE"""),FALSE)</f>
        <v>0</v>
      </c>
      <c r="R495" s="3"/>
      <c r="S495" s="3"/>
      <c r="T495" s="3" t="b">
        <f>IFERROR(__xludf.DUMMYFUNCTION("""COMPUTED_VALUE"""),FALSE)</f>
        <v>0</v>
      </c>
      <c r="U495" s="3" t="b">
        <f>IFERROR(__xludf.DUMMYFUNCTION("""COMPUTED_VALUE"""),FALSE)</f>
        <v>0</v>
      </c>
      <c r="V495" s="3" t="b">
        <f>IFERROR(__xludf.DUMMYFUNCTION("""COMPUTED_VALUE"""),FALSE)</f>
        <v>0</v>
      </c>
      <c r="W495" s="3" t="str">
        <f>IFERROR(__xludf.DUMMYFUNCTION("""COMPUTED_VALUE"""),"Delivery")</f>
        <v>Delivery</v>
      </c>
      <c r="X495" s="3"/>
      <c r="Y495" s="3" t="str">
        <f>IFERROR(__xludf.DUMMYFUNCTION("""COMPUTED_VALUE"""),"Point Partner")</f>
        <v>Point Partner</v>
      </c>
      <c r="Z495" s="3" t="str">
        <f>IFERROR(__xludf.DUMMYFUNCTION("""COMPUTED_VALUE"""),"Corporate M&amp;A Transformation - TMT")</f>
        <v>Corporate M&amp;A Transformation - TMT</v>
      </c>
      <c r="AA495" s="3" t="b">
        <f>IFERROR(__xludf.DUMMYFUNCTION("""COMPUTED_VALUE"""),FALSE)</f>
        <v>0</v>
      </c>
    </row>
    <row r="496">
      <c r="A496" s="11">
        <f>IFERROR(__xludf.DUMMYFUNCTION("""COMPUTED_VALUE"""),1.00911004E8)</f>
        <v>100911004</v>
      </c>
      <c r="B496" s="3" t="str">
        <f>IFERROR(__xludf.DUMMYFUNCTION("""COMPUTED_VALUE"""),"Nina Owens")</f>
        <v>Nina Owens</v>
      </c>
      <c r="C496" s="3" t="str">
        <f>IFERROR(__xludf.DUMMYFUNCTION("""COMPUTED_VALUE"""),"Nina Castro Owens")</f>
        <v>Nina Castro Owens</v>
      </c>
      <c r="D496" s="3" t="str">
        <f>IFERROR(__xludf.DUMMYFUNCTION("""COMPUTED_VALUE"""),"Owens, Nina Castro")</f>
        <v>Owens, Nina Castro</v>
      </c>
      <c r="E496" s="3" t="str">
        <f>IFERROR(__xludf.DUMMYFUNCTION("""COMPUTED_VALUE"""),"Active")</f>
        <v>Active</v>
      </c>
      <c r="F496" s="3" t="str">
        <f>IFERROR(__xludf.DUMMYFUNCTION("""COMPUTED_VALUE"""),"nina.c.owens@pwc.com")</f>
        <v>nina.c.owens@pwc.com</v>
      </c>
      <c r="G496" s="3" t="str">
        <f>IFERROR(__xludf.DUMMYFUNCTION("""COMPUTED_VALUE"""),"FS")</f>
        <v>FS</v>
      </c>
      <c r="H496" s="3" t="str">
        <f>IFERROR(__xludf.DUMMYFUNCTION("""COMPUTED_VALUE"""),"Banking and Capital Markets")</f>
        <v>Banking and Capital Markets</v>
      </c>
      <c r="I496" s="3" t="str">
        <f>IFERROR(__xludf.DUMMYFUNCTION("""COMPUTED_VALUE"""),"FS - Banking and Capital Markets")</f>
        <v>FS - Banking and Capital Markets</v>
      </c>
      <c r="J496" s="3" t="str">
        <f>IFERROR(__xludf.DUMMYFUNCTION("""COMPUTED_VALUE"""),"Partner")</f>
        <v>Partner</v>
      </c>
      <c r="K496" s="12">
        <f>IFERROR(__xludf.DUMMYFUNCTION("""COMPUTED_VALUE"""),43643.0)</f>
        <v>43643</v>
      </c>
      <c r="L496" s="3" t="str">
        <f>IFERROR(__xludf.DUMMYFUNCTION("""COMPUTED_VALUE"""),"New York")</f>
        <v>New York</v>
      </c>
      <c r="M496" s="3" t="str">
        <f>IFERROR(__xludf.DUMMYFUNCTION("""COMPUTED_VALUE"""),"New York - 300 Madison Avenue")</f>
        <v>New York - 300 Madison Avenue</v>
      </c>
      <c r="N496" s="3" t="b">
        <f>IFERROR(__xludf.DUMMYFUNCTION("""COMPUTED_VALUE"""),FALSE)</f>
        <v>0</v>
      </c>
      <c r="O496" s="3" t="str">
        <f>IFERROR(__xludf.DUMMYFUNCTION("""COMPUTED_VALUE"""),"alison.hoover@pwc.com")</f>
        <v>alison.hoover@pwc.com</v>
      </c>
      <c r="P496" s="3" t="str">
        <f>IFERROR(__xludf.DUMMYFUNCTION("""COMPUTED_VALUE"""),"No")</f>
        <v>No</v>
      </c>
      <c r="Q496" s="3" t="b">
        <f>IFERROR(__xludf.DUMMYFUNCTION("""COMPUTED_VALUE"""),FALSE)</f>
        <v>0</v>
      </c>
      <c r="R496" s="3"/>
      <c r="S496" s="3"/>
      <c r="T496" s="3" t="b">
        <f>IFERROR(__xludf.DUMMYFUNCTION("""COMPUTED_VALUE"""),FALSE)</f>
        <v>0</v>
      </c>
      <c r="U496" s="3" t="b">
        <f>IFERROR(__xludf.DUMMYFUNCTION("""COMPUTED_VALUE"""),FALSE)</f>
        <v>0</v>
      </c>
      <c r="V496" s="3" t="b">
        <f>IFERROR(__xludf.DUMMYFUNCTION("""COMPUTED_VALUE"""),FALSE)</f>
        <v>0</v>
      </c>
      <c r="W496" s="3" t="str">
        <f>IFERROR(__xludf.DUMMYFUNCTION("""COMPUTED_VALUE"""),"#N/A")</f>
        <v>#N/A</v>
      </c>
      <c r="X496" s="3" t="str">
        <f>IFERROR(__xludf.DUMMYFUNCTION("""COMPUTED_VALUE"""),"#N/A")</f>
        <v>#N/A</v>
      </c>
      <c r="Y496" s="3" t="str">
        <f>IFERROR(__xludf.DUMMYFUNCTION("""COMPUTED_VALUE"""),"#N/A")</f>
        <v>#N/A</v>
      </c>
      <c r="Z496" s="3" t="str">
        <f>IFERROR(__xludf.DUMMYFUNCTION("""COMPUTED_VALUE"""),"Unknown")</f>
        <v>Unknown</v>
      </c>
      <c r="AA496" s="3" t="b">
        <f>IFERROR(__xludf.DUMMYFUNCTION("""COMPUTED_VALUE"""),FALSE)</f>
        <v>0</v>
      </c>
    </row>
    <row r="497">
      <c r="A497" s="11">
        <f>IFERROR(__xludf.DUMMYFUNCTION("""COMPUTED_VALUE"""),1.01211111E8)</f>
        <v>101211111</v>
      </c>
      <c r="B497" s="3" t="str">
        <f>IFERROR(__xludf.DUMMYFUNCTION("""COMPUTED_VALUE"""),"Nisheet Bhalla")</f>
        <v>Nisheet Bhalla</v>
      </c>
      <c r="C497" s="3" t="str">
        <f>IFERROR(__xludf.DUMMYFUNCTION("""COMPUTED_VALUE"""),"Nisheet  Bhalla")</f>
        <v>Nisheet  Bhalla</v>
      </c>
      <c r="D497" s="3" t="str">
        <f>IFERROR(__xludf.DUMMYFUNCTION("""COMPUTED_VALUE"""),"Bhalla, Nisheet")</f>
        <v>Bhalla, Nisheet</v>
      </c>
      <c r="E497" s="3" t="str">
        <f>IFERROR(__xludf.DUMMYFUNCTION("""COMPUTED_VALUE"""),"Active")</f>
        <v>Active</v>
      </c>
      <c r="F497" s="3" t="str">
        <f>IFERROR(__xludf.DUMMYFUNCTION("""COMPUTED_VALUE"""),"nisheet.bhalla@pwc.com")</f>
        <v>nisheet.bhalla@pwc.com</v>
      </c>
      <c r="G497" s="3" t="str">
        <f>IFERROR(__xludf.DUMMYFUNCTION("""COMPUTED_VALUE"""),"Deals Transformation")</f>
        <v>Deals Transformation</v>
      </c>
      <c r="H497" s="3" t="str">
        <f>IFERROR(__xludf.DUMMYFUNCTION("""COMPUTED_VALUE"""),"TMT X-Sector")</f>
        <v>TMT X-Sector</v>
      </c>
      <c r="I497" s="3" t="str">
        <f>IFERROR(__xludf.DUMMYFUNCTION("""COMPUTED_VALUE"""),"DDV - IT")</f>
        <v>DDV - IT</v>
      </c>
      <c r="J497" s="3" t="str">
        <f>IFERROR(__xludf.DUMMYFUNCTION("""COMPUTED_VALUE"""),"Managing Director")</f>
        <v>Managing Director</v>
      </c>
      <c r="K497" s="12">
        <f>IFERROR(__xludf.DUMMYFUNCTION("""COMPUTED_VALUE"""),44662.0)</f>
        <v>44662</v>
      </c>
      <c r="L497" s="3" t="str">
        <f>IFERROR(__xludf.DUMMYFUNCTION("""COMPUTED_VALUE"""),"Chicago")</f>
        <v>Chicago</v>
      </c>
      <c r="M497" s="3" t="str">
        <f>IFERROR(__xludf.DUMMYFUNCTION("""COMPUTED_VALUE"""),"#N/A")</f>
        <v>#N/A</v>
      </c>
      <c r="N497" s="3" t="b">
        <f>IFERROR(__xludf.DUMMYFUNCTION("""COMPUTED_VALUE"""),FALSE)</f>
        <v>0</v>
      </c>
      <c r="O497" s="3" t="str">
        <f>IFERROR(__xludf.DUMMYFUNCTION("""COMPUTED_VALUE"""),"")</f>
        <v/>
      </c>
      <c r="P497" s="3" t="str">
        <f>IFERROR(__xludf.DUMMYFUNCTION("""COMPUTED_VALUE"""),"FY22")</f>
        <v>FY22</v>
      </c>
      <c r="Q497" s="3" t="b">
        <f>IFERROR(__xludf.DUMMYFUNCTION("""COMPUTED_VALUE"""),FALSE)</f>
        <v>0</v>
      </c>
      <c r="R497" s="3" t="str">
        <f>IFERROR(__xludf.DUMMYFUNCTION("""COMPUTED_VALUE"""),"Unknown")</f>
        <v>Unknown</v>
      </c>
      <c r="S497" s="3"/>
      <c r="T497" s="3" t="b">
        <f>IFERROR(__xludf.DUMMYFUNCTION("""COMPUTED_VALUE"""),FALSE)</f>
        <v>0</v>
      </c>
      <c r="U497" s="3" t="b">
        <f>IFERROR(__xludf.DUMMYFUNCTION("""COMPUTED_VALUE"""),TRUE)</f>
        <v>1</v>
      </c>
      <c r="V497" s="3" t="b">
        <f>IFERROR(__xludf.DUMMYFUNCTION("""COMPUTED_VALUE"""),FALSE)</f>
        <v>0</v>
      </c>
      <c r="W497" s="3" t="str">
        <f>IFERROR(__xludf.DUMMYFUNCTION("""COMPUTED_VALUE"""),"Catalyst")</f>
        <v>Catalyst</v>
      </c>
      <c r="X497" s="3" t="str">
        <f>IFERROR(__xludf.DUMMYFUNCTION("""COMPUTED_VALUE"""),"Unknown")</f>
        <v>Unknown</v>
      </c>
      <c r="Y497" s="3" t="str">
        <f>IFERROR(__xludf.DUMMYFUNCTION("""COMPUTED_VALUE"""),"FY22")</f>
        <v>FY22</v>
      </c>
      <c r="Z497" s="3" t="str">
        <f>IFERROR(__xludf.DUMMYFUNCTION("""COMPUTED_VALUE"""),"Unknown")</f>
        <v>Unknown</v>
      </c>
      <c r="AA497" s="3" t="b">
        <f>IFERROR(__xludf.DUMMYFUNCTION("""COMPUTED_VALUE"""),FALSE)</f>
        <v>0</v>
      </c>
    </row>
    <row r="498">
      <c r="A498" s="11">
        <f>IFERROR(__xludf.DUMMYFUNCTION("""COMPUTED_VALUE"""),1.00619007E8)</f>
        <v>100619007</v>
      </c>
      <c r="B498" s="3" t="str">
        <f>IFERROR(__xludf.DUMMYFUNCTION("""COMPUTED_VALUE"""),"Nitin Lalwani")</f>
        <v>Nitin Lalwani</v>
      </c>
      <c r="C498" s="3" t="str">
        <f>IFERROR(__xludf.DUMMYFUNCTION("""COMPUTED_VALUE"""),"Nitin  Lalwani")</f>
        <v>Nitin  Lalwani</v>
      </c>
      <c r="D498" s="3" t="str">
        <f>IFERROR(__xludf.DUMMYFUNCTION("""COMPUTED_VALUE"""),"Lalwani, Nitin")</f>
        <v>Lalwani, Nitin</v>
      </c>
      <c r="E498" s="3" t="str">
        <f>IFERROR(__xludf.DUMMYFUNCTION("""COMPUTED_VALUE"""),"Active")</f>
        <v>Active</v>
      </c>
      <c r="F498" s="3" t="str">
        <f>IFERROR(__xludf.DUMMYFUNCTION("""COMPUTED_VALUE"""),"nitin.lalwani@pwc.com")</f>
        <v>nitin.lalwani@pwc.com</v>
      </c>
      <c r="G498" s="3" t="str">
        <f>IFERROR(__xludf.DUMMYFUNCTION("""COMPUTED_VALUE"""),"Deals Transformation")</f>
        <v>Deals Transformation</v>
      </c>
      <c r="H498" s="3" t="str">
        <f>IFERROR(__xludf.DUMMYFUNCTION("""COMPUTED_VALUE"""),"TMT X-Sector")</f>
        <v>TMT X-Sector</v>
      </c>
      <c r="I498" s="3" t="str">
        <f>IFERROR(__xludf.DUMMYFUNCTION("""COMPUTED_VALUE"""),"DDV - Finance")</f>
        <v>DDV - Finance</v>
      </c>
      <c r="J498" s="3" t="str">
        <f>IFERROR(__xludf.DUMMYFUNCTION("""COMPUTED_VALUE"""),"Partner")</f>
        <v>Partner</v>
      </c>
      <c r="K498" s="12">
        <f>IFERROR(__xludf.DUMMYFUNCTION("""COMPUTED_VALUE"""),38312.0)</f>
        <v>38312</v>
      </c>
      <c r="L498" s="3" t="str">
        <f>IFERROR(__xludf.DUMMYFUNCTION("""COMPUTED_VALUE"""),"Los Angeles")</f>
        <v>Los Angeles</v>
      </c>
      <c r="M498" s="3" t="str">
        <f>IFERROR(__xludf.DUMMYFUNCTION("""COMPUTED_VALUE"""),"Los Angeles - 601 South Figueroa Street")</f>
        <v>Los Angeles - 601 South Figueroa Street</v>
      </c>
      <c r="N498" s="3" t="b">
        <f>IFERROR(__xludf.DUMMYFUNCTION("""COMPUTED_VALUE"""),FALSE)</f>
        <v>0</v>
      </c>
      <c r="O498" s="3" t="str">
        <f>IFERROR(__xludf.DUMMYFUNCTION("""COMPUTED_VALUE"""),"derek.b.townsend@pwc.com")</f>
        <v>derek.b.townsend@pwc.com</v>
      </c>
      <c r="P498" s="3" t="str">
        <f>IFERROR(__xludf.DUMMYFUNCTION("""COMPUTED_VALUE"""),"No")</f>
        <v>No</v>
      </c>
      <c r="Q498" s="3" t="b">
        <f>IFERROR(__xludf.DUMMYFUNCTION("""COMPUTED_VALUE"""),FALSE)</f>
        <v>0</v>
      </c>
      <c r="R498" s="3"/>
      <c r="S498" s="3"/>
      <c r="T498" s="3" t="b">
        <f>IFERROR(__xludf.DUMMYFUNCTION("""COMPUTED_VALUE"""),FALSE)</f>
        <v>0</v>
      </c>
      <c r="U498" s="3" t="b">
        <f>IFERROR(__xludf.DUMMYFUNCTION("""COMPUTED_VALUE"""),TRUE)</f>
        <v>1</v>
      </c>
      <c r="V498" s="3" t="b">
        <f>IFERROR(__xludf.DUMMYFUNCTION("""COMPUTED_VALUE"""),FALSE)</f>
        <v>0</v>
      </c>
      <c r="W498" s="3" t="str">
        <f>IFERROR(__xludf.DUMMYFUNCTION("""COMPUTED_VALUE"""),"Delivery")</f>
        <v>Delivery</v>
      </c>
      <c r="X498" s="3"/>
      <c r="Y498" s="3"/>
      <c r="Z498" s="3" t="str">
        <f>IFERROR(__xludf.DUMMYFUNCTION("""COMPUTED_VALUE"""),"Corporate M&amp;A Transformation - TMT")</f>
        <v>Corporate M&amp;A Transformation - TMT</v>
      </c>
      <c r="AA498" s="3" t="b">
        <f>IFERROR(__xludf.DUMMYFUNCTION("""COMPUTED_VALUE"""),FALSE)</f>
        <v>0</v>
      </c>
    </row>
    <row r="499">
      <c r="A499" s="11">
        <f>IFERROR(__xludf.DUMMYFUNCTION("""COMPUTED_VALUE"""),1.00609544E8)</f>
        <v>100609544</v>
      </c>
      <c r="B499" s="3" t="str">
        <f>IFERROR(__xludf.DUMMYFUNCTION("""COMPUTED_VALUE"""),"Omar Chane")</f>
        <v>Omar Chane</v>
      </c>
      <c r="C499" s="3" t="str">
        <f>IFERROR(__xludf.DUMMYFUNCTION("""COMPUTED_VALUE"""),"Omar  Chane")</f>
        <v>Omar  Chane</v>
      </c>
      <c r="D499" s="3" t="str">
        <f>IFERROR(__xludf.DUMMYFUNCTION("""COMPUTED_VALUE"""),"Chane, Omar")</f>
        <v>Chane, Omar</v>
      </c>
      <c r="E499" s="3" t="str">
        <f>IFERROR(__xludf.DUMMYFUNCTION("""COMPUTED_VALUE"""),"Active")</f>
        <v>Active</v>
      </c>
      <c r="F499" s="3" t="str">
        <f>IFERROR(__xludf.DUMMYFUNCTION("""COMPUTED_VALUE"""),"omar.chane@pwc.com")</f>
        <v>omar.chane@pwc.com</v>
      </c>
      <c r="G499" s="3" t="str">
        <f>IFERROR(__xludf.DUMMYFUNCTION("""COMPUTED_VALUE"""),"Customer")</f>
        <v>Customer</v>
      </c>
      <c r="H499" s="3" t="str">
        <f>IFERROR(__xludf.DUMMYFUNCTION("""COMPUTED_VALUE"""),"Pharma and Life Sciences")</f>
        <v>Pharma and Life Sciences</v>
      </c>
      <c r="I499" s="3" t="str">
        <f>IFERROR(__xludf.DUMMYFUNCTION("""COMPUTED_VALUE"""),"Customer - Customer Strategy &amp; Experience")</f>
        <v>Customer - Customer Strategy &amp; Experience</v>
      </c>
      <c r="J499" s="3" t="str">
        <f>IFERROR(__xludf.DUMMYFUNCTION("""COMPUTED_VALUE"""),"Partner")</f>
        <v>Partner</v>
      </c>
      <c r="K499" s="12">
        <f>IFERROR(__xludf.DUMMYFUNCTION("""COMPUTED_VALUE"""),41671.0)</f>
        <v>41671</v>
      </c>
      <c r="L499" s="3" t="str">
        <f>IFERROR(__xludf.DUMMYFUNCTION("""COMPUTED_VALUE"""),"New York")</f>
        <v>New York</v>
      </c>
      <c r="M499" s="3" t="str">
        <f>IFERROR(__xludf.DUMMYFUNCTION("""COMPUTED_VALUE"""),"New York - 300 Madison Avenue")</f>
        <v>New York - 300 Madison Avenue</v>
      </c>
      <c r="N499" s="3" t="b">
        <f>IFERROR(__xludf.DUMMYFUNCTION("""COMPUTED_VALUE"""),FALSE)</f>
        <v>0</v>
      </c>
      <c r="O499" s="3" t="str">
        <f>IFERROR(__xludf.DUMMYFUNCTION("""COMPUTED_VALUE"""),"george.korizis@pwc.com")</f>
        <v>george.korizis@pwc.com</v>
      </c>
      <c r="P499" s="3" t="str">
        <f>IFERROR(__xludf.DUMMYFUNCTION("""COMPUTED_VALUE"""),"No")</f>
        <v>No</v>
      </c>
      <c r="Q499" s="3" t="b">
        <f>IFERROR(__xludf.DUMMYFUNCTION("""COMPUTED_VALUE"""),FALSE)</f>
        <v>0</v>
      </c>
      <c r="R499" s="3"/>
      <c r="S499" s="3"/>
      <c r="T499" s="3" t="b">
        <f>IFERROR(__xludf.DUMMYFUNCTION("""COMPUTED_VALUE"""),FALSE)</f>
        <v>0</v>
      </c>
      <c r="U499" s="3" t="b">
        <f>IFERROR(__xludf.DUMMYFUNCTION("""COMPUTED_VALUE"""),TRUE)</f>
        <v>1</v>
      </c>
      <c r="V499" s="3" t="b">
        <f>IFERROR(__xludf.DUMMYFUNCTION("""COMPUTED_VALUE"""),FALSE)</f>
        <v>0</v>
      </c>
      <c r="W499" s="3" t="str">
        <f>IFERROR(__xludf.DUMMYFUNCTION("""COMPUTED_VALUE"""),"Delivery")</f>
        <v>Delivery</v>
      </c>
      <c r="X499" s="3"/>
      <c r="Y499" s="3"/>
      <c r="Z499" s="3" t="str">
        <f>IFERROR(__xludf.DUMMYFUNCTION("""COMPUTED_VALUE"""),"Commercial / CRM Transformation - CM &amp; IPS &amp; HIA")</f>
        <v>Commercial / CRM Transformation - CM &amp; IPS &amp; HIA</v>
      </c>
      <c r="AA499" s="3" t="b">
        <f>IFERROR(__xludf.DUMMYFUNCTION("""COMPUTED_VALUE"""),FALSE)</f>
        <v>0</v>
      </c>
    </row>
    <row r="500">
      <c r="A500" s="11">
        <f>IFERROR(__xludf.DUMMYFUNCTION("""COMPUTED_VALUE"""),1.00610489E8)</f>
        <v>100610489</v>
      </c>
      <c r="B500" s="3" t="str">
        <f>IFERROR(__xludf.DUMMYFUNCTION("""COMPUTED_VALUE"""),"Paige Hayes")</f>
        <v>Paige Hayes</v>
      </c>
      <c r="C500" s="3" t="str">
        <f>IFERROR(__xludf.DUMMYFUNCTION("""COMPUTED_VALUE"""),"Paige K Hayes")</f>
        <v>Paige K Hayes</v>
      </c>
      <c r="D500" s="3" t="str">
        <f>IFERROR(__xludf.DUMMYFUNCTION("""COMPUTED_VALUE"""),"Hayes, Paige K")</f>
        <v>Hayes, Paige K</v>
      </c>
      <c r="E500" s="3" t="str">
        <f>IFERROR(__xludf.DUMMYFUNCTION("""COMPUTED_VALUE"""),"Active")</f>
        <v>Active</v>
      </c>
      <c r="F500" s="3" t="str">
        <f>IFERROR(__xludf.DUMMYFUNCTION("""COMPUTED_VALUE"""),"paige.k.hayes@pwc.com")</f>
        <v>paige.k.hayes@pwc.com</v>
      </c>
      <c r="G500" s="3" t="str">
        <f>IFERROR(__xludf.DUMMYFUNCTION("""COMPUTED_VALUE"""),"Finance")</f>
        <v>Finance</v>
      </c>
      <c r="H500" s="3" t="str">
        <f>IFERROR(__xludf.DUMMYFUNCTION("""COMPUTED_VALUE"""),"TMT X-Sector")</f>
        <v>TMT X-Sector</v>
      </c>
      <c r="I500" s="3" t="str">
        <f>IFERROR(__xludf.DUMMYFUNCTION("""COMPUTED_VALUE"""),"Finance - Finance Strategy / Op Model / Global Business Services / Talent")</f>
        <v>Finance - Finance Strategy / Op Model / Global Business Services / Talent</v>
      </c>
      <c r="J500" s="3" t="str">
        <f>IFERROR(__xludf.DUMMYFUNCTION("""COMPUTED_VALUE"""),"Partner")</f>
        <v>Partner</v>
      </c>
      <c r="K500" s="12">
        <f>IFERROR(__xludf.DUMMYFUNCTION("""COMPUTED_VALUE"""),37438.0)</f>
        <v>37438</v>
      </c>
      <c r="L500" s="3" t="str">
        <f>IFERROR(__xludf.DUMMYFUNCTION("""COMPUTED_VALUE"""),"Los Angeles")</f>
        <v>Los Angeles</v>
      </c>
      <c r="M500" s="3" t="str">
        <f>IFERROR(__xludf.DUMMYFUNCTION("""COMPUTED_VALUE"""),"Los Angeles - 601 South Figueroa Street")</f>
        <v>Los Angeles - 601 South Figueroa Street</v>
      </c>
      <c r="N500" s="3" t="b">
        <f>IFERROR(__xludf.DUMMYFUNCTION("""COMPUTED_VALUE"""),FALSE)</f>
        <v>0</v>
      </c>
      <c r="O500" s="3" t="str">
        <f>IFERROR(__xludf.DUMMYFUNCTION("""COMPUTED_VALUE"""),"kurtis.babczenko@pwc.com")</f>
        <v>kurtis.babczenko@pwc.com</v>
      </c>
      <c r="P500" s="3" t="str">
        <f>IFERROR(__xludf.DUMMYFUNCTION("""COMPUTED_VALUE"""),"No")</f>
        <v>No</v>
      </c>
      <c r="Q500" s="3" t="b">
        <f>IFERROR(__xludf.DUMMYFUNCTION("""COMPUTED_VALUE"""),FALSE)</f>
        <v>0</v>
      </c>
      <c r="R500" s="3"/>
      <c r="S500" s="3"/>
      <c r="T500" s="3" t="b">
        <f>IFERROR(__xludf.DUMMYFUNCTION("""COMPUTED_VALUE"""),FALSE)</f>
        <v>0</v>
      </c>
      <c r="U500" s="3" t="b">
        <f>IFERROR(__xludf.DUMMYFUNCTION("""COMPUTED_VALUE"""),TRUE)</f>
        <v>1</v>
      </c>
      <c r="V500" s="3" t="b">
        <f>IFERROR(__xludf.DUMMYFUNCTION("""COMPUTED_VALUE"""),FALSE)</f>
        <v>0</v>
      </c>
      <c r="W500" s="3" t="str">
        <f>IFERROR(__xludf.DUMMYFUNCTION("""COMPUTED_VALUE"""),"Delivery")</f>
        <v>Delivery</v>
      </c>
      <c r="X500" s="3"/>
      <c r="Y500" s="3" t="str">
        <f>IFERROR(__xludf.DUMMYFUNCTION("""COMPUTED_VALUE"""),"GEP - High")</f>
        <v>GEP - High</v>
      </c>
      <c r="Z500" s="3" t="str">
        <f>IFERROR(__xludf.DUMMYFUNCTION("""COMPUTED_VALUE"""),"Finance Transformation - TMT")</f>
        <v>Finance Transformation - TMT</v>
      </c>
      <c r="AA500" s="3" t="b">
        <f>IFERROR(__xludf.DUMMYFUNCTION("""COMPUTED_VALUE"""),FALSE)</f>
        <v>0</v>
      </c>
    </row>
    <row r="501">
      <c r="A501" s="11">
        <f>IFERROR(__xludf.DUMMYFUNCTION("""COMPUTED_VALUE"""),1.00657101E8)</f>
        <v>100657101</v>
      </c>
      <c r="B501" s="3" t="str">
        <f>IFERROR(__xludf.DUMMYFUNCTION("""COMPUTED_VALUE"""),"Pamela Johnston")</f>
        <v>Pamela Johnston</v>
      </c>
      <c r="C501" s="3" t="str">
        <f>IFERROR(__xludf.DUMMYFUNCTION("""COMPUTED_VALUE"""),"Pamela L Johnston")</f>
        <v>Pamela L Johnston</v>
      </c>
      <c r="D501" s="3" t="str">
        <f>IFERROR(__xludf.DUMMYFUNCTION("""COMPUTED_VALUE"""),"Johnston, Pamela L")</f>
        <v>Johnston, Pamela L</v>
      </c>
      <c r="E501" s="3" t="str">
        <f>IFERROR(__xludf.DUMMYFUNCTION("""COMPUTED_VALUE"""),"Active")</f>
        <v>Active</v>
      </c>
      <c r="F501" s="3" t="str">
        <f>IFERROR(__xludf.DUMMYFUNCTION("""COMPUTED_VALUE"""),"pamela.johnston@pwc.com")</f>
        <v>pamela.johnston@pwc.com</v>
      </c>
      <c r="G501" s="3" t="str">
        <f>IFERROR(__xludf.DUMMYFUNCTION("""COMPUTED_VALUE"""),"FS")</f>
        <v>FS</v>
      </c>
      <c r="H501" s="3" t="str">
        <f>IFERROR(__xludf.DUMMYFUNCTION("""COMPUTED_VALUE"""),"Banking and Capital Markets")</f>
        <v>Banking and Capital Markets</v>
      </c>
      <c r="I501" s="3" t="str">
        <f>IFERROR(__xludf.DUMMYFUNCTION("""COMPUTED_VALUE"""),"FS - Banking and Capital Markets")</f>
        <v>FS - Banking and Capital Markets</v>
      </c>
      <c r="J501" s="3" t="str">
        <f>IFERROR(__xludf.DUMMYFUNCTION("""COMPUTED_VALUE"""),"Partner")</f>
        <v>Partner</v>
      </c>
      <c r="K501" s="12">
        <f>IFERROR(__xludf.DUMMYFUNCTION("""COMPUTED_VALUE"""),34702.0)</f>
        <v>34702</v>
      </c>
      <c r="L501" s="3" t="str">
        <f>IFERROR(__xludf.DUMMYFUNCTION("""COMPUTED_VALUE"""),"Los Angeles")</f>
        <v>Los Angeles</v>
      </c>
      <c r="M501" s="3" t="str">
        <f>IFERROR(__xludf.DUMMYFUNCTION("""COMPUTED_VALUE"""),"Los Angeles - 601 South Figueroa Street")</f>
        <v>Los Angeles - 601 South Figueroa Street</v>
      </c>
      <c r="N501" s="3" t="b">
        <f>IFERROR(__xludf.DUMMYFUNCTION("""COMPUTED_VALUE"""),FALSE)</f>
        <v>0</v>
      </c>
      <c r="O501" s="3" t="str">
        <f>IFERROR(__xludf.DUMMYFUNCTION("""COMPUTED_VALUE"""),"alison.hoover@pwc.com")</f>
        <v>alison.hoover@pwc.com</v>
      </c>
      <c r="P501" s="3" t="str">
        <f>IFERROR(__xludf.DUMMYFUNCTION("""COMPUTED_VALUE"""),"No")</f>
        <v>No</v>
      </c>
      <c r="Q501" s="3" t="b">
        <f>IFERROR(__xludf.DUMMYFUNCTION("""COMPUTED_VALUE"""),FALSE)</f>
        <v>0</v>
      </c>
      <c r="R501" s="3"/>
      <c r="S501" s="3"/>
      <c r="T501" s="3" t="b">
        <f>IFERROR(__xludf.DUMMYFUNCTION("""COMPUTED_VALUE"""),FALSE)</f>
        <v>0</v>
      </c>
      <c r="U501" s="3" t="b">
        <f>IFERROR(__xludf.DUMMYFUNCTION("""COMPUTED_VALUE"""),TRUE)</f>
        <v>1</v>
      </c>
      <c r="V501" s="3" t="b">
        <f>IFERROR(__xludf.DUMMYFUNCTION("""COMPUTED_VALUE"""),FALSE)</f>
        <v>0</v>
      </c>
      <c r="W501" s="3" t="str">
        <f>IFERROR(__xludf.DUMMYFUNCTION("""COMPUTED_VALUE"""),"Delivery")</f>
        <v>Delivery</v>
      </c>
      <c r="X501" s="3"/>
      <c r="Y501" s="3"/>
      <c r="Z501" s="3" t="str">
        <f>IFERROR(__xludf.DUMMYFUNCTION("""COMPUTED_VALUE"""),"Banking Transformation")</f>
        <v>Banking Transformation</v>
      </c>
      <c r="AA501" s="3" t="b">
        <f>IFERROR(__xludf.DUMMYFUNCTION("""COMPUTED_VALUE"""),FALSE)</f>
        <v>0</v>
      </c>
    </row>
    <row r="502">
      <c r="A502" s="11">
        <f>IFERROR(__xludf.DUMMYFUNCTION("""COMPUTED_VALUE"""),1.00620934E8)</f>
        <v>100620934</v>
      </c>
      <c r="B502" s="3" t="str">
        <f>IFERROR(__xludf.DUMMYFUNCTION("""COMPUTED_VALUE"""),"Patrick Kirk")</f>
        <v>Patrick Kirk</v>
      </c>
      <c r="C502" s="3" t="str">
        <f>IFERROR(__xludf.DUMMYFUNCTION("""COMPUTED_VALUE"""),"Patrick C. Kirk")</f>
        <v>Patrick C. Kirk</v>
      </c>
      <c r="D502" s="3" t="str">
        <f>IFERROR(__xludf.DUMMYFUNCTION("""COMPUTED_VALUE"""),"Kirk, Patrick C.")</f>
        <v>Kirk, Patrick C.</v>
      </c>
      <c r="E502" s="3" t="str">
        <f>IFERROR(__xludf.DUMMYFUNCTION("""COMPUTED_VALUE"""),"Active")</f>
        <v>Active</v>
      </c>
      <c r="F502" s="3" t="str">
        <f>IFERROR(__xludf.DUMMYFUNCTION("""COMPUTED_VALUE"""),"patrick.c.kirk@pwc.com")</f>
        <v>patrick.c.kirk@pwc.com</v>
      </c>
      <c r="G502" s="3" t="str">
        <f>IFERROR(__xludf.DUMMYFUNCTION("""COMPUTED_VALUE"""),"Customer")</f>
        <v>Customer</v>
      </c>
      <c r="H502" s="3" t="str">
        <f>IFERROR(__xludf.DUMMYFUNCTION("""COMPUTED_VALUE"""),"CM X-Sector")</f>
        <v>CM X-Sector</v>
      </c>
      <c r="I502" s="3" t="str">
        <f>IFERROR(__xludf.DUMMYFUNCTION("""COMPUTED_VALUE"""),"Customer - Pricing &amp; Profitability")</f>
        <v>Customer - Pricing &amp; Profitability</v>
      </c>
      <c r="J502" s="3" t="str">
        <f>IFERROR(__xludf.DUMMYFUNCTION("""COMPUTED_VALUE"""),"Managing Director")</f>
        <v>Managing Director</v>
      </c>
      <c r="K502" s="12">
        <f>IFERROR(__xludf.DUMMYFUNCTION("""COMPUTED_VALUE"""),38937.0)</f>
        <v>38937</v>
      </c>
      <c r="L502" s="3" t="str">
        <f>IFERROR(__xludf.DUMMYFUNCTION("""COMPUTED_VALUE"""),"Boston")</f>
        <v>Boston</v>
      </c>
      <c r="M502" s="3" t="str">
        <f>IFERROR(__xludf.DUMMYFUNCTION("""COMPUTED_VALUE"""),"Boston - 101 Seaport Boulevard")</f>
        <v>Boston - 101 Seaport Boulevard</v>
      </c>
      <c r="N502" s="3" t="b">
        <f>IFERROR(__xludf.DUMMYFUNCTION("""COMPUTED_VALUE"""),FALSE)</f>
        <v>0</v>
      </c>
      <c r="O502" s="3" t="str">
        <f>IFERROR(__xludf.DUMMYFUNCTION("""COMPUTED_VALUE"""),"david.moss@pwc.com")</f>
        <v>david.moss@pwc.com</v>
      </c>
      <c r="P502" s="3" t="str">
        <f>IFERROR(__xludf.DUMMYFUNCTION("""COMPUTED_VALUE"""),"No")</f>
        <v>No</v>
      </c>
      <c r="Q502" s="3" t="b">
        <f>IFERROR(__xludf.DUMMYFUNCTION("""COMPUTED_VALUE"""),FALSE)</f>
        <v>0</v>
      </c>
      <c r="R502" s="3"/>
      <c r="S502" s="3"/>
      <c r="T502" s="3" t="b">
        <f>IFERROR(__xludf.DUMMYFUNCTION("""COMPUTED_VALUE"""),FALSE)</f>
        <v>0</v>
      </c>
      <c r="U502" s="3" t="b">
        <f>IFERROR(__xludf.DUMMYFUNCTION("""COMPUTED_VALUE"""),TRUE)</f>
        <v>1</v>
      </c>
      <c r="V502" s="3" t="b">
        <f>IFERROR(__xludf.DUMMYFUNCTION("""COMPUTED_VALUE"""),FALSE)</f>
        <v>0</v>
      </c>
      <c r="W502" s="3" t="str">
        <f>IFERROR(__xludf.DUMMYFUNCTION("""COMPUTED_VALUE"""),"Delivery")</f>
        <v>Delivery</v>
      </c>
      <c r="X502" s="3"/>
      <c r="Y502" s="3"/>
      <c r="Z502" s="3" t="str">
        <f>IFERROR(__xludf.DUMMYFUNCTION("""COMPUTED_VALUE"""),"Marketing Transformation")</f>
        <v>Marketing Transformation</v>
      </c>
      <c r="AA502" s="3" t="b">
        <f>IFERROR(__xludf.DUMMYFUNCTION("""COMPUTED_VALUE"""),FALSE)</f>
        <v>0</v>
      </c>
    </row>
    <row r="503">
      <c r="A503" s="11">
        <f>IFERROR(__xludf.DUMMYFUNCTION("""COMPUTED_VALUE"""),1.00608383E8)</f>
        <v>100608383</v>
      </c>
      <c r="B503" s="3" t="str">
        <f>IFERROR(__xludf.DUMMYFUNCTION("""COMPUTED_VALUE"""),"Patrick Maher")</f>
        <v>Patrick Maher</v>
      </c>
      <c r="C503" s="3" t="str">
        <f>IFERROR(__xludf.DUMMYFUNCTION("""COMPUTED_VALUE"""),"Patrick C Maher")</f>
        <v>Patrick C Maher</v>
      </c>
      <c r="D503" s="3" t="str">
        <f>IFERROR(__xludf.DUMMYFUNCTION("""COMPUTED_VALUE"""),"Maher, Patrick C")</f>
        <v>Maher, Patrick C</v>
      </c>
      <c r="E503" s="3" t="str">
        <f>IFERROR(__xludf.DUMMYFUNCTION("""COMPUTED_VALUE"""),"Active")</f>
        <v>Active</v>
      </c>
      <c r="F503" s="3" t="str">
        <f>IFERROR(__xludf.DUMMYFUNCTION("""COMPUTED_VALUE"""),"patrick.maher@pwc.com")</f>
        <v>patrick.maher@pwc.com</v>
      </c>
      <c r="G503" s="3" t="str">
        <f>IFERROR(__xludf.DUMMYFUNCTION("""COMPUTED_VALUE"""),"Customer")</f>
        <v>Customer</v>
      </c>
      <c r="H503" s="3" t="str">
        <f>IFERROR(__xludf.DUMMYFUNCTION("""COMPUTED_VALUE"""),"HI X-Sector")</f>
        <v>HI X-Sector</v>
      </c>
      <c r="I503" s="3" t="str">
        <f>IFERROR(__xludf.DUMMYFUNCTION("""COMPUTED_VALUE"""),"Customer - Customer Strategy &amp; Experience")</f>
        <v>Customer - Customer Strategy &amp; Experience</v>
      </c>
      <c r="J503" s="3" t="str">
        <f>IFERROR(__xludf.DUMMYFUNCTION("""COMPUTED_VALUE"""),"Partner")</f>
        <v>Partner</v>
      </c>
      <c r="K503" s="12">
        <f>IFERROR(__xludf.DUMMYFUNCTION("""COMPUTED_VALUE"""),42064.0)</f>
        <v>42064</v>
      </c>
      <c r="L503" s="3" t="str">
        <f>IFERROR(__xludf.DUMMYFUNCTION("""COMPUTED_VALUE"""),"New York")</f>
        <v>New York</v>
      </c>
      <c r="M503" s="3" t="str">
        <f>IFERROR(__xludf.DUMMYFUNCTION("""COMPUTED_VALUE"""),"New York - 300 Madison Avenue")</f>
        <v>New York - 300 Madison Avenue</v>
      </c>
      <c r="N503" s="3" t="b">
        <f>IFERROR(__xludf.DUMMYFUNCTION("""COMPUTED_VALUE"""),FALSE)</f>
        <v>0</v>
      </c>
      <c r="O503" s="3" t="str">
        <f>IFERROR(__xludf.DUMMYFUNCTION("""COMPUTED_VALUE"""),"george.korizis@pwc.com")</f>
        <v>george.korizis@pwc.com</v>
      </c>
      <c r="P503" s="3" t="str">
        <f>IFERROR(__xludf.DUMMYFUNCTION("""COMPUTED_VALUE"""),"No")</f>
        <v>No</v>
      </c>
      <c r="Q503" s="3" t="b">
        <f>IFERROR(__xludf.DUMMYFUNCTION("""COMPUTED_VALUE"""),FALSE)</f>
        <v>0</v>
      </c>
      <c r="R503" s="3"/>
      <c r="S503" s="3"/>
      <c r="T503" s="3" t="b">
        <f>IFERROR(__xludf.DUMMYFUNCTION("""COMPUTED_VALUE"""),FALSE)</f>
        <v>0</v>
      </c>
      <c r="U503" s="3" t="b">
        <f>IFERROR(__xludf.DUMMYFUNCTION("""COMPUTED_VALUE"""),TRUE)</f>
        <v>1</v>
      </c>
      <c r="V503" s="3" t="b">
        <f>IFERROR(__xludf.DUMMYFUNCTION("""COMPUTED_VALUE"""),FALSE)</f>
        <v>0</v>
      </c>
      <c r="W503" s="3" t="str">
        <f>IFERROR(__xludf.DUMMYFUNCTION("""COMPUTED_VALUE"""),"Delivery")</f>
        <v>Delivery</v>
      </c>
      <c r="X503" s="3"/>
      <c r="Y503" s="3"/>
      <c r="Z503" s="3" t="str">
        <f>IFERROR(__xludf.DUMMYFUNCTION("""COMPUTED_VALUE"""),"Commercial / CRM Transformation - CM &amp; IPS &amp; HIA")</f>
        <v>Commercial / CRM Transformation - CM &amp; IPS &amp; HIA</v>
      </c>
      <c r="AA503" s="3" t="b">
        <f>IFERROR(__xludf.DUMMYFUNCTION("""COMPUTED_VALUE"""),FALSE)</f>
        <v>0</v>
      </c>
    </row>
    <row r="504">
      <c r="A504" s="11">
        <f>IFERROR(__xludf.DUMMYFUNCTION("""COMPUTED_VALUE"""),1.0061139E8)</f>
        <v>100611390</v>
      </c>
      <c r="B504" s="3" t="str">
        <f>IFERROR(__xludf.DUMMYFUNCTION("""COMPUTED_VALUE"""),"Patrick Pugh")</f>
        <v>Patrick Pugh</v>
      </c>
      <c r="C504" s="3" t="str">
        <f>IFERROR(__xludf.DUMMYFUNCTION("""COMPUTED_VALUE"""),"Patrick  Pugh")</f>
        <v>Patrick  Pugh</v>
      </c>
      <c r="D504" s="3" t="str">
        <f>IFERROR(__xludf.DUMMYFUNCTION("""COMPUTED_VALUE"""),"Pugh, Patrick")</f>
        <v>Pugh, Patrick</v>
      </c>
      <c r="E504" s="3" t="str">
        <f>IFERROR(__xludf.DUMMYFUNCTION("""COMPUTED_VALUE"""),"Active")</f>
        <v>Active</v>
      </c>
      <c r="F504" s="3" t="str">
        <f>IFERROR(__xludf.DUMMYFUNCTION("""COMPUTED_VALUE"""),"patrick.pugh@pwc.com")</f>
        <v>patrick.pugh@pwc.com</v>
      </c>
      <c r="G504" s="3" t="str">
        <f>IFERROR(__xludf.DUMMYFUNCTION("""COMPUTED_VALUE"""),"Workforce")</f>
        <v>Workforce</v>
      </c>
      <c r="H504" s="3" t="str">
        <f>IFERROR(__xludf.DUMMYFUNCTION("""COMPUTED_VALUE"""),"TMT X-Sector")</f>
        <v>TMT X-Sector</v>
      </c>
      <c r="I504" s="3" t="str">
        <f>IFERROR(__xludf.DUMMYFUNCTION("""COMPUTED_VALUE"""),"Workforce - Talent, Change &amp; Behaviors")</f>
        <v>Workforce - Talent, Change &amp; Behaviors</v>
      </c>
      <c r="J504" s="3" t="str">
        <f>IFERROR(__xludf.DUMMYFUNCTION("""COMPUTED_VALUE"""),"Partner")</f>
        <v>Partner</v>
      </c>
      <c r="K504" s="12">
        <f>IFERROR(__xludf.DUMMYFUNCTION("""COMPUTED_VALUE"""),37536.0)</f>
        <v>37536</v>
      </c>
      <c r="L504" s="3" t="str">
        <f>IFERROR(__xludf.DUMMYFUNCTION("""COMPUTED_VALUE"""),"Seattle")</f>
        <v>Seattle</v>
      </c>
      <c r="M504" s="3" t="str">
        <f>IFERROR(__xludf.DUMMYFUNCTION("""COMPUTED_VALUE"""),"Seattle - 1420 Fifth Avenue")</f>
        <v>Seattle - 1420 Fifth Avenue</v>
      </c>
      <c r="N504" s="3" t="b">
        <f>IFERROR(__xludf.DUMMYFUNCTION("""COMPUTED_VALUE"""),TRUE)</f>
        <v>1</v>
      </c>
      <c r="O504" s="3" t="str">
        <f>IFERROR(__xludf.DUMMYFUNCTION("""COMPUTED_VALUE"""),"craig.odonnell@pwc.com")</f>
        <v>craig.odonnell@pwc.com</v>
      </c>
      <c r="P504" s="3" t="str">
        <f>IFERROR(__xludf.DUMMYFUNCTION("""COMPUTED_VALUE"""),"No")</f>
        <v>No</v>
      </c>
      <c r="Q504" s="3" t="b">
        <f>IFERROR(__xludf.DUMMYFUNCTION("""COMPUTED_VALUE"""),TRUE)</f>
        <v>1</v>
      </c>
      <c r="R504" s="3" t="str">
        <f>IFERROR(__xludf.DUMMYFUNCTION("""COMPUTED_VALUE"""),"LCP High")</f>
        <v>LCP High</v>
      </c>
      <c r="S504" s="3"/>
      <c r="T504" s="3" t="b">
        <f>IFERROR(__xludf.DUMMYFUNCTION("""COMPUTED_VALUE"""),FALSE)</f>
        <v>0</v>
      </c>
      <c r="U504" s="3" t="b">
        <f>IFERROR(__xludf.DUMMYFUNCTION("""COMPUTED_VALUE"""),FALSE)</f>
        <v>0</v>
      </c>
      <c r="V504" s="3" t="b">
        <f>IFERROR(__xludf.DUMMYFUNCTION("""COMPUTED_VALUE"""),FALSE)</f>
        <v>0</v>
      </c>
      <c r="W504" s="3" t="str">
        <f>IFERROR(__xludf.DUMMYFUNCTION("""COMPUTED_VALUE"""),"LCP")</f>
        <v>LCP</v>
      </c>
      <c r="X504" s="3" t="str">
        <f>IFERROR(__xludf.DUMMYFUNCTION("""COMPUTED_VALUE"""),"#N/A")</f>
        <v>#N/A</v>
      </c>
      <c r="Y504" s="3" t="str">
        <f>IFERROR(__xludf.DUMMYFUNCTION("""COMPUTED_VALUE"""),"#N/A")</f>
        <v>#N/A</v>
      </c>
      <c r="Z504" s="3" t="str">
        <f>IFERROR(__xludf.DUMMYFUNCTION("""COMPUTED_VALUE"""),"Unknown")</f>
        <v>Unknown</v>
      </c>
      <c r="AA504" s="3" t="b">
        <f>IFERROR(__xludf.DUMMYFUNCTION("""COMPUTED_VALUE"""),FALSE)</f>
        <v>0</v>
      </c>
    </row>
    <row r="505">
      <c r="A505" s="11">
        <f>IFERROR(__xludf.DUMMYFUNCTION("""COMPUTED_VALUE"""),1.01249415E8)</f>
        <v>101249415</v>
      </c>
      <c r="B505" s="3" t="str">
        <f>IFERROR(__xludf.DUMMYFUNCTION("""COMPUTED_VALUE"""),"Patrick Voight")</f>
        <v>Patrick Voight</v>
      </c>
      <c r="C505" s="3" t="str">
        <f>IFERROR(__xludf.DUMMYFUNCTION("""COMPUTED_VALUE"""),"Patrick Voight")</f>
        <v>Patrick Voight</v>
      </c>
      <c r="D505" s="3" t="str">
        <f>IFERROR(__xludf.DUMMYFUNCTION("""COMPUTED_VALUE"""),"Voight, Patrick")</f>
        <v>Voight, Patrick</v>
      </c>
      <c r="E505" s="3" t="str">
        <f>IFERROR(__xludf.DUMMYFUNCTION("""COMPUTED_VALUE"""),"Active")</f>
        <v>Active</v>
      </c>
      <c r="F505" s="3" t="str">
        <f>IFERROR(__xludf.DUMMYFUNCTION("""COMPUTED_VALUE"""),"patrick.voight@pwc.com")</f>
        <v>patrick.voight@pwc.com</v>
      </c>
      <c r="G505" s="3" t="str">
        <f>IFERROR(__xludf.DUMMYFUNCTION("""COMPUTED_VALUE"""),"Health")</f>
        <v>Health</v>
      </c>
      <c r="H505" s="3" t="str">
        <f>IFERROR(__xludf.DUMMYFUNCTION("""COMPUTED_VALUE"""),"Health Services")</f>
        <v>Health Services</v>
      </c>
      <c r="I505" s="3" t="str">
        <f>IFERROR(__xludf.DUMMYFUNCTION("""COMPUTED_VALUE"""),"Unknown")</f>
        <v>Unknown</v>
      </c>
      <c r="J505" s="3" t="str">
        <f>IFERROR(__xludf.DUMMYFUNCTION("""COMPUTED_VALUE"""),"Managing Director")</f>
        <v>Managing Director</v>
      </c>
      <c r="K505" s="12">
        <f>IFERROR(__xludf.DUMMYFUNCTION("""COMPUTED_VALUE"""),44718.0)</f>
        <v>44718</v>
      </c>
      <c r="L505" s="3" t="str">
        <f>IFERROR(__xludf.DUMMYFUNCTION("""COMPUTED_VALUE"""),"Hallandale Beach")</f>
        <v>Hallandale Beach</v>
      </c>
      <c r="M505" s="3" t="str">
        <f>IFERROR(__xludf.DUMMYFUNCTION("""COMPUTED_VALUE"""),"Unknown")</f>
        <v>Unknown</v>
      </c>
      <c r="N505" s="3" t="str">
        <f>IFERROR(__xludf.DUMMYFUNCTION("""COMPUTED_VALUE"""),"Unknown")</f>
        <v>Unknown</v>
      </c>
      <c r="O505" s="3" t="str">
        <f>IFERROR(__xludf.DUMMYFUNCTION("""COMPUTED_VALUE"""),"Unknown")</f>
        <v>Unknown</v>
      </c>
      <c r="P505" s="3" t="str">
        <f>IFERROR(__xludf.DUMMYFUNCTION("""COMPUTED_VALUE"""),"FY22")</f>
        <v>FY22</v>
      </c>
      <c r="Q505" s="3" t="str">
        <f>IFERROR(__xludf.DUMMYFUNCTION("""COMPUTED_VALUE"""),"Unknown")</f>
        <v>Unknown</v>
      </c>
      <c r="R505" s="3" t="str">
        <f>IFERROR(__xludf.DUMMYFUNCTION("""COMPUTED_VALUE"""),"Unknown")</f>
        <v>Unknown</v>
      </c>
      <c r="S505" s="3"/>
      <c r="T505" s="3" t="str">
        <f>IFERROR(__xludf.DUMMYFUNCTION("""COMPUTED_VALUE"""),"Unknown")</f>
        <v>Unknown</v>
      </c>
      <c r="U505" s="3" t="str">
        <f>IFERROR(__xludf.DUMMYFUNCTION("""COMPUTED_VALUE"""),"Unknown")</f>
        <v>Unknown</v>
      </c>
      <c r="V505" s="3" t="str">
        <f>IFERROR(__xludf.DUMMYFUNCTION("""COMPUTED_VALUE"""),"Unknown")</f>
        <v>Unknown</v>
      </c>
      <c r="W505" s="3" t="str">
        <f>IFERROR(__xludf.DUMMYFUNCTION("""COMPUTED_VALUE"""),"Catalyst")</f>
        <v>Catalyst</v>
      </c>
      <c r="X505" s="3" t="str">
        <f>IFERROR(__xludf.DUMMYFUNCTION("""COMPUTED_VALUE"""),"Unknown")</f>
        <v>Unknown</v>
      </c>
      <c r="Y505" s="3" t="str">
        <f>IFERROR(__xludf.DUMMYFUNCTION("""COMPUTED_VALUE"""),"Unknown")</f>
        <v>Unknown</v>
      </c>
      <c r="Z505" s="3" t="str">
        <f>IFERROR(__xludf.DUMMYFUNCTION("""COMPUTED_VALUE"""),"Unknown")</f>
        <v>Unknown</v>
      </c>
      <c r="AA505" s="3" t="str">
        <f>IFERROR(__xludf.DUMMYFUNCTION("""COMPUTED_VALUE"""),"Unknown")</f>
        <v>Unknown</v>
      </c>
    </row>
    <row r="506">
      <c r="A506" s="11">
        <f>IFERROR(__xludf.DUMMYFUNCTION("""COMPUTED_VALUE"""),1.00654835E8)</f>
        <v>100654835</v>
      </c>
      <c r="B506" s="3" t="str">
        <f>IFERROR(__xludf.DUMMYFUNCTION("""COMPUTED_VALUE"""),"Patrick Wimberly")</f>
        <v>Patrick Wimberly</v>
      </c>
      <c r="C506" s="3" t="str">
        <f>IFERROR(__xludf.DUMMYFUNCTION("""COMPUTED_VALUE"""),"Patrick T Wimberly")</f>
        <v>Patrick T Wimberly</v>
      </c>
      <c r="D506" s="3" t="str">
        <f>IFERROR(__xludf.DUMMYFUNCTION("""COMPUTED_VALUE"""),"Wimberly, Patrick T")</f>
        <v>Wimberly, Patrick T</v>
      </c>
      <c r="E506" s="3" t="str">
        <f>IFERROR(__xludf.DUMMYFUNCTION("""COMPUTED_VALUE"""),"Active")</f>
        <v>Active</v>
      </c>
      <c r="F506" s="3" t="str">
        <f>IFERROR(__xludf.DUMMYFUNCTION("""COMPUTED_VALUE"""),"patrick.t.wimberly@pwc.com")</f>
        <v>patrick.t.wimberly@pwc.com</v>
      </c>
      <c r="G506" s="3" t="str">
        <f>IFERROR(__xludf.DUMMYFUNCTION("""COMPUTED_VALUE"""),"Finance")</f>
        <v>Finance</v>
      </c>
      <c r="H506" s="3" t="str">
        <f>IFERROR(__xludf.DUMMYFUNCTION("""COMPUTED_VALUE"""),"IMA X-Sector")</f>
        <v>IMA X-Sector</v>
      </c>
      <c r="I506" s="3" t="str">
        <f>IFERROR(__xludf.DUMMYFUNCTION("""COMPUTED_VALUE"""),"Finance - Enterprise Performance Management")</f>
        <v>Finance - Enterprise Performance Management</v>
      </c>
      <c r="J506" s="3" t="str">
        <f>IFERROR(__xludf.DUMMYFUNCTION("""COMPUTED_VALUE"""),"Managing Director")</f>
        <v>Managing Director</v>
      </c>
      <c r="K506" s="12">
        <f>IFERROR(__xludf.DUMMYFUNCTION("""COMPUTED_VALUE"""),42198.0)</f>
        <v>42198</v>
      </c>
      <c r="L506" s="3" t="str">
        <f>IFERROR(__xludf.DUMMYFUNCTION("""COMPUTED_VALUE"""),"Houston")</f>
        <v>Houston</v>
      </c>
      <c r="M506" s="3" t="str">
        <f>IFERROR(__xludf.DUMMYFUNCTION("""COMPUTED_VALUE"""),"Houston - 1000 Louisiana Street")</f>
        <v>Houston - 1000 Louisiana Street</v>
      </c>
      <c r="N506" s="3" t="b">
        <f>IFERROR(__xludf.DUMMYFUNCTION("""COMPUTED_VALUE"""),FALSE)</f>
        <v>0</v>
      </c>
      <c r="O506" s="3" t="str">
        <f>IFERROR(__xludf.DUMMYFUNCTION("""COMPUTED_VALUE"""),"keith.considine@pwc.com")</f>
        <v>keith.considine@pwc.com</v>
      </c>
      <c r="P506" s="3" t="str">
        <f>IFERROR(__xludf.DUMMYFUNCTION("""COMPUTED_VALUE"""),"No")</f>
        <v>No</v>
      </c>
      <c r="Q506" s="3" t="b">
        <f>IFERROR(__xludf.DUMMYFUNCTION("""COMPUTED_VALUE"""),FALSE)</f>
        <v>0</v>
      </c>
      <c r="R506" s="3"/>
      <c r="S506" s="3"/>
      <c r="T506" s="3" t="b">
        <f>IFERROR(__xludf.DUMMYFUNCTION("""COMPUTED_VALUE"""),FALSE)</f>
        <v>0</v>
      </c>
      <c r="U506" s="3" t="b">
        <f>IFERROR(__xludf.DUMMYFUNCTION("""COMPUTED_VALUE"""),TRUE)</f>
        <v>1</v>
      </c>
      <c r="V506" s="3" t="b">
        <f>IFERROR(__xludf.DUMMYFUNCTION("""COMPUTED_VALUE"""),FALSE)</f>
        <v>0</v>
      </c>
      <c r="W506" s="3" t="str">
        <f>IFERROR(__xludf.DUMMYFUNCTION("""COMPUTED_VALUE"""),"Delivery")</f>
        <v>Delivery</v>
      </c>
      <c r="X506" s="3"/>
      <c r="Y506" s="3"/>
      <c r="Z506" s="3" t="str">
        <f>IFERROR(__xludf.DUMMYFUNCTION("""COMPUTED_VALUE"""),"Finance Transformation IPS - IP")</f>
        <v>Finance Transformation IPS - IP</v>
      </c>
      <c r="AA506" s="3" t="b">
        <f>IFERROR(__xludf.DUMMYFUNCTION("""COMPUTED_VALUE"""),FALSE)</f>
        <v>0</v>
      </c>
    </row>
    <row r="507">
      <c r="A507" s="11">
        <f>IFERROR(__xludf.DUMMYFUNCTION("""COMPUTED_VALUE"""),1.01170594E8)</f>
        <v>101170594</v>
      </c>
      <c r="B507" s="3" t="str">
        <f>IFERROR(__xludf.DUMMYFUNCTION("""COMPUTED_VALUE"""),"Paul Blase")</f>
        <v>Paul Blase</v>
      </c>
      <c r="C507" s="3" t="str">
        <f>IFERROR(__xludf.DUMMYFUNCTION("""COMPUTED_VALUE"""),"Paul  Blase")</f>
        <v>Paul  Blase</v>
      </c>
      <c r="D507" s="3" t="str">
        <f>IFERROR(__xludf.DUMMYFUNCTION("""COMPUTED_VALUE"""),"Blase, Paul")</f>
        <v>Blase, Paul</v>
      </c>
      <c r="E507" s="3" t="str">
        <f>IFERROR(__xludf.DUMMYFUNCTION("""COMPUTED_VALUE"""),"Active")</f>
        <v>Active</v>
      </c>
      <c r="F507" s="3" t="str">
        <f>IFERROR(__xludf.DUMMYFUNCTION("""COMPUTED_VALUE"""),"paul.blase@pwc.com")</f>
        <v>paul.blase@pwc.com</v>
      </c>
      <c r="G507" s="3" t="str">
        <f>IFERROR(__xludf.DUMMYFUNCTION("""COMPUTED_VALUE"""),"ESV")</f>
        <v>ESV</v>
      </c>
      <c r="H507" s="3" t="str">
        <f>IFERROR(__xludf.DUMMYFUNCTION("""COMPUTED_VALUE"""),"Health Services")</f>
        <v>Health Services</v>
      </c>
      <c r="I507" s="3" t="str">
        <f>IFERROR(__xludf.DUMMYFUNCTION("""COMPUTED_VALUE"""),"ESV - Health Services")</f>
        <v>ESV - Health Services</v>
      </c>
      <c r="J507" s="3" t="str">
        <f>IFERROR(__xludf.DUMMYFUNCTION("""COMPUTED_VALUE"""),"Partner")</f>
        <v>Partner</v>
      </c>
      <c r="K507" s="12">
        <f>IFERROR(__xludf.DUMMYFUNCTION("""COMPUTED_VALUE"""),44545.0)</f>
        <v>44545</v>
      </c>
      <c r="L507" s="3" t="str">
        <f>IFERROR(__xludf.DUMMYFUNCTION("""COMPUTED_VALUE"""),"Chicago")</f>
        <v>Chicago</v>
      </c>
      <c r="M507" s="3" t="str">
        <f>IFERROR(__xludf.DUMMYFUNCTION("""COMPUTED_VALUE"""),"Chicago - One North Wacker Drive")</f>
        <v>Chicago - One North Wacker Drive</v>
      </c>
      <c r="N507" s="3" t="b">
        <f>IFERROR(__xludf.DUMMYFUNCTION("""COMPUTED_VALUE"""),FALSE)</f>
        <v>0</v>
      </c>
      <c r="O507" s="3" t="str">
        <f>IFERROR(__xludf.DUMMYFUNCTION("""COMPUTED_VALUE"""),"sundar.subramanian@pwc.com")</f>
        <v>sundar.subramanian@pwc.com</v>
      </c>
      <c r="P507" s="3" t="str">
        <f>IFERROR(__xludf.DUMMYFUNCTION("""COMPUTED_VALUE"""),"FY22")</f>
        <v>FY22</v>
      </c>
      <c r="Q507" s="3" t="b">
        <f>IFERROR(__xludf.DUMMYFUNCTION("""COMPUTED_VALUE"""),FALSE)</f>
        <v>0</v>
      </c>
      <c r="R507" s="3"/>
      <c r="S507" s="3"/>
      <c r="T507" s="3" t="b">
        <f>IFERROR(__xludf.DUMMYFUNCTION("""COMPUTED_VALUE"""),FALSE)</f>
        <v>0</v>
      </c>
      <c r="U507" s="3" t="b">
        <f>IFERROR(__xludf.DUMMYFUNCTION("""COMPUTED_VALUE"""),TRUE)</f>
        <v>1</v>
      </c>
      <c r="V507" s="3" t="b">
        <f>IFERROR(__xludf.DUMMYFUNCTION("""COMPUTED_VALUE"""),TRUE)</f>
        <v>1</v>
      </c>
      <c r="W507" s="3" t="str">
        <f>IFERROR(__xludf.DUMMYFUNCTION("""COMPUTED_VALUE"""),"Catalyst")</f>
        <v>Catalyst</v>
      </c>
      <c r="X507" s="3"/>
      <c r="Y507" s="3" t="str">
        <f>IFERROR(__xludf.DUMMYFUNCTION("""COMPUTED_VALUE"""),"FY22")</f>
        <v>FY22</v>
      </c>
      <c r="Z507" s="3" t="str">
        <f>IFERROR(__xludf.DUMMYFUNCTION("""COMPUTED_VALUE"""),"")</f>
        <v/>
      </c>
      <c r="AA507" s="3" t="b">
        <f>IFERROR(__xludf.DUMMYFUNCTION("""COMPUTED_VALUE"""),FALSE)</f>
        <v>0</v>
      </c>
    </row>
    <row r="508">
      <c r="A508" s="11">
        <f>IFERROR(__xludf.DUMMYFUNCTION("""COMPUTED_VALUE"""),1.01059432E8)</f>
        <v>101059432</v>
      </c>
      <c r="B508" s="3" t="str">
        <f>IFERROR(__xludf.DUMMYFUNCTION("""COMPUTED_VALUE"""),"Paul Carrannanto")</f>
        <v>Paul Carrannanto</v>
      </c>
      <c r="C508" s="3" t="str">
        <f>IFERROR(__xludf.DUMMYFUNCTION("""COMPUTED_VALUE"""),"Paul Gregory Carrannanto")</f>
        <v>Paul Gregory Carrannanto</v>
      </c>
      <c r="D508" s="3" t="str">
        <f>IFERROR(__xludf.DUMMYFUNCTION("""COMPUTED_VALUE"""),"Carrannanto, Paul Gregory")</f>
        <v>Carrannanto, Paul Gregory</v>
      </c>
      <c r="E508" s="3" t="str">
        <f>IFERROR(__xludf.DUMMYFUNCTION("""COMPUTED_VALUE"""),"Active")</f>
        <v>Active</v>
      </c>
      <c r="F508" s="3" t="str">
        <f>IFERROR(__xludf.DUMMYFUNCTION("""COMPUTED_VALUE"""),"paul.carrannanto@pwc.com")</f>
        <v>paul.carrannanto@pwc.com</v>
      </c>
      <c r="G508" s="3" t="str">
        <f>IFERROR(__xludf.DUMMYFUNCTION("""COMPUTED_VALUE"""),"ESV")</f>
        <v>ESV</v>
      </c>
      <c r="H508" s="3" t="str">
        <f>IFERROR(__xludf.DUMMYFUNCTION("""COMPUTED_VALUE"""),"Automotive")</f>
        <v>Automotive</v>
      </c>
      <c r="I508" s="3" t="str">
        <f>IFERROR(__xludf.DUMMYFUNCTION("""COMPUTED_VALUE"""),"ESV - IPS")</f>
        <v>ESV - IPS</v>
      </c>
      <c r="J508" s="3" t="str">
        <f>IFERROR(__xludf.DUMMYFUNCTION("""COMPUTED_VALUE"""),"Partner")</f>
        <v>Partner</v>
      </c>
      <c r="K508" s="12">
        <f>IFERROR(__xludf.DUMMYFUNCTION("""COMPUTED_VALUE"""),44270.0)</f>
        <v>44270</v>
      </c>
      <c r="L508" s="3" t="str">
        <f>IFERROR(__xludf.DUMMYFUNCTION("""COMPUTED_VALUE"""),"Detroit")</f>
        <v>Detroit</v>
      </c>
      <c r="M508" s="3" t="str">
        <f>IFERROR(__xludf.DUMMYFUNCTION("""COMPUTED_VALUE"""),"Detroit - 500 Woodward Avenue")</f>
        <v>Detroit - 500 Woodward Avenue</v>
      </c>
      <c r="N508" s="3" t="b">
        <f>IFERROR(__xludf.DUMMYFUNCTION("""COMPUTED_VALUE"""),FALSE)</f>
        <v>0</v>
      </c>
      <c r="O508" s="3" t="str">
        <f>IFERROR(__xludf.DUMMYFUNCTION("""COMPUTED_VALUE"""),"sundar.subramanian@pwc.com")</f>
        <v>sundar.subramanian@pwc.com</v>
      </c>
      <c r="P508" s="3" t="str">
        <f>IFERROR(__xludf.DUMMYFUNCTION("""COMPUTED_VALUE"""),"FY21 2nd Half")</f>
        <v>FY21 2nd Half</v>
      </c>
      <c r="Q508" s="3" t="b">
        <f>IFERROR(__xludf.DUMMYFUNCTION("""COMPUTED_VALUE"""),TRUE)</f>
        <v>1</v>
      </c>
      <c r="R508" s="3" t="str">
        <f>IFERROR(__xludf.DUMMYFUNCTION("""COMPUTED_VALUE"""),"LCP Low")</f>
        <v>LCP Low</v>
      </c>
      <c r="S508" s="3"/>
      <c r="T508" s="3" t="b">
        <f>IFERROR(__xludf.DUMMYFUNCTION("""COMPUTED_VALUE"""),TRUE)</f>
        <v>1</v>
      </c>
      <c r="U508" s="3" t="b">
        <f>IFERROR(__xludf.DUMMYFUNCTION("""COMPUTED_VALUE"""),FALSE)</f>
        <v>0</v>
      </c>
      <c r="V508" s="3" t="b">
        <f>IFERROR(__xludf.DUMMYFUNCTION("""COMPUTED_VALUE"""),TRUE)</f>
        <v>1</v>
      </c>
      <c r="W508" s="3" t="str">
        <f>IFERROR(__xludf.DUMMYFUNCTION("""COMPUTED_VALUE"""),"Catalyst")</f>
        <v>Catalyst</v>
      </c>
      <c r="X508" s="3" t="str">
        <f>IFERROR(__xludf.DUMMYFUNCTION("""COMPUTED_VALUE"""),"LCP")</f>
        <v>LCP</v>
      </c>
      <c r="Y508" s="3" t="str">
        <f>IFERROR(__xludf.DUMMYFUNCTION("""COMPUTED_VALUE"""),"FY21 2nd Half
GEP - Low")</f>
        <v>FY21 2nd Half
GEP - Low</v>
      </c>
      <c r="Z508" s="3" t="str">
        <f>IFERROR(__xludf.DUMMYFUNCTION("""COMPUTED_VALUE"""),"Enterprise Digital Transformation - CM &amp; IPS")</f>
        <v>Enterprise Digital Transformation - CM &amp; IPS</v>
      </c>
      <c r="AA508" s="3" t="b">
        <f>IFERROR(__xludf.DUMMYFUNCTION("""COMPUTED_VALUE"""),TRUE)</f>
        <v>1</v>
      </c>
    </row>
    <row r="509">
      <c r="A509" s="11">
        <f>IFERROR(__xludf.DUMMYFUNCTION("""COMPUTED_VALUE"""),1.00608521E8)</f>
        <v>100608521</v>
      </c>
      <c r="B509" s="3" t="str">
        <f>IFERROR(__xludf.DUMMYFUNCTION("""COMPUTED_VALUE"""),"Paul D'Alessandro")</f>
        <v>Paul D'Alessandro</v>
      </c>
      <c r="C509" s="3" t="str">
        <f>IFERROR(__xludf.DUMMYFUNCTION("""COMPUTED_VALUE"""),"Paul M D'Alessandro")</f>
        <v>Paul M D'Alessandro</v>
      </c>
      <c r="D509" s="3" t="str">
        <f>IFERROR(__xludf.DUMMYFUNCTION("""COMPUTED_VALUE"""),"D'Alessandro, Paul M")</f>
        <v>D'Alessandro, Paul M</v>
      </c>
      <c r="E509" s="3" t="str">
        <f>IFERROR(__xludf.DUMMYFUNCTION("""COMPUTED_VALUE"""),"Active")</f>
        <v>Active</v>
      </c>
      <c r="F509" s="3" t="str">
        <f>IFERROR(__xludf.DUMMYFUNCTION("""COMPUTED_VALUE"""),"pmd@pwc.com")</f>
        <v>pmd@pwc.com</v>
      </c>
      <c r="G509" s="3" t="str">
        <f>IFERROR(__xludf.DUMMYFUNCTION("""COMPUTED_VALUE"""),"Customer")</f>
        <v>Customer</v>
      </c>
      <c r="H509" s="3" t="str">
        <f>IFERROR(__xludf.DUMMYFUNCTION("""COMPUTED_VALUE"""),"Pharma and Life Sciences")</f>
        <v>Pharma and Life Sciences</v>
      </c>
      <c r="I509" s="3" t="str">
        <f>IFERROR(__xludf.DUMMYFUNCTION("""COMPUTED_VALUE"""),"Customer - Analytics")</f>
        <v>Customer - Analytics</v>
      </c>
      <c r="J509" s="3" t="str">
        <f>IFERROR(__xludf.DUMMYFUNCTION("""COMPUTED_VALUE"""),"Partner")</f>
        <v>Partner</v>
      </c>
      <c r="K509" s="12">
        <f>IFERROR(__xludf.DUMMYFUNCTION("""COMPUTED_VALUE"""),40485.0)</f>
        <v>40485</v>
      </c>
      <c r="L509" s="3" t="str">
        <f>IFERROR(__xludf.DUMMYFUNCTION("""COMPUTED_VALUE"""),"Chicago")</f>
        <v>Chicago</v>
      </c>
      <c r="M509" s="3" t="str">
        <f>IFERROR(__xludf.DUMMYFUNCTION("""COMPUTED_VALUE"""),"Chicago - One North Wacker Drive")</f>
        <v>Chicago - One North Wacker Drive</v>
      </c>
      <c r="N509" s="3" t="b">
        <f>IFERROR(__xludf.DUMMYFUNCTION("""COMPUTED_VALUE"""),FALSE)</f>
        <v>0</v>
      </c>
      <c r="O509" s="3" t="str">
        <f>IFERROR(__xludf.DUMMYFUNCTION("""COMPUTED_VALUE"""),"george.korizis@pwc.com")</f>
        <v>george.korizis@pwc.com</v>
      </c>
      <c r="P509" s="3" t="str">
        <f>IFERROR(__xludf.DUMMYFUNCTION("""COMPUTED_VALUE"""),"No")</f>
        <v>No</v>
      </c>
      <c r="Q509" s="3" t="b">
        <f>IFERROR(__xludf.DUMMYFUNCTION("""COMPUTED_VALUE"""),FALSE)</f>
        <v>0</v>
      </c>
      <c r="R509" s="3"/>
      <c r="S509" s="3"/>
      <c r="T509" s="3" t="b">
        <f>IFERROR(__xludf.DUMMYFUNCTION("""COMPUTED_VALUE"""),FALSE)</f>
        <v>0</v>
      </c>
      <c r="U509" s="3" t="b">
        <f>IFERROR(__xludf.DUMMYFUNCTION("""COMPUTED_VALUE"""),TRUE)</f>
        <v>1</v>
      </c>
      <c r="V509" s="3" t="b">
        <f>IFERROR(__xludf.DUMMYFUNCTION("""COMPUTED_VALUE"""),FALSE)</f>
        <v>0</v>
      </c>
      <c r="W509" s="3" t="str">
        <f>IFERROR(__xludf.DUMMYFUNCTION("""COMPUTED_VALUE"""),"Delivery")</f>
        <v>Delivery</v>
      </c>
      <c r="X509" s="3" t="str">
        <f>IFERROR(__xludf.DUMMYFUNCTION("""COMPUTED_VALUE"""),"Investment")</f>
        <v>Investment</v>
      </c>
      <c r="Y509" s="3"/>
      <c r="Z509" s="3" t="str">
        <f>IFERROR(__xludf.DUMMYFUNCTION("""COMPUTED_VALUE"""),"Payer Transformation")</f>
        <v>Payer Transformation</v>
      </c>
      <c r="AA509" s="3" t="b">
        <f>IFERROR(__xludf.DUMMYFUNCTION("""COMPUTED_VALUE"""),FALSE)</f>
        <v>0</v>
      </c>
    </row>
    <row r="510">
      <c r="A510" s="11">
        <f>IFERROR(__xludf.DUMMYFUNCTION("""COMPUTED_VALUE"""),1.00601169E8)</f>
        <v>100601169</v>
      </c>
      <c r="B510" s="3" t="str">
        <f>IFERROR(__xludf.DUMMYFUNCTION("""COMPUTED_VALUE"""),"Paul Horgan")</f>
        <v>Paul Horgan</v>
      </c>
      <c r="C510" s="3" t="str">
        <f>IFERROR(__xludf.DUMMYFUNCTION("""COMPUTED_VALUE"""),"Paul L Horgan")</f>
        <v>Paul L Horgan</v>
      </c>
      <c r="D510" s="3" t="str">
        <f>IFERROR(__xludf.DUMMYFUNCTION("""COMPUTED_VALUE"""),"Horgan, Paul L")</f>
        <v>Horgan, Paul L</v>
      </c>
      <c r="E510" s="3" t="str">
        <f>IFERROR(__xludf.DUMMYFUNCTION("""COMPUTED_VALUE"""),"Active")</f>
        <v>Active</v>
      </c>
      <c r="F510" s="3" t="str">
        <f>IFERROR(__xludf.DUMMYFUNCTION("""COMPUTED_VALUE"""),"paul.l.horgan@pwc.com")</f>
        <v>paul.l.horgan@pwc.com</v>
      </c>
      <c r="G510" s="3" t="str">
        <f>IFERROR(__xludf.DUMMYFUNCTION("""COMPUTED_VALUE"""),"FS")</f>
        <v>FS</v>
      </c>
      <c r="H510" s="3" t="str">
        <f>IFERROR(__xludf.DUMMYFUNCTION("""COMPUTED_VALUE"""),"Insurance")</f>
        <v>Insurance</v>
      </c>
      <c r="I510" s="3" t="str">
        <f>IFERROR(__xludf.DUMMYFUNCTION("""COMPUTED_VALUE"""),"FS - Insurance")</f>
        <v>FS - Insurance</v>
      </c>
      <c r="J510" s="3" t="str">
        <f>IFERROR(__xludf.DUMMYFUNCTION("""COMPUTED_VALUE"""),"Partner (Position Vacate:06/30/2022)")</f>
        <v>Partner (Position Vacate:06/30/2022)</v>
      </c>
      <c r="K510" s="12">
        <f>IFERROR(__xludf.DUMMYFUNCTION("""COMPUTED_VALUE"""),30571.0)</f>
        <v>30571</v>
      </c>
      <c r="L510" s="3" t="str">
        <f>IFERROR(__xludf.DUMMYFUNCTION("""COMPUTED_VALUE"""),"New York")</f>
        <v>New York</v>
      </c>
      <c r="M510" s="3" t="str">
        <f>IFERROR(__xludf.DUMMYFUNCTION("""COMPUTED_VALUE"""),"New York - 300 Madison Avenue")</f>
        <v>New York - 300 Madison Avenue</v>
      </c>
      <c r="N510" s="3" t="b">
        <f>IFERROR(__xludf.DUMMYFUNCTION("""COMPUTED_VALUE"""),FALSE)</f>
        <v>0</v>
      </c>
      <c r="O510" s="3" t="str">
        <f>IFERROR(__xludf.DUMMYFUNCTION("""COMPUTED_VALUE"""),"alison.hoover@pwc.com")</f>
        <v>alison.hoover@pwc.com</v>
      </c>
      <c r="P510" s="3" t="str">
        <f>IFERROR(__xludf.DUMMYFUNCTION("""COMPUTED_VALUE"""),"No")</f>
        <v>No</v>
      </c>
      <c r="Q510" s="3" t="b">
        <f>IFERROR(__xludf.DUMMYFUNCTION("""COMPUTED_VALUE"""),FALSE)</f>
        <v>0</v>
      </c>
      <c r="R510" s="3"/>
      <c r="S510" s="3"/>
      <c r="T510" s="3" t="b">
        <f>IFERROR(__xludf.DUMMYFUNCTION("""COMPUTED_VALUE"""),FALSE)</f>
        <v>0</v>
      </c>
      <c r="U510" s="3" t="b">
        <f>IFERROR(__xludf.DUMMYFUNCTION("""COMPUTED_VALUE"""),TRUE)</f>
        <v>1</v>
      </c>
      <c r="V510" s="3" t="b">
        <f>IFERROR(__xludf.DUMMYFUNCTION("""COMPUTED_VALUE"""),FALSE)</f>
        <v>0</v>
      </c>
      <c r="W510" s="3" t="str">
        <f>IFERROR(__xludf.DUMMYFUNCTION("""COMPUTED_VALUE"""),"Delivery")</f>
        <v>Delivery</v>
      </c>
      <c r="X510" s="3"/>
      <c r="Y510" s="3"/>
      <c r="Z510" s="3" t="str">
        <f>IFERROR(__xludf.DUMMYFUNCTION("""COMPUTED_VALUE"""),"Insurance Transformation")</f>
        <v>Insurance Transformation</v>
      </c>
      <c r="AA510" s="3" t="b">
        <f>IFERROR(__xludf.DUMMYFUNCTION("""COMPUTED_VALUE"""),FALSE)</f>
        <v>0</v>
      </c>
    </row>
    <row r="511">
      <c r="A511" s="11">
        <f>IFERROR(__xludf.DUMMYFUNCTION("""COMPUTED_VALUE"""),1.00609005E8)</f>
        <v>100609005</v>
      </c>
      <c r="B511" s="3" t="str">
        <f>IFERROR(__xludf.DUMMYFUNCTION("""COMPUTED_VALUE"""),"Paul James Hollinger")</f>
        <v>Paul James Hollinger</v>
      </c>
      <c r="C511" s="3" t="str">
        <f>IFERROR(__xludf.DUMMYFUNCTION("""COMPUTED_VALUE"""),"Paul James  Hollinger")</f>
        <v>Paul James  Hollinger</v>
      </c>
      <c r="D511" s="3" t="str">
        <f>IFERROR(__xludf.DUMMYFUNCTION("""COMPUTED_VALUE"""),"Hollinger, Paul James")</f>
        <v>Hollinger, Paul James</v>
      </c>
      <c r="E511" s="3" t="str">
        <f>IFERROR(__xludf.DUMMYFUNCTION("""COMPUTED_VALUE"""),"Active")</f>
        <v>Active</v>
      </c>
      <c r="F511" s="3" t="str">
        <f>IFERROR(__xludf.DUMMYFUNCTION("""COMPUTED_VALUE"""),"paul.j.hollinger@pwc.com")</f>
        <v>paul.j.hollinger@pwc.com</v>
      </c>
      <c r="G511" s="3" t="str">
        <f>IFERROR(__xludf.DUMMYFUNCTION("""COMPUTED_VALUE"""),"Deals Transformation")</f>
        <v>Deals Transformation</v>
      </c>
      <c r="H511" s="3" t="str">
        <f>IFERROR(__xludf.DUMMYFUNCTION("""COMPUTED_VALUE"""),"TMT X-Sector")</f>
        <v>TMT X-Sector</v>
      </c>
      <c r="I511" s="3" t="str">
        <f>IFERROR(__xludf.DUMMYFUNCTION("""COMPUTED_VALUE"""),"DDV - ISD (Integration, Separation, Divestitures)")</f>
        <v>DDV - ISD (Integration, Separation, Divestitures)</v>
      </c>
      <c r="J511" s="3" t="str">
        <f>IFERROR(__xludf.DUMMYFUNCTION("""COMPUTED_VALUE"""),"Partner")</f>
        <v>Partner</v>
      </c>
      <c r="K511" s="12">
        <f>IFERROR(__xludf.DUMMYFUNCTION("""COMPUTED_VALUE"""),37144.0)</f>
        <v>37144</v>
      </c>
      <c r="L511" s="3" t="str">
        <f>IFERROR(__xludf.DUMMYFUNCTION("""COMPUTED_VALUE"""),"San Jose")</f>
        <v>San Jose</v>
      </c>
      <c r="M511" s="3" t="str">
        <f>IFERROR(__xludf.DUMMYFUNCTION("""COMPUTED_VALUE"""),"San Jose - 488 Almaden Boulevard")</f>
        <v>San Jose - 488 Almaden Boulevard</v>
      </c>
      <c r="N511" s="3" t="b">
        <f>IFERROR(__xludf.DUMMYFUNCTION("""COMPUTED_VALUE"""),TRUE)</f>
        <v>1</v>
      </c>
      <c r="O511" s="3" t="str">
        <f>IFERROR(__xludf.DUMMYFUNCTION("""COMPUTED_VALUE"""),"derek.b.townsend@pwc.com")</f>
        <v>derek.b.townsend@pwc.com</v>
      </c>
      <c r="P511" s="3" t="str">
        <f>IFERROR(__xludf.DUMMYFUNCTION("""COMPUTED_VALUE"""),"No")</f>
        <v>No</v>
      </c>
      <c r="Q511" s="3" t="b">
        <f>IFERROR(__xludf.DUMMYFUNCTION("""COMPUTED_VALUE"""),FALSE)</f>
        <v>0</v>
      </c>
      <c r="R511" s="3"/>
      <c r="S511" s="3"/>
      <c r="T511" s="3" t="b">
        <f>IFERROR(__xludf.DUMMYFUNCTION("""COMPUTED_VALUE"""),TRUE)</f>
        <v>1</v>
      </c>
      <c r="U511" s="3" t="b">
        <f>IFERROR(__xludf.DUMMYFUNCTION("""COMPUTED_VALUE"""),FALSE)</f>
        <v>0</v>
      </c>
      <c r="V511" s="3" t="b">
        <f>IFERROR(__xludf.DUMMYFUNCTION("""COMPUTED_VALUE"""),FALSE)</f>
        <v>0</v>
      </c>
      <c r="W511" s="3" t="str">
        <f>IFERROR(__xludf.DUMMYFUNCTION("""COMPUTED_VALUE"""),"Delivery")</f>
        <v>Delivery</v>
      </c>
      <c r="X511" s="3"/>
      <c r="Y511" s="3" t="str">
        <f>IFERROR(__xludf.DUMMYFUNCTION("""COMPUTED_VALUE"""),"Rainmaker")</f>
        <v>Rainmaker</v>
      </c>
      <c r="Z511" s="3" t="str">
        <f>IFERROR(__xludf.DUMMYFUNCTION("""COMPUTED_VALUE"""),"Corporate M&amp;A Transformation - TMT")</f>
        <v>Corporate M&amp;A Transformation - TMT</v>
      </c>
      <c r="AA511" s="3" t="b">
        <f>IFERROR(__xludf.DUMMYFUNCTION("""COMPUTED_VALUE"""),TRUE)</f>
        <v>1</v>
      </c>
    </row>
    <row r="512">
      <c r="A512" s="11">
        <f>IFERROR(__xludf.DUMMYFUNCTION("""COMPUTED_VALUE"""),1.00592305E8)</f>
        <v>100592305</v>
      </c>
      <c r="B512" s="3" t="str">
        <f>IFERROR(__xludf.DUMMYFUNCTION("""COMPUTED_VALUE"""),"Paul Kennedy")</f>
        <v>Paul Kennedy</v>
      </c>
      <c r="C512" s="3" t="str">
        <f>IFERROR(__xludf.DUMMYFUNCTION("""COMPUTED_VALUE"""),"Paul G Kennedy")</f>
        <v>Paul G Kennedy</v>
      </c>
      <c r="D512" s="3" t="str">
        <f>IFERROR(__xludf.DUMMYFUNCTION("""COMPUTED_VALUE"""),"Kennedy, Paul G")</f>
        <v>Kennedy, Paul G</v>
      </c>
      <c r="E512" s="3" t="str">
        <f>IFERROR(__xludf.DUMMYFUNCTION("""COMPUTED_VALUE"""),"Active")</f>
        <v>Active</v>
      </c>
      <c r="F512" s="3" t="str">
        <f>IFERROR(__xludf.DUMMYFUNCTION("""COMPUTED_VALUE"""),"paul.g.kennedy@pwc.com")</f>
        <v>paul.g.kennedy@pwc.com</v>
      </c>
      <c r="G512" s="3" t="str">
        <f>IFERROR(__xludf.DUMMYFUNCTION("""COMPUTED_VALUE"""),"Deals Transformation")</f>
        <v>Deals Transformation</v>
      </c>
      <c r="H512" s="3" t="str">
        <f>IFERROR(__xludf.DUMMYFUNCTION("""COMPUTED_VALUE"""),"Insurance")</f>
        <v>Insurance</v>
      </c>
      <c r="I512" s="3" t="str">
        <f>IFERROR(__xludf.DUMMYFUNCTION("""COMPUTED_VALUE"""),"DDV - ISD (Integration, Separation, Divestitures)")</f>
        <v>DDV - ISD (Integration, Separation, Divestitures)</v>
      </c>
      <c r="J512" s="3" t="str">
        <f>IFERROR(__xludf.DUMMYFUNCTION("""COMPUTED_VALUE"""),"Partner")</f>
        <v>Partner</v>
      </c>
      <c r="K512" s="12">
        <f>IFERROR(__xludf.DUMMYFUNCTION("""COMPUTED_VALUE"""),36493.0)</f>
        <v>36493</v>
      </c>
      <c r="L512" s="3" t="str">
        <f>IFERROR(__xludf.DUMMYFUNCTION("""COMPUTED_VALUE"""),"Boston")</f>
        <v>Boston</v>
      </c>
      <c r="M512" s="3" t="str">
        <f>IFERROR(__xludf.DUMMYFUNCTION("""COMPUTED_VALUE"""),"Boston - 101 Seaport Boulevard")</f>
        <v>Boston - 101 Seaport Boulevard</v>
      </c>
      <c r="N512" s="3" t="b">
        <f>IFERROR(__xludf.DUMMYFUNCTION("""COMPUTED_VALUE"""),TRUE)</f>
        <v>1</v>
      </c>
      <c r="O512" s="3" t="str">
        <f>IFERROR(__xludf.DUMMYFUNCTION("""COMPUTED_VALUE"""),"derek.b.townsend@pwc.com")</f>
        <v>derek.b.townsend@pwc.com</v>
      </c>
      <c r="P512" s="3" t="str">
        <f>IFERROR(__xludf.DUMMYFUNCTION("""COMPUTED_VALUE"""),"No")</f>
        <v>No</v>
      </c>
      <c r="Q512" s="3" t="b">
        <f>IFERROR(__xludf.DUMMYFUNCTION("""COMPUTED_VALUE"""),FALSE)</f>
        <v>0</v>
      </c>
      <c r="R512" s="3"/>
      <c r="S512" s="3"/>
      <c r="T512" s="3" t="b">
        <f>IFERROR(__xludf.DUMMYFUNCTION("""COMPUTED_VALUE"""),TRUE)</f>
        <v>1</v>
      </c>
      <c r="U512" s="3" t="b">
        <f>IFERROR(__xludf.DUMMYFUNCTION("""COMPUTED_VALUE"""),FALSE)</f>
        <v>0</v>
      </c>
      <c r="V512" s="3" t="b">
        <f>IFERROR(__xludf.DUMMYFUNCTION("""COMPUTED_VALUE"""),FALSE)</f>
        <v>0</v>
      </c>
      <c r="W512" s="3" t="str">
        <f>IFERROR(__xludf.DUMMYFUNCTION("""COMPUTED_VALUE"""),"Delivery")</f>
        <v>Delivery</v>
      </c>
      <c r="X512" s="3"/>
      <c r="Y512" s="3" t="str">
        <f>IFERROR(__xludf.DUMMYFUNCTION("""COMPUTED_VALUE"""),"Rainmaker")</f>
        <v>Rainmaker</v>
      </c>
      <c r="Z512" s="3" t="str">
        <f>IFERROR(__xludf.DUMMYFUNCTION("""COMPUTED_VALUE"""),"Corporate M&amp;A Transformation - FS")</f>
        <v>Corporate M&amp;A Transformation - FS</v>
      </c>
      <c r="AA512" s="3" t="b">
        <f>IFERROR(__xludf.DUMMYFUNCTION("""COMPUTED_VALUE"""),TRUE)</f>
        <v>1</v>
      </c>
    </row>
    <row r="513">
      <c r="A513" s="11">
        <f>IFERROR(__xludf.DUMMYFUNCTION("""COMPUTED_VALUE"""),1.00650501E8)</f>
        <v>100650501</v>
      </c>
      <c r="B513" s="3" t="str">
        <f>IFERROR(__xludf.DUMMYFUNCTION("""COMPUTED_VALUE"""),"Paul Leinwand")</f>
        <v>Paul Leinwand</v>
      </c>
      <c r="C513" s="3" t="str">
        <f>IFERROR(__xludf.DUMMYFUNCTION("""COMPUTED_VALUE"""),"Paul D Leinwand")</f>
        <v>Paul D Leinwand</v>
      </c>
      <c r="D513" s="3" t="str">
        <f>IFERROR(__xludf.DUMMYFUNCTION("""COMPUTED_VALUE"""),"Leinwand, Paul D")</f>
        <v>Leinwand, Paul D</v>
      </c>
      <c r="E513" s="3" t="str">
        <f>IFERROR(__xludf.DUMMYFUNCTION("""COMPUTED_VALUE"""),"Active")</f>
        <v>Active</v>
      </c>
      <c r="F513" s="3" t="str">
        <f>IFERROR(__xludf.DUMMYFUNCTION("""COMPUTED_VALUE"""),"paul.leinwand@pwc.com")</f>
        <v>paul.leinwand@pwc.com</v>
      </c>
      <c r="G513" s="3" t="str">
        <f>IFERROR(__xludf.DUMMYFUNCTION("""COMPUTED_VALUE"""),"ESV")</f>
        <v>ESV</v>
      </c>
      <c r="H513" s="3" t="str">
        <f>IFERROR(__xludf.DUMMYFUNCTION("""COMPUTED_VALUE"""),"HI X-Sector")</f>
        <v>HI X-Sector</v>
      </c>
      <c r="I513" s="3" t="str">
        <f>IFERROR(__xludf.DUMMYFUNCTION("""COMPUTED_VALUE"""),"ESV - Health Services")</f>
        <v>ESV - Health Services</v>
      </c>
      <c r="J513" s="3" t="str">
        <f>IFERROR(__xludf.DUMMYFUNCTION("""COMPUTED_VALUE"""),"Partner")</f>
        <v>Partner</v>
      </c>
      <c r="K513" s="12">
        <f>IFERROR(__xludf.DUMMYFUNCTION("""COMPUTED_VALUE"""),42186.0)</f>
        <v>42186</v>
      </c>
      <c r="L513" s="3" t="str">
        <f>IFERROR(__xludf.DUMMYFUNCTION("""COMPUTED_VALUE"""),"Chicago")</f>
        <v>Chicago</v>
      </c>
      <c r="M513" s="3" t="str">
        <f>IFERROR(__xludf.DUMMYFUNCTION("""COMPUTED_VALUE"""),"Chicago - One North Wacker Drive")</f>
        <v>Chicago - One North Wacker Drive</v>
      </c>
      <c r="N513" s="3" t="b">
        <f>IFERROR(__xludf.DUMMYFUNCTION("""COMPUTED_VALUE"""),TRUE)</f>
        <v>1</v>
      </c>
      <c r="O513" s="3" t="str">
        <f>IFERROR(__xludf.DUMMYFUNCTION("""COMPUTED_VALUE"""),"sundar.subramanian@pwc.com")</f>
        <v>sundar.subramanian@pwc.com</v>
      </c>
      <c r="P513" s="3" t="str">
        <f>IFERROR(__xludf.DUMMYFUNCTION("""COMPUTED_VALUE"""),"No")</f>
        <v>No</v>
      </c>
      <c r="Q513" s="3" t="b">
        <f>IFERROR(__xludf.DUMMYFUNCTION("""COMPUTED_VALUE"""),TRUE)</f>
        <v>1</v>
      </c>
      <c r="R513" s="3" t="str">
        <f>IFERROR(__xludf.DUMMYFUNCTION("""COMPUTED_VALUE"""),"LCP Low")</f>
        <v>LCP Low</v>
      </c>
      <c r="S513" s="3"/>
      <c r="T513" s="3" t="b">
        <f>IFERROR(__xludf.DUMMYFUNCTION("""COMPUTED_VALUE"""),TRUE)</f>
        <v>1</v>
      </c>
      <c r="U513" s="3" t="b">
        <f>IFERROR(__xludf.DUMMYFUNCTION("""COMPUTED_VALUE"""),FALSE)</f>
        <v>0</v>
      </c>
      <c r="V513" s="3" t="b">
        <f>IFERROR(__xludf.DUMMYFUNCTION("""COMPUTED_VALUE"""),FALSE)</f>
        <v>0</v>
      </c>
      <c r="W513" s="3" t="str">
        <f>IFERROR(__xludf.DUMMYFUNCTION("""COMPUTED_VALUE"""),"LCP")</f>
        <v>LCP</v>
      </c>
      <c r="X513" s="3"/>
      <c r="Y513" s="3" t="str">
        <f>IFERROR(__xludf.DUMMYFUNCTION("""COMPUTED_VALUE"""),"GEP - Low")</f>
        <v>GEP - Low</v>
      </c>
      <c r="Z513" s="3" t="str">
        <f>IFERROR(__xludf.DUMMYFUNCTION("""COMPUTED_VALUE"""),"Enterprise Digital Transformation - Health Services")</f>
        <v>Enterprise Digital Transformation - Health Services</v>
      </c>
      <c r="AA513" s="3" t="b">
        <f>IFERROR(__xludf.DUMMYFUNCTION("""COMPUTED_VALUE"""),FALSE)</f>
        <v>0</v>
      </c>
    </row>
    <row r="514">
      <c r="A514" s="11">
        <f>IFERROR(__xludf.DUMMYFUNCTION("""COMPUTED_VALUE"""),1.0065102E8)</f>
        <v>100651020</v>
      </c>
      <c r="B514" s="3" t="str">
        <f>IFERROR(__xludf.DUMMYFUNCTION("""COMPUTED_VALUE"""),"Paul Livak")</f>
        <v>Paul Livak</v>
      </c>
      <c r="C514" s="3" t="str">
        <f>IFERROR(__xludf.DUMMYFUNCTION("""COMPUTED_VALUE"""),"Paul VIncent Livak")</f>
        <v>Paul VIncent Livak</v>
      </c>
      <c r="D514" s="3" t="str">
        <f>IFERROR(__xludf.DUMMYFUNCTION("""COMPUTED_VALUE"""),"Livak, Paul VIncent")</f>
        <v>Livak, Paul VIncent</v>
      </c>
      <c r="E514" s="3" t="str">
        <f>IFERROR(__xludf.DUMMYFUNCTION("""COMPUTED_VALUE"""),"Active")</f>
        <v>Active</v>
      </c>
      <c r="F514" s="3" t="str">
        <f>IFERROR(__xludf.DUMMYFUNCTION("""COMPUTED_VALUE"""),"paul.v.livak@pwc.com")</f>
        <v>paul.v.livak@pwc.com</v>
      </c>
      <c r="G514" s="3" t="str">
        <f>IFERROR(__xludf.DUMMYFUNCTION("""COMPUTED_VALUE"""),"FS")</f>
        <v>FS</v>
      </c>
      <c r="H514" s="3" t="str">
        <f>IFERROR(__xludf.DUMMYFUNCTION("""COMPUTED_VALUE"""),"Insurance")</f>
        <v>Insurance</v>
      </c>
      <c r="I514" s="3" t="str">
        <f>IFERROR(__xludf.DUMMYFUNCTION("""COMPUTED_VALUE"""),"FS - Insurance")</f>
        <v>FS - Insurance</v>
      </c>
      <c r="J514" s="3" t="str">
        <f>IFERROR(__xludf.DUMMYFUNCTION("""COMPUTED_VALUE"""),"Partner")</f>
        <v>Partner</v>
      </c>
      <c r="K514" s="12">
        <f>IFERROR(__xludf.DUMMYFUNCTION("""COMPUTED_VALUE"""),43157.0)</f>
        <v>43157</v>
      </c>
      <c r="L514" s="3" t="str">
        <f>IFERROR(__xludf.DUMMYFUNCTION("""COMPUTED_VALUE"""),"New York")</f>
        <v>New York</v>
      </c>
      <c r="M514" s="3" t="str">
        <f>IFERROR(__xludf.DUMMYFUNCTION("""COMPUTED_VALUE"""),"New York - 300 Madison Avenue")</f>
        <v>New York - 300 Madison Avenue</v>
      </c>
      <c r="N514" s="3" t="b">
        <f>IFERROR(__xludf.DUMMYFUNCTION("""COMPUTED_VALUE"""),FALSE)</f>
        <v>0</v>
      </c>
      <c r="O514" s="3" t="str">
        <f>IFERROR(__xludf.DUMMYFUNCTION("""COMPUTED_VALUE"""),"alison.hoover@pwc.com")</f>
        <v>alison.hoover@pwc.com</v>
      </c>
      <c r="P514" s="3" t="str">
        <f>IFERROR(__xludf.DUMMYFUNCTION("""COMPUTED_VALUE"""),"No")</f>
        <v>No</v>
      </c>
      <c r="Q514" s="3" t="b">
        <f>IFERROR(__xludf.DUMMYFUNCTION("""COMPUTED_VALUE"""),FALSE)</f>
        <v>0</v>
      </c>
      <c r="R514" s="3"/>
      <c r="S514" s="3"/>
      <c r="T514" s="3" t="b">
        <f>IFERROR(__xludf.DUMMYFUNCTION("""COMPUTED_VALUE"""),FALSE)</f>
        <v>0</v>
      </c>
      <c r="U514" s="3" t="b">
        <f>IFERROR(__xludf.DUMMYFUNCTION("""COMPUTED_VALUE"""),TRUE)</f>
        <v>1</v>
      </c>
      <c r="V514" s="3" t="b">
        <f>IFERROR(__xludf.DUMMYFUNCTION("""COMPUTED_VALUE"""),FALSE)</f>
        <v>0</v>
      </c>
      <c r="W514" s="3" t="str">
        <f>IFERROR(__xludf.DUMMYFUNCTION("""COMPUTED_VALUE"""),"Delivery")</f>
        <v>Delivery</v>
      </c>
      <c r="X514" s="3"/>
      <c r="Y514" s="3"/>
      <c r="Z514" s="3" t="str">
        <f>IFERROR(__xludf.DUMMYFUNCTION("""COMPUTED_VALUE"""),"Insurance Transformation")</f>
        <v>Insurance Transformation</v>
      </c>
      <c r="AA514" s="3" t="b">
        <f>IFERROR(__xludf.DUMMYFUNCTION("""COMPUTED_VALUE"""),FALSE)</f>
        <v>0</v>
      </c>
    </row>
    <row r="515">
      <c r="A515" s="11">
        <f>IFERROR(__xludf.DUMMYFUNCTION("""COMPUTED_VALUE"""),1.00918646E8)</f>
        <v>100918646</v>
      </c>
      <c r="B515" s="3" t="str">
        <f>IFERROR(__xludf.DUMMYFUNCTION("""COMPUTED_VALUE"""),"Paul Morton")</f>
        <v>Paul Morton</v>
      </c>
      <c r="C515" s="3" t="str">
        <f>IFERROR(__xludf.DUMMYFUNCTION("""COMPUTED_VALUE"""),"Paul S. Morton")</f>
        <v>Paul S. Morton</v>
      </c>
      <c r="D515" s="3" t="str">
        <f>IFERROR(__xludf.DUMMYFUNCTION("""COMPUTED_VALUE"""),"Morton, Paul S.")</f>
        <v>Morton, Paul S.</v>
      </c>
      <c r="E515" s="3" t="str">
        <f>IFERROR(__xludf.DUMMYFUNCTION("""COMPUTED_VALUE"""),"Secondment")</f>
        <v>Secondment</v>
      </c>
      <c r="F515" s="3" t="str">
        <f>IFERROR(__xludf.DUMMYFUNCTION("""COMPUTED_VALUE"""),"paul.p.morton@pwc.com")</f>
        <v>paul.p.morton@pwc.com</v>
      </c>
      <c r="G515" s="3" t="str">
        <f>IFERROR(__xludf.DUMMYFUNCTION("""COMPUTED_VALUE"""),"Finance")</f>
        <v>Finance</v>
      </c>
      <c r="H515" s="3" t="str">
        <f>IFERROR(__xludf.DUMMYFUNCTION("""COMPUTED_VALUE"""),"TMT X-Sector")</f>
        <v>TMT X-Sector</v>
      </c>
      <c r="I515" s="3" t="str">
        <f>IFERROR(__xludf.DUMMYFUNCTION("""COMPUTED_VALUE"""),"Finance - Enterprise Performance Management")</f>
        <v>Finance - Enterprise Performance Management</v>
      </c>
      <c r="J515" s="3" t="str">
        <f>IFERROR(__xludf.DUMMYFUNCTION("""COMPUTED_VALUE"""),"Partner (Position Vacate:06/30/2022)")</f>
        <v>Partner (Position Vacate:06/30/2022)</v>
      </c>
      <c r="K515" s="12">
        <f>IFERROR(__xludf.DUMMYFUNCTION("""COMPUTED_VALUE"""),43703.0)</f>
        <v>43703</v>
      </c>
      <c r="L515" s="3" t="str">
        <f>IFERROR(__xludf.DUMMYFUNCTION("""COMPUTED_VALUE"""),"San Francisco")</f>
        <v>San Francisco</v>
      </c>
      <c r="M515" s="3" t="str">
        <f>IFERROR(__xludf.DUMMYFUNCTION("""COMPUTED_VALUE"""),"San Francisco - 405 Howard St")</f>
        <v>San Francisco - 405 Howard St</v>
      </c>
      <c r="N515" s="3" t="b">
        <f>IFERROR(__xludf.DUMMYFUNCTION("""COMPUTED_VALUE"""),FALSE)</f>
        <v>0</v>
      </c>
      <c r="O515" s="3" t="str">
        <f>IFERROR(__xludf.DUMMYFUNCTION("""COMPUTED_VALUE"""),"kurtis.babczenko@pwc.com")</f>
        <v>kurtis.babczenko@pwc.com</v>
      </c>
      <c r="P515" s="3" t="str">
        <f>IFERROR(__xludf.DUMMYFUNCTION("""COMPUTED_VALUE"""),"No")</f>
        <v>No</v>
      </c>
      <c r="Q515" s="3" t="b">
        <f>IFERROR(__xludf.DUMMYFUNCTION("""COMPUTED_VALUE"""),FALSE)</f>
        <v>0</v>
      </c>
      <c r="R515" s="3"/>
      <c r="S515" s="3"/>
      <c r="T515" s="3" t="b">
        <f>IFERROR(__xludf.DUMMYFUNCTION("""COMPUTED_VALUE"""),FALSE)</f>
        <v>0</v>
      </c>
      <c r="U515" s="3" t="b">
        <f>IFERROR(__xludf.DUMMYFUNCTION("""COMPUTED_VALUE"""),TRUE)</f>
        <v>1</v>
      </c>
      <c r="V515" s="3" t="b">
        <f>IFERROR(__xludf.DUMMYFUNCTION("""COMPUTED_VALUE"""),FALSE)</f>
        <v>0</v>
      </c>
      <c r="W515" s="3" t="str">
        <f>IFERROR(__xludf.DUMMYFUNCTION("""COMPUTED_VALUE"""),"Delivery")</f>
        <v>Delivery</v>
      </c>
      <c r="X515" s="3"/>
      <c r="Y515" s="3"/>
      <c r="Z515" s="3" t="str">
        <f>IFERROR(__xludf.DUMMYFUNCTION("""COMPUTED_VALUE"""),"Finance Transformation - TMT")</f>
        <v>Finance Transformation - TMT</v>
      </c>
      <c r="AA515" s="3" t="b">
        <f>IFERROR(__xludf.DUMMYFUNCTION("""COMPUTED_VALUE"""),FALSE)</f>
        <v>0</v>
      </c>
    </row>
    <row r="516">
      <c r="A516" s="11">
        <f>IFERROR(__xludf.DUMMYFUNCTION("""COMPUTED_VALUE"""),1.00612395E8)</f>
        <v>100612395</v>
      </c>
      <c r="B516" s="3" t="str">
        <f>IFERROR(__xludf.DUMMYFUNCTION("""COMPUTED_VALUE"""),"Paul Tenuta")</f>
        <v>Paul Tenuta</v>
      </c>
      <c r="C516" s="3" t="str">
        <f>IFERROR(__xludf.DUMMYFUNCTION("""COMPUTED_VALUE"""),"Paul N Tenuta")</f>
        <v>Paul N Tenuta</v>
      </c>
      <c r="D516" s="3" t="str">
        <f>IFERROR(__xludf.DUMMYFUNCTION("""COMPUTED_VALUE"""),"Tenuta, Paul N")</f>
        <v>Tenuta, Paul N</v>
      </c>
      <c r="E516" s="3" t="str">
        <f>IFERROR(__xludf.DUMMYFUNCTION("""COMPUTED_VALUE"""),"Active")</f>
        <v>Active</v>
      </c>
      <c r="F516" s="3" t="str">
        <f>IFERROR(__xludf.DUMMYFUNCTION("""COMPUTED_VALUE"""),"paul.tenuta@pwc.com")</f>
        <v>paul.tenuta@pwc.com</v>
      </c>
      <c r="G516" s="3" t="str">
        <f>IFERROR(__xludf.DUMMYFUNCTION("""COMPUTED_VALUE"""),"Health")</f>
        <v>Health</v>
      </c>
      <c r="H516" s="3" t="str">
        <f>IFERROR(__xludf.DUMMYFUNCTION("""COMPUTED_VALUE"""),"Health Services")</f>
        <v>Health Services</v>
      </c>
      <c r="I516" s="3" t="str">
        <f>IFERROR(__xludf.DUMMYFUNCTION("""COMPUTED_VALUE"""),"Health - Payer CO&amp;I")</f>
        <v>Health - Payer CO&amp;I</v>
      </c>
      <c r="J516" s="3" t="str">
        <f>IFERROR(__xludf.DUMMYFUNCTION("""COMPUTED_VALUE"""),"Partner")</f>
        <v>Partner</v>
      </c>
      <c r="K516" s="12">
        <f>IFERROR(__xludf.DUMMYFUNCTION("""COMPUTED_VALUE"""),40485.0)</f>
        <v>40485</v>
      </c>
      <c r="L516" s="3" t="str">
        <f>IFERROR(__xludf.DUMMYFUNCTION("""COMPUTED_VALUE"""),"Chicago")</f>
        <v>Chicago</v>
      </c>
      <c r="M516" s="3" t="str">
        <f>IFERROR(__xludf.DUMMYFUNCTION("""COMPUTED_VALUE"""),"Chicago - One North Wacker Drive")</f>
        <v>Chicago - One North Wacker Drive</v>
      </c>
      <c r="N516" s="3" t="b">
        <f>IFERROR(__xludf.DUMMYFUNCTION("""COMPUTED_VALUE"""),FALSE)</f>
        <v>0</v>
      </c>
      <c r="O516" s="3" t="str">
        <f>IFERROR(__xludf.DUMMYFUNCTION("""COMPUTED_VALUE"""),"craig.e.gooch@pwc.com")</f>
        <v>craig.e.gooch@pwc.com</v>
      </c>
      <c r="P516" s="3" t="str">
        <f>IFERROR(__xludf.DUMMYFUNCTION("""COMPUTED_VALUE"""),"No")</f>
        <v>No</v>
      </c>
      <c r="Q516" s="3" t="b">
        <f>IFERROR(__xludf.DUMMYFUNCTION("""COMPUTED_VALUE"""),TRUE)</f>
        <v>1</v>
      </c>
      <c r="R516" s="3" t="str">
        <f>IFERROR(__xludf.DUMMYFUNCTION("""COMPUTED_VALUE"""),"LCP High")</f>
        <v>LCP High</v>
      </c>
      <c r="S516" s="3"/>
      <c r="T516" s="3" t="b">
        <f>IFERROR(__xludf.DUMMYFUNCTION("""COMPUTED_VALUE"""),FALSE)</f>
        <v>0</v>
      </c>
      <c r="U516" s="3" t="b">
        <f>IFERROR(__xludf.DUMMYFUNCTION("""COMPUTED_VALUE"""),FALSE)</f>
        <v>0</v>
      </c>
      <c r="V516" s="3" t="b">
        <f>IFERROR(__xludf.DUMMYFUNCTION("""COMPUTED_VALUE"""),FALSE)</f>
        <v>0</v>
      </c>
      <c r="W516" s="3" t="str">
        <f>IFERROR(__xludf.DUMMYFUNCTION("""COMPUTED_VALUE"""),"LCP")</f>
        <v>LCP</v>
      </c>
      <c r="X516" s="3"/>
      <c r="Y516" s="3" t="str">
        <f>IFERROR(__xludf.DUMMYFUNCTION("""COMPUTED_VALUE"""),"GEP - High")</f>
        <v>GEP - High</v>
      </c>
      <c r="Z516" s="3" t="str">
        <f>IFERROR(__xludf.DUMMYFUNCTION("""COMPUTED_VALUE"""),"Payer Transformation")</f>
        <v>Payer Transformation</v>
      </c>
      <c r="AA516" s="3" t="b">
        <f>IFERROR(__xludf.DUMMYFUNCTION("""COMPUTED_VALUE"""),FALSE)</f>
        <v>0</v>
      </c>
    </row>
    <row r="517">
      <c r="A517" s="11">
        <f>IFERROR(__xludf.DUMMYFUNCTION("""COMPUTED_VALUE"""),1.0061233E8)</f>
        <v>100612330</v>
      </c>
      <c r="B517" s="3" t="str">
        <f>IFERROR(__xludf.DUMMYFUNCTION("""COMPUTED_VALUE"""),"Paul Veronneau")</f>
        <v>Paul Veronneau</v>
      </c>
      <c r="C517" s="3" t="str">
        <f>IFERROR(__xludf.DUMMYFUNCTION("""COMPUTED_VALUE"""),"Paul V Veronneau")</f>
        <v>Paul V Veronneau</v>
      </c>
      <c r="D517" s="3" t="str">
        <f>IFERROR(__xludf.DUMMYFUNCTION("""COMPUTED_VALUE"""),"Veronneau, Paul V")</f>
        <v>Veronneau, Paul V</v>
      </c>
      <c r="E517" s="3" t="str">
        <f>IFERROR(__xludf.DUMMYFUNCTION("""COMPUTED_VALUE"""),"Active")</f>
        <v>Active</v>
      </c>
      <c r="F517" s="3" t="str">
        <f>IFERROR(__xludf.DUMMYFUNCTION("""COMPUTED_VALUE"""),"paul.veronneau@pwc.com")</f>
        <v>paul.veronneau@pwc.com</v>
      </c>
      <c r="G517" s="3" t="str">
        <f>IFERROR(__xludf.DUMMYFUNCTION("""COMPUTED_VALUE"""),"Health")</f>
        <v>Health</v>
      </c>
      <c r="H517" s="3" t="str">
        <f>IFERROR(__xludf.DUMMYFUNCTION("""COMPUTED_VALUE"""),"Health Services")</f>
        <v>Health Services</v>
      </c>
      <c r="I517" s="3" t="str">
        <f>IFERROR(__xludf.DUMMYFUNCTION("""COMPUTED_VALUE"""),"Health - Payer CO&amp;I")</f>
        <v>Health - Payer CO&amp;I</v>
      </c>
      <c r="J517" s="3" t="str">
        <f>IFERROR(__xludf.DUMMYFUNCTION("""COMPUTED_VALUE"""),"Partner")</f>
        <v>Partner</v>
      </c>
      <c r="K517" s="12">
        <f>IFERROR(__xludf.DUMMYFUNCTION("""COMPUTED_VALUE"""),37473.0)</f>
        <v>37473</v>
      </c>
      <c r="L517" s="3" t="str">
        <f>IFERROR(__xludf.DUMMYFUNCTION("""COMPUTED_VALUE"""),"Hartford")</f>
        <v>Hartford</v>
      </c>
      <c r="M517" s="3" t="str">
        <f>IFERROR(__xludf.DUMMYFUNCTION("""COMPUTED_VALUE"""),"Hartford - CityPlace1, 185 Asylum Street")</f>
        <v>Hartford - CityPlace1, 185 Asylum Street</v>
      </c>
      <c r="N517" s="3" t="b">
        <f>IFERROR(__xludf.DUMMYFUNCTION("""COMPUTED_VALUE"""),FALSE)</f>
        <v>0</v>
      </c>
      <c r="O517" s="3" t="str">
        <f>IFERROR(__xludf.DUMMYFUNCTION("""COMPUTED_VALUE"""),"craig.e.gooch@pwc.com")</f>
        <v>craig.e.gooch@pwc.com</v>
      </c>
      <c r="P517" s="3" t="str">
        <f>IFERROR(__xludf.DUMMYFUNCTION("""COMPUTED_VALUE"""),"No")</f>
        <v>No</v>
      </c>
      <c r="Q517" s="3" t="b">
        <f>IFERROR(__xludf.DUMMYFUNCTION("""COMPUTED_VALUE"""),FALSE)</f>
        <v>0</v>
      </c>
      <c r="R517" s="3"/>
      <c r="S517" s="3"/>
      <c r="T517" s="3" t="b">
        <f>IFERROR(__xludf.DUMMYFUNCTION("""COMPUTED_VALUE"""),FALSE)</f>
        <v>0</v>
      </c>
      <c r="U517" s="3" t="b">
        <f>IFERROR(__xludf.DUMMYFUNCTION("""COMPUTED_VALUE"""),TRUE)</f>
        <v>1</v>
      </c>
      <c r="V517" s="3" t="b">
        <f>IFERROR(__xludf.DUMMYFUNCTION("""COMPUTED_VALUE"""),FALSE)</f>
        <v>0</v>
      </c>
      <c r="W517" s="3" t="str">
        <f>IFERROR(__xludf.DUMMYFUNCTION("""COMPUTED_VALUE"""),"Delivery")</f>
        <v>Delivery</v>
      </c>
      <c r="X517" s="3"/>
      <c r="Y517" s="3"/>
      <c r="Z517" s="3" t="str">
        <f>IFERROR(__xludf.DUMMYFUNCTION("""COMPUTED_VALUE"""),"Payer Transformation")</f>
        <v>Payer Transformation</v>
      </c>
      <c r="AA517" s="3" t="b">
        <f>IFERROR(__xludf.DUMMYFUNCTION("""COMPUTED_VALUE"""),FALSE)</f>
        <v>0</v>
      </c>
    </row>
    <row r="518">
      <c r="A518" s="11">
        <f>IFERROR(__xludf.DUMMYFUNCTION("""COMPUTED_VALUE"""),1.00650786E8)</f>
        <v>100650786</v>
      </c>
      <c r="B518" s="3" t="str">
        <f>IFERROR(__xludf.DUMMYFUNCTION("""COMPUTED_VALUE"""),"Penny Boswell")</f>
        <v>Penny Boswell</v>
      </c>
      <c r="C518" s="3" t="str">
        <f>IFERROR(__xludf.DUMMYFUNCTION("""COMPUTED_VALUE"""),"Penny Petropoulos Boswell")</f>
        <v>Penny Petropoulos Boswell</v>
      </c>
      <c r="D518" s="3" t="str">
        <f>IFERROR(__xludf.DUMMYFUNCTION("""COMPUTED_VALUE"""),"Boswell, Penny Petropoulos")</f>
        <v>Boswell, Penny Petropoulos</v>
      </c>
      <c r="E518" s="3" t="str">
        <f>IFERROR(__xludf.DUMMYFUNCTION("""COMPUTED_VALUE"""),"Active")</f>
        <v>Active</v>
      </c>
      <c r="F518" s="3" t="str">
        <f>IFERROR(__xludf.DUMMYFUNCTION("""COMPUTED_VALUE"""),"penny.p.boswell@pwc.com")</f>
        <v>penny.p.boswell@pwc.com</v>
      </c>
      <c r="G518" s="3" t="str">
        <f>IFERROR(__xludf.DUMMYFUNCTION("""COMPUTED_VALUE"""),"Customer")</f>
        <v>Customer</v>
      </c>
      <c r="H518" s="3" t="str">
        <f>IFERROR(__xludf.DUMMYFUNCTION("""COMPUTED_VALUE"""),"CM X-Sector")</f>
        <v>CM X-Sector</v>
      </c>
      <c r="I518" s="3" t="str">
        <f>IFERROR(__xludf.DUMMYFUNCTION("""COMPUTED_VALUE"""),"Customer - Pricing &amp; Profitability")</f>
        <v>Customer - Pricing &amp; Profitability</v>
      </c>
      <c r="J518" s="3" t="str">
        <f>IFERROR(__xludf.DUMMYFUNCTION("""COMPUTED_VALUE"""),"Partner")</f>
        <v>Partner</v>
      </c>
      <c r="K518" s="12">
        <f>IFERROR(__xludf.DUMMYFUNCTION("""COMPUTED_VALUE"""),42186.0)</f>
        <v>42186</v>
      </c>
      <c r="L518" s="3" t="str">
        <f>IFERROR(__xludf.DUMMYFUNCTION("""COMPUTED_VALUE"""),"Hallandale Beach")</f>
        <v>Hallandale Beach</v>
      </c>
      <c r="M518" s="3" t="str">
        <f>IFERROR(__xludf.DUMMYFUNCTION("""COMPUTED_VALUE"""),"Hallandale Beach - 600 Silks Run")</f>
        <v>Hallandale Beach - 600 Silks Run</v>
      </c>
      <c r="N518" s="3" t="b">
        <f>IFERROR(__xludf.DUMMYFUNCTION("""COMPUTED_VALUE"""),FALSE)</f>
        <v>0</v>
      </c>
      <c r="O518" s="3" t="str">
        <f>IFERROR(__xludf.DUMMYFUNCTION("""COMPUTED_VALUE"""),"george.korizis@pwc.com")</f>
        <v>george.korizis@pwc.com</v>
      </c>
      <c r="P518" s="3" t="str">
        <f>IFERROR(__xludf.DUMMYFUNCTION("""COMPUTED_VALUE"""),"No")</f>
        <v>No</v>
      </c>
      <c r="Q518" s="3" t="b">
        <f>IFERROR(__xludf.DUMMYFUNCTION("""COMPUTED_VALUE"""),FALSE)</f>
        <v>0</v>
      </c>
      <c r="R518" s="3"/>
      <c r="S518" s="3"/>
      <c r="T518" s="3" t="b">
        <f>IFERROR(__xludf.DUMMYFUNCTION("""COMPUTED_VALUE"""),FALSE)</f>
        <v>0</v>
      </c>
      <c r="U518" s="3" t="b">
        <f>IFERROR(__xludf.DUMMYFUNCTION("""COMPUTED_VALUE"""),TRUE)</f>
        <v>1</v>
      </c>
      <c r="V518" s="3" t="b">
        <f>IFERROR(__xludf.DUMMYFUNCTION("""COMPUTED_VALUE"""),FALSE)</f>
        <v>0</v>
      </c>
      <c r="W518" s="3" t="str">
        <f>IFERROR(__xludf.DUMMYFUNCTION("""COMPUTED_VALUE"""),"Delivery")</f>
        <v>Delivery</v>
      </c>
      <c r="X518" s="3"/>
      <c r="Y518" s="3"/>
      <c r="Z518" s="3" t="str">
        <f>IFERROR(__xludf.DUMMYFUNCTION("""COMPUTED_VALUE"""),"Marketing Transformation")</f>
        <v>Marketing Transformation</v>
      </c>
      <c r="AA518" s="3" t="b">
        <f>IFERROR(__xludf.DUMMYFUNCTION("""COMPUTED_VALUE"""),FALSE)</f>
        <v>0</v>
      </c>
    </row>
    <row r="519">
      <c r="A519" s="11">
        <f>IFERROR(__xludf.DUMMYFUNCTION("""COMPUTED_VALUE"""),1.0060809E8)</f>
        <v>100608090</v>
      </c>
      <c r="B519" s="3" t="str">
        <f>IFERROR(__xludf.DUMMYFUNCTION("""COMPUTED_VALUE"""),"Peter Davidson")</f>
        <v>Peter Davidson</v>
      </c>
      <c r="C519" s="3" t="str">
        <f>IFERROR(__xludf.DUMMYFUNCTION("""COMPUTED_VALUE"""),"Peter B Davidson")</f>
        <v>Peter B Davidson</v>
      </c>
      <c r="D519" s="3" t="str">
        <f>IFERROR(__xludf.DUMMYFUNCTION("""COMPUTED_VALUE"""),"Davidson, Peter B")</f>
        <v>Davidson, Peter B</v>
      </c>
      <c r="E519" s="3" t="str">
        <f>IFERROR(__xludf.DUMMYFUNCTION("""COMPUTED_VALUE"""),"Active")</f>
        <v>Active</v>
      </c>
      <c r="F519" s="3" t="str">
        <f>IFERROR(__xludf.DUMMYFUNCTION("""COMPUTED_VALUE"""),"peter.b.davidson@pwc.com")</f>
        <v>peter.b.davidson@pwc.com</v>
      </c>
      <c r="G519" s="3" t="str">
        <f>IFERROR(__xludf.DUMMYFUNCTION("""COMPUTED_VALUE"""),"Workforce")</f>
        <v>Workforce</v>
      </c>
      <c r="H519" s="3" t="str">
        <f>IFERROR(__xludf.DUMMYFUNCTION("""COMPUTED_VALUE"""),"HI X-Sector")</f>
        <v>HI X-Sector</v>
      </c>
      <c r="I519" s="3" t="str">
        <f>IFERROR(__xludf.DUMMYFUNCTION("""COMPUTED_VALUE"""),"Workforce - Rewards &amp; Well Being")</f>
        <v>Workforce - Rewards &amp; Well Being</v>
      </c>
      <c r="J519" s="3" t="str">
        <f>IFERROR(__xludf.DUMMYFUNCTION("""COMPUTED_VALUE"""),"Managing Director")</f>
        <v>Managing Director</v>
      </c>
      <c r="K519" s="12">
        <f>IFERROR(__xludf.DUMMYFUNCTION("""COMPUTED_VALUE"""),37116.0)</f>
        <v>37116</v>
      </c>
      <c r="L519" s="3" t="str">
        <f>IFERROR(__xludf.DUMMYFUNCTION("""COMPUTED_VALUE"""),"San Francisco")</f>
        <v>San Francisco</v>
      </c>
      <c r="M519" s="3" t="str">
        <f>IFERROR(__xludf.DUMMYFUNCTION("""COMPUTED_VALUE"""),"San Francisco - 405 Howard St")</f>
        <v>San Francisco - 405 Howard St</v>
      </c>
      <c r="N519" s="3" t="b">
        <f>IFERROR(__xludf.DUMMYFUNCTION("""COMPUTED_VALUE"""),FALSE)</f>
        <v>0</v>
      </c>
      <c r="O519" s="3" t="str">
        <f>IFERROR(__xludf.DUMMYFUNCTION("""COMPUTED_VALUE"""),"cindy.fraterrigo@pwc.com")</f>
        <v>cindy.fraterrigo@pwc.com</v>
      </c>
      <c r="P519" s="3" t="str">
        <f>IFERROR(__xludf.DUMMYFUNCTION("""COMPUTED_VALUE"""),"No")</f>
        <v>No</v>
      </c>
      <c r="Q519" s="3" t="b">
        <f>IFERROR(__xludf.DUMMYFUNCTION("""COMPUTED_VALUE"""),FALSE)</f>
        <v>0</v>
      </c>
      <c r="R519" s="3"/>
      <c r="S519" s="3"/>
      <c r="T519" s="3" t="b">
        <f>IFERROR(__xludf.DUMMYFUNCTION("""COMPUTED_VALUE"""),FALSE)</f>
        <v>0</v>
      </c>
      <c r="U519" s="3" t="b">
        <f>IFERROR(__xludf.DUMMYFUNCTION("""COMPUTED_VALUE"""),FALSE)</f>
        <v>0</v>
      </c>
      <c r="V519" s="3" t="b">
        <f>IFERROR(__xludf.DUMMYFUNCTION("""COMPUTED_VALUE"""),FALSE)</f>
        <v>0</v>
      </c>
      <c r="W519" s="3" t="str">
        <f>IFERROR(__xludf.DUMMYFUNCTION("""COMPUTED_VALUE"""),"#N/A")</f>
        <v>#N/A</v>
      </c>
      <c r="X519" s="3" t="str">
        <f>IFERROR(__xludf.DUMMYFUNCTION("""COMPUTED_VALUE"""),"#N/A")</f>
        <v>#N/A</v>
      </c>
      <c r="Y519" s="3" t="str">
        <f>IFERROR(__xludf.DUMMYFUNCTION("""COMPUTED_VALUE"""),"#N/A")</f>
        <v>#N/A</v>
      </c>
      <c r="Z519" s="3" t="str">
        <f>IFERROR(__xludf.DUMMYFUNCTION("""COMPUTED_VALUE"""),"Unknown")</f>
        <v>Unknown</v>
      </c>
      <c r="AA519" s="3" t="b">
        <f>IFERROR(__xludf.DUMMYFUNCTION("""COMPUTED_VALUE"""),FALSE)</f>
        <v>0</v>
      </c>
    </row>
    <row r="520">
      <c r="A520" s="11">
        <f>IFERROR(__xludf.DUMMYFUNCTION("""COMPUTED_VALUE"""),1.00619817E8)</f>
        <v>100619817</v>
      </c>
      <c r="B520" s="3" t="str">
        <f>IFERROR(__xludf.DUMMYFUNCTION("""COMPUTED_VALUE"""),"Peter Domanko")</f>
        <v>Peter Domanko</v>
      </c>
      <c r="C520" s="3" t="str">
        <f>IFERROR(__xludf.DUMMYFUNCTION("""COMPUTED_VALUE"""),"Peter Paul Domanko")</f>
        <v>Peter Paul Domanko</v>
      </c>
      <c r="D520" s="3" t="str">
        <f>IFERROR(__xludf.DUMMYFUNCTION("""COMPUTED_VALUE"""),"Domanko, Peter Paul")</f>
        <v>Domanko, Peter Paul</v>
      </c>
      <c r="E520" s="3" t="str">
        <f>IFERROR(__xludf.DUMMYFUNCTION("""COMPUTED_VALUE"""),"Active")</f>
        <v>Active</v>
      </c>
      <c r="F520" s="3" t="str">
        <f>IFERROR(__xludf.DUMMYFUNCTION("""COMPUTED_VALUE"""),"peter.domanko@pwc.com")</f>
        <v>peter.domanko@pwc.com</v>
      </c>
      <c r="G520" s="3" t="str">
        <f>IFERROR(__xludf.DUMMYFUNCTION("""COMPUTED_VALUE"""),"Ops")</f>
        <v>Ops</v>
      </c>
      <c r="H520" s="3" t="str">
        <f>IFERROR(__xludf.DUMMYFUNCTION("""COMPUTED_VALUE"""),"Energy")</f>
        <v>Energy</v>
      </c>
      <c r="I520" s="3" t="str">
        <f>IFERROR(__xludf.DUMMYFUNCTION("""COMPUTED_VALUE"""),"Ops - Connected Supply Chain (CSC)")</f>
        <v>Ops - Connected Supply Chain (CSC)</v>
      </c>
      <c r="J520" s="3" t="str">
        <f>IFERROR(__xludf.DUMMYFUNCTION("""COMPUTED_VALUE"""),"Partner")</f>
        <v>Partner</v>
      </c>
      <c r="K520" s="12">
        <f>IFERROR(__xludf.DUMMYFUNCTION("""COMPUTED_VALUE"""),38228.0)</f>
        <v>38228</v>
      </c>
      <c r="L520" s="3" t="str">
        <f>IFERROR(__xludf.DUMMYFUNCTION("""COMPUTED_VALUE"""),"Chicago")</f>
        <v>Chicago</v>
      </c>
      <c r="M520" s="3" t="str">
        <f>IFERROR(__xludf.DUMMYFUNCTION("""COMPUTED_VALUE"""),"Chicago - One North Wacker Drive")</f>
        <v>Chicago - One North Wacker Drive</v>
      </c>
      <c r="N520" s="3" t="b">
        <f>IFERROR(__xludf.DUMMYFUNCTION("""COMPUTED_VALUE"""),FALSE)</f>
        <v>0</v>
      </c>
      <c r="O520" s="3" t="str">
        <f>IFERROR(__xludf.DUMMYFUNCTION("""COMPUTED_VALUE"""),"matthew.r.comte@pwc.com")</f>
        <v>matthew.r.comte@pwc.com</v>
      </c>
      <c r="P520" s="3" t="str">
        <f>IFERROR(__xludf.DUMMYFUNCTION("""COMPUTED_VALUE"""),"No")</f>
        <v>No</v>
      </c>
      <c r="Q520" s="3" t="b">
        <f>IFERROR(__xludf.DUMMYFUNCTION("""COMPUTED_VALUE"""),FALSE)</f>
        <v>0</v>
      </c>
      <c r="R520" s="3"/>
      <c r="S520" s="3"/>
      <c r="T520" s="3" t="b">
        <f>IFERROR(__xludf.DUMMYFUNCTION("""COMPUTED_VALUE"""),FALSE)</f>
        <v>0</v>
      </c>
      <c r="U520" s="3" t="b">
        <f>IFERROR(__xludf.DUMMYFUNCTION("""COMPUTED_VALUE"""),TRUE)</f>
        <v>1</v>
      </c>
      <c r="V520" s="3" t="b">
        <f>IFERROR(__xludf.DUMMYFUNCTION("""COMPUTED_VALUE"""),FALSE)</f>
        <v>0</v>
      </c>
      <c r="W520" s="3" t="str">
        <f>IFERROR(__xludf.DUMMYFUNCTION("""COMPUTED_VALUE"""),"Delivery")</f>
        <v>Delivery</v>
      </c>
      <c r="X520" s="3"/>
      <c r="Y520" s="3"/>
      <c r="Z520" s="3" t="str">
        <f>IFERROR(__xludf.DUMMYFUNCTION("""COMPUTED_VALUE"""),"EUM + Telecom Ops Transformation")</f>
        <v>EUM + Telecom Ops Transformation</v>
      </c>
      <c r="AA520" s="3" t="b">
        <f>IFERROR(__xludf.DUMMYFUNCTION("""COMPUTED_VALUE"""),FALSE)</f>
        <v>0</v>
      </c>
    </row>
    <row r="521">
      <c r="A521" s="3">
        <f>IFERROR(__xludf.DUMMYFUNCTION("""COMPUTED_VALUE"""),1.00589299E8)</f>
        <v>100589299</v>
      </c>
      <c r="B521" s="3" t="str">
        <f>IFERROR(__xludf.DUMMYFUNCTION("""COMPUTED_VALUE"""),"Peter Frank")</f>
        <v>Peter Frank</v>
      </c>
      <c r="C521" s="3" t="str">
        <f>IFERROR(__xludf.DUMMYFUNCTION("""COMPUTED_VALUE"""),"Peter B Frank")</f>
        <v>Peter B Frank</v>
      </c>
      <c r="D521" s="3" t="str">
        <f>IFERROR(__xludf.DUMMYFUNCTION("""COMPUTED_VALUE"""),"Frank, Peter B")</f>
        <v>Frank, Peter B</v>
      </c>
      <c r="E521" s="3" t="str">
        <f>IFERROR(__xludf.DUMMYFUNCTION("""COMPUTED_VALUE"""),"Active")</f>
        <v>Active</v>
      </c>
      <c r="F521" s="3" t="str">
        <f>IFERROR(__xludf.DUMMYFUNCTION("""COMPUTED_VALUE"""),"peter.frank@pwc.com")</f>
        <v>peter.frank@pwc.com</v>
      </c>
      <c r="G521" s="3" t="str">
        <f>IFERROR(__xludf.DUMMYFUNCTION("""COMPUTED_VALUE"""),"Finance")</f>
        <v>Finance</v>
      </c>
      <c r="H521" s="3" t="str">
        <f>IFERROR(__xludf.DUMMYFUNCTION("""COMPUTED_VALUE"""),"CM X-Sector")</f>
        <v>CM X-Sector</v>
      </c>
      <c r="I521" s="3" t="str">
        <f>IFERROR(__xludf.DUMMYFUNCTION("""COMPUTED_VALUE"""),"Finance - Treasury / Working Capital / Cash Management")</f>
        <v>Finance - Treasury / Working Capital / Cash Management</v>
      </c>
      <c r="J521" s="3" t="str">
        <f>IFERROR(__xludf.DUMMYFUNCTION("""COMPUTED_VALUE"""),"Partner")</f>
        <v>Partner</v>
      </c>
      <c r="K521" s="12">
        <f>IFERROR(__xludf.DUMMYFUNCTION("""COMPUTED_VALUE"""),36206.0)</f>
        <v>36206</v>
      </c>
      <c r="L521" s="3" t="str">
        <f>IFERROR(__xludf.DUMMYFUNCTION("""COMPUTED_VALUE"""),"New York")</f>
        <v>New York</v>
      </c>
      <c r="M521" s="3" t="str">
        <f>IFERROR(__xludf.DUMMYFUNCTION("""COMPUTED_VALUE"""),"New York - 300 Madison Avenue")</f>
        <v>New York - 300 Madison Avenue</v>
      </c>
      <c r="N521" s="3" t="b">
        <f>IFERROR(__xludf.DUMMYFUNCTION("""COMPUTED_VALUE"""),FALSE)</f>
        <v>0</v>
      </c>
      <c r="O521" s="3" t="str">
        <f>IFERROR(__xludf.DUMMYFUNCTION("""COMPUTED_VALUE"""),"kurtis.babczenko@pwc.com")</f>
        <v>kurtis.babczenko@pwc.com</v>
      </c>
      <c r="P521" s="3" t="str">
        <f>IFERROR(__xludf.DUMMYFUNCTION("""COMPUTED_VALUE"""),"No")</f>
        <v>No</v>
      </c>
      <c r="Q521" s="3" t="b">
        <f>IFERROR(__xludf.DUMMYFUNCTION("""COMPUTED_VALUE"""),FALSE)</f>
        <v>0</v>
      </c>
      <c r="R521" s="3"/>
      <c r="S521" s="3"/>
      <c r="T521" s="3" t="b">
        <f>IFERROR(__xludf.DUMMYFUNCTION("""COMPUTED_VALUE"""),TRUE)</f>
        <v>1</v>
      </c>
      <c r="U521" s="3" t="b">
        <f>IFERROR(__xludf.DUMMYFUNCTION("""COMPUTED_VALUE"""),FALSE)</f>
        <v>0</v>
      </c>
      <c r="V521" s="3" t="b">
        <f>IFERROR(__xludf.DUMMYFUNCTION("""COMPUTED_VALUE"""),FALSE)</f>
        <v>0</v>
      </c>
      <c r="W521" s="3" t="str">
        <f>IFERROR(__xludf.DUMMYFUNCTION("""COMPUTED_VALUE"""),"Delivery")</f>
        <v>Delivery</v>
      </c>
      <c r="X521" s="3"/>
      <c r="Y521" s="3" t="str">
        <f>IFERROR(__xludf.DUMMYFUNCTION("""COMPUTED_VALUE"""),"Rainmaker")</f>
        <v>Rainmaker</v>
      </c>
      <c r="Z521" s="3" t="str">
        <f>IFERROR(__xludf.DUMMYFUNCTION("""COMPUTED_VALUE"""),"Finance Transformation - CM")</f>
        <v>Finance Transformation - CM</v>
      </c>
      <c r="AA521" s="3" t="b">
        <f>IFERROR(__xludf.DUMMYFUNCTION("""COMPUTED_VALUE"""),TRUE)</f>
        <v>1</v>
      </c>
    </row>
    <row r="522">
      <c r="A522" s="11">
        <f>IFERROR(__xludf.DUMMYFUNCTION("""COMPUTED_VALUE"""),1.00910245E8)</f>
        <v>100910245</v>
      </c>
      <c r="B522" s="3" t="str">
        <f>IFERROR(__xludf.DUMMYFUNCTION("""COMPUTED_VALUE"""),"Peter Gilmore")</f>
        <v>Peter Gilmore</v>
      </c>
      <c r="C522" s="3" t="str">
        <f>IFERROR(__xludf.DUMMYFUNCTION("""COMPUTED_VALUE"""),"Peter Andrew Gilmore")</f>
        <v>Peter Andrew Gilmore</v>
      </c>
      <c r="D522" s="3" t="str">
        <f>IFERROR(__xludf.DUMMYFUNCTION("""COMPUTED_VALUE"""),"Gilmore, Peter Andrew")</f>
        <v>Gilmore, Peter Andrew</v>
      </c>
      <c r="E522" s="3" t="str">
        <f>IFERROR(__xludf.DUMMYFUNCTION("""COMPUTED_VALUE"""),"Active")</f>
        <v>Active</v>
      </c>
      <c r="F522" s="3" t="str">
        <f>IFERROR(__xludf.DUMMYFUNCTION("""COMPUTED_VALUE"""),"peter.gilmore@pwc.com")</f>
        <v>peter.gilmore@pwc.com</v>
      </c>
      <c r="G522" s="3" t="str">
        <f>IFERROR(__xludf.DUMMYFUNCTION("""COMPUTED_VALUE"""),"Customer")</f>
        <v>Customer</v>
      </c>
      <c r="H522" s="3" t="str">
        <f>IFERROR(__xludf.DUMMYFUNCTION("""COMPUTED_VALUE"""),"CM X-Sector")</f>
        <v>CM X-Sector</v>
      </c>
      <c r="I522" s="3" t="str">
        <f>IFERROR(__xludf.DUMMYFUNCTION("""COMPUTED_VALUE"""),"Customer - Pricing &amp; Profitability")</f>
        <v>Customer - Pricing &amp; Profitability</v>
      </c>
      <c r="J522" s="3" t="str">
        <f>IFERROR(__xludf.DUMMYFUNCTION("""COMPUTED_VALUE"""),"Partner")</f>
        <v>Partner</v>
      </c>
      <c r="K522" s="12">
        <f>IFERROR(__xludf.DUMMYFUNCTION("""COMPUTED_VALUE"""),43644.0)</f>
        <v>43644</v>
      </c>
      <c r="L522" s="3" t="str">
        <f>IFERROR(__xludf.DUMMYFUNCTION("""COMPUTED_VALUE"""),"Washington")</f>
        <v>Washington</v>
      </c>
      <c r="M522" s="3" t="str">
        <f>IFERROR(__xludf.DUMMYFUNCTION("""COMPUTED_VALUE"""),"Washington DC - 655 New York Avenue")</f>
        <v>Washington DC - 655 New York Avenue</v>
      </c>
      <c r="N522" s="3" t="b">
        <f>IFERROR(__xludf.DUMMYFUNCTION("""COMPUTED_VALUE"""),TRUE)</f>
        <v>1</v>
      </c>
      <c r="O522" s="3" t="str">
        <f>IFERROR(__xludf.DUMMYFUNCTION("""COMPUTED_VALUE"""),"george.korizis@pwc.com")</f>
        <v>george.korizis@pwc.com</v>
      </c>
      <c r="P522" s="3" t="str">
        <f>IFERROR(__xludf.DUMMYFUNCTION("""COMPUTED_VALUE"""),"No")</f>
        <v>No</v>
      </c>
      <c r="Q522" s="3" t="b">
        <f>IFERROR(__xludf.DUMMYFUNCTION("""COMPUTED_VALUE"""),FALSE)</f>
        <v>0</v>
      </c>
      <c r="R522" s="3"/>
      <c r="S522" s="3"/>
      <c r="T522" s="3" t="b">
        <f>IFERROR(__xludf.DUMMYFUNCTION("""COMPUTED_VALUE"""),FALSE)</f>
        <v>0</v>
      </c>
      <c r="U522" s="3" t="b">
        <f>IFERROR(__xludf.DUMMYFUNCTION("""COMPUTED_VALUE"""),TRUE)</f>
        <v>1</v>
      </c>
      <c r="V522" s="3" t="b">
        <f>IFERROR(__xludf.DUMMYFUNCTION("""COMPUTED_VALUE"""),FALSE)</f>
        <v>0</v>
      </c>
      <c r="W522" s="3" t="str">
        <f>IFERROR(__xludf.DUMMYFUNCTION("""COMPUTED_VALUE"""),"Delivery")</f>
        <v>Delivery</v>
      </c>
      <c r="X522" s="3"/>
      <c r="Y522" s="3"/>
      <c r="Z522" s="3" t="str">
        <f>IFERROR(__xludf.DUMMYFUNCTION("""COMPUTED_VALUE"""),"Commercial / CRM Transformation - CM &amp; IPS &amp; HIA")</f>
        <v>Commercial / CRM Transformation - CM &amp; IPS &amp; HIA</v>
      </c>
      <c r="AA522" s="3" t="b">
        <f>IFERROR(__xludf.DUMMYFUNCTION("""COMPUTED_VALUE"""),FALSE)</f>
        <v>0</v>
      </c>
    </row>
    <row r="523">
      <c r="A523" s="11">
        <f>IFERROR(__xludf.DUMMYFUNCTION("""COMPUTED_VALUE"""),1.00603434E8)</f>
        <v>100603434</v>
      </c>
      <c r="B523" s="3" t="str">
        <f>IFERROR(__xludf.DUMMYFUNCTION("""COMPUTED_VALUE"""),"Peter Pollini")</f>
        <v>Peter Pollini</v>
      </c>
      <c r="C523" s="3" t="str">
        <f>IFERROR(__xludf.DUMMYFUNCTION("""COMPUTED_VALUE"""),"Peter C Pollini")</f>
        <v>Peter C Pollini</v>
      </c>
      <c r="D523" s="3" t="str">
        <f>IFERROR(__xludf.DUMMYFUNCTION("""COMPUTED_VALUE"""),"Pollini, Peter C")</f>
        <v>Pollini, Peter C</v>
      </c>
      <c r="E523" s="3" t="str">
        <f>IFERROR(__xludf.DUMMYFUNCTION("""COMPUTED_VALUE"""),"Active")</f>
        <v>Active</v>
      </c>
      <c r="F523" s="3" t="str">
        <f>IFERROR(__xludf.DUMMYFUNCTION("""COMPUTED_VALUE"""),"peter.c.pollini@pwc.com")</f>
        <v>peter.c.pollini@pwc.com</v>
      </c>
      <c r="G523" s="3" t="str">
        <f>IFERROR(__xludf.DUMMYFUNCTION("""COMPUTED_VALUE"""),"FS")</f>
        <v>FS</v>
      </c>
      <c r="H523" s="3" t="str">
        <f>IFERROR(__xludf.DUMMYFUNCTION("""COMPUTED_VALUE"""),"Banking and Capital Markets")</f>
        <v>Banking and Capital Markets</v>
      </c>
      <c r="I523" s="3" t="str">
        <f>IFERROR(__xludf.DUMMYFUNCTION("""COMPUTED_VALUE"""),"FS - Banking and Capital Markets")</f>
        <v>FS - Banking and Capital Markets</v>
      </c>
      <c r="J523" s="3" t="str">
        <f>IFERROR(__xludf.DUMMYFUNCTION("""COMPUTED_VALUE"""),"Partner")</f>
        <v>Partner</v>
      </c>
      <c r="K523" s="12">
        <f>IFERROR(__xludf.DUMMYFUNCTION("""COMPUTED_VALUE"""),36759.0)</f>
        <v>36759</v>
      </c>
      <c r="L523" s="3" t="str">
        <f>IFERROR(__xludf.DUMMYFUNCTION("""COMPUTED_VALUE"""),"Boston")</f>
        <v>Boston</v>
      </c>
      <c r="M523" s="3" t="str">
        <f>IFERROR(__xludf.DUMMYFUNCTION("""COMPUTED_VALUE"""),"Boston - 101 Seaport Boulevard")</f>
        <v>Boston - 101 Seaport Boulevard</v>
      </c>
      <c r="N523" s="3" t="b">
        <f>IFERROR(__xludf.DUMMYFUNCTION("""COMPUTED_VALUE"""),FALSE)</f>
        <v>0</v>
      </c>
      <c r="O523" s="3" t="str">
        <f>IFERROR(__xludf.DUMMYFUNCTION("""COMPUTED_VALUE"""),"alison.hoover@pwc.com")</f>
        <v>alison.hoover@pwc.com</v>
      </c>
      <c r="P523" s="3" t="str">
        <f>IFERROR(__xludf.DUMMYFUNCTION("""COMPUTED_VALUE"""),"No")</f>
        <v>No</v>
      </c>
      <c r="Q523" s="3" t="b">
        <f>IFERROR(__xludf.DUMMYFUNCTION("""COMPUTED_VALUE"""),TRUE)</f>
        <v>1</v>
      </c>
      <c r="R523" s="3" t="str">
        <f>IFERROR(__xludf.DUMMYFUNCTION("""COMPUTED_VALUE"""),"LCP High")</f>
        <v>LCP High</v>
      </c>
      <c r="S523" s="3"/>
      <c r="T523" s="3" t="b">
        <f>IFERROR(__xludf.DUMMYFUNCTION("""COMPUTED_VALUE"""),FALSE)</f>
        <v>0</v>
      </c>
      <c r="U523" s="3" t="b">
        <f>IFERROR(__xludf.DUMMYFUNCTION("""COMPUTED_VALUE"""),FALSE)</f>
        <v>0</v>
      </c>
      <c r="V523" s="3" t="b">
        <f>IFERROR(__xludf.DUMMYFUNCTION("""COMPUTED_VALUE"""),FALSE)</f>
        <v>0</v>
      </c>
      <c r="W523" s="3" t="str">
        <f>IFERROR(__xludf.DUMMYFUNCTION("""COMPUTED_VALUE"""),"LCP")</f>
        <v>LCP</v>
      </c>
      <c r="X523" s="3"/>
      <c r="Y523" s="3" t="str">
        <f>IFERROR(__xludf.DUMMYFUNCTION("""COMPUTED_VALUE"""),"GEP - High")</f>
        <v>GEP - High</v>
      </c>
      <c r="Z523" s="3" t="str">
        <f>IFERROR(__xludf.DUMMYFUNCTION("""COMPUTED_VALUE"""),"Banking Transformation")</f>
        <v>Banking Transformation</v>
      </c>
      <c r="AA523" s="3" t="b">
        <f>IFERROR(__xludf.DUMMYFUNCTION("""COMPUTED_VALUE"""),FALSE)</f>
        <v>0</v>
      </c>
    </row>
    <row r="524">
      <c r="A524" s="11">
        <f>IFERROR(__xludf.DUMMYFUNCTION("""COMPUTED_VALUE"""),1.00613918E8)</f>
        <v>100613918</v>
      </c>
      <c r="B524" s="3" t="str">
        <f>IFERROR(__xludf.DUMMYFUNCTION("""COMPUTED_VALUE"""),"Peter Wietfeldt")</f>
        <v>Peter Wietfeldt</v>
      </c>
      <c r="C524" s="3" t="str">
        <f>IFERROR(__xludf.DUMMYFUNCTION("""COMPUTED_VALUE"""),"Peter C Wietfeldt")</f>
        <v>Peter C Wietfeldt</v>
      </c>
      <c r="D524" s="3" t="str">
        <f>IFERROR(__xludf.DUMMYFUNCTION("""COMPUTED_VALUE"""),"Wietfeldt, Peter C")</f>
        <v>Wietfeldt, Peter C</v>
      </c>
      <c r="E524" s="3" t="str">
        <f>IFERROR(__xludf.DUMMYFUNCTION("""COMPUTED_VALUE"""),"Active")</f>
        <v>Active</v>
      </c>
      <c r="F524" s="3" t="str">
        <f>IFERROR(__xludf.DUMMYFUNCTION("""COMPUTED_VALUE"""),"peter.c.wietfeldt@pwc.com")</f>
        <v>peter.c.wietfeldt@pwc.com</v>
      </c>
      <c r="G524" s="3" t="str">
        <f>IFERROR(__xludf.DUMMYFUNCTION("""COMPUTED_VALUE"""),"Deals Transformation")</f>
        <v>Deals Transformation</v>
      </c>
      <c r="H524" s="3" t="str">
        <f>IFERROR(__xludf.DUMMYFUNCTION("""COMPUTED_VALUE"""),"CM X-Sector")</f>
        <v>CM X-Sector</v>
      </c>
      <c r="I524" s="3" t="str">
        <f>IFERROR(__xludf.DUMMYFUNCTION("""COMPUTED_VALUE"""),"DDV - Operations")</f>
        <v>DDV - Operations</v>
      </c>
      <c r="J524" s="3" t="str">
        <f>IFERROR(__xludf.DUMMYFUNCTION("""COMPUTED_VALUE"""),"Partner")</f>
        <v>Partner</v>
      </c>
      <c r="K524" s="12">
        <f>IFERROR(__xludf.DUMMYFUNCTION("""COMPUTED_VALUE"""),40777.0)</f>
        <v>40777</v>
      </c>
      <c r="L524" s="3" t="str">
        <f>IFERROR(__xludf.DUMMYFUNCTION("""COMPUTED_VALUE"""),"New York")</f>
        <v>New York</v>
      </c>
      <c r="M524" s="3" t="str">
        <f>IFERROR(__xludf.DUMMYFUNCTION("""COMPUTED_VALUE"""),"New York - 300 Madison Avenue")</f>
        <v>New York - 300 Madison Avenue</v>
      </c>
      <c r="N524" s="3" t="b">
        <f>IFERROR(__xludf.DUMMYFUNCTION("""COMPUTED_VALUE"""),FALSE)</f>
        <v>0</v>
      </c>
      <c r="O524" s="3" t="str">
        <f>IFERROR(__xludf.DUMMYFUNCTION("""COMPUTED_VALUE"""),"derek.b.townsend@pwc.com")</f>
        <v>derek.b.townsend@pwc.com</v>
      </c>
      <c r="P524" s="3" t="str">
        <f>IFERROR(__xludf.DUMMYFUNCTION("""COMPUTED_VALUE"""),"No")</f>
        <v>No</v>
      </c>
      <c r="Q524" s="3" t="b">
        <f>IFERROR(__xludf.DUMMYFUNCTION("""COMPUTED_VALUE"""),FALSE)</f>
        <v>0</v>
      </c>
      <c r="R524" s="3"/>
      <c r="S524" s="3"/>
      <c r="T524" s="3" t="b">
        <f>IFERROR(__xludf.DUMMYFUNCTION("""COMPUTED_VALUE"""),FALSE)</f>
        <v>0</v>
      </c>
      <c r="U524" s="3" t="b">
        <f>IFERROR(__xludf.DUMMYFUNCTION("""COMPUTED_VALUE"""),TRUE)</f>
        <v>1</v>
      </c>
      <c r="V524" s="3" t="b">
        <f>IFERROR(__xludf.DUMMYFUNCTION("""COMPUTED_VALUE"""),FALSE)</f>
        <v>0</v>
      </c>
      <c r="W524" s="3" t="str">
        <f>IFERROR(__xludf.DUMMYFUNCTION("""COMPUTED_VALUE"""),"Delivery")</f>
        <v>Delivery</v>
      </c>
      <c r="X524" s="3"/>
      <c r="Y524" s="3"/>
      <c r="Z524" s="3" t="str">
        <f>IFERROR(__xludf.DUMMYFUNCTION("""COMPUTED_VALUE"""),"Corporate M&amp;A Transformation - CM")</f>
        <v>Corporate M&amp;A Transformation - CM</v>
      </c>
      <c r="AA524" s="3" t="b">
        <f>IFERROR(__xludf.DUMMYFUNCTION("""COMPUTED_VALUE"""),FALSE)</f>
        <v>0</v>
      </c>
    </row>
    <row r="525">
      <c r="A525" s="11">
        <f>IFERROR(__xludf.DUMMYFUNCTION("""COMPUTED_VALUE"""),1.0059719E8)</f>
        <v>100597190</v>
      </c>
      <c r="B525" s="3" t="str">
        <f>IFERROR(__xludf.DUMMYFUNCTION("""COMPUTED_VALUE"""),"Phil Ng")</f>
        <v>Phil Ng</v>
      </c>
      <c r="C525" s="3" t="str">
        <f>IFERROR(__xludf.DUMMYFUNCTION("""COMPUTED_VALUE"""),"Philip  Ng")</f>
        <v>Philip  Ng</v>
      </c>
      <c r="D525" s="3" t="str">
        <f>IFERROR(__xludf.DUMMYFUNCTION("""COMPUTED_VALUE"""),"Ng, Philip")</f>
        <v>Ng, Philip</v>
      </c>
      <c r="E525" s="3" t="str">
        <f>IFERROR(__xludf.DUMMYFUNCTION("""COMPUTED_VALUE"""),"Active")</f>
        <v>Active</v>
      </c>
      <c r="F525" s="3" t="str">
        <f>IFERROR(__xludf.DUMMYFUNCTION("""COMPUTED_VALUE"""),"phil.ng@pwc.com")</f>
        <v>phil.ng@pwc.com</v>
      </c>
      <c r="G525" s="3" t="str">
        <f>IFERROR(__xludf.DUMMYFUNCTION("""COMPUTED_VALUE"""),"Deals Transformation")</f>
        <v>Deals Transformation</v>
      </c>
      <c r="H525" s="3" t="str">
        <f>IFERROR(__xludf.DUMMYFUNCTION("""COMPUTED_VALUE"""),"Manufacturing")</f>
        <v>Manufacturing</v>
      </c>
      <c r="I525" s="3" t="str">
        <f>IFERROR(__xludf.DUMMYFUNCTION("""COMPUTED_VALUE"""),"DDV - Finance")</f>
        <v>DDV - Finance</v>
      </c>
      <c r="J525" s="3" t="str">
        <f>IFERROR(__xludf.DUMMYFUNCTION("""COMPUTED_VALUE"""),"Partner")</f>
        <v>Partner</v>
      </c>
      <c r="K525" s="12">
        <f>IFERROR(__xludf.DUMMYFUNCTION("""COMPUTED_VALUE"""),41078.0)</f>
        <v>41078</v>
      </c>
      <c r="L525" s="3" t="str">
        <f>IFERROR(__xludf.DUMMYFUNCTION("""COMPUTED_VALUE"""),"New York")</f>
        <v>New York</v>
      </c>
      <c r="M525" s="3" t="str">
        <f>IFERROR(__xludf.DUMMYFUNCTION("""COMPUTED_VALUE"""),"New York - 300 Madison Avenue")</f>
        <v>New York - 300 Madison Avenue</v>
      </c>
      <c r="N525" s="3" t="b">
        <f>IFERROR(__xludf.DUMMYFUNCTION("""COMPUTED_VALUE"""),FALSE)</f>
        <v>0</v>
      </c>
      <c r="O525" s="3" t="str">
        <f>IFERROR(__xludf.DUMMYFUNCTION("""COMPUTED_VALUE"""),"derek.b.townsend@pwc.com")</f>
        <v>derek.b.townsend@pwc.com</v>
      </c>
      <c r="P525" s="3" t="str">
        <f>IFERROR(__xludf.DUMMYFUNCTION("""COMPUTED_VALUE"""),"No")</f>
        <v>No</v>
      </c>
      <c r="Q525" s="3" t="b">
        <f>IFERROR(__xludf.DUMMYFUNCTION("""COMPUTED_VALUE"""),FALSE)</f>
        <v>0</v>
      </c>
      <c r="R525" s="3"/>
      <c r="S525" s="3"/>
      <c r="T525" s="3" t="b">
        <f>IFERROR(__xludf.DUMMYFUNCTION("""COMPUTED_VALUE"""),FALSE)</f>
        <v>0</v>
      </c>
      <c r="U525" s="3" t="b">
        <f>IFERROR(__xludf.DUMMYFUNCTION("""COMPUTED_VALUE"""),TRUE)</f>
        <v>1</v>
      </c>
      <c r="V525" s="3" t="b">
        <f>IFERROR(__xludf.DUMMYFUNCTION("""COMPUTED_VALUE"""),FALSE)</f>
        <v>0</v>
      </c>
      <c r="W525" s="3" t="str">
        <f>IFERROR(__xludf.DUMMYFUNCTION("""COMPUTED_VALUE"""),"Delivery")</f>
        <v>Delivery</v>
      </c>
      <c r="X525" s="3"/>
      <c r="Y525" s="3"/>
      <c r="Z525" s="3" t="str">
        <f>IFERROR(__xludf.DUMMYFUNCTION("""COMPUTED_VALUE"""),"Corporate M&amp;A Transformation - IPS")</f>
        <v>Corporate M&amp;A Transformation - IPS</v>
      </c>
      <c r="AA525" s="3" t="b">
        <f>IFERROR(__xludf.DUMMYFUNCTION("""COMPUTED_VALUE"""),FALSE)</f>
        <v>0</v>
      </c>
    </row>
    <row r="526">
      <c r="A526" s="11">
        <f>IFERROR(__xludf.DUMMYFUNCTION("""COMPUTED_VALUE"""),1.00654991E8)</f>
        <v>100654991</v>
      </c>
      <c r="B526" s="3" t="str">
        <f>IFERROR(__xludf.DUMMYFUNCTION("""COMPUTED_VALUE"""),"Phil Regnault")</f>
        <v>Phil Regnault</v>
      </c>
      <c r="C526" s="3" t="str">
        <f>IFERROR(__xludf.DUMMYFUNCTION("""COMPUTED_VALUE"""),"Philippe  Regnault")</f>
        <v>Philippe  Regnault</v>
      </c>
      <c r="D526" s="3" t="str">
        <f>IFERROR(__xludf.DUMMYFUNCTION("""COMPUTED_VALUE"""),"Regnault, Philippe")</f>
        <v>Regnault, Philippe</v>
      </c>
      <c r="E526" s="3" t="str">
        <f>IFERROR(__xludf.DUMMYFUNCTION("""COMPUTED_VALUE"""),"Active")</f>
        <v>Active</v>
      </c>
      <c r="F526" s="3" t="str">
        <f>IFERROR(__xludf.DUMMYFUNCTION("""COMPUTED_VALUE"""),"phil.regnault@pwc.com")</f>
        <v>phil.regnault@pwc.com</v>
      </c>
      <c r="G526" s="3" t="str">
        <f>IFERROR(__xludf.DUMMYFUNCTION("""COMPUTED_VALUE"""),"Customer")</f>
        <v>Customer</v>
      </c>
      <c r="H526" s="3" t="str">
        <f>IFERROR(__xludf.DUMMYFUNCTION("""COMPUTED_VALUE"""),"CM X-Sector")</f>
        <v>CM X-Sector</v>
      </c>
      <c r="I526" s="3" t="str">
        <f>IFERROR(__xludf.DUMMYFUNCTION("""COMPUTED_VALUE"""),"Customer - Marketing")</f>
        <v>Customer - Marketing</v>
      </c>
      <c r="J526" s="3" t="str">
        <f>IFERROR(__xludf.DUMMYFUNCTION("""COMPUTED_VALUE"""),"Partner")</f>
        <v>Partner</v>
      </c>
      <c r="K526" s="12">
        <f>IFERROR(__xludf.DUMMYFUNCTION("""COMPUTED_VALUE"""),43105.0)</f>
        <v>43105</v>
      </c>
      <c r="L526" s="3" t="str">
        <f>IFERROR(__xludf.DUMMYFUNCTION("""COMPUTED_VALUE"""),"Atlanta")</f>
        <v>Atlanta</v>
      </c>
      <c r="M526" s="3" t="str">
        <f>IFERROR(__xludf.DUMMYFUNCTION("""COMPUTED_VALUE"""),"Atlanta - 1075 Peachtree Street NE")</f>
        <v>Atlanta - 1075 Peachtree Street NE</v>
      </c>
      <c r="N526" s="3" t="b">
        <f>IFERROR(__xludf.DUMMYFUNCTION("""COMPUTED_VALUE"""),FALSE)</f>
        <v>0</v>
      </c>
      <c r="O526" s="3" t="str">
        <f>IFERROR(__xludf.DUMMYFUNCTION("""COMPUTED_VALUE"""),"george.korizis@pwc.com")</f>
        <v>george.korizis@pwc.com</v>
      </c>
      <c r="P526" s="3" t="str">
        <f>IFERROR(__xludf.DUMMYFUNCTION("""COMPUTED_VALUE"""),"No")</f>
        <v>No</v>
      </c>
      <c r="Q526" s="3" t="b">
        <f>IFERROR(__xludf.DUMMYFUNCTION("""COMPUTED_VALUE"""),FALSE)</f>
        <v>0</v>
      </c>
      <c r="R526" s="3"/>
      <c r="S526" s="3"/>
      <c r="T526" s="3" t="b">
        <f>IFERROR(__xludf.DUMMYFUNCTION("""COMPUTED_VALUE"""),FALSE)</f>
        <v>0</v>
      </c>
      <c r="U526" s="3" t="b">
        <f>IFERROR(__xludf.DUMMYFUNCTION("""COMPUTED_VALUE"""),TRUE)</f>
        <v>1</v>
      </c>
      <c r="V526" s="3" t="b">
        <f>IFERROR(__xludf.DUMMYFUNCTION("""COMPUTED_VALUE"""),FALSE)</f>
        <v>0</v>
      </c>
      <c r="W526" s="3" t="str">
        <f>IFERROR(__xludf.DUMMYFUNCTION("""COMPUTED_VALUE"""),"Delivery")</f>
        <v>Delivery</v>
      </c>
      <c r="X526" s="3"/>
      <c r="Y526" s="3"/>
      <c r="Z526" s="3" t="str">
        <f>IFERROR(__xludf.DUMMYFUNCTION("""COMPUTED_VALUE"""),"Marketing Transformation")</f>
        <v>Marketing Transformation</v>
      </c>
      <c r="AA526" s="3" t="b">
        <f>IFERROR(__xludf.DUMMYFUNCTION("""COMPUTED_VALUE"""),FALSE)</f>
        <v>0</v>
      </c>
    </row>
    <row r="527">
      <c r="A527" s="3">
        <f>IFERROR(__xludf.DUMMYFUNCTION("""COMPUTED_VALUE"""),1.00592715E8)</f>
        <v>100592715</v>
      </c>
      <c r="B527" s="3" t="str">
        <f>IFERROR(__xludf.DUMMYFUNCTION("""COMPUTED_VALUE"""),"Philip Deitch")</f>
        <v>Philip Deitch</v>
      </c>
      <c r="C527" s="3" t="str">
        <f>IFERROR(__xludf.DUMMYFUNCTION("""COMPUTED_VALUE"""),"Philip E Deitch")</f>
        <v>Philip E Deitch</v>
      </c>
      <c r="D527" s="3" t="str">
        <f>IFERROR(__xludf.DUMMYFUNCTION("""COMPUTED_VALUE"""),"Deitch, Philip E")</f>
        <v>Deitch, Philip E</v>
      </c>
      <c r="E527" s="3" t="str">
        <f>IFERROR(__xludf.DUMMYFUNCTION("""COMPUTED_VALUE"""),"Active")</f>
        <v>Active</v>
      </c>
      <c r="F527" s="3" t="str">
        <f>IFERROR(__xludf.DUMMYFUNCTION("""COMPUTED_VALUE"""),"philip.e.deitch@pwc.com")</f>
        <v>philip.e.deitch@pwc.com</v>
      </c>
      <c r="G527" s="3" t="str">
        <f>IFERROR(__xludf.DUMMYFUNCTION("""COMPUTED_VALUE"""),"Workforce")</f>
        <v>Workforce</v>
      </c>
      <c r="H527" s="3" t="str">
        <f>IFERROR(__xludf.DUMMYFUNCTION("""COMPUTED_VALUE"""),"IMA X-Sector")</f>
        <v>IMA X-Sector</v>
      </c>
      <c r="I527" s="3" t="str">
        <f>IFERROR(__xludf.DUMMYFUNCTION("""COMPUTED_VALUE"""),"Workforce - Rewards &amp; Well Being")</f>
        <v>Workforce - Rewards &amp; Well Being</v>
      </c>
      <c r="J527" s="3" t="str">
        <f>IFERROR(__xludf.DUMMYFUNCTION("""COMPUTED_VALUE"""),"Partner")</f>
        <v>Partner</v>
      </c>
      <c r="K527" s="12">
        <f>IFERROR(__xludf.DUMMYFUNCTION("""COMPUTED_VALUE"""),36542.0)</f>
        <v>36542</v>
      </c>
      <c r="L527" s="3" t="str">
        <f>IFERROR(__xludf.DUMMYFUNCTION("""COMPUTED_VALUE"""),"New York")</f>
        <v>New York</v>
      </c>
      <c r="M527" s="3" t="str">
        <f>IFERROR(__xludf.DUMMYFUNCTION("""COMPUTED_VALUE"""),"New York - 300 Madison Avenue")</f>
        <v>New York - 300 Madison Avenue</v>
      </c>
      <c r="N527" s="3" t="b">
        <f>IFERROR(__xludf.DUMMYFUNCTION("""COMPUTED_VALUE"""),FALSE)</f>
        <v>0</v>
      </c>
      <c r="O527" s="3" t="str">
        <f>IFERROR(__xludf.DUMMYFUNCTION("""COMPUTED_VALUE"""),"craig.odonnell@pwc.com")</f>
        <v>craig.odonnell@pwc.com</v>
      </c>
      <c r="P527" s="3" t="str">
        <f>IFERROR(__xludf.DUMMYFUNCTION("""COMPUTED_VALUE"""),"No")</f>
        <v>No</v>
      </c>
      <c r="Q527" s="3" t="b">
        <f>IFERROR(__xludf.DUMMYFUNCTION("""COMPUTED_VALUE"""),FALSE)</f>
        <v>0</v>
      </c>
      <c r="R527" s="3"/>
      <c r="S527" s="3"/>
      <c r="T527" s="3" t="b">
        <f>IFERROR(__xludf.DUMMYFUNCTION("""COMPUTED_VALUE"""),FALSE)</f>
        <v>0</v>
      </c>
      <c r="U527" s="3" t="b">
        <f>IFERROR(__xludf.DUMMYFUNCTION("""COMPUTED_VALUE"""),FALSE)</f>
        <v>0</v>
      </c>
      <c r="V527" s="3" t="b">
        <f>IFERROR(__xludf.DUMMYFUNCTION("""COMPUTED_VALUE"""),FALSE)</f>
        <v>0</v>
      </c>
      <c r="W527" s="3" t="str">
        <f>IFERROR(__xludf.DUMMYFUNCTION("""COMPUTED_VALUE"""),"#N/A")</f>
        <v>#N/A</v>
      </c>
      <c r="X527" s="3" t="str">
        <f>IFERROR(__xludf.DUMMYFUNCTION("""COMPUTED_VALUE"""),"#N/A")</f>
        <v>#N/A</v>
      </c>
      <c r="Y527" s="3" t="str">
        <f>IFERROR(__xludf.DUMMYFUNCTION("""COMPUTED_VALUE"""),"#N/A")</f>
        <v>#N/A</v>
      </c>
      <c r="Z527" s="3" t="str">
        <f>IFERROR(__xludf.DUMMYFUNCTION("""COMPUTED_VALUE"""),"Unknown")</f>
        <v>Unknown</v>
      </c>
      <c r="AA527" s="3" t="b">
        <f>IFERROR(__xludf.DUMMYFUNCTION("""COMPUTED_VALUE"""),FALSE)</f>
        <v>0</v>
      </c>
    </row>
    <row r="528">
      <c r="A528" s="11">
        <f>IFERROR(__xludf.DUMMYFUNCTION("""COMPUTED_VALUE"""),1.00639495E8)</f>
        <v>100639495</v>
      </c>
      <c r="B528" s="3" t="str">
        <f>IFERROR(__xludf.DUMMYFUNCTION("""COMPUTED_VALUE"""),"Philip Sclafani")</f>
        <v>Philip Sclafani</v>
      </c>
      <c r="C528" s="3" t="str">
        <f>IFERROR(__xludf.DUMMYFUNCTION("""COMPUTED_VALUE"""),"Philip  Sclafani")</f>
        <v>Philip  Sclafani</v>
      </c>
      <c r="D528" s="3" t="str">
        <f>IFERROR(__xludf.DUMMYFUNCTION("""COMPUTED_VALUE"""),"Sclafani, Philip")</f>
        <v>Sclafani, Philip</v>
      </c>
      <c r="E528" s="3" t="str">
        <f>IFERROR(__xludf.DUMMYFUNCTION("""COMPUTED_VALUE"""),"Active")</f>
        <v>Active</v>
      </c>
      <c r="F528" s="3" t="str">
        <f>IFERROR(__xludf.DUMMYFUNCTION("""COMPUTED_VALUE"""),"philip.sclafani@pwc.com")</f>
        <v>philip.sclafani@pwc.com</v>
      </c>
      <c r="G528" s="3" t="str">
        <f>IFERROR(__xludf.DUMMYFUNCTION("""COMPUTED_VALUE"""),"Customer")</f>
        <v>Customer</v>
      </c>
      <c r="H528" s="3" t="str">
        <f>IFERROR(__xludf.DUMMYFUNCTION("""COMPUTED_VALUE"""),"CM X-Sector")</f>
        <v>CM X-Sector</v>
      </c>
      <c r="I528" s="3" t="str">
        <f>IFERROR(__xludf.DUMMYFUNCTION("""COMPUTED_VALUE"""),"Customer - Pricing &amp; Profitability")</f>
        <v>Customer - Pricing &amp; Profitability</v>
      </c>
      <c r="J528" s="3" t="str">
        <f>IFERROR(__xludf.DUMMYFUNCTION("""COMPUTED_VALUE"""),"Partner")</f>
        <v>Partner</v>
      </c>
      <c r="K528" s="12">
        <f>IFERROR(__xludf.DUMMYFUNCTION("""COMPUTED_VALUE"""),39819.0)</f>
        <v>39819</v>
      </c>
      <c r="L528" s="3" t="str">
        <f>IFERROR(__xludf.DUMMYFUNCTION("""COMPUTED_VALUE"""),"New York")</f>
        <v>New York</v>
      </c>
      <c r="M528" s="3" t="str">
        <f>IFERROR(__xludf.DUMMYFUNCTION("""COMPUTED_VALUE"""),"New York - 300 Madison Avenue")</f>
        <v>New York - 300 Madison Avenue</v>
      </c>
      <c r="N528" s="3" t="b">
        <f>IFERROR(__xludf.DUMMYFUNCTION("""COMPUTED_VALUE"""),FALSE)</f>
        <v>0</v>
      </c>
      <c r="O528" s="3" t="str">
        <f>IFERROR(__xludf.DUMMYFUNCTION("""COMPUTED_VALUE"""),"george.korizis@pwc.com")</f>
        <v>george.korizis@pwc.com</v>
      </c>
      <c r="P528" s="3" t="str">
        <f>IFERROR(__xludf.DUMMYFUNCTION("""COMPUTED_VALUE"""),"No")</f>
        <v>No</v>
      </c>
      <c r="Q528" s="3" t="b">
        <f>IFERROR(__xludf.DUMMYFUNCTION("""COMPUTED_VALUE"""),TRUE)</f>
        <v>1</v>
      </c>
      <c r="R528" s="3" t="str">
        <f>IFERROR(__xludf.DUMMYFUNCTION("""COMPUTED_VALUE"""),"LCP Low")</f>
        <v>LCP Low</v>
      </c>
      <c r="S528" s="3"/>
      <c r="T528" s="3" t="b">
        <f>IFERROR(__xludf.DUMMYFUNCTION("""COMPUTED_VALUE"""),FALSE)</f>
        <v>0</v>
      </c>
      <c r="U528" s="3" t="b">
        <f>IFERROR(__xludf.DUMMYFUNCTION("""COMPUTED_VALUE"""),FALSE)</f>
        <v>0</v>
      </c>
      <c r="V528" s="3" t="b">
        <f>IFERROR(__xludf.DUMMYFUNCTION("""COMPUTED_VALUE"""),FALSE)</f>
        <v>0</v>
      </c>
      <c r="W528" s="3" t="str">
        <f>IFERROR(__xludf.DUMMYFUNCTION("""COMPUTED_VALUE"""),"LCP")</f>
        <v>LCP</v>
      </c>
      <c r="X528" s="3"/>
      <c r="Y528" s="3" t="str">
        <f>IFERROR(__xludf.DUMMYFUNCTION("""COMPUTED_VALUE"""),"GEP - Low")</f>
        <v>GEP - Low</v>
      </c>
      <c r="Z528" s="3" t="str">
        <f>IFERROR(__xludf.DUMMYFUNCTION("""COMPUTED_VALUE"""),"Finance Transformation - Payer &amp; Pharma")</f>
        <v>Finance Transformation - Payer &amp; Pharma</v>
      </c>
      <c r="AA528" s="3" t="b">
        <f>IFERROR(__xludf.DUMMYFUNCTION("""COMPUTED_VALUE"""),FALSE)</f>
        <v>0</v>
      </c>
    </row>
    <row r="529">
      <c r="A529" s="11">
        <f>IFERROR(__xludf.DUMMYFUNCTION("""COMPUTED_VALUE"""),1.00648136E8)</f>
        <v>100648136</v>
      </c>
      <c r="B529" s="3" t="str">
        <f>IFERROR(__xludf.DUMMYFUNCTION("""COMPUTED_VALUE"""),"Pier Noventa")</f>
        <v>Pier Noventa</v>
      </c>
      <c r="C529" s="3" t="str">
        <f>IFERROR(__xludf.DUMMYFUNCTION("""COMPUTED_VALUE"""),"Pier P Noventa")</f>
        <v>Pier P Noventa</v>
      </c>
      <c r="D529" s="3" t="str">
        <f>IFERROR(__xludf.DUMMYFUNCTION("""COMPUTED_VALUE"""),"Noventa, Pier P")</f>
        <v>Noventa, Pier P</v>
      </c>
      <c r="E529" s="3" t="str">
        <f>IFERROR(__xludf.DUMMYFUNCTION("""COMPUTED_VALUE"""),"Active")</f>
        <v>Active</v>
      </c>
      <c r="F529" s="3" t="str">
        <f>IFERROR(__xludf.DUMMYFUNCTION("""COMPUTED_VALUE"""),"pier.noventa@pwc.com")</f>
        <v>pier.noventa@pwc.com</v>
      </c>
      <c r="G529" s="3" t="str">
        <f>IFERROR(__xludf.DUMMYFUNCTION("""COMPUTED_VALUE"""),"ESV")</f>
        <v>ESV</v>
      </c>
      <c r="H529" s="3" t="str">
        <f>IFERROR(__xludf.DUMMYFUNCTION("""COMPUTED_VALUE"""),"Health Services")</f>
        <v>Health Services</v>
      </c>
      <c r="I529" s="3" t="str">
        <f>IFERROR(__xludf.DUMMYFUNCTION("""COMPUTED_VALUE"""),"ESV - Health Services")</f>
        <v>ESV - Health Services</v>
      </c>
      <c r="J529" s="3" t="str">
        <f>IFERROR(__xludf.DUMMYFUNCTION("""COMPUTED_VALUE"""),"Partner")</f>
        <v>Partner</v>
      </c>
      <c r="K529" s="12">
        <f>IFERROR(__xludf.DUMMYFUNCTION("""COMPUTED_VALUE"""),42186.0)</f>
        <v>42186</v>
      </c>
      <c r="L529" s="3" t="str">
        <f>IFERROR(__xludf.DUMMYFUNCTION("""COMPUTED_VALUE"""),"Chicago")</f>
        <v>Chicago</v>
      </c>
      <c r="M529" s="3" t="str">
        <f>IFERROR(__xludf.DUMMYFUNCTION("""COMPUTED_VALUE"""),"Chicago - One North Wacker Drive")</f>
        <v>Chicago - One North Wacker Drive</v>
      </c>
      <c r="N529" s="3" t="b">
        <f>IFERROR(__xludf.DUMMYFUNCTION("""COMPUTED_VALUE"""),FALSE)</f>
        <v>0</v>
      </c>
      <c r="O529" s="3" t="str">
        <f>IFERROR(__xludf.DUMMYFUNCTION("""COMPUTED_VALUE"""),"sundar.subramanian@pwc.com")</f>
        <v>sundar.subramanian@pwc.com</v>
      </c>
      <c r="P529" s="3" t="str">
        <f>IFERROR(__xludf.DUMMYFUNCTION("""COMPUTED_VALUE"""),"No")</f>
        <v>No</v>
      </c>
      <c r="Q529" s="3" t="b">
        <f>IFERROR(__xludf.DUMMYFUNCTION("""COMPUTED_VALUE"""),FALSE)</f>
        <v>0</v>
      </c>
      <c r="R529" s="3"/>
      <c r="S529" s="3"/>
      <c r="T529" s="3" t="b">
        <f>IFERROR(__xludf.DUMMYFUNCTION("""COMPUTED_VALUE"""),FALSE)</f>
        <v>0</v>
      </c>
      <c r="U529" s="3" t="b">
        <f>IFERROR(__xludf.DUMMYFUNCTION("""COMPUTED_VALUE"""),TRUE)</f>
        <v>1</v>
      </c>
      <c r="V529" s="3" t="b">
        <f>IFERROR(__xludf.DUMMYFUNCTION("""COMPUTED_VALUE"""),FALSE)</f>
        <v>0</v>
      </c>
      <c r="W529" s="3" t="str">
        <f>IFERROR(__xludf.DUMMYFUNCTION("""COMPUTED_VALUE"""),"Delivery")</f>
        <v>Delivery</v>
      </c>
      <c r="X529" s="3"/>
      <c r="Y529" s="3"/>
      <c r="Z529" s="3" t="str">
        <f>IFERROR(__xludf.DUMMYFUNCTION("""COMPUTED_VALUE"""),"Enterprise Digital Transformation - BCM &amp; AWM")</f>
        <v>Enterprise Digital Transformation - BCM &amp; AWM</v>
      </c>
      <c r="AA529" s="3" t="b">
        <f>IFERROR(__xludf.DUMMYFUNCTION("""COMPUTED_VALUE"""),FALSE)</f>
        <v>0</v>
      </c>
    </row>
    <row r="530">
      <c r="A530" s="11">
        <f>IFERROR(__xludf.DUMMYFUNCTION("""COMPUTED_VALUE"""),1.00620553E8)</f>
        <v>100620553</v>
      </c>
      <c r="B530" s="3" t="str">
        <f>IFERROR(__xludf.DUMMYFUNCTION("""COMPUTED_VALUE"""),"Pierre Monperrus")</f>
        <v>Pierre Monperrus</v>
      </c>
      <c r="C530" s="3" t="str">
        <f>IFERROR(__xludf.DUMMYFUNCTION("""COMPUTED_VALUE"""),"Pierre  Monperrus")</f>
        <v>Pierre  Monperrus</v>
      </c>
      <c r="D530" s="3" t="str">
        <f>IFERROR(__xludf.DUMMYFUNCTION("""COMPUTED_VALUE"""),"Monperrus, Pierre")</f>
        <v>Monperrus, Pierre</v>
      </c>
      <c r="E530" s="3" t="str">
        <f>IFERROR(__xludf.DUMMYFUNCTION("""COMPUTED_VALUE"""),"Active")</f>
        <v>Active</v>
      </c>
      <c r="F530" s="3" t="str">
        <f>IFERROR(__xludf.DUMMYFUNCTION("""COMPUTED_VALUE"""),"pierre.monperrus@pwc.com")</f>
        <v>pierre.monperrus@pwc.com</v>
      </c>
      <c r="G530" s="3" t="str">
        <f>IFERROR(__xludf.DUMMYFUNCTION("""COMPUTED_VALUE"""),"Finance")</f>
        <v>Finance</v>
      </c>
      <c r="H530" s="3" t="str">
        <f>IFERROR(__xludf.DUMMYFUNCTION("""COMPUTED_VALUE"""),"CM X-Sector")</f>
        <v>CM X-Sector</v>
      </c>
      <c r="I530" s="3" t="str">
        <f>IFERROR(__xludf.DUMMYFUNCTION("""COMPUTED_VALUE"""),"Finance - Financial Operations")</f>
        <v>Finance - Financial Operations</v>
      </c>
      <c r="J530" s="3" t="str">
        <f>IFERROR(__xludf.DUMMYFUNCTION("""COMPUTED_VALUE"""),"Partner")</f>
        <v>Partner</v>
      </c>
      <c r="K530" s="12">
        <f>IFERROR(__xludf.DUMMYFUNCTION("""COMPUTED_VALUE"""),38281.0)</f>
        <v>38281</v>
      </c>
      <c r="L530" s="3" t="str">
        <f>IFERROR(__xludf.DUMMYFUNCTION("""COMPUTED_VALUE"""),"Chicago")</f>
        <v>Chicago</v>
      </c>
      <c r="M530" s="3" t="str">
        <f>IFERROR(__xludf.DUMMYFUNCTION("""COMPUTED_VALUE"""),"Chicago - One North Wacker Drive")</f>
        <v>Chicago - One North Wacker Drive</v>
      </c>
      <c r="N530" s="3" t="b">
        <f>IFERROR(__xludf.DUMMYFUNCTION("""COMPUTED_VALUE"""),FALSE)</f>
        <v>0</v>
      </c>
      <c r="O530" s="3" t="str">
        <f>IFERROR(__xludf.DUMMYFUNCTION("""COMPUTED_VALUE"""),"kurtis.babczenko@pwc.com")</f>
        <v>kurtis.babczenko@pwc.com</v>
      </c>
      <c r="P530" s="3" t="str">
        <f>IFERROR(__xludf.DUMMYFUNCTION("""COMPUTED_VALUE"""),"No")</f>
        <v>No</v>
      </c>
      <c r="Q530" s="3" t="b">
        <f>IFERROR(__xludf.DUMMYFUNCTION("""COMPUTED_VALUE"""),FALSE)</f>
        <v>0</v>
      </c>
      <c r="R530" s="3"/>
      <c r="S530" s="3"/>
      <c r="T530" s="3" t="b">
        <f>IFERROR(__xludf.DUMMYFUNCTION("""COMPUTED_VALUE"""),FALSE)</f>
        <v>0</v>
      </c>
      <c r="U530" s="3" t="b">
        <f>IFERROR(__xludf.DUMMYFUNCTION("""COMPUTED_VALUE"""),TRUE)</f>
        <v>1</v>
      </c>
      <c r="V530" s="3" t="b">
        <f>IFERROR(__xludf.DUMMYFUNCTION("""COMPUTED_VALUE"""),FALSE)</f>
        <v>0</v>
      </c>
      <c r="W530" s="3" t="str">
        <f>IFERROR(__xludf.DUMMYFUNCTION("""COMPUTED_VALUE"""),"Delivery")</f>
        <v>Delivery</v>
      </c>
      <c r="X530" s="3"/>
      <c r="Y530" s="3"/>
      <c r="Z530" s="3" t="str">
        <f>IFERROR(__xludf.DUMMYFUNCTION("""COMPUTED_VALUE"""),"Finance Transformation - CM")</f>
        <v>Finance Transformation - CM</v>
      </c>
      <c r="AA530" s="3" t="b">
        <f>IFERROR(__xludf.DUMMYFUNCTION("""COMPUTED_VALUE"""),FALSE)</f>
        <v>0</v>
      </c>
    </row>
    <row r="531">
      <c r="A531" s="11">
        <f>IFERROR(__xludf.DUMMYFUNCTION("""COMPUTED_VALUE"""),1.00581763E8)</f>
        <v>100581763</v>
      </c>
      <c r="B531" s="3" t="str">
        <f>IFERROR(__xludf.DUMMYFUNCTION("""COMPUTED_VALUE"""),"Rafael Lander")</f>
        <v>Rafael Lander</v>
      </c>
      <c r="C531" s="3" t="str">
        <f>IFERROR(__xludf.DUMMYFUNCTION("""COMPUTED_VALUE"""),"Rafael  Lander")</f>
        <v>Rafael  Lander</v>
      </c>
      <c r="D531" s="3" t="str">
        <f>IFERROR(__xludf.DUMMYFUNCTION("""COMPUTED_VALUE"""),"Lander, Rafael")</f>
        <v>Lander, Rafael</v>
      </c>
      <c r="E531" s="3" t="str">
        <f>IFERROR(__xludf.DUMMYFUNCTION("""COMPUTED_VALUE"""),"Active")</f>
        <v>Active</v>
      </c>
      <c r="F531" s="3" t="str">
        <f>IFERROR(__xludf.DUMMYFUNCTION("""COMPUTED_VALUE"""),"rafael.lander@pwc.com")</f>
        <v>rafael.lander@pwc.com</v>
      </c>
      <c r="G531" s="3" t="str">
        <f>IFERROR(__xludf.DUMMYFUNCTION("""COMPUTED_VALUE"""),"Ops")</f>
        <v>Ops</v>
      </c>
      <c r="H531" s="3" t="str">
        <f>IFERROR(__xludf.DUMMYFUNCTION("""COMPUTED_VALUE"""),"Pharma and Life Sciences")</f>
        <v>Pharma and Life Sciences</v>
      </c>
      <c r="I531" s="3" t="str">
        <f>IFERROR(__xludf.DUMMYFUNCTION("""COMPUTED_VALUE"""),"Ops - Connected Supply Chain (CSC)")</f>
        <v>Ops - Connected Supply Chain (CSC)</v>
      </c>
      <c r="J531" s="3" t="str">
        <f>IFERROR(__xludf.DUMMYFUNCTION("""COMPUTED_VALUE"""),"Partner")</f>
        <v>Partner</v>
      </c>
      <c r="K531" s="12">
        <f>IFERROR(__xludf.DUMMYFUNCTION("""COMPUTED_VALUE"""),40798.0)</f>
        <v>40798</v>
      </c>
      <c r="L531" s="3" t="str">
        <f>IFERROR(__xludf.DUMMYFUNCTION("""COMPUTED_VALUE"""),"Boston")</f>
        <v>Boston</v>
      </c>
      <c r="M531" s="3" t="str">
        <f>IFERROR(__xludf.DUMMYFUNCTION("""COMPUTED_VALUE"""),"Boston - 101 Seaport Boulevard")</f>
        <v>Boston - 101 Seaport Boulevard</v>
      </c>
      <c r="N531" s="3" t="b">
        <f>IFERROR(__xludf.DUMMYFUNCTION("""COMPUTED_VALUE"""),FALSE)</f>
        <v>0</v>
      </c>
      <c r="O531" s="3" t="str">
        <f>IFERROR(__xludf.DUMMYFUNCTION("""COMPUTED_VALUE"""),"matthew.r.comte@pwc.com")</f>
        <v>matthew.r.comte@pwc.com</v>
      </c>
      <c r="P531" s="3" t="str">
        <f>IFERROR(__xludf.DUMMYFUNCTION("""COMPUTED_VALUE"""),"No")</f>
        <v>No</v>
      </c>
      <c r="Q531" s="3" t="b">
        <f>IFERROR(__xludf.DUMMYFUNCTION("""COMPUTED_VALUE"""),FALSE)</f>
        <v>0</v>
      </c>
      <c r="R531" s="3"/>
      <c r="S531" s="3"/>
      <c r="T531" s="3" t="b">
        <f>IFERROR(__xludf.DUMMYFUNCTION("""COMPUTED_VALUE"""),FALSE)</f>
        <v>0</v>
      </c>
      <c r="U531" s="3" t="b">
        <f>IFERROR(__xludf.DUMMYFUNCTION("""COMPUTED_VALUE"""),FALSE)</f>
        <v>0</v>
      </c>
      <c r="V531" s="3" t="b">
        <f>IFERROR(__xludf.DUMMYFUNCTION("""COMPUTED_VALUE"""),FALSE)</f>
        <v>0</v>
      </c>
      <c r="W531" s="3" t="str">
        <f>IFERROR(__xludf.DUMMYFUNCTION("""COMPUTED_VALUE"""),"Delivery")</f>
        <v>Delivery</v>
      </c>
      <c r="X531" s="3"/>
      <c r="Y531" s="3" t="str">
        <f>IFERROR(__xludf.DUMMYFUNCTION("""COMPUTED_VALUE"""),"Point Partner")</f>
        <v>Point Partner</v>
      </c>
      <c r="Z531" s="3" t="str">
        <f>IFERROR(__xludf.DUMMYFUNCTION("""COMPUTED_VALUE"""),"PLS Ops Transformation")</f>
        <v>PLS Ops Transformation</v>
      </c>
      <c r="AA531" s="3" t="b">
        <f>IFERROR(__xludf.DUMMYFUNCTION("""COMPUTED_VALUE"""),FALSE)</f>
        <v>0</v>
      </c>
    </row>
    <row r="532">
      <c r="A532" s="3">
        <f>IFERROR(__xludf.DUMMYFUNCTION("""COMPUTED_VALUE"""),1.00869674E8)</f>
        <v>100869674</v>
      </c>
      <c r="B532" s="3" t="str">
        <f>IFERROR(__xludf.DUMMYFUNCTION("""COMPUTED_VALUE"""),"Rahul Wadhawan")</f>
        <v>Rahul Wadhawan</v>
      </c>
      <c r="C532" s="3" t="str">
        <f>IFERROR(__xludf.DUMMYFUNCTION("""COMPUTED_VALUE"""),"Rahul  Wadhawan")</f>
        <v>Rahul  Wadhawan</v>
      </c>
      <c r="D532" s="3" t="str">
        <f>IFERROR(__xludf.DUMMYFUNCTION("""COMPUTED_VALUE"""),"Wadhawan, Rahul")</f>
        <v>Wadhawan, Rahul</v>
      </c>
      <c r="E532" s="3" t="str">
        <f>IFERROR(__xludf.DUMMYFUNCTION("""COMPUTED_VALUE"""),"Active")</f>
        <v>Active</v>
      </c>
      <c r="F532" s="3" t="str">
        <f>IFERROR(__xludf.DUMMYFUNCTION("""COMPUTED_VALUE"""),"rahul.wadhawan@pwc.com")</f>
        <v>rahul.wadhawan@pwc.com</v>
      </c>
      <c r="G532" s="3" t="str">
        <f>IFERROR(__xludf.DUMMYFUNCTION("""COMPUTED_VALUE"""),"Customer")</f>
        <v>Customer</v>
      </c>
      <c r="H532" s="3" t="str">
        <f>IFERROR(__xludf.DUMMYFUNCTION("""COMPUTED_VALUE"""),"CM X-Sector")</f>
        <v>CM X-Sector</v>
      </c>
      <c r="I532" s="3" t="str">
        <f>IFERROR(__xludf.DUMMYFUNCTION("""COMPUTED_VALUE"""),"Customer - Analytics")</f>
        <v>Customer - Analytics</v>
      </c>
      <c r="J532" s="3" t="str">
        <f>IFERROR(__xludf.DUMMYFUNCTION("""COMPUTED_VALUE"""),"Partner")</f>
        <v>Partner</v>
      </c>
      <c r="K532" s="12">
        <f>IFERROR(__xludf.DUMMYFUNCTION("""COMPUTED_VALUE"""),43473.0)</f>
        <v>43473</v>
      </c>
      <c r="L532" s="3" t="str">
        <f>IFERROR(__xludf.DUMMYFUNCTION("""COMPUTED_VALUE"""),"Cleveland")</f>
        <v>Cleveland</v>
      </c>
      <c r="M532" s="3" t="str">
        <f>IFERROR(__xludf.DUMMYFUNCTION("""COMPUTED_VALUE"""),"Cleveland - 200 Public Square")</f>
        <v>Cleveland - 200 Public Square</v>
      </c>
      <c r="N532" s="3" t="b">
        <f>IFERROR(__xludf.DUMMYFUNCTION("""COMPUTED_VALUE"""),FALSE)</f>
        <v>0</v>
      </c>
      <c r="O532" s="3" t="str">
        <f>IFERROR(__xludf.DUMMYFUNCTION("""COMPUTED_VALUE"""),"george.korizis@pwc.com")</f>
        <v>george.korizis@pwc.com</v>
      </c>
      <c r="P532" s="3" t="str">
        <f>IFERROR(__xludf.DUMMYFUNCTION("""COMPUTED_VALUE"""),"No")</f>
        <v>No</v>
      </c>
      <c r="Q532" s="3" t="b">
        <f>IFERROR(__xludf.DUMMYFUNCTION("""COMPUTED_VALUE"""),TRUE)</f>
        <v>1</v>
      </c>
      <c r="R532" s="3" t="str">
        <f>IFERROR(__xludf.DUMMYFUNCTION("""COMPUTED_VALUE"""),"LCP Low")</f>
        <v>LCP Low</v>
      </c>
      <c r="S532" s="3"/>
      <c r="T532" s="3" t="b">
        <f>IFERROR(__xludf.DUMMYFUNCTION("""COMPUTED_VALUE"""),FALSE)</f>
        <v>0</v>
      </c>
      <c r="U532" s="3" t="b">
        <f>IFERROR(__xludf.DUMMYFUNCTION("""COMPUTED_VALUE"""),FALSE)</f>
        <v>0</v>
      </c>
      <c r="V532" s="3" t="b">
        <f>IFERROR(__xludf.DUMMYFUNCTION("""COMPUTED_VALUE"""),FALSE)</f>
        <v>0</v>
      </c>
      <c r="W532" s="3" t="str">
        <f>IFERROR(__xludf.DUMMYFUNCTION("""COMPUTED_VALUE"""),"LCP")</f>
        <v>LCP</v>
      </c>
      <c r="X532" s="3"/>
      <c r="Y532" s="3" t="str">
        <f>IFERROR(__xludf.DUMMYFUNCTION("""COMPUTED_VALUE"""),"GEP - Low")</f>
        <v>GEP - Low</v>
      </c>
      <c r="Z532" s="3" t="str">
        <f>IFERROR(__xludf.DUMMYFUNCTION("""COMPUTED_VALUE"""),"Enterprise Digital Transformation - BCM &amp; AWM")</f>
        <v>Enterprise Digital Transformation - BCM &amp; AWM</v>
      </c>
      <c r="AA532" s="3" t="b">
        <f>IFERROR(__xludf.DUMMYFUNCTION("""COMPUTED_VALUE"""),FALSE)</f>
        <v>0</v>
      </c>
    </row>
    <row r="533">
      <c r="A533" s="11">
        <f>IFERROR(__xludf.DUMMYFUNCTION("""COMPUTED_VALUE"""),1.00621746E8)</f>
        <v>100621746</v>
      </c>
      <c r="B533" s="3" t="str">
        <f>IFERROR(__xludf.DUMMYFUNCTION("""COMPUTED_VALUE"""),"Rajan Gandhi")</f>
        <v>Rajan Gandhi</v>
      </c>
      <c r="C533" s="3" t="str">
        <f>IFERROR(__xludf.DUMMYFUNCTION("""COMPUTED_VALUE"""),"Rajan  Gandhi")</f>
        <v>Rajan  Gandhi</v>
      </c>
      <c r="D533" s="3" t="str">
        <f>IFERROR(__xludf.DUMMYFUNCTION("""COMPUTED_VALUE"""),"Gandhi, Rajan")</f>
        <v>Gandhi, Rajan</v>
      </c>
      <c r="E533" s="3" t="str">
        <f>IFERROR(__xludf.DUMMYFUNCTION("""COMPUTED_VALUE"""),"Active")</f>
        <v>Active</v>
      </c>
      <c r="F533" s="3" t="str">
        <f>IFERROR(__xludf.DUMMYFUNCTION("""COMPUTED_VALUE"""),"rajan.gandhi@pwc.com")</f>
        <v>rajan.gandhi@pwc.com</v>
      </c>
      <c r="G533" s="3" t="str">
        <f>IFERROR(__xludf.DUMMYFUNCTION("""COMPUTED_VALUE"""),"Deals Transformation")</f>
        <v>Deals Transformation</v>
      </c>
      <c r="H533" s="3" t="str">
        <f>IFERROR(__xludf.DUMMYFUNCTION("""COMPUTED_VALUE"""),"CM X-Sector")</f>
        <v>CM X-Sector</v>
      </c>
      <c r="I533" s="3" t="str">
        <f>IFERROR(__xludf.DUMMYFUNCTION("""COMPUTED_VALUE"""),"DDV - ISD (Integration, Separation, Divestitures)")</f>
        <v>DDV - ISD (Integration, Separation, Divestitures)</v>
      </c>
      <c r="J533" s="3" t="str">
        <f>IFERROR(__xludf.DUMMYFUNCTION("""COMPUTED_VALUE"""),"Partner")</f>
        <v>Partner</v>
      </c>
      <c r="K533" s="12">
        <f>IFERROR(__xludf.DUMMYFUNCTION("""COMPUTED_VALUE"""),38621.0)</f>
        <v>38621</v>
      </c>
      <c r="L533" s="3" t="str">
        <f>IFERROR(__xludf.DUMMYFUNCTION("""COMPUTED_VALUE"""),"New York")</f>
        <v>New York</v>
      </c>
      <c r="M533" s="3" t="str">
        <f>IFERROR(__xludf.DUMMYFUNCTION("""COMPUTED_VALUE"""),"New York - 300 Madison Avenue")</f>
        <v>New York - 300 Madison Avenue</v>
      </c>
      <c r="N533" s="3" t="b">
        <f>IFERROR(__xludf.DUMMYFUNCTION("""COMPUTED_VALUE"""),FALSE)</f>
        <v>0</v>
      </c>
      <c r="O533" s="3" t="str">
        <f>IFERROR(__xludf.DUMMYFUNCTION("""COMPUTED_VALUE"""),"derek.b.townsend@pwc.com")</f>
        <v>derek.b.townsend@pwc.com</v>
      </c>
      <c r="P533" s="3" t="str">
        <f>IFERROR(__xludf.DUMMYFUNCTION("""COMPUTED_VALUE"""),"No")</f>
        <v>No</v>
      </c>
      <c r="Q533" s="3" t="b">
        <f>IFERROR(__xludf.DUMMYFUNCTION("""COMPUTED_VALUE"""),FALSE)</f>
        <v>0</v>
      </c>
      <c r="R533" s="3"/>
      <c r="S533" s="3"/>
      <c r="T533" s="3" t="b">
        <f>IFERROR(__xludf.DUMMYFUNCTION("""COMPUTED_VALUE"""),FALSE)</f>
        <v>0</v>
      </c>
      <c r="U533" s="3" t="b">
        <f>IFERROR(__xludf.DUMMYFUNCTION("""COMPUTED_VALUE"""),TRUE)</f>
        <v>1</v>
      </c>
      <c r="V533" s="3" t="b">
        <f>IFERROR(__xludf.DUMMYFUNCTION("""COMPUTED_VALUE"""),FALSE)</f>
        <v>0</v>
      </c>
      <c r="W533" s="3" t="str">
        <f>IFERROR(__xludf.DUMMYFUNCTION("""COMPUTED_VALUE"""),"Delivery")</f>
        <v>Delivery</v>
      </c>
      <c r="X533" s="3"/>
      <c r="Y533" s="3"/>
      <c r="Z533" s="3" t="str">
        <f>IFERROR(__xludf.DUMMYFUNCTION("""COMPUTED_VALUE"""),"Corporate M&amp;A Transformation - CM")</f>
        <v>Corporate M&amp;A Transformation - CM</v>
      </c>
      <c r="AA533" s="3" t="b">
        <f>IFERROR(__xludf.DUMMYFUNCTION("""COMPUTED_VALUE"""),FALSE)</f>
        <v>0</v>
      </c>
    </row>
    <row r="534">
      <c r="A534" s="11">
        <f>IFERROR(__xludf.DUMMYFUNCTION("""COMPUTED_VALUE"""),1.00589948E8)</f>
        <v>100589948</v>
      </c>
      <c r="B534" s="3" t="str">
        <f>IFERROR(__xludf.DUMMYFUNCTION("""COMPUTED_VALUE"""),"Rajesh Patnaik")</f>
        <v>Rajesh Patnaik</v>
      </c>
      <c r="C534" s="3" t="str">
        <f>IFERROR(__xludf.DUMMYFUNCTION("""COMPUTED_VALUE"""),"Rajesh  Patnaik")</f>
        <v>Rajesh  Patnaik</v>
      </c>
      <c r="D534" s="3" t="str">
        <f>IFERROR(__xludf.DUMMYFUNCTION("""COMPUTED_VALUE"""),"Patnaik, Rajesh")</f>
        <v>Patnaik, Rajesh</v>
      </c>
      <c r="E534" s="3" t="str">
        <f>IFERROR(__xludf.DUMMYFUNCTION("""COMPUTED_VALUE"""),"Active")</f>
        <v>Active</v>
      </c>
      <c r="F534" s="3" t="str">
        <f>IFERROR(__xludf.DUMMYFUNCTION("""COMPUTED_VALUE"""),"rajesh.patnaik@pwc.com")</f>
        <v>rajesh.patnaik@pwc.com</v>
      </c>
      <c r="G534" s="3" t="str">
        <f>IFERROR(__xludf.DUMMYFUNCTION("""COMPUTED_VALUE"""),"Ops")</f>
        <v>Ops</v>
      </c>
      <c r="H534" s="3" t="str">
        <f>IFERROR(__xludf.DUMMYFUNCTION("""COMPUTED_VALUE"""),"TMT X-Sector")</f>
        <v>TMT X-Sector</v>
      </c>
      <c r="I534" s="3" t="str">
        <f>IFERROR(__xludf.DUMMYFUNCTION("""COMPUTED_VALUE"""),"Ops - Product Development &amp; Manufacturing (PDM)")</f>
        <v>Ops - Product Development &amp; Manufacturing (PDM)</v>
      </c>
      <c r="J534" s="3" t="str">
        <f>IFERROR(__xludf.DUMMYFUNCTION("""COMPUTED_VALUE"""),"Partner")</f>
        <v>Partner</v>
      </c>
      <c r="K534" s="12">
        <f>IFERROR(__xludf.DUMMYFUNCTION("""COMPUTED_VALUE"""),40780.0)</f>
        <v>40780</v>
      </c>
      <c r="L534" s="3" t="str">
        <f>IFERROR(__xludf.DUMMYFUNCTION("""COMPUTED_VALUE"""),"Philadelphia")</f>
        <v>Philadelphia</v>
      </c>
      <c r="M534" s="3" t="str">
        <f>IFERROR(__xludf.DUMMYFUNCTION("""COMPUTED_VALUE"""),"Philadelphia - Two Commerce Square, Suite 1800")</f>
        <v>Philadelphia - Two Commerce Square, Suite 1800</v>
      </c>
      <c r="N534" s="3" t="b">
        <f>IFERROR(__xludf.DUMMYFUNCTION("""COMPUTED_VALUE"""),FALSE)</f>
        <v>0</v>
      </c>
      <c r="O534" s="3" t="str">
        <f>IFERROR(__xludf.DUMMYFUNCTION("""COMPUTED_VALUE"""),"matthew.r.comte@pwc.com")</f>
        <v>matthew.r.comte@pwc.com</v>
      </c>
      <c r="P534" s="3" t="str">
        <f>IFERROR(__xludf.DUMMYFUNCTION("""COMPUTED_VALUE"""),"No")</f>
        <v>No</v>
      </c>
      <c r="Q534" s="3" t="b">
        <f>IFERROR(__xludf.DUMMYFUNCTION("""COMPUTED_VALUE"""),FALSE)</f>
        <v>0</v>
      </c>
      <c r="R534" s="3"/>
      <c r="S534" s="3"/>
      <c r="T534" s="3" t="b">
        <f>IFERROR(__xludf.DUMMYFUNCTION("""COMPUTED_VALUE"""),FALSE)</f>
        <v>0</v>
      </c>
      <c r="U534" s="3" t="b">
        <f>IFERROR(__xludf.DUMMYFUNCTION("""COMPUTED_VALUE"""),TRUE)</f>
        <v>1</v>
      </c>
      <c r="V534" s="3" t="b">
        <f>IFERROR(__xludf.DUMMYFUNCTION("""COMPUTED_VALUE"""),FALSE)</f>
        <v>0</v>
      </c>
      <c r="W534" s="3" t="str">
        <f>IFERROR(__xludf.DUMMYFUNCTION("""COMPUTED_VALUE"""),"Delivery")</f>
        <v>Delivery</v>
      </c>
      <c r="X534" s="3" t="str">
        <f>IFERROR(__xludf.DUMMYFUNCTION("""COMPUTED_VALUE"""),"Investment")</f>
        <v>Investment</v>
      </c>
      <c r="Y534" s="3" t="str">
        <f>IFERROR(__xludf.DUMMYFUNCTION("""COMPUTED_VALUE"""),"Investment")</f>
        <v>Investment</v>
      </c>
      <c r="Z534" s="3" t="str">
        <f>IFERROR(__xludf.DUMMYFUNCTION("""COMPUTED_VALUE"""),"IP + Technology Ops Transformation")</f>
        <v>IP + Technology Ops Transformation</v>
      </c>
      <c r="AA534" s="3" t="b">
        <f>IFERROR(__xludf.DUMMYFUNCTION("""COMPUTED_VALUE"""),FALSE)</f>
        <v>0</v>
      </c>
    </row>
    <row r="535">
      <c r="A535" s="11">
        <f>IFERROR(__xludf.DUMMYFUNCTION("""COMPUTED_VALUE"""),1.00643805E8)</f>
        <v>100643805</v>
      </c>
      <c r="B535" s="3" t="str">
        <f>IFERROR(__xludf.DUMMYFUNCTION("""COMPUTED_VALUE"""),"Rajesh Venkateswaran")</f>
        <v>Rajesh Venkateswaran</v>
      </c>
      <c r="C535" s="3" t="str">
        <f>IFERROR(__xludf.DUMMYFUNCTION("""COMPUTED_VALUE"""),"Rajesh  Venkateswaran")</f>
        <v>Rajesh  Venkateswaran</v>
      </c>
      <c r="D535" s="3" t="str">
        <f>IFERROR(__xludf.DUMMYFUNCTION("""COMPUTED_VALUE"""),"Venkateswaran, Rajesh")</f>
        <v>Venkateswaran, Rajesh</v>
      </c>
      <c r="E535" s="3" t="str">
        <f>IFERROR(__xludf.DUMMYFUNCTION("""COMPUTED_VALUE"""),"Active")</f>
        <v>Active</v>
      </c>
      <c r="F535" s="3" t="str">
        <f>IFERROR(__xludf.DUMMYFUNCTION("""COMPUTED_VALUE"""),"rajesh.venkateswaran@pwc.com")</f>
        <v>rajesh.venkateswaran@pwc.com</v>
      </c>
      <c r="G535" s="3" t="str">
        <f>IFERROR(__xludf.DUMMYFUNCTION("""COMPUTED_VALUE"""),"FS")</f>
        <v>FS</v>
      </c>
      <c r="H535" s="3" t="str">
        <f>IFERROR(__xludf.DUMMYFUNCTION("""COMPUTED_VALUE"""),"Insurance")</f>
        <v>Insurance</v>
      </c>
      <c r="I535" s="3" t="str">
        <f>IFERROR(__xludf.DUMMYFUNCTION("""COMPUTED_VALUE"""),"FS - Insurance")</f>
        <v>FS - Insurance</v>
      </c>
      <c r="J535" s="3" t="str">
        <f>IFERROR(__xludf.DUMMYFUNCTION("""COMPUTED_VALUE"""),"Managing Director")</f>
        <v>Managing Director</v>
      </c>
      <c r="K535" s="12">
        <f>IFERROR(__xludf.DUMMYFUNCTION("""COMPUTED_VALUE"""),44620.0)</f>
        <v>44620</v>
      </c>
      <c r="L535" s="3" t="str">
        <f>IFERROR(__xludf.DUMMYFUNCTION("""COMPUTED_VALUE"""),"Dallas")</f>
        <v>Dallas</v>
      </c>
      <c r="M535" s="3" t="str">
        <f>IFERROR(__xludf.DUMMYFUNCTION("""COMPUTED_VALUE"""),"Dallas - 2121 North Pearl Street")</f>
        <v>Dallas - 2121 North Pearl Street</v>
      </c>
      <c r="N535" s="3" t="b">
        <f>IFERROR(__xludf.DUMMYFUNCTION("""COMPUTED_VALUE"""),FALSE)</f>
        <v>0</v>
      </c>
      <c r="O535" s="3" t="str">
        <f>IFERROR(__xludf.DUMMYFUNCTION("""COMPUTED_VALUE"""),"scott.mcmillen@pwc.com")</f>
        <v>scott.mcmillen@pwc.com</v>
      </c>
      <c r="P535" s="3" t="str">
        <f>IFERROR(__xludf.DUMMYFUNCTION("""COMPUTED_VALUE"""),"FY22")</f>
        <v>FY22</v>
      </c>
      <c r="Q535" s="3" t="b">
        <f>IFERROR(__xludf.DUMMYFUNCTION("""COMPUTED_VALUE"""),FALSE)</f>
        <v>0</v>
      </c>
      <c r="R535" s="3"/>
      <c r="S535" s="3"/>
      <c r="T535" s="3" t="b">
        <f>IFERROR(__xludf.DUMMYFUNCTION("""COMPUTED_VALUE"""),FALSE)</f>
        <v>0</v>
      </c>
      <c r="U535" s="3" t="b">
        <f>IFERROR(__xludf.DUMMYFUNCTION("""COMPUTED_VALUE"""),TRUE)</f>
        <v>1</v>
      </c>
      <c r="V535" s="3" t="b">
        <f>IFERROR(__xludf.DUMMYFUNCTION("""COMPUTED_VALUE"""),FALSE)</f>
        <v>0</v>
      </c>
      <c r="W535" s="3" t="str">
        <f>IFERROR(__xludf.DUMMYFUNCTION("""COMPUTED_VALUE"""),"Catalyst")</f>
        <v>Catalyst</v>
      </c>
      <c r="X535" s="3"/>
      <c r="Y535" s="3"/>
      <c r="Z535" s="3" t="str">
        <f>IFERROR(__xludf.DUMMYFUNCTION("""COMPUTED_VALUE"""),"")</f>
        <v/>
      </c>
      <c r="AA535" s="3" t="b">
        <f>IFERROR(__xludf.DUMMYFUNCTION("""COMPUTED_VALUE"""),FALSE)</f>
        <v>0</v>
      </c>
    </row>
    <row r="536">
      <c r="A536" s="11">
        <f>IFERROR(__xludf.DUMMYFUNCTION("""COMPUTED_VALUE"""),1.00640433E8)</f>
        <v>100640433</v>
      </c>
      <c r="B536" s="3" t="str">
        <f>IFERROR(__xludf.DUMMYFUNCTION("""COMPUTED_VALUE"""),"Rakesh Bhatia")</f>
        <v>Rakesh Bhatia</v>
      </c>
      <c r="C536" s="3" t="str">
        <f>IFERROR(__xludf.DUMMYFUNCTION("""COMPUTED_VALUE"""),"Rakesh  Bhatia")</f>
        <v>Rakesh  Bhatia</v>
      </c>
      <c r="D536" s="3" t="str">
        <f>IFERROR(__xludf.DUMMYFUNCTION("""COMPUTED_VALUE"""),"Bhatia, Rakesh")</f>
        <v>Bhatia, Rakesh</v>
      </c>
      <c r="E536" s="3" t="str">
        <f>IFERROR(__xludf.DUMMYFUNCTION("""COMPUTED_VALUE"""),"Active")</f>
        <v>Active</v>
      </c>
      <c r="F536" s="3" t="str">
        <f>IFERROR(__xludf.DUMMYFUNCTION("""COMPUTED_VALUE"""),"rakesh.bhatia@pwc.com")</f>
        <v>rakesh.bhatia@pwc.com</v>
      </c>
      <c r="G536" s="3" t="str">
        <f>IFERROR(__xludf.DUMMYFUNCTION("""COMPUTED_VALUE"""),"Finance")</f>
        <v>Finance</v>
      </c>
      <c r="H536" s="3" t="str">
        <f>IFERROR(__xludf.DUMMYFUNCTION("""COMPUTED_VALUE"""),"TMT X-Sector")</f>
        <v>TMT X-Sector</v>
      </c>
      <c r="I536" s="3" t="str">
        <f>IFERROR(__xludf.DUMMYFUNCTION("""COMPUTED_VALUE"""),"Finance - Finance Strategy / Op Model / Global Business Services / Talent")</f>
        <v>Finance - Finance Strategy / Op Model / Global Business Services / Talent</v>
      </c>
      <c r="J536" s="3" t="str">
        <f>IFERROR(__xludf.DUMMYFUNCTION("""COMPUTED_VALUE"""),"Partner")</f>
        <v>Partner</v>
      </c>
      <c r="K536" s="12">
        <f>IFERROR(__xludf.DUMMYFUNCTION("""COMPUTED_VALUE"""),39980.0)</f>
        <v>39980</v>
      </c>
      <c r="L536" s="3" t="str">
        <f>IFERROR(__xludf.DUMMYFUNCTION("""COMPUTED_VALUE"""),"Washington")</f>
        <v>Washington</v>
      </c>
      <c r="M536" s="3" t="str">
        <f>IFERROR(__xludf.DUMMYFUNCTION("""COMPUTED_VALUE"""),"Washington DC - 655 New York Avenue")</f>
        <v>Washington DC - 655 New York Avenue</v>
      </c>
      <c r="N536" s="3" t="b">
        <f>IFERROR(__xludf.DUMMYFUNCTION("""COMPUTED_VALUE"""),FALSE)</f>
        <v>0</v>
      </c>
      <c r="O536" s="3" t="str">
        <f>IFERROR(__xludf.DUMMYFUNCTION("""COMPUTED_VALUE"""),"kurtis.babczenko@pwc.com")</f>
        <v>kurtis.babczenko@pwc.com</v>
      </c>
      <c r="P536" s="3" t="str">
        <f>IFERROR(__xludf.DUMMYFUNCTION("""COMPUTED_VALUE"""),"No")</f>
        <v>No</v>
      </c>
      <c r="Q536" s="3" t="b">
        <f>IFERROR(__xludf.DUMMYFUNCTION("""COMPUTED_VALUE"""),FALSE)</f>
        <v>0</v>
      </c>
      <c r="R536" s="3"/>
      <c r="S536" s="3"/>
      <c r="T536" s="3" t="b">
        <f>IFERROR(__xludf.DUMMYFUNCTION("""COMPUTED_VALUE"""),FALSE)</f>
        <v>0</v>
      </c>
      <c r="U536" s="3" t="b">
        <f>IFERROR(__xludf.DUMMYFUNCTION("""COMPUTED_VALUE"""),TRUE)</f>
        <v>1</v>
      </c>
      <c r="V536" s="3" t="b">
        <f>IFERROR(__xludf.DUMMYFUNCTION("""COMPUTED_VALUE"""),FALSE)</f>
        <v>0</v>
      </c>
      <c r="W536" s="3" t="str">
        <f>IFERROR(__xludf.DUMMYFUNCTION("""COMPUTED_VALUE"""),"Delivery")</f>
        <v>Delivery</v>
      </c>
      <c r="X536" s="3"/>
      <c r="Y536" s="3"/>
      <c r="Z536" s="3" t="str">
        <f>IFERROR(__xludf.DUMMYFUNCTION("""COMPUTED_VALUE"""),"Finance Transformation - TMT")</f>
        <v>Finance Transformation - TMT</v>
      </c>
      <c r="AA536" s="3" t="b">
        <f>IFERROR(__xludf.DUMMYFUNCTION("""COMPUTED_VALUE"""),FALSE)</f>
        <v>0</v>
      </c>
    </row>
    <row r="537">
      <c r="A537" s="11">
        <f>IFERROR(__xludf.DUMMYFUNCTION("""COMPUTED_VALUE"""),1.00613915E8)</f>
        <v>100613915</v>
      </c>
      <c r="B537" s="3" t="str">
        <f>IFERROR(__xludf.DUMMYFUNCTION("""COMPUTED_VALUE"""),"Ralph Roam")</f>
        <v>Ralph Roam</v>
      </c>
      <c r="C537" s="3" t="str">
        <f>IFERROR(__xludf.DUMMYFUNCTION("""COMPUTED_VALUE"""),"Ralph E Roam")</f>
        <v>Ralph E Roam</v>
      </c>
      <c r="D537" s="3" t="str">
        <f>IFERROR(__xludf.DUMMYFUNCTION("""COMPUTED_VALUE"""),"Roam, Ralph E")</f>
        <v>Roam, Ralph E</v>
      </c>
      <c r="E537" s="3" t="str">
        <f>IFERROR(__xludf.DUMMYFUNCTION("""COMPUTED_VALUE"""),"Active")</f>
        <v>Active</v>
      </c>
      <c r="F537" s="3" t="str">
        <f>IFERROR(__xludf.DUMMYFUNCTION("""COMPUTED_VALUE"""),"ralph.e.roam@pwc.com")</f>
        <v>ralph.e.roam@pwc.com</v>
      </c>
      <c r="G537" s="3" t="str">
        <f>IFERROR(__xludf.DUMMYFUNCTION("""COMPUTED_VALUE"""),"Ops")</f>
        <v>Ops</v>
      </c>
      <c r="H537" s="3" t="str">
        <f>IFERROR(__xludf.DUMMYFUNCTION("""COMPUTED_VALUE"""),"Power and Utilities")</f>
        <v>Power and Utilities</v>
      </c>
      <c r="I537" s="3" t="str">
        <f>IFERROR(__xludf.DUMMYFUNCTION("""COMPUTED_VALUE"""),"Ops - Capital Project Excellence (CPE)")</f>
        <v>Ops - Capital Project Excellence (CPE)</v>
      </c>
      <c r="J537" s="3" t="str">
        <f>IFERROR(__xludf.DUMMYFUNCTION("""COMPUTED_VALUE"""),"Partner")</f>
        <v>Partner</v>
      </c>
      <c r="K537" s="12">
        <f>IFERROR(__xludf.DUMMYFUNCTION("""COMPUTED_VALUE"""),40525.0)</f>
        <v>40525</v>
      </c>
      <c r="L537" s="3" t="str">
        <f>IFERROR(__xludf.DUMMYFUNCTION("""COMPUTED_VALUE"""),"Philadelphia")</f>
        <v>Philadelphia</v>
      </c>
      <c r="M537" s="3" t="str">
        <f>IFERROR(__xludf.DUMMYFUNCTION("""COMPUTED_VALUE"""),"Philadelphia - Two Commerce Square, Suite 1800")</f>
        <v>Philadelphia - Two Commerce Square, Suite 1800</v>
      </c>
      <c r="N537" s="3" t="b">
        <f>IFERROR(__xludf.DUMMYFUNCTION("""COMPUTED_VALUE"""),FALSE)</f>
        <v>0</v>
      </c>
      <c r="O537" s="3" t="str">
        <f>IFERROR(__xludf.DUMMYFUNCTION("""COMPUTED_VALUE"""),"matthew.r.comte@pwc.com")</f>
        <v>matthew.r.comte@pwc.com</v>
      </c>
      <c r="P537" s="3" t="str">
        <f>IFERROR(__xludf.DUMMYFUNCTION("""COMPUTED_VALUE"""),"No")</f>
        <v>No</v>
      </c>
      <c r="Q537" s="3" t="b">
        <f>IFERROR(__xludf.DUMMYFUNCTION("""COMPUTED_VALUE"""),TRUE)</f>
        <v>1</v>
      </c>
      <c r="R537" s="3" t="str">
        <f>IFERROR(__xludf.DUMMYFUNCTION("""COMPUTED_VALUE"""),"LCP High")</f>
        <v>LCP High</v>
      </c>
      <c r="S537" s="3"/>
      <c r="T537" s="3" t="b">
        <f>IFERROR(__xludf.DUMMYFUNCTION("""COMPUTED_VALUE"""),FALSE)</f>
        <v>0</v>
      </c>
      <c r="U537" s="3" t="b">
        <f>IFERROR(__xludf.DUMMYFUNCTION("""COMPUTED_VALUE"""),FALSE)</f>
        <v>0</v>
      </c>
      <c r="V537" s="3" t="b">
        <f>IFERROR(__xludf.DUMMYFUNCTION("""COMPUTED_VALUE"""),FALSE)</f>
        <v>0</v>
      </c>
      <c r="W537" s="3" t="str">
        <f>IFERROR(__xludf.DUMMYFUNCTION("""COMPUTED_VALUE"""),"LCP")</f>
        <v>LCP</v>
      </c>
      <c r="X537" s="3"/>
      <c r="Y537" s="3" t="str">
        <f>IFERROR(__xludf.DUMMYFUNCTION("""COMPUTED_VALUE"""),"GEP - High")</f>
        <v>GEP - High</v>
      </c>
      <c r="Z537" s="3" t="str">
        <f>IFERROR(__xludf.DUMMYFUNCTION("""COMPUTED_VALUE"""),"EUM + Telecom Ops Transformation")</f>
        <v>EUM + Telecom Ops Transformation</v>
      </c>
      <c r="AA537" s="3" t="b">
        <f>IFERROR(__xludf.DUMMYFUNCTION("""COMPUTED_VALUE"""),FALSE)</f>
        <v>0</v>
      </c>
    </row>
    <row r="538">
      <c r="A538" s="11">
        <f>IFERROR(__xludf.DUMMYFUNCTION("""COMPUTED_VALUE"""),1.01077909E8)</f>
        <v>101077909</v>
      </c>
      <c r="B538" s="3" t="str">
        <f>IFERROR(__xludf.DUMMYFUNCTION("""COMPUTED_VALUE"""),"Ram Jayaraman")</f>
        <v>Ram Jayaraman</v>
      </c>
      <c r="C538" s="3" t="str">
        <f>IFERROR(__xludf.DUMMYFUNCTION("""COMPUTED_VALUE"""),"Ramkumar  Jayaraman")</f>
        <v>Ramkumar  Jayaraman</v>
      </c>
      <c r="D538" s="3" t="str">
        <f>IFERROR(__xludf.DUMMYFUNCTION("""COMPUTED_VALUE"""),"Jayaraman, Ramkumar")</f>
        <v>Jayaraman, Ramkumar</v>
      </c>
      <c r="E538" s="3" t="str">
        <f>IFERROR(__xludf.DUMMYFUNCTION("""COMPUTED_VALUE"""),"Active")</f>
        <v>Active</v>
      </c>
      <c r="F538" s="3" t="str">
        <f>IFERROR(__xludf.DUMMYFUNCTION("""COMPUTED_VALUE"""),"ram.jayaraman@pwc.com")</f>
        <v>ram.jayaraman@pwc.com</v>
      </c>
      <c r="G538" s="3" t="str">
        <f>IFERROR(__xludf.DUMMYFUNCTION("""COMPUTED_VALUE"""),"Deals Transformation")</f>
        <v>Deals Transformation</v>
      </c>
      <c r="H538" s="3" t="str">
        <f>IFERROR(__xludf.DUMMYFUNCTION("""COMPUTED_VALUE"""),"TMT X-Sector")</f>
        <v>TMT X-Sector</v>
      </c>
      <c r="I538" s="3" t="str">
        <f>IFERROR(__xludf.DUMMYFUNCTION("""COMPUTED_VALUE"""),"DDV - IT")</f>
        <v>DDV - IT</v>
      </c>
      <c r="J538" s="3" t="str">
        <f>IFERROR(__xludf.DUMMYFUNCTION("""COMPUTED_VALUE"""),"Partner")</f>
        <v>Partner</v>
      </c>
      <c r="K538" s="12">
        <f>IFERROR(__xludf.DUMMYFUNCTION("""COMPUTED_VALUE"""),44317.0)</f>
        <v>44317</v>
      </c>
      <c r="L538" s="3" t="str">
        <f>IFERROR(__xludf.DUMMYFUNCTION("""COMPUTED_VALUE"""),"Washington")</f>
        <v>Washington</v>
      </c>
      <c r="M538" s="3" t="str">
        <f>IFERROR(__xludf.DUMMYFUNCTION("""COMPUTED_VALUE"""),"Washington DC - 655 New York Avenue")</f>
        <v>Washington DC - 655 New York Avenue</v>
      </c>
      <c r="N538" s="3" t="b">
        <f>IFERROR(__xludf.DUMMYFUNCTION("""COMPUTED_VALUE"""),FALSE)</f>
        <v>0</v>
      </c>
      <c r="O538" s="3" t="str">
        <f>IFERROR(__xludf.DUMMYFUNCTION("""COMPUTED_VALUE"""),"derek.b.townsend@pwc.com")</f>
        <v>derek.b.townsend@pwc.com</v>
      </c>
      <c r="P538" s="3" t="str">
        <f>IFERROR(__xludf.DUMMYFUNCTION("""COMPUTED_VALUE"""),"FY21 2nd Half")</f>
        <v>FY21 2nd Half</v>
      </c>
      <c r="Q538" s="3" t="b">
        <f>IFERROR(__xludf.DUMMYFUNCTION("""COMPUTED_VALUE"""),FALSE)</f>
        <v>0</v>
      </c>
      <c r="R538" s="3"/>
      <c r="S538" s="3"/>
      <c r="T538" s="3" t="b">
        <f>IFERROR(__xludf.DUMMYFUNCTION("""COMPUTED_VALUE"""),FALSE)</f>
        <v>0</v>
      </c>
      <c r="U538" s="3" t="b">
        <f>IFERROR(__xludf.DUMMYFUNCTION("""COMPUTED_VALUE"""),TRUE)</f>
        <v>1</v>
      </c>
      <c r="V538" s="3" t="b">
        <f>IFERROR(__xludf.DUMMYFUNCTION("""COMPUTED_VALUE"""),FALSE)</f>
        <v>0</v>
      </c>
      <c r="W538" s="3" t="str">
        <f>IFERROR(__xludf.DUMMYFUNCTION("""COMPUTED_VALUE"""),"Catalyst")</f>
        <v>Catalyst</v>
      </c>
      <c r="X538" s="3"/>
      <c r="Y538" s="3" t="str">
        <f>IFERROR(__xludf.DUMMYFUNCTION("""COMPUTED_VALUE"""),"FY21 2nd Half")</f>
        <v>FY21 2nd Half</v>
      </c>
      <c r="Z538" s="3" t="str">
        <f>IFERROR(__xludf.DUMMYFUNCTION("""COMPUTED_VALUE"""),"Corporate M&amp;A Transformation - TMT")</f>
        <v>Corporate M&amp;A Transformation - TMT</v>
      </c>
      <c r="AA538" s="3" t="b">
        <f>IFERROR(__xludf.DUMMYFUNCTION("""COMPUTED_VALUE"""),FALSE)</f>
        <v>0</v>
      </c>
    </row>
    <row r="539">
      <c r="A539" s="11">
        <f>IFERROR(__xludf.DUMMYFUNCTION("""COMPUTED_VALUE"""),1.01238292E8)</f>
        <v>101238292</v>
      </c>
      <c r="B539" s="3" t="str">
        <f>IFERROR(__xludf.DUMMYFUNCTION("""COMPUTED_VALUE"""),"Rand Bailin")</f>
        <v>Rand Bailin</v>
      </c>
      <c r="C539" s="3" t="str">
        <f>IFERROR(__xludf.DUMMYFUNCTION("""COMPUTED_VALUE"""),"Unknown")</f>
        <v>Unknown</v>
      </c>
      <c r="D539" s="3" t="str">
        <f>IFERROR(__xludf.DUMMYFUNCTION("""COMPUTED_VALUE"""),"Unknown")</f>
        <v>Unknown</v>
      </c>
      <c r="E539" s="3" t="str">
        <f>IFERROR(__xludf.DUMMYFUNCTION("""COMPUTED_VALUE"""),"Active")</f>
        <v>Active</v>
      </c>
      <c r="F539" s="3" t="str">
        <f>IFERROR(__xludf.DUMMYFUNCTION("""COMPUTED_VALUE"""),"rand.bailin@pwc.com")</f>
        <v>rand.bailin@pwc.com</v>
      </c>
      <c r="G539" s="3" t="str">
        <f>IFERROR(__xludf.DUMMYFUNCTION("""COMPUTED_VALUE"""),"ESV")</f>
        <v>ESV</v>
      </c>
      <c r="H539" s="3" t="str">
        <f>IFERROR(__xludf.DUMMYFUNCTION("""COMPUTED_VALUE"""),"IMA X-Sector")</f>
        <v>IMA X-Sector</v>
      </c>
      <c r="I539" s="3" t="str">
        <f>IFERROR(__xludf.DUMMYFUNCTION("""COMPUTED_VALUE"""),"ESV - IPS")</f>
        <v>ESV - IPS</v>
      </c>
      <c r="J539" s="3" t="str">
        <f>IFERROR(__xludf.DUMMYFUNCTION("""COMPUTED_VALUE"""),"Partner")</f>
        <v>Partner</v>
      </c>
      <c r="K539" s="12">
        <f>IFERROR(__xludf.DUMMYFUNCTION("""COMPUTED_VALUE"""),44676.0)</f>
        <v>44676</v>
      </c>
      <c r="L539" s="3" t="str">
        <f>IFERROR(__xludf.DUMMYFUNCTION("""COMPUTED_VALUE"""),"Jacksonville")</f>
        <v>Jacksonville</v>
      </c>
      <c r="M539" s="3" t="str">
        <f>IFERROR(__xludf.DUMMYFUNCTION("""COMPUTED_VALUE"""),"#N/A")</f>
        <v>#N/A</v>
      </c>
      <c r="N539" s="3" t="str">
        <f>IFERROR(__xludf.DUMMYFUNCTION("""COMPUTED_VALUE"""),"Unknown")</f>
        <v>Unknown</v>
      </c>
      <c r="O539" s="3" t="str">
        <f>IFERROR(__xludf.DUMMYFUNCTION("""COMPUTED_VALUE"""),"Unknown")</f>
        <v>Unknown</v>
      </c>
      <c r="P539" s="3" t="str">
        <f>IFERROR(__xludf.DUMMYFUNCTION("""COMPUTED_VALUE"""),"FY22")</f>
        <v>FY22</v>
      </c>
      <c r="Q539" s="3" t="str">
        <f>IFERROR(__xludf.DUMMYFUNCTION("""COMPUTED_VALUE"""),"Unknown")</f>
        <v>Unknown</v>
      </c>
      <c r="R539" s="3" t="str">
        <f>IFERROR(__xludf.DUMMYFUNCTION("""COMPUTED_VALUE"""),"Unknown")</f>
        <v>Unknown</v>
      </c>
      <c r="S539" s="3"/>
      <c r="T539" s="3" t="str">
        <f>IFERROR(__xludf.DUMMYFUNCTION("""COMPUTED_VALUE"""),"Unknown")</f>
        <v>Unknown</v>
      </c>
      <c r="U539" s="3" t="b">
        <f>IFERROR(__xludf.DUMMYFUNCTION("""COMPUTED_VALUE"""),TRUE)</f>
        <v>1</v>
      </c>
      <c r="V539" s="3" t="str">
        <f>IFERROR(__xludf.DUMMYFUNCTION("""COMPUTED_VALUE"""),"Unknown")</f>
        <v>Unknown</v>
      </c>
      <c r="W539" s="3" t="str">
        <f>IFERROR(__xludf.DUMMYFUNCTION("""COMPUTED_VALUE"""),"Catalyst")</f>
        <v>Catalyst</v>
      </c>
      <c r="X539" s="3" t="str">
        <f>IFERROR(__xludf.DUMMYFUNCTION("""COMPUTED_VALUE"""),"Unknown")</f>
        <v>Unknown</v>
      </c>
      <c r="Y539" s="3" t="str">
        <f>IFERROR(__xludf.DUMMYFUNCTION("""COMPUTED_VALUE"""),"FY22")</f>
        <v>FY22</v>
      </c>
      <c r="Z539" s="3" t="str">
        <f>IFERROR(__xludf.DUMMYFUNCTION("""COMPUTED_VALUE"""),"#N/A")</f>
        <v>#N/A</v>
      </c>
      <c r="AA539" s="3" t="b">
        <f>IFERROR(__xludf.DUMMYFUNCTION("""COMPUTED_VALUE"""),FALSE)</f>
        <v>0</v>
      </c>
    </row>
    <row r="540">
      <c r="A540" s="3">
        <f>IFERROR(__xludf.DUMMYFUNCTION("""COMPUTED_VALUE"""),1.00611486E8)</f>
        <v>100611486</v>
      </c>
      <c r="B540" s="3" t="str">
        <f>IFERROR(__xludf.DUMMYFUNCTION("""COMPUTED_VALUE"""),"Randy Brown")</f>
        <v>Randy Brown</v>
      </c>
      <c r="C540" s="3" t="str">
        <f>IFERROR(__xludf.DUMMYFUNCTION("""COMPUTED_VALUE"""),"Randy Louis Brown")</f>
        <v>Randy Louis Brown</v>
      </c>
      <c r="D540" s="3" t="str">
        <f>IFERROR(__xludf.DUMMYFUNCTION("""COMPUTED_VALUE"""),"Brown, Randy Louis")</f>
        <v>Brown, Randy Louis</v>
      </c>
      <c r="E540" s="3" t="str">
        <f>IFERROR(__xludf.DUMMYFUNCTION("""COMPUTED_VALUE"""),"Active")</f>
        <v>Active</v>
      </c>
      <c r="F540" s="3" t="str">
        <f>IFERROR(__xludf.DUMMYFUNCTION("""COMPUTED_VALUE"""),"randy.l.brown@pwc.com")</f>
        <v>randy.l.brown@pwc.com</v>
      </c>
      <c r="G540" s="3" t="str">
        <f>IFERROR(__xludf.DUMMYFUNCTION("""COMPUTED_VALUE"""),"Finance")</f>
        <v>Finance</v>
      </c>
      <c r="H540" s="3" t="str">
        <f>IFERROR(__xludf.DUMMYFUNCTION("""COMPUTED_VALUE"""),"Pharma and Life Sciences")</f>
        <v>Pharma and Life Sciences</v>
      </c>
      <c r="I540" s="3" t="str">
        <f>IFERROR(__xludf.DUMMYFUNCTION("""COMPUTED_VALUE"""),"Finance - Finance Strategy / Op Model / Global Business Services / Talent")</f>
        <v>Finance - Finance Strategy / Op Model / Global Business Services / Talent</v>
      </c>
      <c r="J540" s="3" t="str">
        <f>IFERROR(__xludf.DUMMYFUNCTION("""COMPUTED_VALUE"""),"Partner")</f>
        <v>Partner</v>
      </c>
      <c r="K540" s="12">
        <f>IFERROR(__xludf.DUMMYFUNCTION("""COMPUTED_VALUE"""),37599.0)</f>
        <v>37599</v>
      </c>
      <c r="L540" s="3" t="str">
        <f>IFERROR(__xludf.DUMMYFUNCTION("""COMPUTED_VALUE"""),"Boston")</f>
        <v>Boston</v>
      </c>
      <c r="M540" s="3" t="str">
        <f>IFERROR(__xludf.DUMMYFUNCTION("""COMPUTED_VALUE"""),"Boston - 101 Seaport Boulevard")</f>
        <v>Boston - 101 Seaport Boulevard</v>
      </c>
      <c r="N540" s="3" t="b">
        <f>IFERROR(__xludf.DUMMYFUNCTION("""COMPUTED_VALUE"""),FALSE)</f>
        <v>0</v>
      </c>
      <c r="O540" s="3" t="str">
        <f>IFERROR(__xludf.DUMMYFUNCTION("""COMPUTED_VALUE"""),"kurtis.babczenko@pwc.com")</f>
        <v>kurtis.babczenko@pwc.com</v>
      </c>
      <c r="P540" s="3" t="str">
        <f>IFERROR(__xludf.DUMMYFUNCTION("""COMPUTED_VALUE"""),"No")</f>
        <v>No</v>
      </c>
      <c r="Q540" s="3" t="b">
        <f>IFERROR(__xludf.DUMMYFUNCTION("""COMPUTED_VALUE"""),TRUE)</f>
        <v>1</v>
      </c>
      <c r="R540" s="3" t="str">
        <f>IFERROR(__xludf.DUMMYFUNCTION("""COMPUTED_VALUE"""),"LCP High")</f>
        <v>LCP High</v>
      </c>
      <c r="S540" s="3"/>
      <c r="T540" s="3" t="b">
        <f>IFERROR(__xludf.DUMMYFUNCTION("""COMPUTED_VALUE"""),FALSE)</f>
        <v>0</v>
      </c>
      <c r="U540" s="3" t="b">
        <f>IFERROR(__xludf.DUMMYFUNCTION("""COMPUTED_VALUE"""),FALSE)</f>
        <v>0</v>
      </c>
      <c r="V540" s="3" t="b">
        <f>IFERROR(__xludf.DUMMYFUNCTION("""COMPUTED_VALUE"""),FALSE)</f>
        <v>0</v>
      </c>
      <c r="W540" s="3" t="str">
        <f>IFERROR(__xludf.DUMMYFUNCTION("""COMPUTED_VALUE"""),"LCP")</f>
        <v>LCP</v>
      </c>
      <c r="X540" s="3"/>
      <c r="Y540" s="3" t="str">
        <f>IFERROR(__xludf.DUMMYFUNCTION("""COMPUTED_VALUE"""),"GEP - High")</f>
        <v>GEP - High</v>
      </c>
      <c r="Z540" s="3" t="str">
        <f>IFERROR(__xludf.DUMMYFUNCTION("""COMPUTED_VALUE"""),"Finance Transformation - Payer &amp; Pharma")</f>
        <v>Finance Transformation - Payer &amp; Pharma</v>
      </c>
      <c r="AA540" s="3" t="b">
        <f>IFERROR(__xludf.DUMMYFUNCTION("""COMPUTED_VALUE"""),TRUE)</f>
        <v>1</v>
      </c>
    </row>
    <row r="541">
      <c r="A541" s="11">
        <f>IFERROR(__xludf.DUMMYFUNCTION("""COMPUTED_VALUE"""),1.00616804E8)</f>
        <v>100616804</v>
      </c>
      <c r="B541" s="3" t="str">
        <f>IFERROR(__xludf.DUMMYFUNCTION("""COMPUTED_VALUE"""),"Reagan Strey")</f>
        <v>Reagan Strey</v>
      </c>
      <c r="C541" s="3" t="str">
        <f>IFERROR(__xludf.DUMMYFUNCTION("""COMPUTED_VALUE"""),"Reagan B Strey")</f>
        <v>Reagan B Strey</v>
      </c>
      <c r="D541" s="3" t="str">
        <f>IFERROR(__xludf.DUMMYFUNCTION("""COMPUTED_VALUE"""),"Strey, Reagan B")</f>
        <v>Strey, Reagan B</v>
      </c>
      <c r="E541" s="3" t="str">
        <f>IFERROR(__xludf.DUMMYFUNCTION("""COMPUTED_VALUE"""),"Active")</f>
        <v>Active</v>
      </c>
      <c r="F541" s="3" t="str">
        <f>IFERROR(__xludf.DUMMYFUNCTION("""COMPUTED_VALUE"""),"reagan.b.strey@pwc.com")</f>
        <v>reagan.b.strey@pwc.com</v>
      </c>
      <c r="G541" s="3" t="str">
        <f>IFERROR(__xludf.DUMMYFUNCTION("""COMPUTED_VALUE"""),"Finance")</f>
        <v>Finance</v>
      </c>
      <c r="H541" s="3" t="str">
        <f>IFERROR(__xludf.DUMMYFUNCTION("""COMPUTED_VALUE"""),"Manufacturing")</f>
        <v>Manufacturing</v>
      </c>
      <c r="I541" s="3" t="str">
        <f>IFERROR(__xludf.DUMMYFUNCTION("""COMPUTED_VALUE"""),"Finance - Enterprise Performance Management")</f>
        <v>Finance - Enterprise Performance Management</v>
      </c>
      <c r="J541" s="3" t="str">
        <f>IFERROR(__xludf.DUMMYFUNCTION("""COMPUTED_VALUE"""),"Partner")</f>
        <v>Partner</v>
      </c>
      <c r="K541" s="12">
        <f>IFERROR(__xludf.DUMMYFUNCTION("""COMPUTED_VALUE"""),37991.0)</f>
        <v>37991</v>
      </c>
      <c r="L541" s="3" t="str">
        <f>IFERROR(__xludf.DUMMYFUNCTION("""COMPUTED_VALUE"""),"Dallas")</f>
        <v>Dallas</v>
      </c>
      <c r="M541" s="3" t="str">
        <f>IFERROR(__xludf.DUMMYFUNCTION("""COMPUTED_VALUE"""),"Dallas - 2121 North Pearl Street")</f>
        <v>Dallas - 2121 North Pearl Street</v>
      </c>
      <c r="N541" s="3" t="b">
        <f>IFERROR(__xludf.DUMMYFUNCTION("""COMPUTED_VALUE"""),TRUE)</f>
        <v>1</v>
      </c>
      <c r="O541" s="3" t="str">
        <f>IFERROR(__xludf.DUMMYFUNCTION("""COMPUTED_VALUE"""),"kurtis.babczenko@pwc.com")</f>
        <v>kurtis.babczenko@pwc.com</v>
      </c>
      <c r="P541" s="3" t="str">
        <f>IFERROR(__xludf.DUMMYFUNCTION("""COMPUTED_VALUE"""),"No")</f>
        <v>No</v>
      </c>
      <c r="Q541" s="3" t="b">
        <f>IFERROR(__xludf.DUMMYFUNCTION("""COMPUTED_VALUE"""),FALSE)</f>
        <v>0</v>
      </c>
      <c r="R541" s="3"/>
      <c r="S541" s="3"/>
      <c r="T541" s="3" t="b">
        <f>IFERROR(__xludf.DUMMYFUNCTION("""COMPUTED_VALUE"""),FALSE)</f>
        <v>0</v>
      </c>
      <c r="U541" s="3" t="b">
        <f>IFERROR(__xludf.DUMMYFUNCTION("""COMPUTED_VALUE"""),TRUE)</f>
        <v>1</v>
      </c>
      <c r="V541" s="3" t="b">
        <f>IFERROR(__xludf.DUMMYFUNCTION("""COMPUTED_VALUE"""),FALSE)</f>
        <v>0</v>
      </c>
      <c r="W541" s="3" t="str">
        <f>IFERROR(__xludf.DUMMYFUNCTION("""COMPUTED_VALUE"""),"Delivery")</f>
        <v>Delivery</v>
      </c>
      <c r="X541" s="3"/>
      <c r="Y541" s="3"/>
      <c r="Z541" s="3" t="str">
        <f>IFERROR(__xludf.DUMMYFUNCTION("""COMPUTED_VALUE"""),"Finance Transformation IPS - IP")</f>
        <v>Finance Transformation IPS - IP</v>
      </c>
      <c r="AA541" s="3" t="b">
        <f>IFERROR(__xludf.DUMMYFUNCTION("""COMPUTED_VALUE"""),FALSE)</f>
        <v>0</v>
      </c>
    </row>
    <row r="542">
      <c r="A542" s="3">
        <f>IFERROR(__xludf.DUMMYFUNCTION("""COMPUTED_VALUE"""),1.00654879E8)</f>
        <v>100654879</v>
      </c>
      <c r="B542" s="3" t="str">
        <f>IFERROR(__xludf.DUMMYFUNCTION("""COMPUTED_VALUE"""),"Reid Carpenter")</f>
        <v>Reid Carpenter</v>
      </c>
      <c r="C542" s="3" t="str">
        <f>IFERROR(__xludf.DUMMYFUNCTION("""COMPUTED_VALUE"""),"Floride Hawkins Carpenter")</f>
        <v>Floride Hawkins Carpenter</v>
      </c>
      <c r="D542" s="3" t="str">
        <f>IFERROR(__xludf.DUMMYFUNCTION("""COMPUTED_VALUE"""),"Carpenter, Floride Hawkins")</f>
        <v>Carpenter, Floride Hawkins</v>
      </c>
      <c r="E542" s="3" t="str">
        <f>IFERROR(__xludf.DUMMYFUNCTION("""COMPUTED_VALUE"""),"Active")</f>
        <v>Active</v>
      </c>
      <c r="F542" s="3" t="str">
        <f>IFERROR(__xludf.DUMMYFUNCTION("""COMPUTED_VALUE"""),"reid.carpenter@pwc.com")</f>
        <v>reid.carpenter@pwc.com</v>
      </c>
      <c r="G542" s="3" t="str">
        <f>IFERROR(__xludf.DUMMYFUNCTION("""COMPUTED_VALUE"""),"Workforce")</f>
        <v>Workforce</v>
      </c>
      <c r="H542" s="3" t="str">
        <f>IFERROR(__xludf.DUMMYFUNCTION("""COMPUTED_VALUE"""),"Not Applicable")</f>
        <v>Not Applicable</v>
      </c>
      <c r="I542" s="3" t="str">
        <f>IFERROR(__xludf.DUMMYFUNCTION("""COMPUTED_VALUE"""),"Workforce - Talent, Change &amp; Behaviors")</f>
        <v>Workforce - Talent, Change &amp; Behaviors</v>
      </c>
      <c r="J542" s="3" t="str">
        <f>IFERROR(__xludf.DUMMYFUNCTION("""COMPUTED_VALUE"""),"Managing Director")</f>
        <v>Managing Director</v>
      </c>
      <c r="K542" s="12">
        <f>IFERROR(__xludf.DUMMYFUNCTION("""COMPUTED_VALUE"""),42186.0)</f>
        <v>42186</v>
      </c>
      <c r="L542" s="3" t="str">
        <f>IFERROR(__xludf.DUMMYFUNCTION("""COMPUTED_VALUE"""),"New York")</f>
        <v>New York</v>
      </c>
      <c r="M542" s="3" t="str">
        <f>IFERROR(__xludf.DUMMYFUNCTION("""COMPUTED_VALUE"""),"#N/A")</f>
        <v>#N/A</v>
      </c>
      <c r="N542" s="3" t="b">
        <f>IFERROR(__xludf.DUMMYFUNCTION("""COMPUTED_VALUE"""),FALSE)</f>
        <v>0</v>
      </c>
      <c r="O542" s="3" t="str">
        <f>IFERROR(__xludf.DUMMYFUNCTION("""COMPUTED_VALUE"""),"")</f>
        <v/>
      </c>
      <c r="P542" s="3" t="str">
        <f>IFERROR(__xludf.DUMMYFUNCTION("""COMPUTED_VALUE"""),"No")</f>
        <v>No</v>
      </c>
      <c r="Q542" s="3" t="b">
        <f>IFERROR(__xludf.DUMMYFUNCTION("""COMPUTED_VALUE"""),FALSE)</f>
        <v>0</v>
      </c>
      <c r="R542" s="3"/>
      <c r="S542" s="3"/>
      <c r="T542" s="3" t="b">
        <f>IFERROR(__xludf.DUMMYFUNCTION("""COMPUTED_VALUE"""),FALSE)</f>
        <v>0</v>
      </c>
      <c r="U542" s="3" t="b">
        <f>IFERROR(__xludf.DUMMYFUNCTION("""COMPUTED_VALUE"""),FALSE)</f>
        <v>0</v>
      </c>
      <c r="V542" s="3" t="b">
        <f>IFERROR(__xludf.DUMMYFUNCTION("""COMPUTED_VALUE"""),FALSE)</f>
        <v>0</v>
      </c>
      <c r="W542" s="3" t="str">
        <f>IFERROR(__xludf.DUMMYFUNCTION("""COMPUTED_VALUE"""),"#N/A")</f>
        <v>#N/A</v>
      </c>
      <c r="X542" s="3" t="str">
        <f>IFERROR(__xludf.DUMMYFUNCTION("""COMPUTED_VALUE"""),"#N/A")</f>
        <v>#N/A</v>
      </c>
      <c r="Y542" s="3" t="str">
        <f>IFERROR(__xludf.DUMMYFUNCTION("""COMPUTED_VALUE"""),"#N/A")</f>
        <v>#N/A</v>
      </c>
      <c r="Z542" s="3" t="str">
        <f>IFERROR(__xludf.DUMMYFUNCTION("""COMPUTED_VALUE"""),"Unknown")</f>
        <v>Unknown</v>
      </c>
      <c r="AA542" s="3" t="b">
        <f>IFERROR(__xludf.DUMMYFUNCTION("""COMPUTED_VALUE"""),FALSE)</f>
        <v>0</v>
      </c>
    </row>
    <row r="543">
      <c r="A543" s="11">
        <f>IFERROR(__xludf.DUMMYFUNCTION("""COMPUTED_VALUE"""),1.00610014E8)</f>
        <v>100610014</v>
      </c>
      <c r="B543" s="3" t="str">
        <f>IFERROR(__xludf.DUMMYFUNCTION("""COMPUTED_VALUE"""),"Reid Morrison")</f>
        <v>Reid Morrison</v>
      </c>
      <c r="C543" s="3" t="str">
        <f>IFERROR(__xludf.DUMMYFUNCTION("""COMPUTED_VALUE"""),"Braden Reid Morrison")</f>
        <v>Braden Reid Morrison</v>
      </c>
      <c r="D543" s="3" t="str">
        <f>IFERROR(__xludf.DUMMYFUNCTION("""COMPUTED_VALUE"""),"Morrison, Braden Reid")</f>
        <v>Morrison, Braden Reid</v>
      </c>
      <c r="E543" s="3" t="str">
        <f>IFERROR(__xludf.DUMMYFUNCTION("""COMPUTED_VALUE"""),"Active")</f>
        <v>Active</v>
      </c>
      <c r="F543" s="3" t="str">
        <f>IFERROR(__xludf.DUMMYFUNCTION("""COMPUTED_VALUE"""),"reid.morrison@pwc.com")</f>
        <v>reid.morrison@pwc.com</v>
      </c>
      <c r="G543" s="3" t="str">
        <f>IFERROR(__xludf.DUMMYFUNCTION("""COMPUTED_VALUE"""),"ESV")</f>
        <v>ESV</v>
      </c>
      <c r="H543" s="3" t="str">
        <f>IFERROR(__xludf.DUMMYFUNCTION("""COMPUTED_VALUE"""),"Energy")</f>
        <v>Energy</v>
      </c>
      <c r="I543" s="3" t="str">
        <f>IFERROR(__xludf.DUMMYFUNCTION("""COMPUTED_VALUE"""),"ESV - ESG")</f>
        <v>ESV - ESG</v>
      </c>
      <c r="J543" s="3" t="str">
        <f>IFERROR(__xludf.DUMMYFUNCTION("""COMPUTED_VALUE"""),"Partner")</f>
        <v>Partner</v>
      </c>
      <c r="K543" s="12">
        <f>IFERROR(__xludf.DUMMYFUNCTION("""COMPUTED_VALUE"""),40441.0)</f>
        <v>40441</v>
      </c>
      <c r="L543" s="3" t="str">
        <f>IFERROR(__xludf.DUMMYFUNCTION("""COMPUTED_VALUE"""),"Houston")</f>
        <v>Houston</v>
      </c>
      <c r="M543" s="3" t="str">
        <f>IFERROR(__xludf.DUMMYFUNCTION("""COMPUTED_VALUE"""),"Houston - 1000 Louisiana Street")</f>
        <v>Houston - 1000 Louisiana Street</v>
      </c>
      <c r="N543" s="3" t="b">
        <f>IFERROR(__xludf.DUMMYFUNCTION("""COMPUTED_VALUE"""),FALSE)</f>
        <v>0</v>
      </c>
      <c r="O543" s="3" t="str">
        <f>IFERROR(__xludf.DUMMYFUNCTION("""COMPUTED_VALUE"""),"sundar.subramanian@pwc.com")</f>
        <v>sundar.subramanian@pwc.com</v>
      </c>
      <c r="P543" s="3" t="str">
        <f>IFERROR(__xludf.DUMMYFUNCTION("""COMPUTED_VALUE"""),"No")</f>
        <v>No</v>
      </c>
      <c r="Q543" s="3" t="b">
        <f>IFERROR(__xludf.DUMMYFUNCTION("""COMPUTED_VALUE"""),TRUE)</f>
        <v>1</v>
      </c>
      <c r="R543" s="3" t="str">
        <f>IFERROR(__xludf.DUMMYFUNCTION("""COMPUTED_VALUE"""),"LCP High")</f>
        <v>LCP High</v>
      </c>
      <c r="S543" s="3"/>
      <c r="T543" s="3" t="b">
        <f>IFERROR(__xludf.DUMMYFUNCTION("""COMPUTED_VALUE"""),FALSE)</f>
        <v>0</v>
      </c>
      <c r="U543" s="3" t="b">
        <f>IFERROR(__xludf.DUMMYFUNCTION("""COMPUTED_VALUE"""),FALSE)</f>
        <v>0</v>
      </c>
      <c r="V543" s="3" t="b">
        <f>IFERROR(__xludf.DUMMYFUNCTION("""COMPUTED_VALUE"""),FALSE)</f>
        <v>0</v>
      </c>
      <c r="W543" s="3" t="str">
        <f>IFERROR(__xludf.DUMMYFUNCTION("""COMPUTED_VALUE"""),"LCP")</f>
        <v>LCP</v>
      </c>
      <c r="X543" s="3"/>
      <c r="Y543" s="3" t="str">
        <f>IFERROR(__xludf.DUMMYFUNCTION("""COMPUTED_VALUE"""),"GEP - High")</f>
        <v>GEP - High</v>
      </c>
      <c r="Z543" s="3" t="str">
        <f>IFERROR(__xludf.DUMMYFUNCTION("""COMPUTED_VALUE"""),"ESG")</f>
        <v>ESG</v>
      </c>
      <c r="AA543" s="3" t="b">
        <f>IFERROR(__xludf.DUMMYFUNCTION("""COMPUTED_VALUE"""),FALSE)</f>
        <v>0</v>
      </c>
    </row>
    <row r="544">
      <c r="A544" s="11">
        <f>IFERROR(__xludf.DUMMYFUNCTION("""COMPUTED_VALUE"""),1.0064407E8)</f>
        <v>100644070</v>
      </c>
      <c r="B544" s="3" t="str">
        <f>IFERROR(__xludf.DUMMYFUNCTION("""COMPUTED_VALUE"""),"Reza Jenab")</f>
        <v>Reza Jenab</v>
      </c>
      <c r="C544" s="3" t="str">
        <f>IFERROR(__xludf.DUMMYFUNCTION("""COMPUTED_VALUE"""),"Reza  Jenab")</f>
        <v>Reza  Jenab</v>
      </c>
      <c r="D544" s="3" t="str">
        <f>IFERROR(__xludf.DUMMYFUNCTION("""COMPUTED_VALUE"""),"Jenab, Reza")</f>
        <v>Jenab, Reza</v>
      </c>
      <c r="E544" s="3" t="str">
        <f>IFERROR(__xludf.DUMMYFUNCTION("""COMPUTED_VALUE"""),"Active")</f>
        <v>Active</v>
      </c>
      <c r="F544" s="3" t="str">
        <f>IFERROR(__xludf.DUMMYFUNCTION("""COMPUTED_VALUE"""),"reza.jenab@pwc.com")</f>
        <v>reza.jenab@pwc.com</v>
      </c>
      <c r="G544" s="3" t="str">
        <f>IFERROR(__xludf.DUMMYFUNCTION("""COMPUTED_VALUE"""),"Ops")</f>
        <v>Ops</v>
      </c>
      <c r="H544" s="3" t="str">
        <f>IFERROR(__xludf.DUMMYFUNCTION("""COMPUTED_VALUE"""),"Power and Utilities")</f>
        <v>Power and Utilities</v>
      </c>
      <c r="I544" s="3" t="str">
        <f>IFERROR(__xludf.DUMMYFUNCTION("""COMPUTED_VALUE"""),"Ops - Capital Project Excellence (CPE)")</f>
        <v>Ops - Capital Project Excellence (CPE)</v>
      </c>
      <c r="J544" s="3" t="str">
        <f>IFERROR(__xludf.DUMMYFUNCTION("""COMPUTED_VALUE"""),"Partner")</f>
        <v>Partner</v>
      </c>
      <c r="K544" s="12">
        <f>IFERROR(__xludf.DUMMYFUNCTION("""COMPUTED_VALUE"""),40196.0)</f>
        <v>40196</v>
      </c>
      <c r="L544" s="3" t="str">
        <f>IFERROR(__xludf.DUMMYFUNCTION("""COMPUTED_VALUE"""),"San Francisco")</f>
        <v>San Francisco</v>
      </c>
      <c r="M544" s="3" t="str">
        <f>IFERROR(__xludf.DUMMYFUNCTION("""COMPUTED_VALUE"""),"San Francisco - 405 Howard St")</f>
        <v>San Francisco - 405 Howard St</v>
      </c>
      <c r="N544" s="3" t="b">
        <f>IFERROR(__xludf.DUMMYFUNCTION("""COMPUTED_VALUE"""),FALSE)</f>
        <v>0</v>
      </c>
      <c r="O544" s="3" t="str">
        <f>IFERROR(__xludf.DUMMYFUNCTION("""COMPUTED_VALUE"""),"matthew.r.comte@pwc.com")</f>
        <v>matthew.r.comte@pwc.com</v>
      </c>
      <c r="P544" s="3" t="str">
        <f>IFERROR(__xludf.DUMMYFUNCTION("""COMPUTED_VALUE"""),"No")</f>
        <v>No</v>
      </c>
      <c r="Q544" s="3" t="b">
        <f>IFERROR(__xludf.DUMMYFUNCTION("""COMPUTED_VALUE"""),FALSE)</f>
        <v>0</v>
      </c>
      <c r="R544" s="3"/>
      <c r="S544" s="3"/>
      <c r="T544" s="3" t="b">
        <f>IFERROR(__xludf.DUMMYFUNCTION("""COMPUTED_VALUE"""),FALSE)</f>
        <v>0</v>
      </c>
      <c r="U544" s="3" t="b">
        <f>IFERROR(__xludf.DUMMYFUNCTION("""COMPUTED_VALUE"""),TRUE)</f>
        <v>1</v>
      </c>
      <c r="V544" s="3" t="b">
        <f>IFERROR(__xludf.DUMMYFUNCTION("""COMPUTED_VALUE"""),FALSE)</f>
        <v>0</v>
      </c>
      <c r="W544" s="3" t="str">
        <f>IFERROR(__xludf.DUMMYFUNCTION("""COMPUTED_VALUE"""),"Delivery")</f>
        <v>Delivery</v>
      </c>
      <c r="X544" s="3" t="str">
        <f>IFERROR(__xludf.DUMMYFUNCTION("""COMPUTED_VALUE"""),"Investment")</f>
        <v>Investment</v>
      </c>
      <c r="Y544" s="3" t="str">
        <f>IFERROR(__xludf.DUMMYFUNCTION("""COMPUTED_VALUE"""),"Investment")</f>
        <v>Investment</v>
      </c>
      <c r="Z544" s="3" t="str">
        <f>IFERROR(__xludf.DUMMYFUNCTION("""COMPUTED_VALUE"""),"EUM + Telecom Ops Transformation")</f>
        <v>EUM + Telecom Ops Transformation</v>
      </c>
      <c r="AA544" s="3" t="b">
        <f>IFERROR(__xludf.DUMMYFUNCTION("""COMPUTED_VALUE"""),FALSE)</f>
        <v>0</v>
      </c>
    </row>
    <row r="545">
      <c r="A545" s="11">
        <f>IFERROR(__xludf.DUMMYFUNCTION("""COMPUTED_VALUE"""),1.00866856E8)</f>
        <v>100866856</v>
      </c>
      <c r="B545" s="3" t="str">
        <f>IFERROR(__xludf.DUMMYFUNCTION("""COMPUTED_VALUE"""),"Ricardo Ruiz-Huidobro")</f>
        <v>Ricardo Ruiz-Huidobro</v>
      </c>
      <c r="C545" s="3" t="str">
        <f>IFERROR(__xludf.DUMMYFUNCTION("""COMPUTED_VALUE"""),"Ricardo Antonio Ruiz-Huidobro")</f>
        <v>Ricardo Antonio Ruiz-Huidobro</v>
      </c>
      <c r="D545" s="3" t="str">
        <f>IFERROR(__xludf.DUMMYFUNCTION("""COMPUTED_VALUE"""),"Ruiz-Huidobro, Ricardo Antonio")</f>
        <v>Ruiz-Huidobro, Ricardo Antonio</v>
      </c>
      <c r="E545" s="3" t="str">
        <f>IFERROR(__xludf.DUMMYFUNCTION("""COMPUTED_VALUE"""),"Active")</f>
        <v>Active</v>
      </c>
      <c r="F545" s="3" t="str">
        <f>IFERROR(__xludf.DUMMYFUNCTION("""COMPUTED_VALUE"""),"ricardo.rh@pwc.com")</f>
        <v>ricardo.rh@pwc.com</v>
      </c>
      <c r="G545" s="3" t="str">
        <f>IFERROR(__xludf.DUMMYFUNCTION("""COMPUTED_VALUE"""),"Ops")</f>
        <v>Ops</v>
      </c>
      <c r="H545" s="3" t="str">
        <f>IFERROR(__xludf.DUMMYFUNCTION("""COMPUTED_VALUE"""),"CM X-Sector")</f>
        <v>CM X-Sector</v>
      </c>
      <c r="I545" s="3" t="str">
        <f>IFERROR(__xludf.DUMMYFUNCTION("""COMPUTED_VALUE"""),"Ops - Org Strategy Strategy &amp; Solutions (OSS)")</f>
        <v>Ops - Org Strategy Strategy &amp; Solutions (OSS)</v>
      </c>
      <c r="J545" s="3" t="str">
        <f>IFERROR(__xludf.DUMMYFUNCTION("""COMPUTED_VALUE"""),"Partner")</f>
        <v>Partner</v>
      </c>
      <c r="K545" s="12">
        <f>IFERROR(__xludf.DUMMYFUNCTION("""COMPUTED_VALUE"""),43473.0)</f>
        <v>43473</v>
      </c>
      <c r="L545" s="3" t="str">
        <f>IFERROR(__xludf.DUMMYFUNCTION("""COMPUTED_VALUE"""),"Washington")</f>
        <v>Washington</v>
      </c>
      <c r="M545" s="3" t="str">
        <f>IFERROR(__xludf.DUMMYFUNCTION("""COMPUTED_VALUE"""),"Washington DC - 655 New York Avenue")</f>
        <v>Washington DC - 655 New York Avenue</v>
      </c>
      <c r="N545" s="3" t="b">
        <f>IFERROR(__xludf.DUMMYFUNCTION("""COMPUTED_VALUE"""),FALSE)</f>
        <v>0</v>
      </c>
      <c r="O545" s="3" t="str">
        <f>IFERROR(__xludf.DUMMYFUNCTION("""COMPUTED_VALUE"""),"matthew.r.comte@pwc.com")</f>
        <v>matthew.r.comte@pwc.com</v>
      </c>
      <c r="P545" s="3" t="str">
        <f>IFERROR(__xludf.DUMMYFUNCTION("""COMPUTED_VALUE"""),"No")</f>
        <v>No</v>
      </c>
      <c r="Q545" s="3" t="b">
        <f>IFERROR(__xludf.DUMMYFUNCTION("""COMPUTED_VALUE"""),FALSE)</f>
        <v>0</v>
      </c>
      <c r="R545" s="3"/>
      <c r="S545" s="3"/>
      <c r="T545" s="3" t="b">
        <f>IFERROR(__xludf.DUMMYFUNCTION("""COMPUTED_VALUE"""),FALSE)</f>
        <v>0</v>
      </c>
      <c r="U545" s="3" t="b">
        <f>IFERROR(__xludf.DUMMYFUNCTION("""COMPUTED_VALUE"""),TRUE)</f>
        <v>1</v>
      </c>
      <c r="V545" s="3" t="b">
        <f>IFERROR(__xludf.DUMMYFUNCTION("""COMPUTED_VALUE"""),FALSE)</f>
        <v>0</v>
      </c>
      <c r="W545" s="3" t="str">
        <f>IFERROR(__xludf.DUMMYFUNCTION("""COMPUTED_VALUE"""),"Delivery")</f>
        <v>Delivery</v>
      </c>
      <c r="X545" s="3"/>
      <c r="Y545" s="3"/>
      <c r="Z545" s="3" t="str">
        <f>IFERROR(__xludf.DUMMYFUNCTION("""COMPUTED_VALUE"""),"CM Ops Transformation")</f>
        <v>CM Ops Transformation</v>
      </c>
      <c r="AA545" s="3" t="b">
        <f>IFERROR(__xludf.DUMMYFUNCTION("""COMPUTED_VALUE"""),FALSE)</f>
        <v>0</v>
      </c>
    </row>
    <row r="546">
      <c r="A546" s="11">
        <f>IFERROR(__xludf.DUMMYFUNCTION("""COMPUTED_VALUE"""),1.00661023E8)</f>
        <v>100661023</v>
      </c>
      <c r="B546" s="3" t="str">
        <f>IFERROR(__xludf.DUMMYFUNCTION("""COMPUTED_VALUE"""),"Richard Altham")</f>
        <v>Richard Altham</v>
      </c>
      <c r="C546" s="3" t="str">
        <f>IFERROR(__xludf.DUMMYFUNCTION("""COMPUTED_VALUE"""),"Richard David Altham")</f>
        <v>Richard David Altham</v>
      </c>
      <c r="D546" s="3" t="str">
        <f>IFERROR(__xludf.DUMMYFUNCTION("""COMPUTED_VALUE"""),"Altham, Richard David")</f>
        <v>Altham, Richard David</v>
      </c>
      <c r="E546" s="3" t="str">
        <f>IFERROR(__xludf.DUMMYFUNCTION("""COMPUTED_VALUE"""),"Active")</f>
        <v>Active</v>
      </c>
      <c r="F546" s="3" t="str">
        <f>IFERROR(__xludf.DUMMYFUNCTION("""COMPUTED_VALUE"""),"richard.d.altham@pwc.com")</f>
        <v>richard.d.altham@pwc.com</v>
      </c>
      <c r="G546" s="3" t="str">
        <f>IFERROR(__xludf.DUMMYFUNCTION("""COMPUTED_VALUE"""),"FS")</f>
        <v>FS</v>
      </c>
      <c r="H546" s="3" t="str">
        <f>IFERROR(__xludf.DUMMYFUNCTION("""COMPUTED_VALUE"""),"Banking and Capital Markets")</f>
        <v>Banking and Capital Markets</v>
      </c>
      <c r="I546" s="3" t="str">
        <f>IFERROR(__xludf.DUMMYFUNCTION("""COMPUTED_VALUE"""),"FS - Banking and Capital Markets")</f>
        <v>FS - Banking and Capital Markets</v>
      </c>
      <c r="J546" s="3" t="str">
        <f>IFERROR(__xludf.DUMMYFUNCTION("""COMPUTED_VALUE"""),"Partner")</f>
        <v>Partner</v>
      </c>
      <c r="K546" s="12">
        <f>IFERROR(__xludf.DUMMYFUNCTION("""COMPUTED_VALUE"""),40553.0)</f>
        <v>40553</v>
      </c>
      <c r="L546" s="3" t="str">
        <f>IFERROR(__xludf.DUMMYFUNCTION("""COMPUTED_VALUE"""),"Boston")</f>
        <v>Boston</v>
      </c>
      <c r="M546" s="3" t="str">
        <f>IFERROR(__xludf.DUMMYFUNCTION("""COMPUTED_VALUE"""),"Boston - 101 Seaport Boulevard")</f>
        <v>Boston - 101 Seaport Boulevard</v>
      </c>
      <c r="N546" s="3" t="b">
        <f>IFERROR(__xludf.DUMMYFUNCTION("""COMPUTED_VALUE"""),FALSE)</f>
        <v>0</v>
      </c>
      <c r="O546" s="3" t="str">
        <f>IFERROR(__xludf.DUMMYFUNCTION("""COMPUTED_VALUE"""),"alison.hoover@pwc.com")</f>
        <v>alison.hoover@pwc.com</v>
      </c>
      <c r="P546" s="3" t="str">
        <f>IFERROR(__xludf.DUMMYFUNCTION("""COMPUTED_VALUE"""),"No")</f>
        <v>No</v>
      </c>
      <c r="Q546" s="3" t="b">
        <f>IFERROR(__xludf.DUMMYFUNCTION("""COMPUTED_VALUE"""),TRUE)</f>
        <v>1</v>
      </c>
      <c r="R546" s="3" t="str">
        <f>IFERROR(__xludf.DUMMYFUNCTION("""COMPUTED_VALUE"""),"LCP High")</f>
        <v>LCP High</v>
      </c>
      <c r="S546" s="3"/>
      <c r="T546" s="3" t="b">
        <f>IFERROR(__xludf.DUMMYFUNCTION("""COMPUTED_VALUE"""),FALSE)</f>
        <v>0</v>
      </c>
      <c r="U546" s="3" t="b">
        <f>IFERROR(__xludf.DUMMYFUNCTION("""COMPUTED_VALUE"""),FALSE)</f>
        <v>0</v>
      </c>
      <c r="V546" s="3" t="b">
        <f>IFERROR(__xludf.DUMMYFUNCTION("""COMPUTED_VALUE"""),FALSE)</f>
        <v>0</v>
      </c>
      <c r="W546" s="3" t="str">
        <f>IFERROR(__xludf.DUMMYFUNCTION("""COMPUTED_VALUE"""),"LCP")</f>
        <v>LCP</v>
      </c>
      <c r="X546" s="3"/>
      <c r="Y546" s="3" t="str">
        <f>IFERROR(__xludf.DUMMYFUNCTION("""COMPUTED_VALUE"""),"GEP - High")</f>
        <v>GEP - High</v>
      </c>
      <c r="Z546" s="3" t="str">
        <f>IFERROR(__xludf.DUMMYFUNCTION("""COMPUTED_VALUE"""),"Banking Transformation")</f>
        <v>Banking Transformation</v>
      </c>
      <c r="AA546" s="3" t="b">
        <f>IFERROR(__xludf.DUMMYFUNCTION("""COMPUTED_VALUE"""),FALSE)</f>
        <v>0</v>
      </c>
    </row>
    <row r="547">
      <c r="A547" s="11">
        <f>IFERROR(__xludf.DUMMYFUNCTION("""COMPUTED_VALUE"""),1.00592304E8)</f>
        <v>100592304</v>
      </c>
      <c r="B547" s="3" t="str">
        <f>IFERROR(__xludf.DUMMYFUNCTION("""COMPUTED_VALUE"""),"Richard Judy")</f>
        <v>Richard Judy</v>
      </c>
      <c r="C547" s="3" t="str">
        <f>IFERROR(__xludf.DUMMYFUNCTION("""COMPUTED_VALUE"""),"Richard M Judy")</f>
        <v>Richard M Judy</v>
      </c>
      <c r="D547" s="3" t="str">
        <f>IFERROR(__xludf.DUMMYFUNCTION("""COMPUTED_VALUE"""),"Judy, Richard M")</f>
        <v>Judy, Richard M</v>
      </c>
      <c r="E547" s="3" t="str">
        <f>IFERROR(__xludf.DUMMYFUNCTION("""COMPUTED_VALUE"""),"Active")</f>
        <v>Active</v>
      </c>
      <c r="F547" s="3" t="str">
        <f>IFERROR(__xludf.DUMMYFUNCTION("""COMPUTED_VALUE"""),"richard.m.judy@pwc.com")</f>
        <v>richard.m.judy@pwc.com</v>
      </c>
      <c r="G547" s="3" t="str">
        <f>IFERROR(__xludf.DUMMYFUNCTION("""COMPUTED_VALUE"""),"Finance")</f>
        <v>Finance</v>
      </c>
      <c r="H547" s="3" t="str">
        <f>IFERROR(__xludf.DUMMYFUNCTION("""COMPUTED_VALUE"""),"Health Services")</f>
        <v>Health Services</v>
      </c>
      <c r="I547" s="3" t="str">
        <f>IFERROR(__xludf.DUMMYFUNCTION("""COMPUTED_VALUE"""),"Finance - Finance Strategy / Op Model / Global Business Services / Talent")</f>
        <v>Finance - Finance Strategy / Op Model / Global Business Services / Talent</v>
      </c>
      <c r="J547" s="3" t="str">
        <f>IFERROR(__xludf.DUMMYFUNCTION("""COMPUTED_VALUE"""),"Partner")</f>
        <v>Partner</v>
      </c>
      <c r="K547" s="12">
        <f>IFERROR(__xludf.DUMMYFUNCTION("""COMPUTED_VALUE"""),34990.0)</f>
        <v>34990</v>
      </c>
      <c r="L547" s="3" t="str">
        <f>IFERROR(__xludf.DUMMYFUNCTION("""COMPUTED_VALUE"""),"San Francisco")</f>
        <v>San Francisco</v>
      </c>
      <c r="M547" s="3" t="str">
        <f>IFERROR(__xludf.DUMMYFUNCTION("""COMPUTED_VALUE"""),"San Francisco - 405 Howard St")</f>
        <v>San Francisco - 405 Howard St</v>
      </c>
      <c r="N547" s="3" t="b">
        <f>IFERROR(__xludf.DUMMYFUNCTION("""COMPUTED_VALUE"""),FALSE)</f>
        <v>0</v>
      </c>
      <c r="O547" s="3" t="str">
        <f>IFERROR(__xludf.DUMMYFUNCTION("""COMPUTED_VALUE"""),"kurtis.babczenko@pwc.com")</f>
        <v>kurtis.babczenko@pwc.com</v>
      </c>
      <c r="P547" s="3" t="str">
        <f>IFERROR(__xludf.DUMMYFUNCTION("""COMPUTED_VALUE"""),"No")</f>
        <v>No</v>
      </c>
      <c r="Q547" s="3" t="b">
        <f>IFERROR(__xludf.DUMMYFUNCTION("""COMPUTED_VALUE"""),TRUE)</f>
        <v>1</v>
      </c>
      <c r="R547" s="3" t="str">
        <f>IFERROR(__xludf.DUMMYFUNCTION("""COMPUTED_VALUE"""),"LCP High")</f>
        <v>LCP High</v>
      </c>
      <c r="S547" s="3"/>
      <c r="T547" s="3" t="b">
        <f>IFERROR(__xludf.DUMMYFUNCTION("""COMPUTED_VALUE"""),FALSE)</f>
        <v>0</v>
      </c>
      <c r="U547" s="3" t="b">
        <f>IFERROR(__xludf.DUMMYFUNCTION("""COMPUTED_VALUE"""),FALSE)</f>
        <v>0</v>
      </c>
      <c r="V547" s="3" t="b">
        <f>IFERROR(__xludf.DUMMYFUNCTION("""COMPUTED_VALUE"""),FALSE)</f>
        <v>0</v>
      </c>
      <c r="W547" s="3" t="str">
        <f>IFERROR(__xludf.DUMMYFUNCTION("""COMPUTED_VALUE"""),"LCP")</f>
        <v>LCP</v>
      </c>
      <c r="X547" s="3"/>
      <c r="Y547" s="3" t="str">
        <f>IFERROR(__xludf.DUMMYFUNCTION("""COMPUTED_VALUE"""),"GEP - High")</f>
        <v>GEP - High</v>
      </c>
      <c r="Z547" s="3" t="str">
        <f>IFERROR(__xludf.DUMMYFUNCTION("""COMPUTED_VALUE"""),"Finance Transformation - Payer &amp; Pharma")</f>
        <v>Finance Transformation - Payer &amp; Pharma</v>
      </c>
      <c r="AA547" s="3" t="b">
        <f>IFERROR(__xludf.DUMMYFUNCTION("""COMPUTED_VALUE"""),FALSE)</f>
        <v>0</v>
      </c>
    </row>
    <row r="548">
      <c r="A548" s="11">
        <f>IFERROR(__xludf.DUMMYFUNCTION("""COMPUTED_VALUE"""),1.00634919E8)</f>
        <v>100634919</v>
      </c>
      <c r="B548" s="3" t="str">
        <f>IFERROR(__xludf.DUMMYFUNCTION("""COMPUTED_VALUE"""),"Richard Schweiger")</f>
        <v>Richard Schweiger</v>
      </c>
      <c r="C548" s="3" t="str">
        <f>IFERROR(__xludf.DUMMYFUNCTION("""COMPUTED_VALUE"""),"Richard  Schweiger")</f>
        <v>Richard  Schweiger</v>
      </c>
      <c r="D548" s="3" t="str">
        <f>IFERROR(__xludf.DUMMYFUNCTION("""COMPUTED_VALUE"""),"Schweiger, Richard")</f>
        <v>Schweiger, Richard</v>
      </c>
      <c r="E548" s="3" t="str">
        <f>IFERROR(__xludf.DUMMYFUNCTION("""COMPUTED_VALUE"""),"Active")</f>
        <v>Active</v>
      </c>
      <c r="F548" s="3" t="str">
        <f>IFERROR(__xludf.DUMMYFUNCTION("""COMPUTED_VALUE"""),"richard.schweiger@pwc.com")</f>
        <v>richard.schweiger@pwc.com</v>
      </c>
      <c r="G548" s="3" t="str">
        <f>IFERROR(__xludf.DUMMYFUNCTION("""COMPUTED_VALUE"""),"Customer")</f>
        <v>Customer</v>
      </c>
      <c r="H548" s="3" t="str">
        <f>IFERROR(__xludf.DUMMYFUNCTION("""COMPUTED_VALUE"""),"CM X-Sector")</f>
        <v>CM X-Sector</v>
      </c>
      <c r="I548" s="3" t="str">
        <f>IFERROR(__xludf.DUMMYFUNCTION("""COMPUTED_VALUE"""),"Customer - Marketing")</f>
        <v>Customer - Marketing</v>
      </c>
      <c r="J548" s="3" t="str">
        <f>IFERROR(__xludf.DUMMYFUNCTION("""COMPUTED_VALUE"""),"Partner")</f>
        <v>Partner</v>
      </c>
      <c r="K548" s="12">
        <f>IFERROR(__xludf.DUMMYFUNCTION("""COMPUTED_VALUE"""),42051.0)</f>
        <v>42051</v>
      </c>
      <c r="L548" s="3" t="str">
        <f>IFERROR(__xludf.DUMMYFUNCTION("""COMPUTED_VALUE"""),"Hallandale Beach")</f>
        <v>Hallandale Beach</v>
      </c>
      <c r="M548" s="3" t="str">
        <f>IFERROR(__xludf.DUMMYFUNCTION("""COMPUTED_VALUE"""),"Hallandale Beach - 600 Silks Run")</f>
        <v>Hallandale Beach - 600 Silks Run</v>
      </c>
      <c r="N548" s="3" t="b">
        <f>IFERROR(__xludf.DUMMYFUNCTION("""COMPUTED_VALUE"""),FALSE)</f>
        <v>0</v>
      </c>
      <c r="O548" s="3" t="str">
        <f>IFERROR(__xludf.DUMMYFUNCTION("""COMPUTED_VALUE"""),"george.korizis@pwc.com")</f>
        <v>george.korizis@pwc.com</v>
      </c>
      <c r="P548" s="3" t="str">
        <f>IFERROR(__xludf.DUMMYFUNCTION("""COMPUTED_VALUE"""),"No")</f>
        <v>No</v>
      </c>
      <c r="Q548" s="3" t="b">
        <f>IFERROR(__xludf.DUMMYFUNCTION("""COMPUTED_VALUE"""),FALSE)</f>
        <v>0</v>
      </c>
      <c r="R548" s="3"/>
      <c r="S548" s="3"/>
      <c r="T548" s="3" t="b">
        <f>IFERROR(__xludf.DUMMYFUNCTION("""COMPUTED_VALUE"""),FALSE)</f>
        <v>0</v>
      </c>
      <c r="U548" s="3" t="b">
        <f>IFERROR(__xludf.DUMMYFUNCTION("""COMPUTED_VALUE"""),TRUE)</f>
        <v>1</v>
      </c>
      <c r="V548" s="3" t="b">
        <f>IFERROR(__xludf.DUMMYFUNCTION("""COMPUTED_VALUE"""),FALSE)</f>
        <v>0</v>
      </c>
      <c r="W548" s="3" t="str">
        <f>IFERROR(__xludf.DUMMYFUNCTION("""COMPUTED_VALUE"""),"Delivery")</f>
        <v>Delivery</v>
      </c>
      <c r="X548" s="3"/>
      <c r="Y548" s="3"/>
      <c r="Z548" s="3" t="str">
        <f>IFERROR(__xludf.DUMMYFUNCTION("""COMPUTED_VALUE"""),"Marketing Transformation")</f>
        <v>Marketing Transformation</v>
      </c>
      <c r="AA548" s="3" t="b">
        <f>IFERROR(__xludf.DUMMYFUNCTION("""COMPUTED_VALUE"""),FALSE)</f>
        <v>0</v>
      </c>
    </row>
    <row r="549">
      <c r="A549" s="11">
        <f>IFERROR(__xludf.DUMMYFUNCTION("""COMPUTED_VALUE"""),1.00652169E8)</f>
        <v>100652169</v>
      </c>
      <c r="B549" s="3" t="str">
        <f>IFERROR(__xludf.DUMMYFUNCTION("""COMPUTED_VALUE"""),"Rick Edmunds")</f>
        <v>Rick Edmunds</v>
      </c>
      <c r="C549" s="3" t="str">
        <f>IFERROR(__xludf.DUMMYFUNCTION("""COMPUTED_VALUE"""),"Richard C Edmunds")</f>
        <v>Richard C Edmunds</v>
      </c>
      <c r="D549" s="3" t="str">
        <f>IFERROR(__xludf.DUMMYFUNCTION("""COMPUTED_VALUE"""),"Edmunds, Richard C")</f>
        <v>Edmunds, Richard C</v>
      </c>
      <c r="E549" s="3" t="str">
        <f>IFERROR(__xludf.DUMMYFUNCTION("""COMPUTED_VALUE"""),"Active")</f>
        <v>Active</v>
      </c>
      <c r="F549" s="3" t="str">
        <f>IFERROR(__xludf.DUMMYFUNCTION("""COMPUTED_VALUE"""),"rick.edmunds@pwc.com")</f>
        <v>rick.edmunds@pwc.com</v>
      </c>
      <c r="G549" s="3" t="str">
        <f>IFERROR(__xludf.DUMMYFUNCTION("""COMPUTED_VALUE"""),"ESV")</f>
        <v>ESV</v>
      </c>
      <c r="H549" s="3" t="str">
        <f>IFERROR(__xludf.DUMMYFUNCTION("""COMPUTED_VALUE"""),"Pharma and Life Sciences")</f>
        <v>Pharma and Life Sciences</v>
      </c>
      <c r="I549" s="3" t="str">
        <f>IFERROR(__xludf.DUMMYFUNCTION("""COMPUTED_VALUE"""),"ESV - PLS")</f>
        <v>ESV - PLS</v>
      </c>
      <c r="J549" s="3" t="str">
        <f>IFERROR(__xludf.DUMMYFUNCTION("""COMPUTED_VALUE"""),"Partner")</f>
        <v>Partner</v>
      </c>
      <c r="K549" s="12">
        <f>IFERROR(__xludf.DUMMYFUNCTION("""COMPUTED_VALUE"""),42186.0)</f>
        <v>42186</v>
      </c>
      <c r="L549" s="3" t="str">
        <f>IFERROR(__xludf.DUMMYFUNCTION("""COMPUTED_VALUE"""),"Washington")</f>
        <v>Washington</v>
      </c>
      <c r="M549" s="3" t="str">
        <f>IFERROR(__xludf.DUMMYFUNCTION("""COMPUTED_VALUE"""),"Washington DC - 655 New York Avenue")</f>
        <v>Washington DC - 655 New York Avenue</v>
      </c>
      <c r="N549" s="3" t="b">
        <f>IFERROR(__xludf.DUMMYFUNCTION("""COMPUTED_VALUE"""),FALSE)</f>
        <v>0</v>
      </c>
      <c r="O549" s="3" t="str">
        <f>IFERROR(__xludf.DUMMYFUNCTION("""COMPUTED_VALUE"""),"sundar.subramanian@pwc.com")</f>
        <v>sundar.subramanian@pwc.com</v>
      </c>
      <c r="P549" s="3" t="str">
        <f>IFERROR(__xludf.DUMMYFUNCTION("""COMPUTED_VALUE"""),"No")</f>
        <v>No</v>
      </c>
      <c r="Q549" s="3" t="b">
        <f>IFERROR(__xludf.DUMMYFUNCTION("""COMPUTED_VALUE"""),FALSE)</f>
        <v>0</v>
      </c>
      <c r="R549" s="3"/>
      <c r="S549" s="3"/>
      <c r="T549" s="3" t="b">
        <f>IFERROR(__xludf.DUMMYFUNCTION("""COMPUTED_VALUE"""),FALSE)</f>
        <v>0</v>
      </c>
      <c r="U549" s="3" t="b">
        <f>IFERROR(__xludf.DUMMYFUNCTION("""COMPUTED_VALUE"""),TRUE)</f>
        <v>1</v>
      </c>
      <c r="V549" s="3" t="b">
        <f>IFERROR(__xludf.DUMMYFUNCTION("""COMPUTED_VALUE"""),FALSE)</f>
        <v>0</v>
      </c>
      <c r="W549" s="3" t="str">
        <f>IFERROR(__xludf.DUMMYFUNCTION("""COMPUTED_VALUE"""),"Delivery")</f>
        <v>Delivery</v>
      </c>
      <c r="X549" s="3"/>
      <c r="Y549" s="3"/>
      <c r="Z549" s="3" t="str">
        <f>IFERROR(__xludf.DUMMYFUNCTION("""COMPUTED_VALUE"""),"Enterprise Digital Transformation - PLS")</f>
        <v>Enterprise Digital Transformation - PLS</v>
      </c>
      <c r="AA549" s="3" t="b">
        <f>IFERROR(__xludf.DUMMYFUNCTION("""COMPUTED_VALUE"""),FALSE)</f>
        <v>0</v>
      </c>
    </row>
    <row r="550">
      <c r="A550" s="11">
        <f>IFERROR(__xludf.DUMMYFUNCTION("""COMPUTED_VALUE"""),1.00647488E8)</f>
        <v>100647488</v>
      </c>
      <c r="B550" s="3" t="str">
        <f>IFERROR(__xludf.DUMMYFUNCTION("""COMPUTED_VALUE"""),"Rima Safari")</f>
        <v>Rima Safari</v>
      </c>
      <c r="C550" s="3" t="str">
        <f>IFERROR(__xludf.DUMMYFUNCTION("""COMPUTED_VALUE"""),"Rima R Safari")</f>
        <v>Rima R Safari</v>
      </c>
      <c r="D550" s="3" t="str">
        <f>IFERROR(__xludf.DUMMYFUNCTION("""COMPUTED_VALUE"""),"Safari, Rima R")</f>
        <v>Safari, Rima R</v>
      </c>
      <c r="E550" s="3" t="str">
        <f>IFERROR(__xludf.DUMMYFUNCTION("""COMPUTED_VALUE"""),"Active")</f>
        <v>Active</v>
      </c>
      <c r="F550" s="3" t="str">
        <f>IFERROR(__xludf.DUMMYFUNCTION("""COMPUTED_VALUE"""),"rima.safari@pwc.com")</f>
        <v>rima.safari@pwc.com</v>
      </c>
      <c r="G550" s="3" t="str">
        <f>IFERROR(__xludf.DUMMYFUNCTION("""COMPUTED_VALUE"""),"FS")</f>
        <v>FS</v>
      </c>
      <c r="H550" s="3" t="str">
        <f>IFERROR(__xludf.DUMMYFUNCTION("""COMPUTED_VALUE"""),"Insurance")</f>
        <v>Insurance</v>
      </c>
      <c r="I550" s="3" t="str">
        <f>IFERROR(__xludf.DUMMYFUNCTION("""COMPUTED_VALUE"""),"FS - Insurance")</f>
        <v>FS - Insurance</v>
      </c>
      <c r="J550" s="3" t="str">
        <f>IFERROR(__xludf.DUMMYFUNCTION("""COMPUTED_VALUE"""),"Partner")</f>
        <v>Partner</v>
      </c>
      <c r="K550" s="12">
        <f>IFERROR(__xludf.DUMMYFUNCTION("""COMPUTED_VALUE"""),40485.0)</f>
        <v>40485</v>
      </c>
      <c r="L550" s="3" t="str">
        <f>IFERROR(__xludf.DUMMYFUNCTION("""COMPUTED_VALUE"""),"Florham Park")</f>
        <v>Florham Park</v>
      </c>
      <c r="M550" s="3" t="str">
        <f>IFERROR(__xludf.DUMMYFUNCTION("""COMPUTED_VALUE"""),"Florham Park - 400 Campus Drive")</f>
        <v>Florham Park - 400 Campus Drive</v>
      </c>
      <c r="N550" s="3" t="b">
        <f>IFERROR(__xludf.DUMMYFUNCTION("""COMPUTED_VALUE"""),FALSE)</f>
        <v>0</v>
      </c>
      <c r="O550" s="3" t="str">
        <f>IFERROR(__xludf.DUMMYFUNCTION("""COMPUTED_VALUE"""),"alison.hoover@pwc.com")</f>
        <v>alison.hoover@pwc.com</v>
      </c>
      <c r="P550" s="3" t="str">
        <f>IFERROR(__xludf.DUMMYFUNCTION("""COMPUTED_VALUE"""),"No")</f>
        <v>No</v>
      </c>
      <c r="Q550" s="3" t="b">
        <f>IFERROR(__xludf.DUMMYFUNCTION("""COMPUTED_VALUE"""),FALSE)</f>
        <v>0</v>
      </c>
      <c r="R550" s="3"/>
      <c r="S550" s="3"/>
      <c r="T550" s="3" t="b">
        <f>IFERROR(__xludf.DUMMYFUNCTION("""COMPUTED_VALUE"""),FALSE)</f>
        <v>0</v>
      </c>
      <c r="U550" s="3" t="b">
        <f>IFERROR(__xludf.DUMMYFUNCTION("""COMPUTED_VALUE"""),TRUE)</f>
        <v>1</v>
      </c>
      <c r="V550" s="3" t="b">
        <f>IFERROR(__xludf.DUMMYFUNCTION("""COMPUTED_VALUE"""),FALSE)</f>
        <v>0</v>
      </c>
      <c r="W550" s="3" t="str">
        <f>IFERROR(__xludf.DUMMYFUNCTION("""COMPUTED_VALUE"""),"Delivery")</f>
        <v>Delivery</v>
      </c>
      <c r="X550" s="3"/>
      <c r="Y550" s="3"/>
      <c r="Z550" s="3" t="str">
        <f>IFERROR(__xludf.DUMMYFUNCTION("""COMPUTED_VALUE"""),"Insurance Transformation")</f>
        <v>Insurance Transformation</v>
      </c>
      <c r="AA550" s="3" t="b">
        <f>IFERROR(__xludf.DUMMYFUNCTION("""COMPUTED_VALUE"""),FALSE)</f>
        <v>0</v>
      </c>
    </row>
    <row r="551">
      <c r="A551" s="11">
        <f>IFERROR(__xludf.DUMMYFUNCTION("""COMPUTED_VALUE"""),1.01170527E8)</f>
        <v>101170527</v>
      </c>
      <c r="B551" s="3" t="str">
        <f>IFERROR(__xludf.DUMMYFUNCTION("""COMPUTED_VALUE"""),"Rob Maul")</f>
        <v>Rob Maul</v>
      </c>
      <c r="C551" s="3" t="str">
        <f>IFERROR(__xludf.DUMMYFUNCTION("""COMPUTED_VALUE"""),"Robert  Maul")</f>
        <v>Robert  Maul</v>
      </c>
      <c r="D551" s="3" t="str">
        <f>IFERROR(__xludf.DUMMYFUNCTION("""COMPUTED_VALUE"""),"Maul, Robert")</f>
        <v>Maul, Robert</v>
      </c>
      <c r="E551" s="3" t="str">
        <f>IFERROR(__xludf.DUMMYFUNCTION("""COMPUTED_VALUE"""),"Active")</f>
        <v>Active</v>
      </c>
      <c r="F551" s="3" t="str">
        <f>IFERROR(__xludf.DUMMYFUNCTION("""COMPUTED_VALUE"""),"rob.maul@pwc.com")</f>
        <v>rob.maul@pwc.com</v>
      </c>
      <c r="G551" s="3" t="str">
        <f>IFERROR(__xludf.DUMMYFUNCTION("""COMPUTED_VALUE"""),"Customer")</f>
        <v>Customer</v>
      </c>
      <c r="H551" s="3" t="str">
        <f>IFERROR(__xludf.DUMMYFUNCTION("""COMPUTED_VALUE"""),"HI X-Sector")</f>
        <v>HI X-Sector</v>
      </c>
      <c r="I551" s="3" t="str">
        <f>IFERROR(__xludf.DUMMYFUNCTION("""COMPUTED_VALUE"""),"Customer - Customer Strategy &amp; Experience")</f>
        <v>Customer - Customer Strategy &amp; Experience</v>
      </c>
      <c r="J551" s="3" t="str">
        <f>IFERROR(__xludf.DUMMYFUNCTION("""COMPUTED_VALUE"""),"Partner")</f>
        <v>Partner</v>
      </c>
      <c r="K551" s="12">
        <f>IFERROR(__xludf.DUMMYFUNCTION("""COMPUTED_VALUE"""),44536.0)</f>
        <v>44536</v>
      </c>
      <c r="L551" s="3" t="str">
        <f>IFERROR(__xludf.DUMMYFUNCTION("""COMPUTED_VALUE"""),"Minneapolis")</f>
        <v>Minneapolis</v>
      </c>
      <c r="M551" s="3" t="str">
        <f>IFERROR(__xludf.DUMMYFUNCTION("""COMPUTED_VALUE"""),"Minneapolis - 45 South 7th Street")</f>
        <v>Minneapolis - 45 South 7th Street</v>
      </c>
      <c r="N551" s="3" t="b">
        <f>IFERROR(__xludf.DUMMYFUNCTION("""COMPUTED_VALUE"""),FALSE)</f>
        <v>0</v>
      </c>
      <c r="O551" s="3" t="str">
        <f>IFERROR(__xludf.DUMMYFUNCTION("""COMPUTED_VALUE"""),"george.korizis@pwc.com")</f>
        <v>george.korizis@pwc.com</v>
      </c>
      <c r="P551" s="3" t="str">
        <f>IFERROR(__xludf.DUMMYFUNCTION("""COMPUTED_VALUE"""),"FY22")</f>
        <v>FY22</v>
      </c>
      <c r="Q551" s="3" t="b">
        <f>IFERROR(__xludf.DUMMYFUNCTION("""COMPUTED_VALUE"""),FALSE)</f>
        <v>0</v>
      </c>
      <c r="R551" s="3"/>
      <c r="S551" s="3"/>
      <c r="T551" s="3" t="b">
        <f>IFERROR(__xludf.DUMMYFUNCTION("""COMPUTED_VALUE"""),FALSE)</f>
        <v>0</v>
      </c>
      <c r="U551" s="3" t="b">
        <f>IFERROR(__xludf.DUMMYFUNCTION("""COMPUTED_VALUE"""),TRUE)</f>
        <v>1</v>
      </c>
      <c r="V551" s="3" t="b">
        <f>IFERROR(__xludf.DUMMYFUNCTION("""COMPUTED_VALUE"""),FALSE)</f>
        <v>0</v>
      </c>
      <c r="W551" s="3" t="str">
        <f>IFERROR(__xludf.DUMMYFUNCTION("""COMPUTED_VALUE"""),"Catalyst")</f>
        <v>Catalyst</v>
      </c>
      <c r="X551" s="3"/>
      <c r="Y551" s="3" t="str">
        <f>IFERROR(__xludf.DUMMYFUNCTION("""COMPUTED_VALUE"""),"FY22")</f>
        <v>FY22</v>
      </c>
      <c r="Z551" s="3" t="str">
        <f>IFERROR(__xludf.DUMMYFUNCTION("""COMPUTED_VALUE"""),"Commercial / CRM Transformation - CM &amp; IPS &amp; HIA")</f>
        <v>Commercial / CRM Transformation - CM &amp; IPS &amp; HIA</v>
      </c>
      <c r="AA551" s="3" t="b">
        <f>IFERROR(__xludf.DUMMYFUNCTION("""COMPUTED_VALUE"""),FALSE)</f>
        <v>0</v>
      </c>
    </row>
    <row r="552">
      <c r="A552" s="11">
        <f>IFERROR(__xludf.DUMMYFUNCTION("""COMPUTED_VALUE"""),1.00660092E8)</f>
        <v>100660092</v>
      </c>
      <c r="B552" s="3" t="str">
        <f>IFERROR(__xludf.DUMMYFUNCTION("""COMPUTED_VALUE"""),"Robbert De Vries")</f>
        <v>Robbert De Vries</v>
      </c>
      <c r="C552" s="3" t="str">
        <f>IFERROR(__xludf.DUMMYFUNCTION("""COMPUTED_VALUE"""),"Hubertus  De Vries")</f>
        <v>Hubertus  De Vries</v>
      </c>
      <c r="D552" s="3" t="str">
        <f>IFERROR(__xludf.DUMMYFUNCTION("""COMPUTED_VALUE"""),"De Vries, Hubertus")</f>
        <v>De Vries, Hubertus</v>
      </c>
      <c r="E552" s="3" t="str">
        <f>IFERROR(__xludf.DUMMYFUNCTION("""COMPUTED_VALUE"""),"Active")</f>
        <v>Active</v>
      </c>
      <c r="F552" s="3" t="str">
        <f>IFERROR(__xludf.DUMMYFUNCTION("""COMPUTED_VALUE"""),"h.devries@pwc.com")</f>
        <v>h.devries@pwc.com</v>
      </c>
      <c r="G552" s="3" t="str">
        <f>IFERROR(__xludf.DUMMYFUNCTION("""COMPUTED_VALUE"""),"Finance")</f>
        <v>Finance</v>
      </c>
      <c r="H552" s="3" t="str">
        <f>IFERROR(__xludf.DUMMYFUNCTION("""COMPUTED_VALUE"""),"TMT X-Sector")</f>
        <v>TMT X-Sector</v>
      </c>
      <c r="I552" s="3" t="str">
        <f>IFERROR(__xludf.DUMMYFUNCTION("""COMPUTED_VALUE"""),"Finance - Enterprise Performance Management")</f>
        <v>Finance - Enterprise Performance Management</v>
      </c>
      <c r="J552" s="3" t="str">
        <f>IFERROR(__xludf.DUMMYFUNCTION("""COMPUTED_VALUE"""),"Partner")</f>
        <v>Partner</v>
      </c>
      <c r="K552" s="12">
        <f>IFERROR(__xludf.DUMMYFUNCTION("""COMPUTED_VALUE"""),40651.0)</f>
        <v>40651</v>
      </c>
      <c r="L552" s="3" t="str">
        <f>IFERROR(__xludf.DUMMYFUNCTION("""COMPUTED_VALUE"""),"San Francisco")</f>
        <v>San Francisco</v>
      </c>
      <c r="M552" s="3" t="str">
        <f>IFERROR(__xludf.DUMMYFUNCTION("""COMPUTED_VALUE"""),"San Francisco - 405 Howard St")</f>
        <v>San Francisco - 405 Howard St</v>
      </c>
      <c r="N552" s="3" t="b">
        <f>IFERROR(__xludf.DUMMYFUNCTION("""COMPUTED_VALUE"""),FALSE)</f>
        <v>0</v>
      </c>
      <c r="O552" s="3" t="str">
        <f>IFERROR(__xludf.DUMMYFUNCTION("""COMPUTED_VALUE"""),"kurtis.babczenko@pwc.com")</f>
        <v>kurtis.babczenko@pwc.com</v>
      </c>
      <c r="P552" s="3" t="str">
        <f>IFERROR(__xludf.DUMMYFUNCTION("""COMPUTED_VALUE"""),"No")</f>
        <v>No</v>
      </c>
      <c r="Q552" s="3" t="b">
        <f>IFERROR(__xludf.DUMMYFUNCTION("""COMPUTED_VALUE"""),FALSE)</f>
        <v>0</v>
      </c>
      <c r="R552" s="3"/>
      <c r="S552" s="3"/>
      <c r="T552" s="3" t="b">
        <f>IFERROR(__xludf.DUMMYFUNCTION("""COMPUTED_VALUE"""),FALSE)</f>
        <v>0</v>
      </c>
      <c r="U552" s="3" t="b">
        <f>IFERROR(__xludf.DUMMYFUNCTION("""COMPUTED_VALUE"""),TRUE)</f>
        <v>1</v>
      </c>
      <c r="V552" s="3" t="b">
        <f>IFERROR(__xludf.DUMMYFUNCTION("""COMPUTED_VALUE"""),FALSE)</f>
        <v>0</v>
      </c>
      <c r="W552" s="3" t="str">
        <f>IFERROR(__xludf.DUMMYFUNCTION("""COMPUTED_VALUE"""),"Delivery")</f>
        <v>Delivery</v>
      </c>
      <c r="X552" s="3"/>
      <c r="Y552" s="3"/>
      <c r="Z552" s="3" t="str">
        <f>IFERROR(__xludf.DUMMYFUNCTION("""COMPUTED_VALUE"""),"Finance Transformation - TMT")</f>
        <v>Finance Transformation - TMT</v>
      </c>
      <c r="AA552" s="3" t="b">
        <f>IFERROR(__xludf.DUMMYFUNCTION("""COMPUTED_VALUE"""),FALSE)</f>
        <v>0</v>
      </c>
    </row>
    <row r="553">
      <c r="A553" s="11">
        <f>IFERROR(__xludf.DUMMYFUNCTION("""COMPUTED_VALUE"""),1.00592784E8)</f>
        <v>100592784</v>
      </c>
      <c r="B553" s="3" t="str">
        <f>IFERROR(__xludf.DUMMYFUNCTION("""COMPUTED_VALUE"""),"Robert Bishop")</f>
        <v>Robert Bishop</v>
      </c>
      <c r="C553" s="3" t="str">
        <f>IFERROR(__xludf.DUMMYFUNCTION("""COMPUTED_VALUE"""),"Robert L Bishop")</f>
        <v>Robert L Bishop</v>
      </c>
      <c r="D553" s="3" t="str">
        <f>IFERROR(__xludf.DUMMYFUNCTION("""COMPUTED_VALUE"""),"Bishop, Robert L")</f>
        <v>Bishop, Robert L</v>
      </c>
      <c r="E553" s="3" t="str">
        <f>IFERROR(__xludf.DUMMYFUNCTION("""COMPUTED_VALUE"""),"Active")</f>
        <v>Active</v>
      </c>
      <c r="F553" s="3" t="str">
        <f>IFERROR(__xludf.DUMMYFUNCTION("""COMPUTED_VALUE"""),"robert.l.bishop@pwc.com")</f>
        <v>robert.l.bishop@pwc.com</v>
      </c>
      <c r="G553" s="3" t="str">
        <f>IFERROR(__xludf.DUMMYFUNCTION("""COMPUTED_VALUE"""),"Finance")</f>
        <v>Finance</v>
      </c>
      <c r="H553" s="3" t="str">
        <f>IFERROR(__xludf.DUMMYFUNCTION("""COMPUTED_VALUE"""),"Manufacturing")</f>
        <v>Manufacturing</v>
      </c>
      <c r="I553" s="3" t="str">
        <f>IFERROR(__xludf.DUMMYFUNCTION("""COMPUTED_VALUE"""),"Finance - Financial Operations")</f>
        <v>Finance - Financial Operations</v>
      </c>
      <c r="J553" s="3" t="str">
        <f>IFERROR(__xludf.DUMMYFUNCTION("""COMPUTED_VALUE"""),"Partner (Position Vacate:06/30/2022)")</f>
        <v>Partner (Position Vacate:06/30/2022)</v>
      </c>
      <c r="K553" s="12">
        <f>IFERROR(__xludf.DUMMYFUNCTION("""COMPUTED_VALUE"""),38110.0)</f>
        <v>38110</v>
      </c>
      <c r="L553" s="3" t="str">
        <f>IFERROR(__xludf.DUMMYFUNCTION("""COMPUTED_VALUE"""),"Detroit")</f>
        <v>Detroit</v>
      </c>
      <c r="M553" s="3" t="str">
        <f>IFERROR(__xludf.DUMMYFUNCTION("""COMPUTED_VALUE"""),"Detroit - 500 Woodward Avenue")</f>
        <v>Detroit - 500 Woodward Avenue</v>
      </c>
      <c r="N553" s="3" t="b">
        <f>IFERROR(__xludf.DUMMYFUNCTION("""COMPUTED_VALUE"""),FALSE)</f>
        <v>0</v>
      </c>
      <c r="O553" s="3" t="str">
        <f>IFERROR(__xludf.DUMMYFUNCTION("""COMPUTED_VALUE"""),"kurtis.babczenko@pwc.com")</f>
        <v>kurtis.babczenko@pwc.com</v>
      </c>
      <c r="P553" s="3" t="str">
        <f>IFERROR(__xludf.DUMMYFUNCTION("""COMPUTED_VALUE"""),"No")</f>
        <v>No</v>
      </c>
      <c r="Q553" s="3" t="b">
        <f>IFERROR(__xludf.DUMMYFUNCTION("""COMPUTED_VALUE"""),FALSE)</f>
        <v>0</v>
      </c>
      <c r="R553" s="3"/>
      <c r="S553" s="3"/>
      <c r="T553" s="3" t="b">
        <f>IFERROR(__xludf.DUMMYFUNCTION("""COMPUTED_VALUE"""),FALSE)</f>
        <v>0</v>
      </c>
      <c r="U553" s="3" t="b">
        <f>IFERROR(__xludf.DUMMYFUNCTION("""COMPUTED_VALUE"""),TRUE)</f>
        <v>1</v>
      </c>
      <c r="V553" s="3" t="b">
        <f>IFERROR(__xludf.DUMMYFUNCTION("""COMPUTED_VALUE"""),FALSE)</f>
        <v>0</v>
      </c>
      <c r="W553" s="3" t="str">
        <f>IFERROR(__xludf.DUMMYFUNCTION("""COMPUTED_VALUE"""),"Delivery")</f>
        <v>Delivery</v>
      </c>
      <c r="X553" s="3"/>
      <c r="Y553" s="3"/>
      <c r="Z553" s="3" t="str">
        <f>IFERROR(__xludf.DUMMYFUNCTION("""COMPUTED_VALUE"""),"Finance Transformation IPS - IP")</f>
        <v>Finance Transformation IPS - IP</v>
      </c>
      <c r="AA553" s="3" t="b">
        <f>IFERROR(__xludf.DUMMYFUNCTION("""COMPUTED_VALUE"""),FALSE)</f>
        <v>0</v>
      </c>
    </row>
    <row r="554">
      <c r="A554" s="11">
        <f>IFERROR(__xludf.DUMMYFUNCTION("""COMPUTED_VALUE"""),1.00634994E8)</f>
        <v>100634994</v>
      </c>
      <c r="B554" s="3" t="str">
        <f>IFERROR(__xludf.DUMMYFUNCTION("""COMPUTED_VALUE"""),"Robert Demeter")</f>
        <v>Robert Demeter</v>
      </c>
      <c r="C554" s="3" t="str">
        <f>IFERROR(__xludf.DUMMYFUNCTION("""COMPUTED_VALUE"""),"Robert  Demeter")</f>
        <v>Robert  Demeter</v>
      </c>
      <c r="D554" s="3" t="str">
        <f>IFERROR(__xludf.DUMMYFUNCTION("""COMPUTED_VALUE"""),"Demeter, Robert")</f>
        <v>Demeter, Robert</v>
      </c>
      <c r="E554" s="3" t="str">
        <f>IFERROR(__xludf.DUMMYFUNCTION("""COMPUTED_VALUE"""),"Active")</f>
        <v>Active</v>
      </c>
      <c r="F554" s="3" t="str">
        <f>IFERROR(__xludf.DUMMYFUNCTION("""COMPUTED_VALUE"""),"robert.demeter@pwc.com")</f>
        <v>robert.demeter@pwc.com</v>
      </c>
      <c r="G554" s="3" t="str">
        <f>IFERROR(__xludf.DUMMYFUNCTION("""COMPUTED_VALUE"""),"Finance")</f>
        <v>Finance</v>
      </c>
      <c r="H554" s="3" t="str">
        <f>IFERROR(__xludf.DUMMYFUNCTION("""COMPUTED_VALUE"""),"Manufacturing")</f>
        <v>Manufacturing</v>
      </c>
      <c r="I554" s="3" t="str">
        <f>IFERROR(__xludf.DUMMYFUNCTION("""COMPUTED_VALUE"""),"Finance - Finance Strategy / Op Model / Global Business Services / Talent")</f>
        <v>Finance - Finance Strategy / Op Model / Global Business Services / Talent</v>
      </c>
      <c r="J554" s="3" t="str">
        <f>IFERROR(__xludf.DUMMYFUNCTION("""COMPUTED_VALUE"""),"Partner")</f>
        <v>Partner</v>
      </c>
      <c r="K554" s="12">
        <f>IFERROR(__xludf.DUMMYFUNCTION("""COMPUTED_VALUE"""),39489.0)</f>
        <v>39489</v>
      </c>
      <c r="L554" s="3" t="str">
        <f>IFERROR(__xludf.DUMMYFUNCTION("""COMPUTED_VALUE"""),"Chicago")</f>
        <v>Chicago</v>
      </c>
      <c r="M554" s="3" t="str">
        <f>IFERROR(__xludf.DUMMYFUNCTION("""COMPUTED_VALUE"""),"Chicago - One North Wacker Drive")</f>
        <v>Chicago - One North Wacker Drive</v>
      </c>
      <c r="N554" s="3" t="b">
        <f>IFERROR(__xludf.DUMMYFUNCTION("""COMPUTED_VALUE"""),FALSE)</f>
        <v>0</v>
      </c>
      <c r="O554" s="3" t="str">
        <f>IFERROR(__xludf.DUMMYFUNCTION("""COMPUTED_VALUE"""),"kurtis.babczenko@pwc.com")</f>
        <v>kurtis.babczenko@pwc.com</v>
      </c>
      <c r="P554" s="3" t="str">
        <f>IFERROR(__xludf.DUMMYFUNCTION("""COMPUTED_VALUE"""),"No")</f>
        <v>No</v>
      </c>
      <c r="Q554" s="3" t="b">
        <f>IFERROR(__xludf.DUMMYFUNCTION("""COMPUTED_VALUE"""),TRUE)</f>
        <v>1</v>
      </c>
      <c r="R554" s="3" t="str">
        <f>IFERROR(__xludf.DUMMYFUNCTION("""COMPUTED_VALUE"""),"LCP Low")</f>
        <v>LCP Low</v>
      </c>
      <c r="S554" s="3"/>
      <c r="T554" s="3" t="b">
        <f>IFERROR(__xludf.DUMMYFUNCTION("""COMPUTED_VALUE"""),FALSE)</f>
        <v>0</v>
      </c>
      <c r="U554" s="3" t="b">
        <f>IFERROR(__xludf.DUMMYFUNCTION("""COMPUTED_VALUE"""),FALSE)</f>
        <v>0</v>
      </c>
      <c r="V554" s="3" t="b">
        <f>IFERROR(__xludf.DUMMYFUNCTION("""COMPUTED_VALUE"""),FALSE)</f>
        <v>0</v>
      </c>
      <c r="W554" s="3" t="str">
        <f>IFERROR(__xludf.DUMMYFUNCTION("""COMPUTED_VALUE"""),"LCP")</f>
        <v>LCP</v>
      </c>
      <c r="X554" s="3"/>
      <c r="Y554" s="3" t="str">
        <f>IFERROR(__xludf.DUMMYFUNCTION("""COMPUTED_VALUE"""),"GEP - Low")</f>
        <v>GEP - Low</v>
      </c>
      <c r="Z554" s="3" t="str">
        <f>IFERROR(__xludf.DUMMYFUNCTION("""COMPUTED_VALUE"""),"Finance Transformation IPS - IP")</f>
        <v>Finance Transformation IPS - IP</v>
      </c>
      <c r="AA554" s="3" t="b">
        <f>IFERROR(__xludf.DUMMYFUNCTION("""COMPUTED_VALUE"""),FALSE)</f>
        <v>0</v>
      </c>
    </row>
    <row r="555">
      <c r="A555" s="11">
        <f>IFERROR(__xludf.DUMMYFUNCTION("""COMPUTED_VALUE"""),1.00623906E8)</f>
        <v>100623906</v>
      </c>
      <c r="B555" s="3" t="str">
        <f>IFERROR(__xludf.DUMMYFUNCTION("""COMPUTED_VALUE"""),"Robert Fassett")</f>
        <v>Robert Fassett</v>
      </c>
      <c r="C555" s="3" t="str">
        <f>IFERROR(__xludf.DUMMYFUNCTION("""COMPUTED_VALUE"""),"Robert Todd Fassett")</f>
        <v>Robert Todd Fassett</v>
      </c>
      <c r="D555" s="3" t="str">
        <f>IFERROR(__xludf.DUMMYFUNCTION("""COMPUTED_VALUE"""),"Fassett, Robert Todd")</f>
        <v>Fassett, Robert Todd</v>
      </c>
      <c r="E555" s="3" t="str">
        <f>IFERROR(__xludf.DUMMYFUNCTION("""COMPUTED_VALUE"""),"Active")</f>
        <v>Active</v>
      </c>
      <c r="F555" s="3" t="str">
        <f>IFERROR(__xludf.DUMMYFUNCTION("""COMPUTED_VALUE"""),"robert.t.fassett@pwc.com")</f>
        <v>robert.t.fassett@pwc.com</v>
      </c>
      <c r="G555" s="3" t="str">
        <f>IFERROR(__xludf.DUMMYFUNCTION("""COMPUTED_VALUE"""),"Health")</f>
        <v>Health</v>
      </c>
      <c r="H555" s="3" t="str">
        <f>IFERROR(__xludf.DUMMYFUNCTION("""COMPUTED_VALUE"""),"Pharma and Life Sciences")</f>
        <v>Pharma and Life Sciences</v>
      </c>
      <c r="I555" s="3" t="str">
        <f>IFERROR(__xludf.DUMMYFUNCTION("""COMPUTED_VALUE"""),"Health - Health Analytics")</f>
        <v>Health - Health Analytics</v>
      </c>
      <c r="J555" s="3" t="str">
        <f>IFERROR(__xludf.DUMMYFUNCTION("""COMPUTED_VALUE"""),"Managing Director")</f>
        <v>Managing Director</v>
      </c>
      <c r="K555" s="12">
        <f>IFERROR(__xludf.DUMMYFUNCTION("""COMPUTED_VALUE"""),41868.0)</f>
        <v>41868</v>
      </c>
      <c r="L555" s="3" t="str">
        <f>IFERROR(__xludf.DUMMYFUNCTION("""COMPUTED_VALUE"""),"San Diego")</f>
        <v>San Diego</v>
      </c>
      <c r="M555" s="3" t="str">
        <f>IFERROR(__xludf.DUMMYFUNCTION("""COMPUTED_VALUE"""),"San Diego - 12860 El Camino")</f>
        <v>San Diego - 12860 El Camino</v>
      </c>
      <c r="N555" s="3" t="b">
        <f>IFERROR(__xludf.DUMMYFUNCTION("""COMPUTED_VALUE"""),FALSE)</f>
        <v>0</v>
      </c>
      <c r="O555" s="3" t="str">
        <f>IFERROR(__xludf.DUMMYFUNCTION("""COMPUTED_VALUE"""),"mark.mynhier@pwc.com")</f>
        <v>mark.mynhier@pwc.com</v>
      </c>
      <c r="P555" s="3" t="str">
        <f>IFERROR(__xludf.DUMMYFUNCTION("""COMPUTED_VALUE"""),"No")</f>
        <v>No</v>
      </c>
      <c r="Q555" s="3" t="b">
        <f>IFERROR(__xludf.DUMMYFUNCTION("""COMPUTED_VALUE"""),FALSE)</f>
        <v>0</v>
      </c>
      <c r="R555" s="3"/>
      <c r="S555" s="3"/>
      <c r="T555" s="3" t="b">
        <f>IFERROR(__xludf.DUMMYFUNCTION("""COMPUTED_VALUE"""),FALSE)</f>
        <v>0</v>
      </c>
      <c r="U555" s="3" t="b">
        <f>IFERROR(__xludf.DUMMYFUNCTION("""COMPUTED_VALUE"""),TRUE)</f>
        <v>1</v>
      </c>
      <c r="V555" s="3" t="b">
        <f>IFERROR(__xludf.DUMMYFUNCTION("""COMPUTED_VALUE"""),FALSE)</f>
        <v>0</v>
      </c>
      <c r="W555" s="3" t="str">
        <f>IFERROR(__xludf.DUMMYFUNCTION("""COMPUTED_VALUE"""),"Delivery")</f>
        <v>Delivery</v>
      </c>
      <c r="X555" s="3"/>
      <c r="Y555" s="3"/>
      <c r="Z555" s="3" t="str">
        <f>IFERROR(__xludf.DUMMYFUNCTION("""COMPUTED_VALUE"""),"Clinical R&amp;D")</f>
        <v>Clinical R&amp;D</v>
      </c>
      <c r="AA555" s="3" t="b">
        <f>IFERROR(__xludf.DUMMYFUNCTION("""COMPUTED_VALUE"""),FALSE)</f>
        <v>0</v>
      </c>
    </row>
    <row r="556">
      <c r="A556" s="11">
        <f>IFERROR(__xludf.DUMMYFUNCTION("""COMPUTED_VALUE"""),1.00658958E8)</f>
        <v>100658958</v>
      </c>
      <c r="B556" s="3" t="str">
        <f>IFERROR(__xludf.DUMMYFUNCTION("""COMPUTED_VALUE"""),"Robert Grady")</f>
        <v>Robert Grady</v>
      </c>
      <c r="C556" s="3" t="str">
        <f>IFERROR(__xludf.DUMMYFUNCTION("""COMPUTED_VALUE"""),"Robert E Grady")</f>
        <v>Robert E Grady</v>
      </c>
      <c r="D556" s="3" t="str">
        <f>IFERROR(__xludf.DUMMYFUNCTION("""COMPUTED_VALUE"""),"Grady, Robert E")</f>
        <v>Grady, Robert E</v>
      </c>
      <c r="E556" s="3" t="str">
        <f>IFERROR(__xludf.DUMMYFUNCTION("""COMPUTED_VALUE"""),"Active")</f>
        <v>Active</v>
      </c>
      <c r="F556" s="3" t="str">
        <f>IFERROR(__xludf.DUMMYFUNCTION("""COMPUTED_VALUE"""),"robert.grady@pwc.com")</f>
        <v>robert.grady@pwc.com</v>
      </c>
      <c r="G556" s="3" t="str">
        <f>IFERROR(__xludf.DUMMYFUNCTION("""COMPUTED_VALUE"""),"Deals Transformation")</f>
        <v>Deals Transformation</v>
      </c>
      <c r="H556" s="3" t="str">
        <f>IFERROR(__xludf.DUMMYFUNCTION("""COMPUTED_VALUE"""),"CM X-Sector")</f>
        <v>CM X-Sector</v>
      </c>
      <c r="I556" s="3" t="str">
        <f>IFERROR(__xludf.DUMMYFUNCTION("""COMPUTED_VALUE"""),"DDV - Finance")</f>
        <v>DDV - Finance</v>
      </c>
      <c r="J556" s="3" t="str">
        <f>IFERROR(__xludf.DUMMYFUNCTION("""COMPUTED_VALUE"""),"Managing Director")</f>
        <v>Managing Director</v>
      </c>
      <c r="K556" s="12">
        <f>IFERROR(__xludf.DUMMYFUNCTION("""COMPUTED_VALUE"""),35432.0)</f>
        <v>35432</v>
      </c>
      <c r="L556" s="3" t="str">
        <f>IFERROR(__xludf.DUMMYFUNCTION("""COMPUTED_VALUE"""),"Chicago")</f>
        <v>Chicago</v>
      </c>
      <c r="M556" s="3" t="str">
        <f>IFERROR(__xludf.DUMMYFUNCTION("""COMPUTED_VALUE"""),"Chicago - One North Wacker Drive")</f>
        <v>Chicago - One North Wacker Drive</v>
      </c>
      <c r="N556" s="3" t="b">
        <f>IFERROR(__xludf.DUMMYFUNCTION("""COMPUTED_VALUE"""),FALSE)</f>
        <v>0</v>
      </c>
      <c r="O556" s="3" t="str">
        <f>IFERROR(__xludf.DUMMYFUNCTION("""COMPUTED_VALUE"""),"mike.giguere@pwc.com")</f>
        <v>mike.giguere@pwc.com</v>
      </c>
      <c r="P556" s="3" t="str">
        <f>IFERROR(__xludf.DUMMYFUNCTION("""COMPUTED_VALUE"""),"No")</f>
        <v>No</v>
      </c>
      <c r="Q556" s="3" t="b">
        <f>IFERROR(__xludf.DUMMYFUNCTION("""COMPUTED_VALUE"""),FALSE)</f>
        <v>0</v>
      </c>
      <c r="R556" s="3"/>
      <c r="S556" s="3"/>
      <c r="T556" s="3" t="b">
        <f>IFERROR(__xludf.DUMMYFUNCTION("""COMPUTED_VALUE"""),FALSE)</f>
        <v>0</v>
      </c>
      <c r="U556" s="3" t="b">
        <f>IFERROR(__xludf.DUMMYFUNCTION("""COMPUTED_VALUE"""),TRUE)</f>
        <v>1</v>
      </c>
      <c r="V556" s="3" t="b">
        <f>IFERROR(__xludf.DUMMYFUNCTION("""COMPUTED_VALUE"""),FALSE)</f>
        <v>0</v>
      </c>
      <c r="W556" s="3" t="str">
        <f>IFERROR(__xludf.DUMMYFUNCTION("""COMPUTED_VALUE"""),"Delivery")</f>
        <v>Delivery</v>
      </c>
      <c r="X556" s="3"/>
      <c r="Y556" s="3"/>
      <c r="Z556" s="3" t="str">
        <f>IFERROR(__xludf.DUMMYFUNCTION("""COMPUTED_VALUE"""),"Corporate M&amp;A Transformation - CM")</f>
        <v>Corporate M&amp;A Transformation - CM</v>
      </c>
      <c r="AA556" s="3" t="b">
        <f>IFERROR(__xludf.DUMMYFUNCTION("""COMPUTED_VALUE"""),FALSE)</f>
        <v>0</v>
      </c>
    </row>
    <row r="557">
      <c r="A557" s="11">
        <f>IFERROR(__xludf.DUMMYFUNCTION("""COMPUTED_VALUE"""),1.00660017E8)</f>
        <v>100660017</v>
      </c>
      <c r="B557" s="3" t="str">
        <f>IFERROR(__xludf.DUMMYFUNCTION("""COMPUTED_VALUE"""),"Robert Gruman")</f>
        <v>Robert Gruman</v>
      </c>
      <c r="C557" s="3" t="str">
        <f>IFERROR(__xludf.DUMMYFUNCTION("""COMPUTED_VALUE"""),"Robert  Gruman")</f>
        <v>Robert  Gruman</v>
      </c>
      <c r="D557" s="3" t="str">
        <f>IFERROR(__xludf.DUMMYFUNCTION("""COMPUTED_VALUE"""),"Gruman, Robert")</f>
        <v>Gruman, Robert</v>
      </c>
      <c r="E557" s="3" t="str">
        <f>IFERROR(__xludf.DUMMYFUNCTION("""COMPUTED_VALUE"""),"Active")</f>
        <v>Active</v>
      </c>
      <c r="F557" s="3" t="str">
        <f>IFERROR(__xludf.DUMMYFUNCTION("""COMPUTED_VALUE"""),"robert.gruman@pwc.com")</f>
        <v>robert.gruman@pwc.com</v>
      </c>
      <c r="G557" s="3" t="str">
        <f>IFERROR(__xludf.DUMMYFUNCTION("""COMPUTED_VALUE"""),"Workforce")</f>
        <v>Workforce</v>
      </c>
      <c r="H557" s="3" t="str">
        <f>IFERROR(__xludf.DUMMYFUNCTION("""COMPUTED_VALUE"""),"Energy")</f>
        <v>Energy</v>
      </c>
      <c r="I557" s="3" t="str">
        <f>IFERROR(__xludf.DUMMYFUNCTION("""COMPUTED_VALUE"""),"Workforce - Talent, Change &amp; Behaviors")</f>
        <v>Workforce - Talent, Change &amp; Behaviors</v>
      </c>
      <c r="J557" s="3" t="str">
        <f>IFERROR(__xludf.DUMMYFUNCTION("""COMPUTED_VALUE"""),"Partner")</f>
        <v>Partner</v>
      </c>
      <c r="K557" s="12">
        <f>IFERROR(__xludf.DUMMYFUNCTION("""COMPUTED_VALUE"""),41730.0)</f>
        <v>41730</v>
      </c>
      <c r="L557" s="3" t="str">
        <f>IFERROR(__xludf.DUMMYFUNCTION("""COMPUTED_VALUE"""),"Houston")</f>
        <v>Houston</v>
      </c>
      <c r="M557" s="3" t="str">
        <f>IFERROR(__xludf.DUMMYFUNCTION("""COMPUTED_VALUE"""),"Houston - 1000 Louisiana Street")</f>
        <v>Houston - 1000 Louisiana Street</v>
      </c>
      <c r="N557" s="3" t="b">
        <f>IFERROR(__xludf.DUMMYFUNCTION("""COMPUTED_VALUE"""),FALSE)</f>
        <v>0</v>
      </c>
      <c r="O557" s="3" t="str">
        <f>IFERROR(__xludf.DUMMYFUNCTION("""COMPUTED_VALUE"""),"craig.odonnell@pwc.com")</f>
        <v>craig.odonnell@pwc.com</v>
      </c>
      <c r="P557" s="3" t="str">
        <f>IFERROR(__xludf.DUMMYFUNCTION("""COMPUTED_VALUE"""),"No")</f>
        <v>No</v>
      </c>
      <c r="Q557" s="3" t="b">
        <f>IFERROR(__xludf.DUMMYFUNCTION("""COMPUTED_VALUE"""),TRUE)</f>
        <v>1</v>
      </c>
      <c r="R557" s="3" t="str">
        <f>IFERROR(__xludf.DUMMYFUNCTION("""COMPUTED_VALUE"""),"LCP Low")</f>
        <v>LCP Low</v>
      </c>
      <c r="S557" s="3"/>
      <c r="T557" s="3" t="b">
        <f>IFERROR(__xludf.DUMMYFUNCTION("""COMPUTED_VALUE"""),FALSE)</f>
        <v>0</v>
      </c>
      <c r="U557" s="3" t="b">
        <f>IFERROR(__xludf.DUMMYFUNCTION("""COMPUTED_VALUE"""),FALSE)</f>
        <v>0</v>
      </c>
      <c r="V557" s="3" t="b">
        <f>IFERROR(__xludf.DUMMYFUNCTION("""COMPUTED_VALUE"""),FALSE)</f>
        <v>0</v>
      </c>
      <c r="W557" s="3" t="str">
        <f>IFERROR(__xludf.DUMMYFUNCTION("""COMPUTED_VALUE"""),"LCP")</f>
        <v>LCP</v>
      </c>
      <c r="X557" s="3" t="str">
        <f>IFERROR(__xludf.DUMMYFUNCTION("""COMPUTED_VALUE"""),"#N/A")</f>
        <v>#N/A</v>
      </c>
      <c r="Y557" s="3" t="str">
        <f>IFERROR(__xludf.DUMMYFUNCTION("""COMPUTED_VALUE"""),"#N/A")</f>
        <v>#N/A</v>
      </c>
      <c r="Z557" s="3" t="str">
        <f>IFERROR(__xludf.DUMMYFUNCTION("""COMPUTED_VALUE"""),"Unknown")</f>
        <v>Unknown</v>
      </c>
      <c r="AA557" s="3" t="b">
        <f>IFERROR(__xludf.DUMMYFUNCTION("""COMPUTED_VALUE"""),FALSE)</f>
        <v>0</v>
      </c>
    </row>
    <row r="558">
      <c r="A558" s="11">
        <f>IFERROR(__xludf.DUMMYFUNCTION("""COMPUTED_VALUE"""),1.00569225E8)</f>
        <v>100569225</v>
      </c>
      <c r="B558" s="3" t="str">
        <f>IFERROR(__xludf.DUMMYFUNCTION("""COMPUTED_VALUE"""),"Robert Knittle")</f>
        <v>Robert Knittle</v>
      </c>
      <c r="C558" s="3" t="str">
        <f>IFERROR(__xludf.DUMMYFUNCTION("""COMPUTED_VALUE"""),"Robert  Knittle")</f>
        <v>Robert  Knittle</v>
      </c>
      <c r="D558" s="3" t="str">
        <f>IFERROR(__xludf.DUMMYFUNCTION("""COMPUTED_VALUE"""),"Knittle, Robert")</f>
        <v>Knittle, Robert</v>
      </c>
      <c r="E558" s="3" t="str">
        <f>IFERROR(__xludf.DUMMYFUNCTION("""COMPUTED_VALUE"""),"Active")</f>
        <v>Active</v>
      </c>
      <c r="F558" s="3" t="str">
        <f>IFERROR(__xludf.DUMMYFUNCTION("""COMPUTED_VALUE"""),"robert.knittle@pwc.com")</f>
        <v>robert.knittle@pwc.com</v>
      </c>
      <c r="G558" s="3" t="str">
        <f>IFERROR(__xludf.DUMMYFUNCTION("""COMPUTED_VALUE"""),"Finance")</f>
        <v>Finance</v>
      </c>
      <c r="H558" s="3" t="str">
        <f>IFERROR(__xludf.DUMMYFUNCTION("""COMPUTED_VALUE"""),"CM X-Sector")</f>
        <v>CM X-Sector</v>
      </c>
      <c r="I558" s="3" t="str">
        <f>IFERROR(__xludf.DUMMYFUNCTION("""COMPUTED_VALUE"""),"Finance - Financial Operations")</f>
        <v>Finance - Financial Operations</v>
      </c>
      <c r="J558" s="3" t="str">
        <f>IFERROR(__xludf.DUMMYFUNCTION("""COMPUTED_VALUE"""),"Partner")</f>
        <v>Partner</v>
      </c>
      <c r="K558" s="12">
        <f>IFERROR(__xludf.DUMMYFUNCTION("""COMPUTED_VALUE"""),44536.0)</f>
        <v>44536</v>
      </c>
      <c r="L558" s="3" t="str">
        <f>IFERROR(__xludf.DUMMYFUNCTION("""COMPUTED_VALUE"""),"Detroit")</f>
        <v>Detroit</v>
      </c>
      <c r="M558" s="3" t="str">
        <f>IFERROR(__xludf.DUMMYFUNCTION("""COMPUTED_VALUE"""),"Detroit - 500 Woodward Avenue")</f>
        <v>Detroit - 500 Woodward Avenue</v>
      </c>
      <c r="N558" s="3" t="b">
        <f>IFERROR(__xludf.DUMMYFUNCTION("""COMPUTED_VALUE"""),FALSE)</f>
        <v>0</v>
      </c>
      <c r="O558" s="3" t="str">
        <f>IFERROR(__xludf.DUMMYFUNCTION("""COMPUTED_VALUE"""),"kurtis.babczenko@pwc.com")</f>
        <v>kurtis.babczenko@pwc.com</v>
      </c>
      <c r="P558" s="3" t="str">
        <f>IFERROR(__xludf.DUMMYFUNCTION("""COMPUTED_VALUE"""),"FY22")</f>
        <v>FY22</v>
      </c>
      <c r="Q558" s="3" t="b">
        <f>IFERROR(__xludf.DUMMYFUNCTION("""COMPUTED_VALUE"""),FALSE)</f>
        <v>0</v>
      </c>
      <c r="R558" s="3"/>
      <c r="S558" s="3"/>
      <c r="T558" s="3" t="b">
        <f>IFERROR(__xludf.DUMMYFUNCTION("""COMPUTED_VALUE"""),FALSE)</f>
        <v>0</v>
      </c>
      <c r="U558" s="3" t="b">
        <f>IFERROR(__xludf.DUMMYFUNCTION("""COMPUTED_VALUE"""),TRUE)</f>
        <v>1</v>
      </c>
      <c r="V558" s="3" t="b">
        <f>IFERROR(__xludf.DUMMYFUNCTION("""COMPUTED_VALUE"""),FALSE)</f>
        <v>0</v>
      </c>
      <c r="W558" s="3" t="str">
        <f>IFERROR(__xludf.DUMMYFUNCTION("""COMPUTED_VALUE"""),"Catalyst")</f>
        <v>Catalyst</v>
      </c>
      <c r="X558" s="3"/>
      <c r="Y558" s="3" t="str">
        <f>IFERROR(__xludf.DUMMYFUNCTION("""COMPUTED_VALUE"""),"FY22")</f>
        <v>FY22</v>
      </c>
      <c r="Z558" s="3" t="str">
        <f>IFERROR(__xludf.DUMMYFUNCTION("""COMPUTED_VALUE"""),"Finance Transformation - CM")</f>
        <v>Finance Transformation - CM</v>
      </c>
      <c r="AA558" s="3" t="b">
        <f>IFERROR(__xludf.DUMMYFUNCTION("""COMPUTED_VALUE"""),FALSE)</f>
        <v>0</v>
      </c>
    </row>
    <row r="559">
      <c r="A559" s="11">
        <f>IFERROR(__xludf.DUMMYFUNCTION("""COMPUTED_VALUE"""),1.00595231E8)</f>
        <v>100595231</v>
      </c>
      <c r="B559" s="3" t="str">
        <f>IFERROR(__xludf.DUMMYFUNCTION("""COMPUTED_VALUE"""),"Robert Moline")</f>
        <v>Robert Moline</v>
      </c>
      <c r="C559" s="3" t="str">
        <f>IFERROR(__xludf.DUMMYFUNCTION("""COMPUTED_VALUE"""),"Robert L Moline")</f>
        <v>Robert L Moline</v>
      </c>
      <c r="D559" s="3" t="str">
        <f>IFERROR(__xludf.DUMMYFUNCTION("""COMPUTED_VALUE"""),"Moline, Robert L")</f>
        <v>Moline, Robert L</v>
      </c>
      <c r="E559" s="3" t="str">
        <f>IFERROR(__xludf.DUMMYFUNCTION("""COMPUTED_VALUE"""),"Active")</f>
        <v>Active</v>
      </c>
      <c r="F559" s="3" t="str">
        <f>IFERROR(__xludf.DUMMYFUNCTION("""COMPUTED_VALUE"""),"robert.l.moline@pwc.com")</f>
        <v>robert.l.moline@pwc.com</v>
      </c>
      <c r="G559" s="3" t="str">
        <f>IFERROR(__xludf.DUMMYFUNCTION("""COMPUTED_VALUE"""),"Finance")</f>
        <v>Finance</v>
      </c>
      <c r="H559" s="3" t="str">
        <f>IFERROR(__xludf.DUMMYFUNCTION("""COMPUTED_VALUE"""),"TMT X-Sector")</f>
        <v>TMT X-Sector</v>
      </c>
      <c r="I559" s="3" t="str">
        <f>IFERROR(__xludf.DUMMYFUNCTION("""COMPUTED_VALUE"""),"Finance - Financial Operations")</f>
        <v>Finance - Financial Operations</v>
      </c>
      <c r="J559" s="3" t="str">
        <f>IFERROR(__xludf.DUMMYFUNCTION("""COMPUTED_VALUE"""),"Partner")</f>
        <v>Partner</v>
      </c>
      <c r="K559" s="12">
        <f>IFERROR(__xludf.DUMMYFUNCTION("""COMPUTED_VALUE"""),32440.0)</f>
        <v>32440</v>
      </c>
      <c r="L559" s="3" t="str">
        <f>IFERROR(__xludf.DUMMYFUNCTION("""COMPUTED_VALUE"""),"Seattle")</f>
        <v>Seattle</v>
      </c>
      <c r="M559" s="3" t="str">
        <f>IFERROR(__xludf.DUMMYFUNCTION("""COMPUTED_VALUE"""),"Seattle - 1420 Fifth Avenue")</f>
        <v>Seattle - 1420 Fifth Avenue</v>
      </c>
      <c r="N559" s="3" t="b">
        <f>IFERROR(__xludf.DUMMYFUNCTION("""COMPUTED_VALUE"""),FALSE)</f>
        <v>0</v>
      </c>
      <c r="O559" s="3" t="str">
        <f>IFERROR(__xludf.DUMMYFUNCTION("""COMPUTED_VALUE"""),"kurtis.babczenko@pwc.com")</f>
        <v>kurtis.babczenko@pwc.com</v>
      </c>
      <c r="P559" s="3" t="str">
        <f>IFERROR(__xludf.DUMMYFUNCTION("""COMPUTED_VALUE"""),"No")</f>
        <v>No</v>
      </c>
      <c r="Q559" s="3" t="b">
        <f>IFERROR(__xludf.DUMMYFUNCTION("""COMPUTED_VALUE"""),FALSE)</f>
        <v>0</v>
      </c>
      <c r="R559" s="3"/>
      <c r="S559" s="3"/>
      <c r="T559" s="3" t="b">
        <f>IFERROR(__xludf.DUMMYFUNCTION("""COMPUTED_VALUE"""),FALSE)</f>
        <v>0</v>
      </c>
      <c r="U559" s="3" t="b">
        <f>IFERROR(__xludf.DUMMYFUNCTION("""COMPUTED_VALUE"""),TRUE)</f>
        <v>1</v>
      </c>
      <c r="V559" s="3" t="b">
        <f>IFERROR(__xludf.DUMMYFUNCTION("""COMPUTED_VALUE"""),FALSE)</f>
        <v>0</v>
      </c>
      <c r="W559" s="3" t="str">
        <f>IFERROR(__xludf.DUMMYFUNCTION("""COMPUTED_VALUE"""),"Delivery")</f>
        <v>Delivery</v>
      </c>
      <c r="X559" s="3"/>
      <c r="Y559" s="3"/>
      <c r="Z559" s="3" t="str">
        <f>IFERROR(__xludf.DUMMYFUNCTION("""COMPUTED_VALUE"""),"ESG")</f>
        <v>ESG</v>
      </c>
      <c r="AA559" s="3" t="b">
        <f>IFERROR(__xludf.DUMMYFUNCTION("""COMPUTED_VALUE"""),FALSE)</f>
        <v>0</v>
      </c>
    </row>
    <row r="560">
      <c r="A560" s="11">
        <f>IFERROR(__xludf.DUMMYFUNCTION("""COMPUTED_VALUE"""),1.0066189E8)</f>
        <v>100661890</v>
      </c>
      <c r="B560" s="3" t="str">
        <f>IFERROR(__xludf.DUMMYFUNCTION("""COMPUTED_VALUE"""),"Robert Purser")</f>
        <v>Robert Purser</v>
      </c>
      <c r="C560" s="3" t="str">
        <f>IFERROR(__xludf.DUMMYFUNCTION("""COMPUTED_VALUE"""),"Robert A Purser")</f>
        <v>Robert A Purser</v>
      </c>
      <c r="D560" s="3" t="str">
        <f>IFERROR(__xludf.DUMMYFUNCTION("""COMPUTED_VALUE"""),"Purser, Robert A")</f>
        <v>Purser, Robert A</v>
      </c>
      <c r="E560" s="3" t="str">
        <f>IFERROR(__xludf.DUMMYFUNCTION("""COMPUTED_VALUE"""),"Active")</f>
        <v>Active</v>
      </c>
      <c r="F560" s="3" t="str">
        <f>IFERROR(__xludf.DUMMYFUNCTION("""COMPUTED_VALUE"""),"robert.purser@pwc.com")</f>
        <v>robert.purser@pwc.com</v>
      </c>
      <c r="G560" s="3" t="str">
        <f>IFERROR(__xludf.DUMMYFUNCTION("""COMPUTED_VALUE"""),"Workforce")</f>
        <v>Workforce</v>
      </c>
      <c r="H560" s="3" t="str">
        <f>IFERROR(__xludf.DUMMYFUNCTION("""COMPUTED_VALUE"""),"TMT X-Sector")</f>
        <v>TMT X-Sector</v>
      </c>
      <c r="I560" s="3" t="str">
        <f>IFERROR(__xludf.DUMMYFUNCTION("""COMPUTED_VALUE"""),"Workforce - Rewards &amp; Well Being")</f>
        <v>Workforce - Rewards &amp; Well Being</v>
      </c>
      <c r="J560" s="3" t="str">
        <f>IFERROR(__xludf.DUMMYFUNCTION("""COMPUTED_VALUE"""),"Partner")</f>
        <v>Partner</v>
      </c>
      <c r="K560" s="12">
        <f>IFERROR(__xludf.DUMMYFUNCTION("""COMPUTED_VALUE"""),42604.0)</f>
        <v>42604</v>
      </c>
      <c r="L560" s="3" t="str">
        <f>IFERROR(__xludf.DUMMYFUNCTION("""COMPUTED_VALUE"""),"Atlanta")</f>
        <v>Atlanta</v>
      </c>
      <c r="M560" s="3" t="str">
        <f>IFERROR(__xludf.DUMMYFUNCTION("""COMPUTED_VALUE"""),"Atlanta - 1075 Peachtree Street NE")</f>
        <v>Atlanta - 1075 Peachtree Street NE</v>
      </c>
      <c r="N560" s="3" t="b">
        <f>IFERROR(__xludf.DUMMYFUNCTION("""COMPUTED_VALUE"""),FALSE)</f>
        <v>0</v>
      </c>
      <c r="O560" s="3" t="str">
        <f>IFERROR(__xludf.DUMMYFUNCTION("""COMPUTED_VALUE"""),"craig.odonnell@pwc.com")</f>
        <v>craig.odonnell@pwc.com</v>
      </c>
      <c r="P560" s="3" t="str">
        <f>IFERROR(__xludf.DUMMYFUNCTION("""COMPUTED_VALUE"""),"No")</f>
        <v>No</v>
      </c>
      <c r="Q560" s="3" t="b">
        <f>IFERROR(__xludf.DUMMYFUNCTION("""COMPUTED_VALUE"""),FALSE)</f>
        <v>0</v>
      </c>
      <c r="R560" s="3"/>
      <c r="S560" s="3"/>
      <c r="T560" s="3" t="b">
        <f>IFERROR(__xludf.DUMMYFUNCTION("""COMPUTED_VALUE"""),FALSE)</f>
        <v>0</v>
      </c>
      <c r="U560" s="3" t="b">
        <f>IFERROR(__xludf.DUMMYFUNCTION("""COMPUTED_VALUE"""),FALSE)</f>
        <v>0</v>
      </c>
      <c r="V560" s="3" t="b">
        <f>IFERROR(__xludf.DUMMYFUNCTION("""COMPUTED_VALUE"""),FALSE)</f>
        <v>0</v>
      </c>
      <c r="W560" s="3" t="str">
        <f>IFERROR(__xludf.DUMMYFUNCTION("""COMPUTED_VALUE"""),"#N/A")</f>
        <v>#N/A</v>
      </c>
      <c r="X560" s="3" t="str">
        <f>IFERROR(__xludf.DUMMYFUNCTION("""COMPUTED_VALUE"""),"#N/A")</f>
        <v>#N/A</v>
      </c>
      <c r="Y560" s="3" t="str">
        <f>IFERROR(__xludf.DUMMYFUNCTION("""COMPUTED_VALUE"""),"#N/A")</f>
        <v>#N/A</v>
      </c>
      <c r="Z560" s="3" t="str">
        <f>IFERROR(__xludf.DUMMYFUNCTION("""COMPUTED_VALUE"""),"Unknown")</f>
        <v>Unknown</v>
      </c>
      <c r="AA560" s="3" t="b">
        <f>IFERROR(__xludf.DUMMYFUNCTION("""COMPUTED_VALUE"""),FALSE)</f>
        <v>0</v>
      </c>
    </row>
    <row r="561">
      <c r="A561" s="11">
        <f>IFERROR(__xludf.DUMMYFUNCTION("""COMPUTED_VALUE"""),1.00620023E8)</f>
        <v>100620023</v>
      </c>
      <c r="B561" s="3" t="str">
        <f>IFERROR(__xludf.DUMMYFUNCTION("""COMPUTED_VALUE"""),"Robert Tate")</f>
        <v>Robert Tate</v>
      </c>
      <c r="C561" s="3" t="str">
        <f>IFERROR(__xludf.DUMMYFUNCTION("""COMPUTED_VALUE"""),"Robert  Tate")</f>
        <v>Robert  Tate</v>
      </c>
      <c r="D561" s="3" t="str">
        <f>IFERROR(__xludf.DUMMYFUNCTION("""COMPUTED_VALUE"""),"Tate, Robert")</f>
        <v>Tate, Robert</v>
      </c>
      <c r="E561" s="3" t="str">
        <f>IFERROR(__xludf.DUMMYFUNCTION("""COMPUTED_VALUE"""),"Active")</f>
        <v>Active</v>
      </c>
      <c r="F561" s="3" t="str">
        <f>IFERROR(__xludf.DUMMYFUNCTION("""COMPUTED_VALUE"""),"robert.tate@pwc.com")</f>
        <v>robert.tate@pwc.com</v>
      </c>
      <c r="G561" s="3" t="str">
        <f>IFERROR(__xludf.DUMMYFUNCTION("""COMPUTED_VALUE"""),"Workforce")</f>
        <v>Workforce</v>
      </c>
      <c r="H561" s="3" t="str">
        <f>IFERROR(__xludf.DUMMYFUNCTION("""COMPUTED_VALUE"""),"FS X-Sector")</f>
        <v>FS X-Sector</v>
      </c>
      <c r="I561" s="3" t="str">
        <f>IFERROR(__xludf.DUMMYFUNCTION("""COMPUTED_VALUE"""),"Workforce - Rewards &amp; Well Being")</f>
        <v>Workforce - Rewards &amp; Well Being</v>
      </c>
      <c r="J561" s="3" t="str">
        <f>IFERROR(__xludf.DUMMYFUNCTION("""COMPUTED_VALUE"""),"Partner")</f>
        <v>Partner</v>
      </c>
      <c r="K561" s="12">
        <f>IFERROR(__xludf.DUMMYFUNCTION("""COMPUTED_VALUE"""),38174.0)</f>
        <v>38174</v>
      </c>
      <c r="L561" s="3" t="str">
        <f>IFERROR(__xludf.DUMMYFUNCTION("""COMPUTED_VALUE"""),"San Jose")</f>
        <v>San Jose</v>
      </c>
      <c r="M561" s="3" t="str">
        <f>IFERROR(__xludf.DUMMYFUNCTION("""COMPUTED_VALUE"""),"San Jose - 488 Almaden Boulevard")</f>
        <v>San Jose - 488 Almaden Boulevard</v>
      </c>
      <c r="N561" s="3" t="b">
        <f>IFERROR(__xludf.DUMMYFUNCTION("""COMPUTED_VALUE"""),FALSE)</f>
        <v>0</v>
      </c>
      <c r="O561" s="3" t="str">
        <f>IFERROR(__xludf.DUMMYFUNCTION("""COMPUTED_VALUE"""),"craig.odonnell@pwc.com")</f>
        <v>craig.odonnell@pwc.com</v>
      </c>
      <c r="P561" s="3" t="str">
        <f>IFERROR(__xludf.DUMMYFUNCTION("""COMPUTED_VALUE"""),"No")</f>
        <v>No</v>
      </c>
      <c r="Q561" s="3" t="b">
        <f>IFERROR(__xludf.DUMMYFUNCTION("""COMPUTED_VALUE"""),FALSE)</f>
        <v>0</v>
      </c>
      <c r="R561" s="3"/>
      <c r="S561" s="3"/>
      <c r="T561" s="3" t="b">
        <f>IFERROR(__xludf.DUMMYFUNCTION("""COMPUTED_VALUE"""),FALSE)</f>
        <v>0</v>
      </c>
      <c r="U561" s="3" t="b">
        <f>IFERROR(__xludf.DUMMYFUNCTION("""COMPUTED_VALUE"""),FALSE)</f>
        <v>0</v>
      </c>
      <c r="V561" s="3" t="b">
        <f>IFERROR(__xludf.DUMMYFUNCTION("""COMPUTED_VALUE"""),FALSE)</f>
        <v>0</v>
      </c>
      <c r="W561" s="3" t="str">
        <f>IFERROR(__xludf.DUMMYFUNCTION("""COMPUTED_VALUE"""),"#N/A")</f>
        <v>#N/A</v>
      </c>
      <c r="X561" s="3" t="str">
        <f>IFERROR(__xludf.DUMMYFUNCTION("""COMPUTED_VALUE"""),"#N/A")</f>
        <v>#N/A</v>
      </c>
      <c r="Y561" s="3" t="str">
        <f>IFERROR(__xludf.DUMMYFUNCTION("""COMPUTED_VALUE"""),"#N/A")</f>
        <v>#N/A</v>
      </c>
      <c r="Z561" s="3" t="str">
        <f>IFERROR(__xludf.DUMMYFUNCTION("""COMPUTED_VALUE"""),"Unknown")</f>
        <v>Unknown</v>
      </c>
      <c r="AA561" s="3" t="b">
        <f>IFERROR(__xludf.DUMMYFUNCTION("""COMPUTED_VALUE"""),FALSE)</f>
        <v>0</v>
      </c>
    </row>
    <row r="562">
      <c r="A562" s="11">
        <f>IFERROR(__xludf.DUMMYFUNCTION("""COMPUTED_VALUE"""),1.00658777E8)</f>
        <v>100658777</v>
      </c>
      <c r="B562" s="3" t="str">
        <f>IFERROR(__xludf.DUMMYFUNCTION("""COMPUTED_VALUE"""),"Robert Vettoretti")</f>
        <v>Robert Vettoretti</v>
      </c>
      <c r="C562" s="3" t="str">
        <f>IFERROR(__xludf.DUMMYFUNCTION("""COMPUTED_VALUE"""),"Robert L Vettoretti")</f>
        <v>Robert L Vettoretti</v>
      </c>
      <c r="D562" s="3" t="str">
        <f>IFERROR(__xludf.DUMMYFUNCTION("""COMPUTED_VALUE"""),"Vettoretti, Robert L")</f>
        <v>Vettoretti, Robert L</v>
      </c>
      <c r="E562" s="3" t="str">
        <f>IFERROR(__xludf.DUMMYFUNCTION("""COMPUTED_VALUE"""),"Active")</f>
        <v>Active</v>
      </c>
      <c r="F562" s="3" t="str">
        <f>IFERROR(__xludf.DUMMYFUNCTION("""COMPUTED_VALUE"""),"r.vettoretti@pwc.com")</f>
        <v>r.vettoretti@pwc.com</v>
      </c>
      <c r="G562" s="3" t="str">
        <f>IFERROR(__xludf.DUMMYFUNCTION("""COMPUTED_VALUE"""),"Finance")</f>
        <v>Finance</v>
      </c>
      <c r="H562" s="3" t="str">
        <f>IFERROR(__xludf.DUMMYFUNCTION("""COMPUTED_VALUE"""),"IMA X-Sector")</f>
        <v>IMA X-Sector</v>
      </c>
      <c r="I562" s="3" t="str">
        <f>IFERROR(__xludf.DUMMYFUNCTION("""COMPUTED_VALUE"""),"Finance - Treasury / Working Capital / Cash Management")</f>
        <v>Finance - Treasury / Working Capital / Cash Management</v>
      </c>
      <c r="J562" s="3" t="str">
        <f>IFERROR(__xludf.DUMMYFUNCTION("""COMPUTED_VALUE"""),"Managing Director")</f>
        <v>Managing Director</v>
      </c>
      <c r="K562" s="12">
        <f>IFERROR(__xludf.DUMMYFUNCTION("""COMPUTED_VALUE"""),35380.0)</f>
        <v>35380</v>
      </c>
      <c r="L562" s="3" t="str">
        <f>IFERROR(__xludf.DUMMYFUNCTION("""COMPUTED_VALUE"""),"Atlanta")</f>
        <v>Atlanta</v>
      </c>
      <c r="M562" s="3" t="str">
        <f>IFERROR(__xludf.DUMMYFUNCTION("""COMPUTED_VALUE"""),"Atlanta - 1075 Peachtree Street NE")</f>
        <v>Atlanta - 1075 Peachtree Street NE</v>
      </c>
      <c r="N562" s="3" t="b">
        <f>IFERROR(__xludf.DUMMYFUNCTION("""COMPUTED_VALUE"""),FALSE)</f>
        <v>0</v>
      </c>
      <c r="O562" s="3" t="str">
        <f>IFERROR(__xludf.DUMMYFUNCTION("""COMPUTED_VALUE"""),"reagan.b.strey@pwc.com")</f>
        <v>reagan.b.strey@pwc.com</v>
      </c>
      <c r="P562" s="3" t="str">
        <f>IFERROR(__xludf.DUMMYFUNCTION("""COMPUTED_VALUE"""),"No")</f>
        <v>No</v>
      </c>
      <c r="Q562" s="3" t="b">
        <f>IFERROR(__xludf.DUMMYFUNCTION("""COMPUTED_VALUE"""),FALSE)</f>
        <v>0</v>
      </c>
      <c r="R562" s="3"/>
      <c r="S562" s="3"/>
      <c r="T562" s="3" t="b">
        <f>IFERROR(__xludf.DUMMYFUNCTION("""COMPUTED_VALUE"""),FALSE)</f>
        <v>0</v>
      </c>
      <c r="U562" s="3" t="b">
        <f>IFERROR(__xludf.DUMMYFUNCTION("""COMPUTED_VALUE"""),TRUE)</f>
        <v>1</v>
      </c>
      <c r="V562" s="3" t="b">
        <f>IFERROR(__xludf.DUMMYFUNCTION("""COMPUTED_VALUE"""),FALSE)</f>
        <v>0</v>
      </c>
      <c r="W562" s="3" t="str">
        <f>IFERROR(__xludf.DUMMYFUNCTION("""COMPUTED_VALUE"""),"Delivery")</f>
        <v>Delivery</v>
      </c>
      <c r="X562" s="3"/>
      <c r="Y562" s="3"/>
      <c r="Z562" s="3" t="str">
        <f>IFERROR(__xludf.DUMMYFUNCTION("""COMPUTED_VALUE"""),"Finance Transformation IPS - IP")</f>
        <v>Finance Transformation IPS - IP</v>
      </c>
      <c r="AA562" s="3" t="b">
        <f>IFERROR(__xludf.DUMMYFUNCTION("""COMPUTED_VALUE"""),FALSE)</f>
        <v>0</v>
      </c>
    </row>
    <row r="563">
      <c r="A563" s="11">
        <f>IFERROR(__xludf.DUMMYFUNCTION("""COMPUTED_VALUE"""),1.00588753E8)</f>
        <v>100588753</v>
      </c>
      <c r="B563" s="3" t="str">
        <f>IFERROR(__xludf.DUMMYFUNCTION("""COMPUTED_VALUE"""),"Robert Walker")</f>
        <v>Robert Walker</v>
      </c>
      <c r="C563" s="3" t="str">
        <f>IFERROR(__xludf.DUMMYFUNCTION("""COMPUTED_VALUE"""),"Robert  Walker")</f>
        <v>Robert  Walker</v>
      </c>
      <c r="D563" s="3" t="str">
        <f>IFERROR(__xludf.DUMMYFUNCTION("""COMPUTED_VALUE"""),"Walker, Robert")</f>
        <v>Walker, Robert</v>
      </c>
      <c r="E563" s="3" t="str">
        <f>IFERROR(__xludf.DUMMYFUNCTION("""COMPUTED_VALUE"""),"Active")</f>
        <v>Active</v>
      </c>
      <c r="F563" s="3" t="str">
        <f>IFERROR(__xludf.DUMMYFUNCTION("""COMPUTED_VALUE"""),"robert.walker@pwc.com")</f>
        <v>robert.walker@pwc.com</v>
      </c>
      <c r="G563" s="3" t="str">
        <f>IFERROR(__xludf.DUMMYFUNCTION("""COMPUTED_VALUE"""),"FS")</f>
        <v>FS</v>
      </c>
      <c r="H563" s="3" t="str">
        <f>IFERROR(__xludf.DUMMYFUNCTION("""COMPUTED_VALUE"""),"Insurance")</f>
        <v>Insurance</v>
      </c>
      <c r="I563" s="3" t="str">
        <f>IFERROR(__xludf.DUMMYFUNCTION("""COMPUTED_VALUE"""),"FS - Insurance")</f>
        <v>FS - Insurance</v>
      </c>
      <c r="J563" s="3" t="str">
        <f>IFERROR(__xludf.DUMMYFUNCTION("""COMPUTED_VALUE"""),"Partner")</f>
        <v>Partner</v>
      </c>
      <c r="K563" s="12">
        <f>IFERROR(__xludf.DUMMYFUNCTION("""COMPUTED_VALUE"""),40875.0)</f>
        <v>40875</v>
      </c>
      <c r="L563" s="3" t="str">
        <f>IFERROR(__xludf.DUMMYFUNCTION("""COMPUTED_VALUE"""),"Chicago")</f>
        <v>Chicago</v>
      </c>
      <c r="M563" s="3" t="str">
        <f>IFERROR(__xludf.DUMMYFUNCTION("""COMPUTED_VALUE"""),"Chicago - One North Wacker Drive")</f>
        <v>Chicago - One North Wacker Drive</v>
      </c>
      <c r="N563" s="3" t="b">
        <f>IFERROR(__xludf.DUMMYFUNCTION("""COMPUTED_VALUE"""),FALSE)</f>
        <v>0</v>
      </c>
      <c r="O563" s="3" t="str">
        <f>IFERROR(__xludf.DUMMYFUNCTION("""COMPUTED_VALUE"""),"alison.hoover@pwc.com")</f>
        <v>alison.hoover@pwc.com</v>
      </c>
      <c r="P563" s="3" t="str">
        <f>IFERROR(__xludf.DUMMYFUNCTION("""COMPUTED_VALUE"""),"No")</f>
        <v>No</v>
      </c>
      <c r="Q563" s="3" t="b">
        <f>IFERROR(__xludf.DUMMYFUNCTION("""COMPUTED_VALUE"""),FALSE)</f>
        <v>0</v>
      </c>
      <c r="R563" s="3"/>
      <c r="S563" s="3"/>
      <c r="T563" s="3" t="b">
        <f>IFERROR(__xludf.DUMMYFUNCTION("""COMPUTED_VALUE"""),FALSE)</f>
        <v>0</v>
      </c>
      <c r="U563" s="3" t="b">
        <f>IFERROR(__xludf.DUMMYFUNCTION("""COMPUTED_VALUE"""),TRUE)</f>
        <v>1</v>
      </c>
      <c r="V563" s="3" t="b">
        <f>IFERROR(__xludf.DUMMYFUNCTION("""COMPUTED_VALUE"""),FALSE)</f>
        <v>0</v>
      </c>
      <c r="W563" s="3" t="str">
        <f>IFERROR(__xludf.DUMMYFUNCTION("""COMPUTED_VALUE"""),"Delivery")</f>
        <v>Delivery</v>
      </c>
      <c r="X563" s="3" t="str">
        <f>IFERROR(__xludf.DUMMYFUNCTION("""COMPUTED_VALUE"""),"Investment")</f>
        <v>Investment</v>
      </c>
      <c r="Y563" s="3"/>
      <c r="Z563" s="3" t="str">
        <f>IFERROR(__xludf.DUMMYFUNCTION("""COMPUTED_VALUE"""),"Insurance Transformation")</f>
        <v>Insurance Transformation</v>
      </c>
      <c r="AA563" s="3" t="b">
        <f>IFERROR(__xludf.DUMMYFUNCTION("""COMPUTED_VALUE"""),FALSE)</f>
        <v>0</v>
      </c>
    </row>
    <row r="564">
      <c r="A564" s="11">
        <f>IFERROR(__xludf.DUMMYFUNCTION("""COMPUTED_VALUE"""),1.0061717E8)</f>
        <v>100617170</v>
      </c>
      <c r="B564" s="3" t="str">
        <f>IFERROR(__xludf.DUMMYFUNCTION("""COMPUTED_VALUE"""),"Roberto Hernandez")</f>
        <v>Roberto Hernandez</v>
      </c>
      <c r="C564" s="3" t="str">
        <f>IFERROR(__xludf.DUMMYFUNCTION("""COMPUTED_VALUE"""),"Roberto  Hernandez")</f>
        <v>Roberto  Hernandez</v>
      </c>
      <c r="D564" s="3" t="str">
        <f>IFERROR(__xludf.DUMMYFUNCTION("""COMPUTED_VALUE"""),"Hernandez, Roberto")</f>
        <v>Hernandez, Roberto</v>
      </c>
      <c r="E564" s="3" t="str">
        <f>IFERROR(__xludf.DUMMYFUNCTION("""COMPUTED_VALUE"""),"Active")</f>
        <v>Active</v>
      </c>
      <c r="F564" s="3" t="str">
        <f>IFERROR(__xludf.DUMMYFUNCTION("""COMPUTED_VALUE"""),"roberto.g.hernandez@pwc.com")</f>
        <v>roberto.g.hernandez@pwc.com</v>
      </c>
      <c r="G564" s="3" t="str">
        <f>IFERROR(__xludf.DUMMYFUNCTION("""COMPUTED_VALUE"""),"Customer")</f>
        <v>Customer</v>
      </c>
      <c r="H564" s="3" t="str">
        <f>IFERROR(__xludf.DUMMYFUNCTION("""COMPUTED_VALUE"""),"Banking and Capital Markets")</f>
        <v>Banking and Capital Markets</v>
      </c>
      <c r="I564" s="3" t="str">
        <f>IFERROR(__xludf.DUMMYFUNCTION("""COMPUTED_VALUE"""),"Customer - Customer Strategy &amp; Experience")</f>
        <v>Customer - Customer Strategy &amp; Experience</v>
      </c>
      <c r="J564" s="3" t="str">
        <f>IFERROR(__xludf.DUMMYFUNCTION("""COMPUTED_VALUE"""),"Partner")</f>
        <v>Partner</v>
      </c>
      <c r="K564" s="12">
        <f>IFERROR(__xludf.DUMMYFUNCTION("""COMPUTED_VALUE"""),38180.0)</f>
        <v>38180</v>
      </c>
      <c r="L564" s="3" t="str">
        <f>IFERROR(__xludf.DUMMYFUNCTION("""COMPUTED_VALUE"""),"Dallas")</f>
        <v>Dallas</v>
      </c>
      <c r="M564" s="3" t="str">
        <f>IFERROR(__xludf.DUMMYFUNCTION("""COMPUTED_VALUE"""),"Dallas - 2121 North Pearl Street")</f>
        <v>Dallas - 2121 North Pearl Street</v>
      </c>
      <c r="N564" s="3" t="b">
        <f>IFERROR(__xludf.DUMMYFUNCTION("""COMPUTED_VALUE"""),FALSE)</f>
        <v>0</v>
      </c>
      <c r="O564" s="3" t="str">
        <f>IFERROR(__xludf.DUMMYFUNCTION("""COMPUTED_VALUE"""),"george.korizis@pwc.com")</f>
        <v>george.korizis@pwc.com</v>
      </c>
      <c r="P564" s="3" t="str">
        <f>IFERROR(__xludf.DUMMYFUNCTION("""COMPUTED_VALUE"""),"No")</f>
        <v>No</v>
      </c>
      <c r="Q564" s="3" t="b">
        <f>IFERROR(__xludf.DUMMYFUNCTION("""COMPUTED_VALUE"""),FALSE)</f>
        <v>0</v>
      </c>
      <c r="R564" s="3"/>
      <c r="S564" s="3"/>
      <c r="T564" s="3" t="b">
        <f>IFERROR(__xludf.DUMMYFUNCTION("""COMPUTED_VALUE"""),FALSE)</f>
        <v>0</v>
      </c>
      <c r="U564" s="3" t="b">
        <f>IFERROR(__xludf.DUMMYFUNCTION("""COMPUTED_VALUE"""),FALSE)</f>
        <v>0</v>
      </c>
      <c r="V564" s="3" t="b">
        <f>IFERROR(__xludf.DUMMYFUNCTION("""COMPUTED_VALUE"""),FALSE)</f>
        <v>0</v>
      </c>
      <c r="W564" s="3" t="str">
        <f>IFERROR(__xludf.DUMMYFUNCTION("""COMPUTED_VALUE"""),"Delivery")</f>
        <v>Delivery</v>
      </c>
      <c r="X564" s="3" t="str">
        <f>IFERROR(__xludf.DUMMYFUNCTION("""COMPUTED_VALUE"""),"Investment")</f>
        <v>Investment</v>
      </c>
      <c r="Y564" s="3"/>
      <c r="Z564" s="3" t="str">
        <f>IFERROR(__xludf.DUMMYFUNCTION("""COMPUTED_VALUE"""),"Banking Transformation")</f>
        <v>Banking Transformation</v>
      </c>
      <c r="AA564" s="3" t="b">
        <f>IFERROR(__xludf.DUMMYFUNCTION("""COMPUTED_VALUE"""),FALSE)</f>
        <v>0</v>
      </c>
    </row>
    <row r="565">
      <c r="A565" s="11">
        <f>IFERROR(__xludf.DUMMYFUNCTION("""COMPUTED_VALUE"""),1.00882152E8)</f>
        <v>100882152</v>
      </c>
      <c r="B565" s="3" t="str">
        <f>IFERROR(__xludf.DUMMYFUNCTION("""COMPUTED_VALUE"""),"Robyn Lahlein")</f>
        <v>Robyn Lahlein</v>
      </c>
      <c r="C565" s="3" t="str">
        <f>IFERROR(__xludf.DUMMYFUNCTION("""COMPUTED_VALUE"""),"Robyn  Lahlein")</f>
        <v>Robyn  Lahlein</v>
      </c>
      <c r="D565" s="3" t="str">
        <f>IFERROR(__xludf.DUMMYFUNCTION("""COMPUTED_VALUE"""),"Lahlein, Robyn")</f>
        <v>Lahlein, Robyn</v>
      </c>
      <c r="E565" s="3" t="str">
        <f>IFERROR(__xludf.DUMMYFUNCTION("""COMPUTED_VALUE"""),"Active")</f>
        <v>Active</v>
      </c>
      <c r="F565" s="3" t="str">
        <f>IFERROR(__xludf.DUMMYFUNCTION("""COMPUTED_VALUE"""),"robyn.lahlein@pwc.com")</f>
        <v>robyn.lahlein@pwc.com</v>
      </c>
      <c r="G565" s="3" t="str">
        <f>IFERROR(__xludf.DUMMYFUNCTION("""COMPUTED_VALUE"""),"Workforce")</f>
        <v>Workforce</v>
      </c>
      <c r="H565" s="3" t="str">
        <f>IFERROR(__xludf.DUMMYFUNCTION("""COMPUTED_VALUE"""),"TMT X-Sector")</f>
        <v>TMT X-Sector</v>
      </c>
      <c r="I565" s="3" t="str">
        <f>IFERROR(__xludf.DUMMYFUNCTION("""COMPUTED_VALUE"""),"Workforce - Deals")</f>
        <v>Workforce - Deals</v>
      </c>
      <c r="J565" s="3" t="str">
        <f>IFERROR(__xludf.DUMMYFUNCTION("""COMPUTED_VALUE"""),"Managing Director")</f>
        <v>Managing Director</v>
      </c>
      <c r="K565" s="12">
        <f>IFERROR(__xludf.DUMMYFUNCTION("""COMPUTED_VALUE"""),43535.0)</f>
        <v>43535</v>
      </c>
      <c r="L565" s="3" t="str">
        <f>IFERROR(__xludf.DUMMYFUNCTION("""COMPUTED_VALUE"""),"Spartanburg")</f>
        <v>Spartanburg</v>
      </c>
      <c r="M565" s="3" t="str">
        <f>IFERROR(__xludf.DUMMYFUNCTION("""COMPUTED_VALUE"""),"Spartanburg - 320 East Main Street")</f>
        <v>Spartanburg - 320 East Main Street</v>
      </c>
      <c r="N565" s="3" t="b">
        <f>IFERROR(__xludf.DUMMYFUNCTION("""COMPUTED_VALUE"""),FALSE)</f>
        <v>0</v>
      </c>
      <c r="O565" s="3" t="str">
        <f>IFERROR(__xludf.DUMMYFUNCTION("""COMPUTED_VALUE"""),"dwight.blackman@pwc.com")</f>
        <v>dwight.blackman@pwc.com</v>
      </c>
      <c r="P565" s="3" t="str">
        <f>IFERROR(__xludf.DUMMYFUNCTION("""COMPUTED_VALUE"""),"No")</f>
        <v>No</v>
      </c>
      <c r="Q565" s="3" t="b">
        <f>IFERROR(__xludf.DUMMYFUNCTION("""COMPUTED_VALUE"""),FALSE)</f>
        <v>0</v>
      </c>
      <c r="R565" s="3"/>
      <c r="S565" s="3"/>
      <c r="T565" s="3" t="b">
        <f>IFERROR(__xludf.DUMMYFUNCTION("""COMPUTED_VALUE"""),FALSE)</f>
        <v>0</v>
      </c>
      <c r="U565" s="3" t="b">
        <f>IFERROR(__xludf.DUMMYFUNCTION("""COMPUTED_VALUE"""),FALSE)</f>
        <v>0</v>
      </c>
      <c r="V565" s="3" t="b">
        <f>IFERROR(__xludf.DUMMYFUNCTION("""COMPUTED_VALUE"""),FALSE)</f>
        <v>0</v>
      </c>
      <c r="W565" s="3" t="str">
        <f>IFERROR(__xludf.DUMMYFUNCTION("""COMPUTED_VALUE"""),"#N/A")</f>
        <v>#N/A</v>
      </c>
      <c r="X565" s="3" t="str">
        <f>IFERROR(__xludf.DUMMYFUNCTION("""COMPUTED_VALUE"""),"#N/A")</f>
        <v>#N/A</v>
      </c>
      <c r="Y565" s="3" t="str">
        <f>IFERROR(__xludf.DUMMYFUNCTION("""COMPUTED_VALUE"""),"#N/A")</f>
        <v>#N/A</v>
      </c>
      <c r="Z565" s="3" t="str">
        <f>IFERROR(__xludf.DUMMYFUNCTION("""COMPUTED_VALUE"""),"Unknown")</f>
        <v>Unknown</v>
      </c>
      <c r="AA565" s="3" t="b">
        <f>IFERROR(__xludf.DUMMYFUNCTION("""COMPUTED_VALUE"""),FALSE)</f>
        <v>0</v>
      </c>
    </row>
    <row r="566">
      <c r="A566" s="11">
        <f>IFERROR(__xludf.DUMMYFUNCTION("""COMPUTED_VALUE"""),1.01093733E8)</f>
        <v>101093733</v>
      </c>
      <c r="B566" s="3" t="str">
        <f>IFERROR(__xludf.DUMMYFUNCTION("""COMPUTED_VALUE"""),"Rodrigo Herrera")</f>
        <v>Rodrigo Herrera</v>
      </c>
      <c r="C566" s="3" t="str">
        <f>IFERROR(__xludf.DUMMYFUNCTION("""COMPUTED_VALUE"""),"Rodrigo  Herrera")</f>
        <v>Rodrigo  Herrera</v>
      </c>
      <c r="D566" s="3" t="str">
        <f>IFERROR(__xludf.DUMMYFUNCTION("""COMPUTED_VALUE"""),"Herrera, Rodrigo")</f>
        <v>Herrera, Rodrigo</v>
      </c>
      <c r="E566" s="3" t="str">
        <f>IFERROR(__xludf.DUMMYFUNCTION("""COMPUTED_VALUE"""),"Active")</f>
        <v>Active</v>
      </c>
      <c r="F566" s="3" t="str">
        <f>IFERROR(__xludf.DUMMYFUNCTION("""COMPUTED_VALUE"""),"rodrigo.h.herrera@pwc.com")</f>
        <v>rodrigo.h.herrera@pwc.com</v>
      </c>
      <c r="G566" s="3" t="str">
        <f>IFERROR(__xludf.DUMMYFUNCTION("""COMPUTED_VALUE"""),"Workforce")</f>
        <v>Workforce</v>
      </c>
      <c r="H566" s="3" t="str">
        <f>IFERROR(__xludf.DUMMYFUNCTION("""COMPUTED_VALUE"""),"Asset and Wealth Management")</f>
        <v>Asset and Wealth Management</v>
      </c>
      <c r="I566" s="3" t="str">
        <f>IFERROR(__xludf.DUMMYFUNCTION("""COMPUTED_VALUE"""),"Workforce - Deals")</f>
        <v>Workforce - Deals</v>
      </c>
      <c r="J566" s="3" t="str">
        <f>IFERROR(__xludf.DUMMYFUNCTION("""COMPUTED_VALUE"""),"Managing Director")</f>
        <v>Managing Director</v>
      </c>
      <c r="K566" s="12">
        <f>IFERROR(__xludf.DUMMYFUNCTION("""COMPUTED_VALUE"""),44368.0)</f>
        <v>44368</v>
      </c>
      <c r="L566" s="3" t="str">
        <f>IFERROR(__xludf.DUMMYFUNCTION("""COMPUTED_VALUE"""),"Houston")</f>
        <v>Houston</v>
      </c>
      <c r="M566" s="3" t="str">
        <f>IFERROR(__xludf.DUMMYFUNCTION("""COMPUTED_VALUE"""),"Houston - 1000 Louisiana Street")</f>
        <v>Houston - 1000 Louisiana Street</v>
      </c>
      <c r="N566" s="3" t="b">
        <f>IFERROR(__xludf.DUMMYFUNCTION("""COMPUTED_VALUE"""),FALSE)</f>
        <v>0</v>
      </c>
      <c r="O566" s="3" t="str">
        <f>IFERROR(__xludf.DUMMYFUNCTION("""COMPUTED_VALUE"""),"alex.jakobson@pwc.com")</f>
        <v>alex.jakobson@pwc.com</v>
      </c>
      <c r="P566" s="3" t="str">
        <f>IFERROR(__xludf.DUMMYFUNCTION("""COMPUTED_VALUE"""),"FY21 2nd Half")</f>
        <v>FY21 2nd Half</v>
      </c>
      <c r="Q566" s="3" t="b">
        <f>IFERROR(__xludf.DUMMYFUNCTION("""COMPUTED_VALUE"""),FALSE)</f>
        <v>0</v>
      </c>
      <c r="R566" s="3"/>
      <c r="S566" s="3"/>
      <c r="T566" s="3" t="b">
        <f>IFERROR(__xludf.DUMMYFUNCTION("""COMPUTED_VALUE"""),FALSE)</f>
        <v>0</v>
      </c>
      <c r="U566" s="3" t="b">
        <f>IFERROR(__xludf.DUMMYFUNCTION("""COMPUTED_VALUE"""),TRUE)</f>
        <v>1</v>
      </c>
      <c r="V566" s="3" t="b">
        <f>IFERROR(__xludf.DUMMYFUNCTION("""COMPUTED_VALUE"""),FALSE)</f>
        <v>0</v>
      </c>
      <c r="W566" s="3" t="str">
        <f>IFERROR(__xludf.DUMMYFUNCTION("""COMPUTED_VALUE"""),"Catalyst")</f>
        <v>Catalyst</v>
      </c>
      <c r="X566" s="3"/>
      <c r="Y566" s="3" t="str">
        <f>IFERROR(__xludf.DUMMYFUNCTION("""COMPUTED_VALUE"""),"FY21 2nd Half")</f>
        <v>FY21 2nd Half</v>
      </c>
      <c r="Z566" s="3" t="str">
        <f>IFERROR(__xludf.DUMMYFUNCTION("""COMPUTED_VALUE"""),"Not Assigned")</f>
        <v>Not Assigned</v>
      </c>
      <c r="AA566" s="3" t="b">
        <f>IFERROR(__xludf.DUMMYFUNCTION("""COMPUTED_VALUE"""),FALSE)</f>
        <v>0</v>
      </c>
    </row>
    <row r="567">
      <c r="A567" s="11">
        <f>IFERROR(__xludf.DUMMYFUNCTION("""COMPUTED_VALUE"""),1.00920415E8)</f>
        <v>100920415</v>
      </c>
      <c r="B567" s="3" t="str">
        <f>IFERROR(__xludf.DUMMYFUNCTION("""COMPUTED_VALUE"""),"Roger Braybrooks")</f>
        <v>Roger Braybrooks</v>
      </c>
      <c r="C567" s="3" t="str">
        <f>IFERROR(__xludf.DUMMYFUNCTION("""COMPUTED_VALUE"""),"Roger  Braybrooks")</f>
        <v>Roger  Braybrooks</v>
      </c>
      <c r="D567" s="3" t="str">
        <f>IFERROR(__xludf.DUMMYFUNCTION("""COMPUTED_VALUE"""),"Braybrooks, Roger")</f>
        <v>Braybrooks, Roger</v>
      </c>
      <c r="E567" s="3" t="str">
        <f>IFERROR(__xludf.DUMMYFUNCTION("""COMPUTED_VALUE"""),"Secondment")</f>
        <v>Secondment</v>
      </c>
      <c r="F567" s="3" t="str">
        <f>IFERROR(__xludf.DUMMYFUNCTION("""COMPUTED_VALUE"""),"roger.t.braybrooks@pwc.com")</f>
        <v>roger.t.braybrooks@pwc.com</v>
      </c>
      <c r="G567" s="3" t="str">
        <f>IFERROR(__xludf.DUMMYFUNCTION("""COMPUTED_VALUE"""),"FS")</f>
        <v>FS</v>
      </c>
      <c r="H567" s="3" t="str">
        <f>IFERROR(__xludf.DUMMYFUNCTION("""COMPUTED_VALUE"""),"Banking and Capital Markets")</f>
        <v>Banking and Capital Markets</v>
      </c>
      <c r="I567" s="3" t="str">
        <f>IFERROR(__xludf.DUMMYFUNCTION("""COMPUTED_VALUE"""),"FS - Banking and Capital Markets")</f>
        <v>FS - Banking and Capital Markets</v>
      </c>
      <c r="J567" s="3" t="str">
        <f>IFERROR(__xludf.DUMMYFUNCTION("""COMPUTED_VALUE"""),"Partner (Position Vacate:08/05/2022)")</f>
        <v>Partner (Position Vacate:08/05/2022)</v>
      </c>
      <c r="K567" s="12">
        <f>IFERROR(__xludf.DUMMYFUNCTION("""COMPUTED_VALUE"""),43717.0)</f>
        <v>43717</v>
      </c>
      <c r="L567" s="3" t="str">
        <f>IFERROR(__xludf.DUMMYFUNCTION("""COMPUTED_VALUE"""),"New York")</f>
        <v>New York</v>
      </c>
      <c r="M567" s="3" t="str">
        <f>IFERROR(__xludf.DUMMYFUNCTION("""COMPUTED_VALUE"""),"New York - 300 Madison Avenue")</f>
        <v>New York - 300 Madison Avenue</v>
      </c>
      <c r="N567" s="3" t="b">
        <f>IFERROR(__xludf.DUMMYFUNCTION("""COMPUTED_VALUE"""),FALSE)</f>
        <v>0</v>
      </c>
      <c r="O567" s="3" t="str">
        <f>IFERROR(__xludf.DUMMYFUNCTION("""COMPUTED_VALUE"""),"alison.hoover@pwc.com")</f>
        <v>alison.hoover@pwc.com</v>
      </c>
      <c r="P567" s="3" t="str">
        <f>IFERROR(__xludf.DUMMYFUNCTION("""COMPUTED_VALUE"""),"No")</f>
        <v>No</v>
      </c>
      <c r="Q567" s="3" t="b">
        <f>IFERROR(__xludf.DUMMYFUNCTION("""COMPUTED_VALUE"""),FALSE)</f>
        <v>0</v>
      </c>
      <c r="R567" s="3"/>
      <c r="S567" s="3"/>
      <c r="T567" s="3" t="b">
        <f>IFERROR(__xludf.DUMMYFUNCTION("""COMPUTED_VALUE"""),FALSE)</f>
        <v>0</v>
      </c>
      <c r="U567" s="3" t="b">
        <f>IFERROR(__xludf.DUMMYFUNCTION("""COMPUTED_VALUE"""),TRUE)</f>
        <v>1</v>
      </c>
      <c r="V567" s="3" t="b">
        <f>IFERROR(__xludf.DUMMYFUNCTION("""COMPUTED_VALUE"""),FALSE)</f>
        <v>0</v>
      </c>
      <c r="W567" s="3" t="str">
        <f>IFERROR(__xludf.DUMMYFUNCTION("""COMPUTED_VALUE"""),"Delivery")</f>
        <v>Delivery</v>
      </c>
      <c r="X567" s="3"/>
      <c r="Y567" s="3"/>
      <c r="Z567" s="3" t="str">
        <f>IFERROR(__xludf.DUMMYFUNCTION("""COMPUTED_VALUE"""),"Capital Markets Transformation")</f>
        <v>Capital Markets Transformation</v>
      </c>
      <c r="AA567" s="3" t="b">
        <f>IFERROR(__xludf.DUMMYFUNCTION("""COMPUTED_VALUE"""),FALSE)</f>
        <v>0</v>
      </c>
    </row>
    <row r="568">
      <c r="A568" s="11">
        <f>IFERROR(__xludf.DUMMYFUNCTION("""COMPUTED_VALUE"""),1.00608164E8)</f>
        <v>100608164</v>
      </c>
      <c r="B568" s="3" t="str">
        <f>IFERROR(__xludf.DUMMYFUNCTION("""COMPUTED_VALUE"""),"Roger Wery")</f>
        <v>Roger Wery</v>
      </c>
      <c r="C568" s="3" t="str">
        <f>IFERROR(__xludf.DUMMYFUNCTION("""COMPUTED_VALUE"""),"Roger F Wery")</f>
        <v>Roger F Wery</v>
      </c>
      <c r="D568" s="3" t="str">
        <f>IFERROR(__xludf.DUMMYFUNCTION("""COMPUTED_VALUE"""),"Wery, Roger F")</f>
        <v>Wery, Roger F</v>
      </c>
      <c r="E568" s="3" t="str">
        <f>IFERROR(__xludf.DUMMYFUNCTION("""COMPUTED_VALUE"""),"Active")</f>
        <v>Active</v>
      </c>
      <c r="F568" s="3" t="str">
        <f>IFERROR(__xludf.DUMMYFUNCTION("""COMPUTED_VALUE"""),"roger.wery@pwc.com")</f>
        <v>roger.wery@pwc.com</v>
      </c>
      <c r="G568" s="3" t="str">
        <f>IFERROR(__xludf.DUMMYFUNCTION("""COMPUTED_VALUE"""),"ESV")</f>
        <v>ESV</v>
      </c>
      <c r="H568" s="3" t="str">
        <f>IFERROR(__xludf.DUMMYFUNCTION("""COMPUTED_VALUE"""),"TMT X-Sector")</f>
        <v>TMT X-Sector</v>
      </c>
      <c r="I568" s="3" t="str">
        <f>IFERROR(__xludf.DUMMYFUNCTION("""COMPUTED_VALUE"""),"ESV - TMT")</f>
        <v>ESV - TMT</v>
      </c>
      <c r="J568" s="3" t="str">
        <f>IFERROR(__xludf.DUMMYFUNCTION("""COMPUTED_VALUE"""),"Partner (Position Vacate:06/30/2022)")</f>
        <v>Partner (Position Vacate:06/30/2022)</v>
      </c>
      <c r="K568" s="12">
        <f>IFERROR(__xludf.DUMMYFUNCTION("""COMPUTED_VALUE"""),40777.0)</f>
        <v>40777</v>
      </c>
      <c r="L568" s="3" t="str">
        <f>IFERROR(__xludf.DUMMYFUNCTION("""COMPUTED_VALUE"""),"San Francisco")</f>
        <v>San Francisco</v>
      </c>
      <c r="M568" s="3" t="str">
        <f>IFERROR(__xludf.DUMMYFUNCTION("""COMPUTED_VALUE"""),"San Francisco - 405 Howard St")</f>
        <v>San Francisco - 405 Howard St</v>
      </c>
      <c r="N568" s="3" t="b">
        <f>IFERROR(__xludf.DUMMYFUNCTION("""COMPUTED_VALUE"""),FALSE)</f>
        <v>0</v>
      </c>
      <c r="O568" s="3" t="str">
        <f>IFERROR(__xludf.DUMMYFUNCTION("""COMPUTED_VALUE"""),"sundar.subramanian@pwc.com")</f>
        <v>sundar.subramanian@pwc.com</v>
      </c>
      <c r="P568" s="3" t="str">
        <f>IFERROR(__xludf.DUMMYFUNCTION("""COMPUTED_VALUE"""),"No")</f>
        <v>No</v>
      </c>
      <c r="Q568" s="3" t="b">
        <f>IFERROR(__xludf.DUMMYFUNCTION("""COMPUTED_VALUE"""),FALSE)</f>
        <v>0</v>
      </c>
      <c r="R568" s="3"/>
      <c r="S568" s="3"/>
      <c r="T568" s="3" t="b">
        <f>IFERROR(__xludf.DUMMYFUNCTION("""COMPUTED_VALUE"""),FALSE)</f>
        <v>0</v>
      </c>
      <c r="U568" s="3" t="b">
        <f>IFERROR(__xludf.DUMMYFUNCTION("""COMPUTED_VALUE"""),TRUE)</f>
        <v>1</v>
      </c>
      <c r="V568" s="3" t="b">
        <f>IFERROR(__xludf.DUMMYFUNCTION("""COMPUTED_VALUE"""),FALSE)</f>
        <v>0</v>
      </c>
      <c r="W568" s="3" t="str">
        <f>IFERROR(__xludf.DUMMYFUNCTION("""COMPUTED_VALUE"""),"Delivery")</f>
        <v>Delivery</v>
      </c>
      <c r="X568" s="3"/>
      <c r="Y568" s="3"/>
      <c r="Z568" s="3" t="str">
        <f>IFERROR(__xludf.DUMMYFUNCTION("""COMPUTED_VALUE"""),"Enterprise Digital Transformation - TMT")</f>
        <v>Enterprise Digital Transformation - TMT</v>
      </c>
      <c r="AA568" s="3" t="b">
        <f>IFERROR(__xludf.DUMMYFUNCTION("""COMPUTED_VALUE"""),FALSE)</f>
        <v>0</v>
      </c>
    </row>
    <row r="569">
      <c r="A569" s="11">
        <f>IFERROR(__xludf.DUMMYFUNCTION("""COMPUTED_VALUE"""),1.00661817E8)</f>
        <v>100661817</v>
      </c>
      <c r="B569" s="3" t="str">
        <f>IFERROR(__xludf.DUMMYFUNCTION("""COMPUTED_VALUE"""),"Roland Kastoun")</f>
        <v>Roland Kastoun</v>
      </c>
      <c r="C569" s="3" t="str">
        <f>IFERROR(__xludf.DUMMYFUNCTION("""COMPUTED_VALUE"""),"Roland  Kastoun")</f>
        <v>Roland  Kastoun</v>
      </c>
      <c r="D569" s="3" t="str">
        <f>IFERROR(__xludf.DUMMYFUNCTION("""COMPUTED_VALUE"""),"Kastoun, Roland")</f>
        <v>Kastoun, Roland</v>
      </c>
      <c r="E569" s="3" t="str">
        <f>IFERROR(__xludf.DUMMYFUNCTION("""COMPUTED_VALUE"""),"Active")</f>
        <v>Active</v>
      </c>
      <c r="F569" s="3" t="str">
        <f>IFERROR(__xludf.DUMMYFUNCTION("""COMPUTED_VALUE"""),"roland.kastoun@pwc.com")</f>
        <v>roland.kastoun@pwc.com</v>
      </c>
      <c r="G569" s="3" t="str">
        <f>IFERROR(__xludf.DUMMYFUNCTION("""COMPUTED_VALUE"""),"ESV")</f>
        <v>ESV</v>
      </c>
      <c r="H569" s="3" t="str">
        <f>IFERROR(__xludf.DUMMYFUNCTION("""COMPUTED_VALUE"""),"Banking and Capital Markets")</f>
        <v>Banking and Capital Markets</v>
      </c>
      <c r="I569" s="3" t="str">
        <f>IFERROR(__xludf.DUMMYFUNCTION("""COMPUTED_VALUE"""),"ESV - BCM")</f>
        <v>ESV - BCM</v>
      </c>
      <c r="J569" s="3" t="str">
        <f>IFERROR(__xludf.DUMMYFUNCTION("""COMPUTED_VALUE"""),"Partner")</f>
        <v>Partner</v>
      </c>
      <c r="K569" s="12">
        <f>IFERROR(__xludf.DUMMYFUNCTION("""COMPUTED_VALUE"""),43175.0)</f>
        <v>43175</v>
      </c>
      <c r="L569" s="3" t="str">
        <f>IFERROR(__xludf.DUMMYFUNCTION("""COMPUTED_VALUE"""),"New York")</f>
        <v>New York</v>
      </c>
      <c r="M569" s="3" t="str">
        <f>IFERROR(__xludf.DUMMYFUNCTION("""COMPUTED_VALUE"""),"New York - 300 Madison Avenue")</f>
        <v>New York - 300 Madison Avenue</v>
      </c>
      <c r="N569" s="3" t="b">
        <f>IFERROR(__xludf.DUMMYFUNCTION("""COMPUTED_VALUE"""),FALSE)</f>
        <v>0</v>
      </c>
      <c r="O569" s="3" t="str">
        <f>IFERROR(__xludf.DUMMYFUNCTION("""COMPUTED_VALUE"""),"sundar.subramanian@pwc.com")</f>
        <v>sundar.subramanian@pwc.com</v>
      </c>
      <c r="P569" s="3" t="str">
        <f>IFERROR(__xludf.DUMMYFUNCTION("""COMPUTED_VALUE"""),"No")</f>
        <v>No</v>
      </c>
      <c r="Q569" s="3" t="b">
        <f>IFERROR(__xludf.DUMMYFUNCTION("""COMPUTED_VALUE"""),FALSE)</f>
        <v>0</v>
      </c>
      <c r="R569" s="3"/>
      <c r="S569" s="3"/>
      <c r="T569" s="3" t="b">
        <f>IFERROR(__xludf.DUMMYFUNCTION("""COMPUTED_VALUE"""),FALSE)</f>
        <v>0</v>
      </c>
      <c r="U569" s="3" t="b">
        <f>IFERROR(__xludf.DUMMYFUNCTION("""COMPUTED_VALUE"""),FALSE)</f>
        <v>0</v>
      </c>
      <c r="V569" s="3" t="b">
        <f>IFERROR(__xludf.DUMMYFUNCTION("""COMPUTED_VALUE"""),FALSE)</f>
        <v>0</v>
      </c>
      <c r="W569" s="3" t="str">
        <f>IFERROR(__xludf.DUMMYFUNCTION("""COMPUTED_VALUE"""),"Delivery")</f>
        <v>Delivery</v>
      </c>
      <c r="X569" s="3" t="str">
        <f>IFERROR(__xludf.DUMMYFUNCTION("""COMPUTED_VALUE"""),"Investment")</f>
        <v>Investment</v>
      </c>
      <c r="Y569" s="3"/>
      <c r="Z569" s="3" t="str">
        <f>IFERROR(__xludf.DUMMYFUNCTION("""COMPUTED_VALUE"""),"Enterprise Digital Transformation - BCM &amp; AWM")</f>
        <v>Enterprise Digital Transformation - BCM &amp; AWM</v>
      </c>
      <c r="AA569" s="3" t="b">
        <f>IFERROR(__xludf.DUMMYFUNCTION("""COMPUTED_VALUE"""),FALSE)</f>
        <v>0</v>
      </c>
    </row>
    <row r="570">
      <c r="A570" s="11">
        <f>IFERROR(__xludf.DUMMYFUNCTION("""COMPUTED_VALUE"""),1.00633763E8)</f>
        <v>100633763</v>
      </c>
      <c r="B570" s="3" t="str">
        <f>IFERROR(__xludf.DUMMYFUNCTION("""COMPUTED_VALUE"""),"Romit Dey")</f>
        <v>Romit Dey</v>
      </c>
      <c r="C570" s="3" t="str">
        <f>IFERROR(__xludf.DUMMYFUNCTION("""COMPUTED_VALUE"""),"Romit  Dey")</f>
        <v>Romit  Dey</v>
      </c>
      <c r="D570" s="3" t="str">
        <f>IFERROR(__xludf.DUMMYFUNCTION("""COMPUTED_VALUE"""),"Dey, Romit")</f>
        <v>Dey, Romit</v>
      </c>
      <c r="E570" s="3" t="str">
        <f>IFERROR(__xludf.DUMMYFUNCTION("""COMPUTED_VALUE"""),"Active")</f>
        <v>Active</v>
      </c>
      <c r="F570" s="3" t="str">
        <f>IFERROR(__xludf.DUMMYFUNCTION("""COMPUTED_VALUE"""),"romit.dey@pwc.com")</f>
        <v>romit.dey@pwc.com</v>
      </c>
      <c r="G570" s="3" t="str">
        <f>IFERROR(__xludf.DUMMYFUNCTION("""COMPUTED_VALUE"""),"Customer")</f>
        <v>Customer</v>
      </c>
      <c r="H570" s="3" t="str">
        <f>IFERROR(__xludf.DUMMYFUNCTION("""COMPUTED_VALUE"""),"TMT X-Sector")</f>
        <v>TMT X-Sector</v>
      </c>
      <c r="I570" s="3" t="str">
        <f>IFERROR(__xludf.DUMMYFUNCTION("""COMPUTED_VALUE"""),"Customer - Sales")</f>
        <v>Customer - Sales</v>
      </c>
      <c r="J570" s="3" t="str">
        <f>IFERROR(__xludf.DUMMYFUNCTION("""COMPUTED_VALUE"""),"Partner")</f>
        <v>Partner</v>
      </c>
      <c r="K570" s="12">
        <f>IFERROR(__xludf.DUMMYFUNCTION("""COMPUTED_VALUE"""),39601.0)</f>
        <v>39601</v>
      </c>
      <c r="L570" s="3" t="str">
        <f>IFERROR(__xludf.DUMMYFUNCTION("""COMPUTED_VALUE"""),"San Jose")</f>
        <v>San Jose</v>
      </c>
      <c r="M570" s="3" t="str">
        <f>IFERROR(__xludf.DUMMYFUNCTION("""COMPUTED_VALUE"""),"San Jose - 488 Almaden Boulevard")</f>
        <v>San Jose - 488 Almaden Boulevard</v>
      </c>
      <c r="N570" s="3" t="b">
        <f>IFERROR(__xludf.DUMMYFUNCTION("""COMPUTED_VALUE"""),FALSE)</f>
        <v>0</v>
      </c>
      <c r="O570" s="3" t="str">
        <f>IFERROR(__xludf.DUMMYFUNCTION("""COMPUTED_VALUE"""),"george.korizis@pwc.com")</f>
        <v>george.korizis@pwc.com</v>
      </c>
      <c r="P570" s="3" t="str">
        <f>IFERROR(__xludf.DUMMYFUNCTION("""COMPUTED_VALUE"""),"No")</f>
        <v>No</v>
      </c>
      <c r="Q570" s="3" t="b">
        <f>IFERROR(__xludf.DUMMYFUNCTION("""COMPUTED_VALUE"""),FALSE)</f>
        <v>0</v>
      </c>
      <c r="R570" s="3"/>
      <c r="S570" s="3"/>
      <c r="T570" s="3" t="b">
        <f>IFERROR(__xludf.DUMMYFUNCTION("""COMPUTED_VALUE"""),TRUE)</f>
        <v>1</v>
      </c>
      <c r="U570" s="3" t="b">
        <f>IFERROR(__xludf.DUMMYFUNCTION("""COMPUTED_VALUE"""),FALSE)</f>
        <v>0</v>
      </c>
      <c r="V570" s="3" t="b">
        <f>IFERROR(__xludf.DUMMYFUNCTION("""COMPUTED_VALUE"""),FALSE)</f>
        <v>0</v>
      </c>
      <c r="W570" s="3" t="str">
        <f>IFERROR(__xludf.DUMMYFUNCTION("""COMPUTED_VALUE"""),"Delivery")</f>
        <v>Delivery</v>
      </c>
      <c r="X570" s="3"/>
      <c r="Y570" s="3" t="str">
        <f>IFERROR(__xludf.DUMMYFUNCTION("""COMPUTED_VALUE"""),"Rainmaker")</f>
        <v>Rainmaker</v>
      </c>
      <c r="Z570" s="3" t="str">
        <f>IFERROR(__xludf.DUMMYFUNCTION("""COMPUTED_VALUE"""),"Commercial / CRM Transformation - FS &amp; TMT")</f>
        <v>Commercial / CRM Transformation - FS &amp; TMT</v>
      </c>
      <c r="AA570" s="3" t="b">
        <f>IFERROR(__xludf.DUMMYFUNCTION("""COMPUTED_VALUE"""),FALSE)</f>
        <v>0</v>
      </c>
    </row>
    <row r="571">
      <c r="A571" s="11">
        <f>IFERROR(__xludf.DUMMYFUNCTION("""COMPUTED_VALUE"""),1.00612746E8)</f>
        <v>100612746</v>
      </c>
      <c r="B571" s="3" t="str">
        <f>IFERROR(__xludf.DUMMYFUNCTION("""COMPUTED_VALUE"""),"Ron Haas")</f>
        <v>Ron Haas</v>
      </c>
      <c r="C571" s="3" t="str">
        <f>IFERROR(__xludf.DUMMYFUNCTION("""COMPUTED_VALUE"""),"Ronald David Haas")</f>
        <v>Ronald David Haas</v>
      </c>
      <c r="D571" s="3" t="str">
        <f>IFERROR(__xludf.DUMMYFUNCTION("""COMPUTED_VALUE"""),"Haas, Ronald David")</f>
        <v>Haas, Ronald David</v>
      </c>
      <c r="E571" s="3" t="str">
        <f>IFERROR(__xludf.DUMMYFUNCTION("""COMPUTED_VALUE"""),"Active")</f>
        <v>Active</v>
      </c>
      <c r="F571" s="3" t="str">
        <f>IFERROR(__xludf.DUMMYFUNCTION("""COMPUTED_VALUE"""),"ron.haas@pwc.com")</f>
        <v>ron.haas@pwc.com</v>
      </c>
      <c r="G571" s="3" t="str">
        <f>IFERROR(__xludf.DUMMYFUNCTION("""COMPUTED_VALUE"""),"Customer")</f>
        <v>Customer</v>
      </c>
      <c r="H571" s="3" t="str">
        <f>IFERROR(__xludf.DUMMYFUNCTION("""COMPUTED_VALUE"""),"TMT X-Sector")</f>
        <v>TMT X-Sector</v>
      </c>
      <c r="I571" s="3" t="str">
        <f>IFERROR(__xludf.DUMMYFUNCTION("""COMPUTED_VALUE"""),"Customer - Sales")</f>
        <v>Customer - Sales</v>
      </c>
      <c r="J571" s="3" t="str">
        <f>IFERROR(__xludf.DUMMYFUNCTION("""COMPUTED_VALUE"""),"Partner")</f>
        <v>Partner</v>
      </c>
      <c r="K571" s="12">
        <f>IFERROR(__xludf.DUMMYFUNCTION("""COMPUTED_VALUE"""),37284.0)</f>
        <v>37284</v>
      </c>
      <c r="L571" s="3" t="str">
        <f>IFERROR(__xludf.DUMMYFUNCTION("""COMPUTED_VALUE"""),"Dallas")</f>
        <v>Dallas</v>
      </c>
      <c r="M571" s="3" t="str">
        <f>IFERROR(__xludf.DUMMYFUNCTION("""COMPUTED_VALUE"""),"Dallas - 2121 North Pearl Street")</f>
        <v>Dallas - 2121 North Pearl Street</v>
      </c>
      <c r="N571" s="3" t="b">
        <f>IFERROR(__xludf.DUMMYFUNCTION("""COMPUTED_VALUE"""),FALSE)</f>
        <v>0</v>
      </c>
      <c r="O571" s="3" t="str">
        <f>IFERROR(__xludf.DUMMYFUNCTION("""COMPUTED_VALUE"""),"george.korizis@pwc.com")</f>
        <v>george.korizis@pwc.com</v>
      </c>
      <c r="P571" s="3" t="str">
        <f>IFERROR(__xludf.DUMMYFUNCTION("""COMPUTED_VALUE"""),"No")</f>
        <v>No</v>
      </c>
      <c r="Q571" s="3" t="b">
        <f>IFERROR(__xludf.DUMMYFUNCTION("""COMPUTED_VALUE"""),TRUE)</f>
        <v>1</v>
      </c>
      <c r="R571" s="3" t="str">
        <f>IFERROR(__xludf.DUMMYFUNCTION("""COMPUTED_VALUE"""),"LCP Low")</f>
        <v>LCP Low</v>
      </c>
      <c r="S571" s="3"/>
      <c r="T571" s="3" t="b">
        <f>IFERROR(__xludf.DUMMYFUNCTION("""COMPUTED_VALUE"""),FALSE)</f>
        <v>0</v>
      </c>
      <c r="U571" s="3" t="b">
        <f>IFERROR(__xludf.DUMMYFUNCTION("""COMPUTED_VALUE"""),FALSE)</f>
        <v>0</v>
      </c>
      <c r="V571" s="3" t="b">
        <f>IFERROR(__xludf.DUMMYFUNCTION("""COMPUTED_VALUE"""),FALSE)</f>
        <v>0</v>
      </c>
      <c r="W571" s="3" t="str">
        <f>IFERROR(__xludf.DUMMYFUNCTION("""COMPUTED_VALUE"""),"LCP")</f>
        <v>LCP</v>
      </c>
      <c r="X571" s="3"/>
      <c r="Y571" s="3" t="str">
        <f>IFERROR(__xludf.DUMMYFUNCTION("""COMPUTED_VALUE"""),"GEP - Low")</f>
        <v>GEP - Low</v>
      </c>
      <c r="Z571" s="3" t="str">
        <f>IFERROR(__xludf.DUMMYFUNCTION("""COMPUTED_VALUE"""),"Not Assigned")</f>
        <v>Not Assigned</v>
      </c>
      <c r="AA571" s="3" t="b">
        <f>IFERROR(__xludf.DUMMYFUNCTION("""COMPUTED_VALUE"""),FALSE)</f>
        <v>0</v>
      </c>
    </row>
    <row r="572">
      <c r="A572" s="11">
        <f>IFERROR(__xludf.DUMMYFUNCTION("""COMPUTED_VALUE"""),1.00599107E8)</f>
        <v>100599107</v>
      </c>
      <c r="B572" s="3" t="str">
        <f>IFERROR(__xludf.DUMMYFUNCTION("""COMPUTED_VALUE"""),"Ron Kinghorn")</f>
        <v>Ron Kinghorn</v>
      </c>
      <c r="C572" s="3" t="str">
        <f>IFERROR(__xludf.DUMMYFUNCTION("""COMPUTED_VALUE"""),"Ronald A Kinghorn")</f>
        <v>Ronald A Kinghorn</v>
      </c>
      <c r="D572" s="3" t="str">
        <f>IFERROR(__xludf.DUMMYFUNCTION("""COMPUTED_VALUE"""),"Kinghorn, Ronald A")</f>
        <v>Kinghorn, Ronald A</v>
      </c>
      <c r="E572" s="3" t="str">
        <f>IFERROR(__xludf.DUMMYFUNCTION("""COMPUTED_VALUE"""),"Active")</f>
        <v>Active</v>
      </c>
      <c r="F572" s="3" t="str">
        <f>IFERROR(__xludf.DUMMYFUNCTION("""COMPUTED_VALUE"""),"ron.kinghorn@pwc.com")</f>
        <v>ron.kinghorn@pwc.com</v>
      </c>
      <c r="G572" s="3" t="str">
        <f>IFERROR(__xludf.DUMMYFUNCTION("""COMPUTED_VALUE"""),"ESV")</f>
        <v>ESV</v>
      </c>
      <c r="H572" s="3" t="str">
        <f>IFERROR(__xludf.DUMMYFUNCTION("""COMPUTED_VALUE"""),"CM X-Sector")</f>
        <v>CM X-Sector</v>
      </c>
      <c r="I572" s="3" t="str">
        <f>IFERROR(__xludf.DUMMYFUNCTION("""COMPUTED_VALUE"""),"ESV - ESG")</f>
        <v>ESV - ESG</v>
      </c>
      <c r="J572" s="3" t="str">
        <f>IFERROR(__xludf.DUMMYFUNCTION("""COMPUTED_VALUE"""),"Partner")</f>
        <v>Partner</v>
      </c>
      <c r="K572" s="12">
        <f>IFERROR(__xludf.DUMMYFUNCTION("""COMPUTED_VALUE"""),34169.0)</f>
        <v>34169</v>
      </c>
      <c r="L572" s="3" t="str">
        <f>IFERROR(__xludf.DUMMYFUNCTION("""COMPUTED_VALUE"""),"Boston")</f>
        <v>Boston</v>
      </c>
      <c r="M572" s="3" t="str">
        <f>IFERROR(__xludf.DUMMYFUNCTION("""COMPUTED_VALUE"""),"Boston - 101 Seaport Boulevard")</f>
        <v>Boston - 101 Seaport Boulevard</v>
      </c>
      <c r="N572" s="3" t="b">
        <f>IFERROR(__xludf.DUMMYFUNCTION("""COMPUTED_VALUE"""),FALSE)</f>
        <v>0</v>
      </c>
      <c r="O572" s="3" t="str">
        <f>IFERROR(__xludf.DUMMYFUNCTION("""COMPUTED_VALUE"""),"sundar.subramanian@pwc.com")</f>
        <v>sundar.subramanian@pwc.com</v>
      </c>
      <c r="P572" s="3" t="str">
        <f>IFERROR(__xludf.DUMMYFUNCTION("""COMPUTED_VALUE"""),"No")</f>
        <v>No</v>
      </c>
      <c r="Q572" s="3" t="b">
        <f>IFERROR(__xludf.DUMMYFUNCTION("""COMPUTED_VALUE"""),TRUE)</f>
        <v>1</v>
      </c>
      <c r="R572" s="3" t="str">
        <f>IFERROR(__xludf.DUMMYFUNCTION("""COMPUTED_VALUE"""),"LCP High")</f>
        <v>LCP High</v>
      </c>
      <c r="S572" s="3"/>
      <c r="T572" s="3" t="b">
        <f>IFERROR(__xludf.DUMMYFUNCTION("""COMPUTED_VALUE"""),FALSE)</f>
        <v>0</v>
      </c>
      <c r="U572" s="3" t="b">
        <f>IFERROR(__xludf.DUMMYFUNCTION("""COMPUTED_VALUE"""),FALSE)</f>
        <v>0</v>
      </c>
      <c r="V572" s="3" t="b">
        <f>IFERROR(__xludf.DUMMYFUNCTION("""COMPUTED_VALUE"""),FALSE)</f>
        <v>0</v>
      </c>
      <c r="W572" s="3" t="str">
        <f>IFERROR(__xludf.DUMMYFUNCTION("""COMPUTED_VALUE"""),"LCP")</f>
        <v>LCP</v>
      </c>
      <c r="X572" s="3"/>
      <c r="Y572" s="3" t="str">
        <f>IFERROR(__xludf.DUMMYFUNCTION("""COMPUTED_VALUE"""),"GEP - High")</f>
        <v>GEP - High</v>
      </c>
      <c r="Z572" s="3" t="str">
        <f>IFERROR(__xludf.DUMMYFUNCTION("""COMPUTED_VALUE"""),"ESG")</f>
        <v>ESG</v>
      </c>
      <c r="AA572" s="3" t="b">
        <f>IFERROR(__xludf.DUMMYFUNCTION("""COMPUTED_VALUE"""),TRUE)</f>
        <v>1</v>
      </c>
    </row>
    <row r="573">
      <c r="A573" s="11">
        <f>IFERROR(__xludf.DUMMYFUNCTION("""COMPUTED_VALUE"""),1.00587799E8)</f>
        <v>100587799</v>
      </c>
      <c r="B573" s="3" t="str">
        <f>IFERROR(__xludf.DUMMYFUNCTION("""COMPUTED_VALUE"""),"Ron Klein")</f>
        <v>Ron Klein</v>
      </c>
      <c r="C573" s="3" t="str">
        <f>IFERROR(__xludf.DUMMYFUNCTION("""COMPUTED_VALUE"""),"Ron  Klein")</f>
        <v>Ron  Klein</v>
      </c>
      <c r="D573" s="3" t="str">
        <f>IFERROR(__xludf.DUMMYFUNCTION("""COMPUTED_VALUE"""),"Klein, Ron")</f>
        <v>Klein, Ron</v>
      </c>
      <c r="E573" s="3" t="str">
        <f>IFERROR(__xludf.DUMMYFUNCTION("""COMPUTED_VALUE"""),"Active")</f>
        <v>Active</v>
      </c>
      <c r="F573" s="3" t="str">
        <f>IFERROR(__xludf.DUMMYFUNCTION("""COMPUTED_VALUE"""),"ron.klein@pwc.com")</f>
        <v>ron.klein@pwc.com</v>
      </c>
      <c r="G573" s="3" t="str">
        <f>IFERROR(__xludf.DUMMYFUNCTION("""COMPUTED_VALUE"""),"Ops")</f>
        <v>Ops</v>
      </c>
      <c r="H573" s="3" t="str">
        <f>IFERROR(__xludf.DUMMYFUNCTION("""COMPUTED_VALUE"""),"CM X-Sector")</f>
        <v>CM X-Sector</v>
      </c>
      <c r="I573" s="3" t="str">
        <f>IFERROR(__xludf.DUMMYFUNCTION("""COMPUTED_VALUE"""),"Ops - Org Strategy Strategy &amp; Solutions (OSS)")</f>
        <v>Ops - Org Strategy Strategy &amp; Solutions (OSS)</v>
      </c>
      <c r="J573" s="3" t="str">
        <f>IFERROR(__xludf.DUMMYFUNCTION("""COMPUTED_VALUE"""),"Partner")</f>
        <v>Partner</v>
      </c>
      <c r="K573" s="12">
        <f>IFERROR(__xludf.DUMMYFUNCTION("""COMPUTED_VALUE"""),40798.0)</f>
        <v>40798</v>
      </c>
      <c r="L573" s="3" t="str">
        <f>IFERROR(__xludf.DUMMYFUNCTION("""COMPUTED_VALUE"""),"New York")</f>
        <v>New York</v>
      </c>
      <c r="M573" s="3" t="str">
        <f>IFERROR(__xludf.DUMMYFUNCTION("""COMPUTED_VALUE"""),"New York - 300 Madison Avenue")</f>
        <v>New York - 300 Madison Avenue</v>
      </c>
      <c r="N573" s="3" t="b">
        <f>IFERROR(__xludf.DUMMYFUNCTION("""COMPUTED_VALUE"""),FALSE)</f>
        <v>0</v>
      </c>
      <c r="O573" s="3" t="str">
        <f>IFERROR(__xludf.DUMMYFUNCTION("""COMPUTED_VALUE"""),"matthew.r.comte@pwc.com")</f>
        <v>matthew.r.comte@pwc.com</v>
      </c>
      <c r="P573" s="3" t="str">
        <f>IFERROR(__xludf.DUMMYFUNCTION("""COMPUTED_VALUE"""),"No")</f>
        <v>No</v>
      </c>
      <c r="Q573" s="3" t="b">
        <f>IFERROR(__xludf.DUMMYFUNCTION("""COMPUTED_VALUE"""),FALSE)</f>
        <v>0</v>
      </c>
      <c r="R573" s="3"/>
      <c r="S573" s="3"/>
      <c r="T573" s="3" t="b">
        <f>IFERROR(__xludf.DUMMYFUNCTION("""COMPUTED_VALUE"""),FALSE)</f>
        <v>0</v>
      </c>
      <c r="U573" s="3" t="b">
        <f>IFERROR(__xludf.DUMMYFUNCTION("""COMPUTED_VALUE"""),TRUE)</f>
        <v>1</v>
      </c>
      <c r="V573" s="3" t="b">
        <f>IFERROR(__xludf.DUMMYFUNCTION("""COMPUTED_VALUE"""),FALSE)</f>
        <v>0</v>
      </c>
      <c r="W573" s="3" t="str">
        <f>IFERROR(__xludf.DUMMYFUNCTION("""COMPUTED_VALUE"""),"Delivery")</f>
        <v>Delivery</v>
      </c>
      <c r="X573" s="3"/>
      <c r="Y573" s="3"/>
      <c r="Z573" s="3" t="str">
        <f>IFERROR(__xludf.DUMMYFUNCTION("""COMPUTED_VALUE"""),"CM Ops Transformation")</f>
        <v>CM Ops Transformation</v>
      </c>
      <c r="AA573" s="3" t="b">
        <f>IFERROR(__xludf.DUMMYFUNCTION("""COMPUTED_VALUE"""),FALSE)</f>
        <v>0</v>
      </c>
    </row>
    <row r="574">
      <c r="A574" s="11">
        <f>IFERROR(__xludf.DUMMYFUNCTION("""COMPUTED_VALUE"""),1.00700757E8)</f>
        <v>100700757</v>
      </c>
      <c r="B574" s="3" t="str">
        <f>IFERROR(__xludf.DUMMYFUNCTION("""COMPUTED_VALUE"""),"Ron Tamir")</f>
        <v>Ron Tamir</v>
      </c>
      <c r="C574" s="3" t="str">
        <f>IFERROR(__xludf.DUMMYFUNCTION("""COMPUTED_VALUE"""),"Ron  Tamir")</f>
        <v>Ron  Tamir</v>
      </c>
      <c r="D574" s="3" t="str">
        <f>IFERROR(__xludf.DUMMYFUNCTION("""COMPUTED_VALUE"""),"Tamir, Ron")</f>
        <v>Tamir, Ron</v>
      </c>
      <c r="E574" s="3" t="str">
        <f>IFERROR(__xludf.DUMMYFUNCTION("""COMPUTED_VALUE"""),"Active")</f>
        <v>Active</v>
      </c>
      <c r="F574" s="3" t="str">
        <f>IFERROR(__xludf.DUMMYFUNCTION("""COMPUTED_VALUE"""),"ron.tamir@pwc.com")</f>
        <v>ron.tamir@pwc.com</v>
      </c>
      <c r="G574" s="3" t="str">
        <f>IFERROR(__xludf.DUMMYFUNCTION("""COMPUTED_VALUE"""),"ESV")</f>
        <v>ESV</v>
      </c>
      <c r="H574" s="3" t="str">
        <f>IFERROR(__xludf.DUMMYFUNCTION("""COMPUTED_VALUE"""),"Banking and Capital Markets")</f>
        <v>Banking and Capital Markets</v>
      </c>
      <c r="I574" s="3" t="str">
        <f>IFERROR(__xludf.DUMMYFUNCTION("""COMPUTED_VALUE"""),"ESV - BCM")</f>
        <v>ESV - BCM</v>
      </c>
      <c r="J574" s="3" t="str">
        <f>IFERROR(__xludf.DUMMYFUNCTION("""COMPUTED_VALUE"""),"Partner")</f>
        <v>Partner</v>
      </c>
      <c r="K574" s="12">
        <f>IFERROR(__xludf.DUMMYFUNCTION("""COMPUTED_VALUE"""),43348.0)</f>
        <v>43348</v>
      </c>
      <c r="L574" s="3" t="str">
        <f>IFERROR(__xludf.DUMMYFUNCTION("""COMPUTED_VALUE"""),"New York")</f>
        <v>New York</v>
      </c>
      <c r="M574" s="3" t="str">
        <f>IFERROR(__xludf.DUMMYFUNCTION("""COMPUTED_VALUE"""),"New York - 300 Madison Avenue")</f>
        <v>New York - 300 Madison Avenue</v>
      </c>
      <c r="N574" s="3" t="b">
        <f>IFERROR(__xludf.DUMMYFUNCTION("""COMPUTED_VALUE"""),FALSE)</f>
        <v>0</v>
      </c>
      <c r="O574" s="3" t="str">
        <f>IFERROR(__xludf.DUMMYFUNCTION("""COMPUTED_VALUE"""),"sundar.subramanian@pwc.com")</f>
        <v>sundar.subramanian@pwc.com</v>
      </c>
      <c r="P574" s="3" t="str">
        <f>IFERROR(__xludf.DUMMYFUNCTION("""COMPUTED_VALUE"""),"No")</f>
        <v>No</v>
      </c>
      <c r="Q574" s="3" t="b">
        <f>IFERROR(__xludf.DUMMYFUNCTION("""COMPUTED_VALUE"""),FALSE)</f>
        <v>0</v>
      </c>
      <c r="R574" s="3"/>
      <c r="S574" s="3"/>
      <c r="T574" s="3" t="b">
        <f>IFERROR(__xludf.DUMMYFUNCTION("""COMPUTED_VALUE"""),FALSE)</f>
        <v>0</v>
      </c>
      <c r="U574" s="3" t="b">
        <f>IFERROR(__xludf.DUMMYFUNCTION("""COMPUTED_VALUE"""),TRUE)</f>
        <v>1</v>
      </c>
      <c r="V574" s="3" t="b">
        <f>IFERROR(__xludf.DUMMYFUNCTION("""COMPUTED_VALUE"""),FALSE)</f>
        <v>0</v>
      </c>
      <c r="W574" s="3" t="str">
        <f>IFERROR(__xludf.DUMMYFUNCTION("""COMPUTED_VALUE"""),"Delivery")</f>
        <v>Delivery</v>
      </c>
      <c r="X574" s="3"/>
      <c r="Y574" s="3"/>
      <c r="Z574" s="3" t="str">
        <f>IFERROR(__xludf.DUMMYFUNCTION("""COMPUTED_VALUE"""),"Enterprise Digital Transformation - BCM &amp; AWM")</f>
        <v>Enterprise Digital Transformation - BCM &amp; AWM</v>
      </c>
      <c r="AA574" s="3" t="b">
        <f>IFERROR(__xludf.DUMMYFUNCTION("""COMPUTED_VALUE"""),FALSE)</f>
        <v>0</v>
      </c>
    </row>
    <row r="575">
      <c r="A575" s="11">
        <f>IFERROR(__xludf.DUMMYFUNCTION("""COMPUTED_VALUE"""),1.00592873E8)</f>
        <v>100592873</v>
      </c>
      <c r="B575" s="3" t="str">
        <f>IFERROR(__xludf.DUMMYFUNCTION("""COMPUTED_VALUE"""),"Ronald Barlow")</f>
        <v>Ronald Barlow</v>
      </c>
      <c r="C575" s="3" t="str">
        <f>IFERROR(__xludf.DUMMYFUNCTION("""COMPUTED_VALUE"""),"Ronald Grant Barlow")</f>
        <v>Ronald Grant Barlow</v>
      </c>
      <c r="D575" s="3" t="str">
        <f>IFERROR(__xludf.DUMMYFUNCTION("""COMPUTED_VALUE"""),"Barlow, Ronald Grant")</f>
        <v>Barlow, Ronald Grant</v>
      </c>
      <c r="E575" s="3" t="str">
        <f>IFERROR(__xludf.DUMMYFUNCTION("""COMPUTED_VALUE"""),"Active")</f>
        <v>Active</v>
      </c>
      <c r="F575" s="3" t="str">
        <f>IFERROR(__xludf.DUMMYFUNCTION("""COMPUTED_VALUE"""),"ronald.g.barlow@pwc.com")</f>
        <v>ronald.g.barlow@pwc.com</v>
      </c>
      <c r="G575" s="3" t="str">
        <f>IFERROR(__xludf.DUMMYFUNCTION("""COMPUTED_VALUE"""),"Workforce")</f>
        <v>Workforce</v>
      </c>
      <c r="H575" s="3" t="str">
        <f>IFERROR(__xludf.DUMMYFUNCTION("""COMPUTED_VALUE"""),"IMA X-Sector")</f>
        <v>IMA X-Sector</v>
      </c>
      <c r="I575" s="3" t="str">
        <f>IFERROR(__xludf.DUMMYFUNCTION("""COMPUTED_VALUE"""),"Workforce - Rewards &amp; Well Being")</f>
        <v>Workforce - Rewards &amp; Well Being</v>
      </c>
      <c r="J575" s="3" t="str">
        <f>IFERROR(__xludf.DUMMYFUNCTION("""COMPUTED_VALUE"""),"Managing Director")</f>
        <v>Managing Director</v>
      </c>
      <c r="K575" s="12">
        <f>IFERROR(__xludf.DUMMYFUNCTION("""COMPUTED_VALUE"""),40609.0)</f>
        <v>40609</v>
      </c>
      <c r="L575" s="3" t="str">
        <f>IFERROR(__xludf.DUMMYFUNCTION("""COMPUTED_VALUE"""),"Chicago")</f>
        <v>Chicago</v>
      </c>
      <c r="M575" s="3" t="str">
        <f>IFERROR(__xludf.DUMMYFUNCTION("""COMPUTED_VALUE"""),"Chicago - One North Wacker Drive")</f>
        <v>Chicago - One North Wacker Drive</v>
      </c>
      <c r="N575" s="3" t="b">
        <f>IFERROR(__xludf.DUMMYFUNCTION("""COMPUTED_VALUE"""),FALSE)</f>
        <v>0</v>
      </c>
      <c r="O575" s="3" t="str">
        <f>IFERROR(__xludf.DUMMYFUNCTION("""COMPUTED_VALUE"""),"jack.abraham@pwc.com")</f>
        <v>jack.abraham@pwc.com</v>
      </c>
      <c r="P575" s="3" t="str">
        <f>IFERROR(__xludf.DUMMYFUNCTION("""COMPUTED_VALUE"""),"No")</f>
        <v>No</v>
      </c>
      <c r="Q575" s="3" t="b">
        <f>IFERROR(__xludf.DUMMYFUNCTION("""COMPUTED_VALUE"""),FALSE)</f>
        <v>0</v>
      </c>
      <c r="R575" s="3"/>
      <c r="S575" s="3"/>
      <c r="T575" s="3" t="b">
        <f>IFERROR(__xludf.DUMMYFUNCTION("""COMPUTED_VALUE"""),FALSE)</f>
        <v>0</v>
      </c>
      <c r="U575" s="3" t="b">
        <f>IFERROR(__xludf.DUMMYFUNCTION("""COMPUTED_VALUE"""),FALSE)</f>
        <v>0</v>
      </c>
      <c r="V575" s="3" t="b">
        <f>IFERROR(__xludf.DUMMYFUNCTION("""COMPUTED_VALUE"""),FALSE)</f>
        <v>0</v>
      </c>
      <c r="W575" s="3" t="str">
        <f>IFERROR(__xludf.DUMMYFUNCTION("""COMPUTED_VALUE"""),"#N/A")</f>
        <v>#N/A</v>
      </c>
      <c r="X575" s="3" t="str">
        <f>IFERROR(__xludf.DUMMYFUNCTION("""COMPUTED_VALUE"""),"#N/A")</f>
        <v>#N/A</v>
      </c>
      <c r="Y575" s="3" t="str">
        <f>IFERROR(__xludf.DUMMYFUNCTION("""COMPUTED_VALUE"""),"#N/A")</f>
        <v>#N/A</v>
      </c>
      <c r="Z575" s="3" t="str">
        <f>IFERROR(__xludf.DUMMYFUNCTION("""COMPUTED_VALUE"""),"Unknown")</f>
        <v>Unknown</v>
      </c>
      <c r="AA575" s="3" t="b">
        <f>IFERROR(__xludf.DUMMYFUNCTION("""COMPUTED_VALUE"""),FALSE)</f>
        <v>0</v>
      </c>
    </row>
    <row r="576">
      <c r="A576" s="11">
        <f>IFERROR(__xludf.DUMMYFUNCTION("""COMPUTED_VALUE"""),1.00586711E8)</f>
        <v>100586711</v>
      </c>
      <c r="B576" s="3" t="str">
        <f>IFERROR(__xludf.DUMMYFUNCTION("""COMPUTED_VALUE"""),"Ronald Otocki")</f>
        <v>Ronald Otocki</v>
      </c>
      <c r="C576" s="3" t="str">
        <f>IFERROR(__xludf.DUMMYFUNCTION("""COMPUTED_VALUE"""),"Ronald  Otocki")</f>
        <v>Ronald  Otocki</v>
      </c>
      <c r="D576" s="3" t="str">
        <f>IFERROR(__xludf.DUMMYFUNCTION("""COMPUTED_VALUE"""),"Otocki, Ronald")</f>
        <v>Otocki, Ronald</v>
      </c>
      <c r="E576" s="3" t="str">
        <f>IFERROR(__xludf.DUMMYFUNCTION("""COMPUTED_VALUE"""),"Active")</f>
        <v>Active</v>
      </c>
      <c r="F576" s="3" t="str">
        <f>IFERROR(__xludf.DUMMYFUNCTION("""COMPUTED_VALUE"""),"ron.otocki@pwc.com")</f>
        <v>ron.otocki@pwc.com</v>
      </c>
      <c r="G576" s="3" t="str">
        <f>IFERROR(__xludf.DUMMYFUNCTION("""COMPUTED_VALUE"""),"Customer")</f>
        <v>Customer</v>
      </c>
      <c r="H576" s="3" t="str">
        <f>IFERROR(__xludf.DUMMYFUNCTION("""COMPUTED_VALUE"""),"CM X-Sector")</f>
        <v>CM X-Sector</v>
      </c>
      <c r="I576" s="3" t="str">
        <f>IFERROR(__xludf.DUMMYFUNCTION("""COMPUTED_VALUE"""),"Customer - Pricing &amp; Profitability")</f>
        <v>Customer - Pricing &amp; Profitability</v>
      </c>
      <c r="J576" s="3" t="str">
        <f>IFERROR(__xludf.DUMMYFUNCTION("""COMPUTED_VALUE"""),"Partner")</f>
        <v>Partner</v>
      </c>
      <c r="K576" s="12">
        <f>IFERROR(__xludf.DUMMYFUNCTION("""COMPUTED_VALUE"""),40798.0)</f>
        <v>40798</v>
      </c>
      <c r="L576" s="3" t="str">
        <f>IFERROR(__xludf.DUMMYFUNCTION("""COMPUTED_VALUE"""),"Chicago")</f>
        <v>Chicago</v>
      </c>
      <c r="M576" s="3" t="str">
        <f>IFERROR(__xludf.DUMMYFUNCTION("""COMPUTED_VALUE"""),"Chicago - One North Wacker Drive")</f>
        <v>Chicago - One North Wacker Drive</v>
      </c>
      <c r="N576" s="3" t="b">
        <f>IFERROR(__xludf.DUMMYFUNCTION("""COMPUTED_VALUE"""),FALSE)</f>
        <v>0</v>
      </c>
      <c r="O576" s="3" t="str">
        <f>IFERROR(__xludf.DUMMYFUNCTION("""COMPUTED_VALUE"""),"george.korizis@pwc.com")</f>
        <v>george.korizis@pwc.com</v>
      </c>
      <c r="P576" s="3" t="str">
        <f>IFERROR(__xludf.DUMMYFUNCTION("""COMPUTED_VALUE"""),"No")</f>
        <v>No</v>
      </c>
      <c r="Q576" s="3" t="b">
        <f>IFERROR(__xludf.DUMMYFUNCTION("""COMPUTED_VALUE"""),FALSE)</f>
        <v>0</v>
      </c>
      <c r="R576" s="3"/>
      <c r="S576" s="3"/>
      <c r="T576" s="3" t="b">
        <f>IFERROR(__xludf.DUMMYFUNCTION("""COMPUTED_VALUE"""),FALSE)</f>
        <v>0</v>
      </c>
      <c r="U576" s="3" t="b">
        <f>IFERROR(__xludf.DUMMYFUNCTION("""COMPUTED_VALUE"""),TRUE)</f>
        <v>1</v>
      </c>
      <c r="V576" s="3" t="b">
        <f>IFERROR(__xludf.DUMMYFUNCTION("""COMPUTED_VALUE"""),FALSE)</f>
        <v>0</v>
      </c>
      <c r="W576" s="3" t="str">
        <f>IFERROR(__xludf.DUMMYFUNCTION("""COMPUTED_VALUE"""),"Delivery")</f>
        <v>Delivery</v>
      </c>
      <c r="X576" s="3"/>
      <c r="Y576" s="3"/>
      <c r="Z576" s="3" t="str">
        <f>IFERROR(__xludf.DUMMYFUNCTION("""COMPUTED_VALUE"""),"Commercial / CRM Transformation - FS &amp; TMT")</f>
        <v>Commercial / CRM Transformation - FS &amp; TMT</v>
      </c>
      <c r="AA576" s="3" t="b">
        <f>IFERROR(__xludf.DUMMYFUNCTION("""COMPUTED_VALUE"""),FALSE)</f>
        <v>0</v>
      </c>
    </row>
    <row r="577">
      <c r="A577" s="11">
        <f>IFERROR(__xludf.DUMMYFUNCTION("""COMPUTED_VALUE"""),1.01161639E8)</f>
        <v>101161639</v>
      </c>
      <c r="B577" s="3" t="str">
        <f>IFERROR(__xludf.DUMMYFUNCTION("""COMPUTED_VALUE"""),"Ronan Wisdom")</f>
        <v>Ronan Wisdom</v>
      </c>
      <c r="C577" s="3" t="str">
        <f>IFERROR(__xludf.DUMMYFUNCTION("""COMPUTED_VALUE"""),"Ronan  Wisdom")</f>
        <v>Ronan  Wisdom</v>
      </c>
      <c r="D577" s="3" t="str">
        <f>IFERROR(__xludf.DUMMYFUNCTION("""COMPUTED_VALUE"""),"Wisdom, Ronan")</f>
        <v>Wisdom, Ronan</v>
      </c>
      <c r="E577" s="3" t="str">
        <f>IFERROR(__xludf.DUMMYFUNCTION("""COMPUTED_VALUE"""),"Active")</f>
        <v>Active</v>
      </c>
      <c r="F577" s="3" t="str">
        <f>IFERROR(__xludf.DUMMYFUNCTION("""COMPUTED_VALUE"""),"ronan.wisdom@pwc.com")</f>
        <v>ronan.wisdom@pwc.com</v>
      </c>
      <c r="G577" s="3" t="str">
        <f>IFERROR(__xludf.DUMMYFUNCTION("""COMPUTED_VALUE"""),"ESV")</f>
        <v>ESV</v>
      </c>
      <c r="H577" s="3" t="str">
        <f>IFERROR(__xludf.DUMMYFUNCTION("""COMPUTED_VALUE"""),"Health Services")</f>
        <v>Health Services</v>
      </c>
      <c r="I577" s="3" t="str">
        <f>IFERROR(__xludf.DUMMYFUNCTION("""COMPUTED_VALUE"""),"ESV - Health Services")</f>
        <v>ESV - Health Services</v>
      </c>
      <c r="J577" s="3" t="str">
        <f>IFERROR(__xludf.DUMMYFUNCTION("""COMPUTED_VALUE"""),"Partner")</f>
        <v>Partner</v>
      </c>
      <c r="K577" s="12">
        <f>IFERROR(__xludf.DUMMYFUNCTION("""COMPUTED_VALUE"""),44531.0)</f>
        <v>44531</v>
      </c>
      <c r="L577" s="3" t="str">
        <f>IFERROR(__xludf.DUMMYFUNCTION("""COMPUTED_VALUE"""),"Washington")</f>
        <v>Washington</v>
      </c>
      <c r="M577" s="3" t="str">
        <f>IFERROR(__xludf.DUMMYFUNCTION("""COMPUTED_VALUE"""),"Washington DC - 655 New York Avenue")</f>
        <v>Washington DC - 655 New York Avenue</v>
      </c>
      <c r="N577" s="3" t="b">
        <f>IFERROR(__xludf.DUMMYFUNCTION("""COMPUTED_VALUE"""),FALSE)</f>
        <v>0</v>
      </c>
      <c r="O577" s="3" t="str">
        <f>IFERROR(__xludf.DUMMYFUNCTION("""COMPUTED_VALUE"""),"sundar.subramanian@pwc.com")</f>
        <v>sundar.subramanian@pwc.com</v>
      </c>
      <c r="P577" s="3" t="str">
        <f>IFERROR(__xludf.DUMMYFUNCTION("""COMPUTED_VALUE"""),"FY22")</f>
        <v>FY22</v>
      </c>
      <c r="Q577" s="3" t="b">
        <f>IFERROR(__xludf.DUMMYFUNCTION("""COMPUTED_VALUE"""),FALSE)</f>
        <v>0</v>
      </c>
      <c r="R577" s="3"/>
      <c r="S577" s="3"/>
      <c r="T577" s="3" t="b">
        <f>IFERROR(__xludf.DUMMYFUNCTION("""COMPUTED_VALUE"""),FALSE)</f>
        <v>0</v>
      </c>
      <c r="U577" s="3" t="b">
        <f>IFERROR(__xludf.DUMMYFUNCTION("""COMPUTED_VALUE"""),TRUE)</f>
        <v>1</v>
      </c>
      <c r="V577" s="3" t="b">
        <f>IFERROR(__xludf.DUMMYFUNCTION("""COMPUTED_VALUE"""),FALSE)</f>
        <v>0</v>
      </c>
      <c r="W577" s="3" t="str">
        <f>IFERROR(__xludf.DUMMYFUNCTION("""COMPUTED_VALUE"""),"Catalyst")</f>
        <v>Catalyst</v>
      </c>
      <c r="X577" s="3"/>
      <c r="Y577" s="3" t="str">
        <f>IFERROR(__xludf.DUMMYFUNCTION("""COMPUTED_VALUE"""),"FY22")</f>
        <v>FY22</v>
      </c>
      <c r="Z577" s="3" t="str">
        <f>IFERROR(__xludf.DUMMYFUNCTION("""COMPUTED_VALUE"""),"Enterprise Digital Transformation - PLS")</f>
        <v>Enterprise Digital Transformation - PLS</v>
      </c>
      <c r="AA577" s="3" t="b">
        <f>IFERROR(__xludf.DUMMYFUNCTION("""COMPUTED_VALUE"""),FALSE)</f>
        <v>0</v>
      </c>
    </row>
    <row r="578">
      <c r="A578" s="11">
        <f>IFERROR(__xludf.DUMMYFUNCTION("""COMPUTED_VALUE"""),1.00652666E8)</f>
        <v>100652666</v>
      </c>
      <c r="B578" s="3" t="str">
        <f>IFERROR(__xludf.DUMMYFUNCTION("""COMPUTED_VALUE"""),"Ruchita Kewalramani")</f>
        <v>Ruchita Kewalramani</v>
      </c>
      <c r="C578" s="3" t="str">
        <f>IFERROR(__xludf.DUMMYFUNCTION("""COMPUTED_VALUE"""),"Ruchita  Kewalramani")</f>
        <v>Ruchita  Kewalramani</v>
      </c>
      <c r="D578" s="3" t="str">
        <f>IFERROR(__xludf.DUMMYFUNCTION("""COMPUTED_VALUE"""),"Kewalramani, Ruchita")</f>
        <v>Kewalramani, Ruchita</v>
      </c>
      <c r="E578" s="3" t="str">
        <f>IFERROR(__xludf.DUMMYFUNCTION("""COMPUTED_VALUE"""),"Active")</f>
        <v>Active</v>
      </c>
      <c r="F578" s="3" t="str">
        <f>IFERROR(__xludf.DUMMYFUNCTION("""COMPUTED_VALUE"""),"ruchita.kewalramani@pwc.com")</f>
        <v>ruchita.kewalramani@pwc.com</v>
      </c>
      <c r="G578" s="3" t="str">
        <f>IFERROR(__xludf.DUMMYFUNCTION("""COMPUTED_VALUE"""),"ESV")</f>
        <v>ESV</v>
      </c>
      <c r="H578" s="3" t="str">
        <f>IFERROR(__xludf.DUMMYFUNCTION("""COMPUTED_VALUE"""),"Health Services")</f>
        <v>Health Services</v>
      </c>
      <c r="I578" s="3" t="str">
        <f>IFERROR(__xludf.DUMMYFUNCTION("""COMPUTED_VALUE"""),"ESV - Health Services")</f>
        <v>ESV - Health Services</v>
      </c>
      <c r="J578" s="3" t="str">
        <f>IFERROR(__xludf.DUMMYFUNCTION("""COMPUTED_VALUE"""),"Managing Director")</f>
        <v>Managing Director</v>
      </c>
      <c r="K578" s="12">
        <f>IFERROR(__xludf.DUMMYFUNCTION("""COMPUTED_VALUE"""),42186.0)</f>
        <v>42186</v>
      </c>
      <c r="L578" s="3" t="str">
        <f>IFERROR(__xludf.DUMMYFUNCTION("""COMPUTED_VALUE"""),"New York")</f>
        <v>New York</v>
      </c>
      <c r="M578" s="3" t="str">
        <f>IFERROR(__xludf.DUMMYFUNCTION("""COMPUTED_VALUE"""),"New York - 300 Madison Avenue")</f>
        <v>New York - 300 Madison Avenue</v>
      </c>
      <c r="N578" s="3" t="b">
        <f>IFERROR(__xludf.DUMMYFUNCTION("""COMPUTED_VALUE"""),FALSE)</f>
        <v>0</v>
      </c>
      <c r="O578" s="3" t="str">
        <f>IFERROR(__xludf.DUMMYFUNCTION("""COMPUTED_VALUE"""),"jay.godla@pwc.com")</f>
        <v>jay.godla@pwc.com</v>
      </c>
      <c r="P578" s="3" t="str">
        <f>IFERROR(__xludf.DUMMYFUNCTION("""COMPUTED_VALUE"""),"No")</f>
        <v>No</v>
      </c>
      <c r="Q578" s="3" t="b">
        <f>IFERROR(__xludf.DUMMYFUNCTION("""COMPUTED_VALUE"""),FALSE)</f>
        <v>0</v>
      </c>
      <c r="R578" s="3"/>
      <c r="S578" s="3"/>
      <c r="T578" s="3" t="b">
        <f>IFERROR(__xludf.DUMMYFUNCTION("""COMPUTED_VALUE"""),FALSE)</f>
        <v>0</v>
      </c>
      <c r="U578" s="3" t="b">
        <f>IFERROR(__xludf.DUMMYFUNCTION("""COMPUTED_VALUE"""),TRUE)</f>
        <v>1</v>
      </c>
      <c r="V578" s="3" t="b">
        <f>IFERROR(__xludf.DUMMYFUNCTION("""COMPUTED_VALUE"""),FALSE)</f>
        <v>0</v>
      </c>
      <c r="W578" s="3" t="str">
        <f>IFERROR(__xludf.DUMMYFUNCTION("""COMPUTED_VALUE"""),"Delivery")</f>
        <v>Delivery</v>
      </c>
      <c r="X578" s="3"/>
      <c r="Y578" s="3"/>
      <c r="Z578" s="3" t="str">
        <f>IFERROR(__xludf.DUMMYFUNCTION("""COMPUTED_VALUE"""),"Enterprise Digital Transformation - Health Services")</f>
        <v>Enterprise Digital Transformation - Health Services</v>
      </c>
      <c r="AA578" s="3" t="b">
        <f>IFERROR(__xludf.DUMMYFUNCTION("""COMPUTED_VALUE"""),FALSE)</f>
        <v>0</v>
      </c>
    </row>
    <row r="579">
      <c r="A579" s="11">
        <f>IFERROR(__xludf.DUMMYFUNCTION("""COMPUTED_VALUE"""),1.00604298E8)</f>
        <v>100604298</v>
      </c>
      <c r="B579" s="3" t="str">
        <f>IFERROR(__xludf.DUMMYFUNCTION("""COMPUTED_VALUE"""),"Rupinder Gill")</f>
        <v>Rupinder Gill</v>
      </c>
      <c r="C579" s="3" t="str">
        <f>IFERROR(__xludf.DUMMYFUNCTION("""COMPUTED_VALUE"""),"Rupinder  Gill")</f>
        <v>Rupinder  Gill</v>
      </c>
      <c r="D579" s="3" t="str">
        <f>IFERROR(__xludf.DUMMYFUNCTION("""COMPUTED_VALUE"""),"Gill, Rupinder")</f>
        <v>Gill, Rupinder</v>
      </c>
      <c r="E579" s="3" t="str">
        <f>IFERROR(__xludf.DUMMYFUNCTION("""COMPUTED_VALUE"""),"Active")</f>
        <v>Active</v>
      </c>
      <c r="F579" s="3" t="str">
        <f>IFERROR(__xludf.DUMMYFUNCTION("""COMPUTED_VALUE"""),"rupinder.gill@pwc.com")</f>
        <v>rupinder.gill@pwc.com</v>
      </c>
      <c r="G579" s="3" t="str">
        <f>IFERROR(__xludf.DUMMYFUNCTION("""COMPUTED_VALUE"""),"Deals Transformation")</f>
        <v>Deals Transformation</v>
      </c>
      <c r="H579" s="3" t="str">
        <f>IFERROR(__xludf.DUMMYFUNCTION("""COMPUTED_VALUE"""),"TMT X-Sector")</f>
        <v>TMT X-Sector</v>
      </c>
      <c r="I579" s="3" t="str">
        <f>IFERROR(__xludf.DUMMYFUNCTION("""COMPUTED_VALUE"""),"DDV - ISD (Integration, Separation, Divestitures)")</f>
        <v>DDV - ISD (Integration, Separation, Divestitures)</v>
      </c>
      <c r="J579" s="3" t="str">
        <f>IFERROR(__xludf.DUMMYFUNCTION("""COMPUTED_VALUE"""),"Partner")</f>
        <v>Partner</v>
      </c>
      <c r="K579" s="12">
        <f>IFERROR(__xludf.DUMMYFUNCTION("""COMPUTED_VALUE"""),41323.0)</f>
        <v>41323</v>
      </c>
      <c r="L579" s="3" t="str">
        <f>IFERROR(__xludf.DUMMYFUNCTION("""COMPUTED_VALUE"""),"Dallas")</f>
        <v>Dallas</v>
      </c>
      <c r="M579" s="3" t="str">
        <f>IFERROR(__xludf.DUMMYFUNCTION("""COMPUTED_VALUE"""),"Dallas - 2121 North Pearl Street")</f>
        <v>Dallas - 2121 North Pearl Street</v>
      </c>
      <c r="N579" s="3" t="b">
        <f>IFERROR(__xludf.DUMMYFUNCTION("""COMPUTED_VALUE"""),FALSE)</f>
        <v>0</v>
      </c>
      <c r="O579" s="3" t="str">
        <f>IFERROR(__xludf.DUMMYFUNCTION("""COMPUTED_VALUE"""),"derek.b.townsend@pwc.com")</f>
        <v>derek.b.townsend@pwc.com</v>
      </c>
      <c r="P579" s="3" t="str">
        <f>IFERROR(__xludf.DUMMYFUNCTION("""COMPUTED_VALUE"""),"No")</f>
        <v>No</v>
      </c>
      <c r="Q579" s="3" t="b">
        <f>IFERROR(__xludf.DUMMYFUNCTION("""COMPUTED_VALUE"""),FALSE)</f>
        <v>0</v>
      </c>
      <c r="R579" s="3"/>
      <c r="S579" s="3"/>
      <c r="T579" s="3" t="b">
        <f>IFERROR(__xludf.DUMMYFUNCTION("""COMPUTED_VALUE"""),FALSE)</f>
        <v>0</v>
      </c>
      <c r="U579" s="3" t="b">
        <f>IFERROR(__xludf.DUMMYFUNCTION("""COMPUTED_VALUE"""),TRUE)</f>
        <v>1</v>
      </c>
      <c r="V579" s="3" t="b">
        <f>IFERROR(__xludf.DUMMYFUNCTION("""COMPUTED_VALUE"""),FALSE)</f>
        <v>0</v>
      </c>
      <c r="W579" s="3" t="str">
        <f>IFERROR(__xludf.DUMMYFUNCTION("""COMPUTED_VALUE"""),"Delivery")</f>
        <v>Delivery</v>
      </c>
      <c r="X579" s="3"/>
      <c r="Y579" s="3"/>
      <c r="Z579" s="3" t="str">
        <f>IFERROR(__xludf.DUMMYFUNCTION("""COMPUTED_VALUE"""),"Corporate M&amp;A Transformation - TMT")</f>
        <v>Corporate M&amp;A Transformation - TMT</v>
      </c>
      <c r="AA579" s="3" t="b">
        <f>IFERROR(__xludf.DUMMYFUNCTION("""COMPUTED_VALUE"""),FALSE)</f>
        <v>0</v>
      </c>
    </row>
    <row r="580">
      <c r="A580" s="11">
        <f>IFERROR(__xludf.DUMMYFUNCTION("""COMPUTED_VALUE"""),1.01164036E8)</f>
        <v>101164036</v>
      </c>
      <c r="B580" s="3" t="str">
        <f>IFERROR(__xludf.DUMMYFUNCTION("""COMPUTED_VALUE"""),"Russell Rasmus")</f>
        <v>Russell Rasmus</v>
      </c>
      <c r="C580" s="3" t="str">
        <f>IFERROR(__xludf.DUMMYFUNCTION("""COMPUTED_VALUE"""),"Russell  Rasmus")</f>
        <v>Russell  Rasmus</v>
      </c>
      <c r="D580" s="3" t="str">
        <f>IFERROR(__xludf.DUMMYFUNCTION("""COMPUTED_VALUE"""),"Rasmus, Russell")</f>
        <v>Rasmus, Russell</v>
      </c>
      <c r="E580" s="3" t="str">
        <f>IFERROR(__xludf.DUMMYFUNCTION("""COMPUTED_VALUE"""),"Active")</f>
        <v>Active</v>
      </c>
      <c r="F580" s="3" t="str">
        <f>IFERROR(__xludf.DUMMYFUNCTION("""COMPUTED_VALUE"""),"russell.r.rasmus@pwc.com")</f>
        <v>russell.r.rasmus@pwc.com</v>
      </c>
      <c r="G580" s="3" t="str">
        <f>IFERROR(__xludf.DUMMYFUNCTION("""COMPUTED_VALUE"""),"Ops")</f>
        <v>Ops</v>
      </c>
      <c r="H580" s="3" t="str">
        <f>IFERROR(__xludf.DUMMYFUNCTION("""COMPUTED_VALUE"""),"Manufacturing")</f>
        <v>Manufacturing</v>
      </c>
      <c r="I580" s="3" t="str">
        <f>IFERROR(__xludf.DUMMYFUNCTION("""COMPUTED_VALUE"""),"Ops - Product Development &amp; Manufacturing (PDM)")</f>
        <v>Ops - Product Development &amp; Manufacturing (PDM)</v>
      </c>
      <c r="J580" s="3" t="str">
        <f>IFERROR(__xludf.DUMMYFUNCTION("""COMPUTED_VALUE"""),"Partner")</f>
        <v>Partner</v>
      </c>
      <c r="K580" s="12">
        <f>IFERROR(__xludf.DUMMYFUNCTION("""COMPUTED_VALUE"""),44529.0)</f>
        <v>44529</v>
      </c>
      <c r="L580" s="3" t="str">
        <f>IFERROR(__xludf.DUMMYFUNCTION("""COMPUTED_VALUE"""),"Kansas City")</f>
        <v>Kansas City</v>
      </c>
      <c r="M580" s="3" t="str">
        <f>IFERROR(__xludf.DUMMYFUNCTION("""COMPUTED_VALUE"""),"Kansas City - 1100 Walnut Street")</f>
        <v>Kansas City - 1100 Walnut Street</v>
      </c>
      <c r="N580" s="3" t="b">
        <f>IFERROR(__xludf.DUMMYFUNCTION("""COMPUTED_VALUE"""),TRUE)</f>
        <v>1</v>
      </c>
      <c r="O580" s="3" t="str">
        <f>IFERROR(__xludf.DUMMYFUNCTION("""COMPUTED_VALUE"""),"matthew.r.comte@pwc.com")</f>
        <v>matthew.r.comte@pwc.com</v>
      </c>
      <c r="P580" s="3" t="str">
        <f>IFERROR(__xludf.DUMMYFUNCTION("""COMPUTED_VALUE"""),"FY22")</f>
        <v>FY22</v>
      </c>
      <c r="Q580" s="3" t="b">
        <f>IFERROR(__xludf.DUMMYFUNCTION("""COMPUTED_VALUE"""),FALSE)</f>
        <v>0</v>
      </c>
      <c r="R580" s="3"/>
      <c r="S580" s="3"/>
      <c r="T580" s="3" t="b">
        <f>IFERROR(__xludf.DUMMYFUNCTION("""COMPUTED_VALUE"""),FALSE)</f>
        <v>0</v>
      </c>
      <c r="U580" s="3" t="b">
        <f>IFERROR(__xludf.DUMMYFUNCTION("""COMPUTED_VALUE"""),TRUE)</f>
        <v>1</v>
      </c>
      <c r="V580" s="3" t="b">
        <f>IFERROR(__xludf.DUMMYFUNCTION("""COMPUTED_VALUE"""),FALSE)</f>
        <v>0</v>
      </c>
      <c r="W580" s="3" t="str">
        <f>IFERROR(__xludf.DUMMYFUNCTION("""COMPUTED_VALUE"""),"Catalyst")</f>
        <v>Catalyst</v>
      </c>
      <c r="X580" s="3"/>
      <c r="Y580" s="3" t="str">
        <f>IFERROR(__xludf.DUMMYFUNCTION("""COMPUTED_VALUE"""),"FY22")</f>
        <v>FY22</v>
      </c>
      <c r="Z580" s="3" t="str">
        <f>IFERROR(__xludf.DUMMYFUNCTION("""COMPUTED_VALUE"""),"EUM + Telecom Ops Transformation")</f>
        <v>EUM + Telecom Ops Transformation</v>
      </c>
      <c r="AA580" s="3" t="b">
        <f>IFERROR(__xludf.DUMMYFUNCTION("""COMPUTED_VALUE"""),FALSE)</f>
        <v>0</v>
      </c>
    </row>
    <row r="581">
      <c r="A581" s="11">
        <f>IFERROR(__xludf.DUMMYFUNCTION("""COMPUTED_VALUE"""),1.00587944E8)</f>
        <v>100587944</v>
      </c>
      <c r="B581" s="3" t="str">
        <f>IFERROR(__xludf.DUMMYFUNCTION("""COMPUTED_VALUE"""),"Ryan Hawk")</f>
        <v>Ryan Hawk</v>
      </c>
      <c r="C581" s="3" t="str">
        <f>IFERROR(__xludf.DUMMYFUNCTION("""COMPUTED_VALUE"""),"Ryan L Hawk")</f>
        <v>Ryan L Hawk</v>
      </c>
      <c r="D581" s="3" t="str">
        <f>IFERROR(__xludf.DUMMYFUNCTION("""COMPUTED_VALUE"""),"Hawk, Ryan L")</f>
        <v>Hawk, Ryan L</v>
      </c>
      <c r="E581" s="3" t="str">
        <f>IFERROR(__xludf.DUMMYFUNCTION("""COMPUTED_VALUE"""),"Active")</f>
        <v>Active</v>
      </c>
      <c r="F581" s="3" t="str">
        <f>IFERROR(__xludf.DUMMYFUNCTION("""COMPUTED_VALUE"""),"ryan.l.hawk@pwc.com")</f>
        <v>ryan.l.hawk@pwc.com</v>
      </c>
      <c r="G581" s="3" t="str">
        <f>IFERROR(__xludf.DUMMYFUNCTION("""COMPUTED_VALUE"""),"Ops")</f>
        <v>Ops</v>
      </c>
      <c r="H581" s="3" t="str">
        <f>IFERROR(__xludf.DUMMYFUNCTION("""COMPUTED_VALUE"""),"Manufacturing")</f>
        <v>Manufacturing</v>
      </c>
      <c r="I581" s="3" t="str">
        <f>IFERROR(__xludf.DUMMYFUNCTION("""COMPUTED_VALUE"""),"Ops - Product Development &amp; Manufacturing (PDM)")</f>
        <v>Ops - Product Development &amp; Manufacturing (PDM)</v>
      </c>
      <c r="J581" s="3" t="str">
        <f>IFERROR(__xludf.DUMMYFUNCTION("""COMPUTED_VALUE"""),"Partner")</f>
        <v>Partner</v>
      </c>
      <c r="K581" s="12">
        <f>IFERROR(__xludf.DUMMYFUNCTION("""COMPUTED_VALUE"""),37333.0)</f>
        <v>37333</v>
      </c>
      <c r="L581" s="3" t="str">
        <f>IFERROR(__xludf.DUMMYFUNCTION("""COMPUTED_VALUE"""),"Chicago")</f>
        <v>Chicago</v>
      </c>
      <c r="M581" s="3" t="str">
        <f>IFERROR(__xludf.DUMMYFUNCTION("""COMPUTED_VALUE"""),"Chicago - One North Wacker Drive")</f>
        <v>Chicago - One North Wacker Drive</v>
      </c>
      <c r="N581" s="3" t="b">
        <f>IFERROR(__xludf.DUMMYFUNCTION("""COMPUTED_VALUE"""),TRUE)</f>
        <v>1</v>
      </c>
      <c r="O581" s="3" t="str">
        <f>IFERROR(__xludf.DUMMYFUNCTION("""COMPUTED_VALUE"""),"matthew.r.comte@pwc.com")</f>
        <v>matthew.r.comte@pwc.com</v>
      </c>
      <c r="P581" s="3" t="str">
        <f>IFERROR(__xludf.DUMMYFUNCTION("""COMPUTED_VALUE"""),"No")</f>
        <v>No</v>
      </c>
      <c r="Q581" s="3" t="b">
        <f>IFERROR(__xludf.DUMMYFUNCTION("""COMPUTED_VALUE"""),TRUE)</f>
        <v>1</v>
      </c>
      <c r="R581" s="3" t="str">
        <f>IFERROR(__xludf.DUMMYFUNCTION("""COMPUTED_VALUE"""),"LCP Low")</f>
        <v>LCP Low</v>
      </c>
      <c r="S581" s="3"/>
      <c r="T581" s="3" t="b">
        <f>IFERROR(__xludf.DUMMYFUNCTION("""COMPUTED_VALUE"""),FALSE)</f>
        <v>0</v>
      </c>
      <c r="U581" s="3" t="b">
        <f>IFERROR(__xludf.DUMMYFUNCTION("""COMPUTED_VALUE"""),FALSE)</f>
        <v>0</v>
      </c>
      <c r="V581" s="3" t="b">
        <f>IFERROR(__xludf.DUMMYFUNCTION("""COMPUTED_VALUE"""),FALSE)</f>
        <v>0</v>
      </c>
      <c r="W581" s="3" t="str">
        <f>IFERROR(__xludf.DUMMYFUNCTION("""COMPUTED_VALUE"""),"LCP")</f>
        <v>LCP</v>
      </c>
      <c r="X581" s="3"/>
      <c r="Y581" s="3" t="str">
        <f>IFERROR(__xludf.DUMMYFUNCTION("""COMPUTED_VALUE"""),"GEP - Low")</f>
        <v>GEP - Low</v>
      </c>
      <c r="Z581" s="3" t="str">
        <f>IFERROR(__xludf.DUMMYFUNCTION("""COMPUTED_VALUE"""),"IP + Technology Ops Transformation")</f>
        <v>IP + Technology Ops Transformation</v>
      </c>
      <c r="AA581" s="3" t="b">
        <f>IFERROR(__xludf.DUMMYFUNCTION("""COMPUTED_VALUE"""),TRUE)</f>
        <v>1</v>
      </c>
    </row>
    <row r="582">
      <c r="A582" s="11">
        <f>IFERROR(__xludf.DUMMYFUNCTION("""COMPUTED_VALUE"""),1.00632579E8)</f>
        <v>100632579</v>
      </c>
      <c r="B582" s="3" t="str">
        <f>IFERROR(__xludf.DUMMYFUNCTION("""COMPUTED_VALUE"""),"Ryan Keefer")</f>
        <v>Ryan Keefer</v>
      </c>
      <c r="C582" s="3" t="str">
        <f>IFERROR(__xludf.DUMMYFUNCTION("""COMPUTED_VALUE"""),"Ryan  Keefer")</f>
        <v>Ryan  Keefer</v>
      </c>
      <c r="D582" s="3" t="str">
        <f>IFERROR(__xludf.DUMMYFUNCTION("""COMPUTED_VALUE"""),"Keefer, Ryan")</f>
        <v>Keefer, Ryan</v>
      </c>
      <c r="E582" s="3" t="str">
        <f>IFERROR(__xludf.DUMMYFUNCTION("""COMPUTED_VALUE"""),"Active")</f>
        <v>Active</v>
      </c>
      <c r="F582" s="3" t="str">
        <f>IFERROR(__xludf.DUMMYFUNCTION("""COMPUTED_VALUE"""),"ryan.keefer@pwc.com")</f>
        <v>ryan.keefer@pwc.com</v>
      </c>
      <c r="G582" s="3" t="str">
        <f>IFERROR(__xludf.DUMMYFUNCTION("""COMPUTED_VALUE"""),"Deals Transformation")</f>
        <v>Deals Transformation</v>
      </c>
      <c r="H582" s="3" t="str">
        <f>IFERROR(__xludf.DUMMYFUNCTION("""COMPUTED_VALUE"""),"TMT X-Sector")</f>
        <v>TMT X-Sector</v>
      </c>
      <c r="I582" s="3" t="str">
        <f>IFERROR(__xludf.DUMMYFUNCTION("""COMPUTED_VALUE"""),"DDV - ISD (Integration, Separation, Divestitures)")</f>
        <v>DDV - ISD (Integration, Separation, Divestitures)</v>
      </c>
      <c r="J582" s="3" t="str">
        <f>IFERROR(__xludf.DUMMYFUNCTION("""COMPUTED_VALUE"""),"Partner")</f>
        <v>Partner</v>
      </c>
      <c r="K582" s="12">
        <f>IFERROR(__xludf.DUMMYFUNCTION("""COMPUTED_VALUE"""),39285.0)</f>
        <v>39285</v>
      </c>
      <c r="L582" s="3" t="str">
        <f>IFERROR(__xludf.DUMMYFUNCTION("""COMPUTED_VALUE"""),"Los Angeles")</f>
        <v>Los Angeles</v>
      </c>
      <c r="M582" s="3" t="str">
        <f>IFERROR(__xludf.DUMMYFUNCTION("""COMPUTED_VALUE"""),"Los Angeles - 601 South Figueroa Street")</f>
        <v>Los Angeles - 601 South Figueroa Street</v>
      </c>
      <c r="N582" s="3" t="b">
        <f>IFERROR(__xludf.DUMMYFUNCTION("""COMPUTED_VALUE"""),FALSE)</f>
        <v>0</v>
      </c>
      <c r="O582" s="3" t="str">
        <f>IFERROR(__xludf.DUMMYFUNCTION("""COMPUTED_VALUE"""),"derek.b.townsend@pwc.com")</f>
        <v>derek.b.townsend@pwc.com</v>
      </c>
      <c r="P582" s="3" t="str">
        <f>IFERROR(__xludf.DUMMYFUNCTION("""COMPUTED_VALUE"""),"No")</f>
        <v>No</v>
      </c>
      <c r="Q582" s="3" t="b">
        <f>IFERROR(__xludf.DUMMYFUNCTION("""COMPUTED_VALUE"""),FALSE)</f>
        <v>0</v>
      </c>
      <c r="R582" s="3"/>
      <c r="S582" s="3"/>
      <c r="T582" s="3" t="b">
        <f>IFERROR(__xludf.DUMMYFUNCTION("""COMPUTED_VALUE"""),FALSE)</f>
        <v>0</v>
      </c>
      <c r="U582" s="3" t="b">
        <f>IFERROR(__xludf.DUMMYFUNCTION("""COMPUTED_VALUE"""),TRUE)</f>
        <v>1</v>
      </c>
      <c r="V582" s="3" t="b">
        <f>IFERROR(__xludf.DUMMYFUNCTION("""COMPUTED_VALUE"""),FALSE)</f>
        <v>0</v>
      </c>
      <c r="W582" s="3" t="str">
        <f>IFERROR(__xludf.DUMMYFUNCTION("""COMPUTED_VALUE"""),"Delivery")</f>
        <v>Delivery</v>
      </c>
      <c r="X582" s="3"/>
      <c r="Y582" s="3"/>
      <c r="Z582" s="3" t="str">
        <f>IFERROR(__xludf.DUMMYFUNCTION("""COMPUTED_VALUE"""),"Corporate M&amp;A Transformation - TMT")</f>
        <v>Corporate M&amp;A Transformation - TMT</v>
      </c>
      <c r="AA582" s="3" t="b">
        <f>IFERROR(__xludf.DUMMYFUNCTION("""COMPUTED_VALUE"""),FALSE)</f>
        <v>0</v>
      </c>
    </row>
    <row r="583">
      <c r="A583" s="11">
        <f>IFERROR(__xludf.DUMMYFUNCTION("""COMPUTED_VALUE"""),1.00611377E8)</f>
        <v>100611377</v>
      </c>
      <c r="B583" s="3" t="str">
        <f>IFERROR(__xludf.DUMMYFUNCTION("""COMPUTED_VALUE"""),"Ryan Lucky")</f>
        <v>Ryan Lucky</v>
      </c>
      <c r="C583" s="3" t="str">
        <f>IFERROR(__xludf.DUMMYFUNCTION("""COMPUTED_VALUE"""),"Ryan A Lucky")</f>
        <v>Ryan A Lucky</v>
      </c>
      <c r="D583" s="3" t="str">
        <f>IFERROR(__xludf.DUMMYFUNCTION("""COMPUTED_VALUE"""),"Lucky, Ryan A")</f>
        <v>Lucky, Ryan A</v>
      </c>
      <c r="E583" s="3" t="str">
        <f>IFERROR(__xludf.DUMMYFUNCTION("""COMPUTED_VALUE"""),"Active")</f>
        <v>Active</v>
      </c>
      <c r="F583" s="3" t="str">
        <f>IFERROR(__xludf.DUMMYFUNCTION("""COMPUTED_VALUE"""),"ryan.a.lucky@pwc.com")</f>
        <v>ryan.a.lucky@pwc.com</v>
      </c>
      <c r="G583" s="3" t="str">
        <f>IFERROR(__xludf.DUMMYFUNCTION("""COMPUTED_VALUE"""),"Health")</f>
        <v>Health</v>
      </c>
      <c r="H583" s="3" t="str">
        <f>IFERROR(__xludf.DUMMYFUNCTION("""COMPUTED_VALUE"""),"Health Services")</f>
        <v>Health Services</v>
      </c>
      <c r="I583" s="3" t="str">
        <f>IFERROR(__xludf.DUMMYFUNCTION("""COMPUTED_VALUE"""),"Health - Provider ERP")</f>
        <v>Health - Provider ERP</v>
      </c>
      <c r="J583" s="3" t="str">
        <f>IFERROR(__xludf.DUMMYFUNCTION("""COMPUTED_VALUE"""),"Partner")</f>
        <v>Partner</v>
      </c>
      <c r="K583" s="12">
        <f>IFERROR(__xludf.DUMMYFUNCTION("""COMPUTED_VALUE"""),41568.0)</f>
        <v>41568</v>
      </c>
      <c r="L583" s="3" t="str">
        <f>IFERROR(__xludf.DUMMYFUNCTION("""COMPUTED_VALUE"""),"Boston")</f>
        <v>Boston</v>
      </c>
      <c r="M583" s="3" t="str">
        <f>IFERROR(__xludf.DUMMYFUNCTION("""COMPUTED_VALUE"""),"Boston - 101 Seaport Boulevard")</f>
        <v>Boston - 101 Seaport Boulevard</v>
      </c>
      <c r="N583" s="3" t="b">
        <f>IFERROR(__xludf.DUMMYFUNCTION("""COMPUTED_VALUE"""),FALSE)</f>
        <v>0</v>
      </c>
      <c r="O583" s="3" t="str">
        <f>IFERROR(__xludf.DUMMYFUNCTION("""COMPUTED_VALUE"""),"craig.e.gooch@pwc.com")</f>
        <v>craig.e.gooch@pwc.com</v>
      </c>
      <c r="P583" s="3" t="str">
        <f>IFERROR(__xludf.DUMMYFUNCTION("""COMPUTED_VALUE"""),"No")</f>
        <v>No</v>
      </c>
      <c r="Q583" s="3" t="b">
        <f>IFERROR(__xludf.DUMMYFUNCTION("""COMPUTED_VALUE"""),FALSE)</f>
        <v>0</v>
      </c>
      <c r="R583" s="3"/>
      <c r="S583" s="3"/>
      <c r="T583" s="3" t="b">
        <f>IFERROR(__xludf.DUMMYFUNCTION("""COMPUTED_VALUE"""),FALSE)</f>
        <v>0</v>
      </c>
      <c r="U583" s="3" t="b">
        <f>IFERROR(__xludf.DUMMYFUNCTION("""COMPUTED_VALUE"""),TRUE)</f>
        <v>1</v>
      </c>
      <c r="V583" s="3" t="b">
        <f>IFERROR(__xludf.DUMMYFUNCTION("""COMPUTED_VALUE"""),FALSE)</f>
        <v>0</v>
      </c>
      <c r="W583" s="3" t="str">
        <f>IFERROR(__xludf.DUMMYFUNCTION("""COMPUTED_VALUE"""),"Delivery")</f>
        <v>Delivery</v>
      </c>
      <c r="X583" s="3" t="str">
        <f>IFERROR(__xludf.DUMMYFUNCTION("""COMPUTED_VALUE"""),"Investment")</f>
        <v>Investment</v>
      </c>
      <c r="Y583" s="3"/>
      <c r="Z583" s="3" t="str">
        <f>IFERROR(__xludf.DUMMYFUNCTION("""COMPUTED_VALUE"""),"Provider Transformation")</f>
        <v>Provider Transformation</v>
      </c>
      <c r="AA583" s="3" t="b">
        <f>IFERROR(__xludf.DUMMYFUNCTION("""COMPUTED_VALUE"""),FALSE)</f>
        <v>0</v>
      </c>
    </row>
    <row r="584">
      <c r="A584" s="11">
        <f>IFERROR(__xludf.DUMMYFUNCTION("""COMPUTED_VALUE"""),1.00635485E8)</f>
        <v>100635485</v>
      </c>
      <c r="B584" s="3" t="str">
        <f>IFERROR(__xludf.DUMMYFUNCTION("""COMPUTED_VALUE"""),"Ryan Uteg")</f>
        <v>Ryan Uteg</v>
      </c>
      <c r="C584" s="3" t="str">
        <f>IFERROR(__xludf.DUMMYFUNCTION("""COMPUTED_VALUE"""),"Ryan  Uteg")</f>
        <v>Ryan  Uteg</v>
      </c>
      <c r="D584" s="3" t="str">
        <f>IFERROR(__xludf.DUMMYFUNCTION("""COMPUTED_VALUE"""),"Uteg, Ryan")</f>
        <v>Uteg, Ryan</v>
      </c>
      <c r="E584" s="3" t="str">
        <f>IFERROR(__xludf.DUMMYFUNCTION("""COMPUTED_VALUE"""),"Active")</f>
        <v>Active</v>
      </c>
      <c r="F584" s="3" t="str">
        <f>IFERROR(__xludf.DUMMYFUNCTION("""COMPUTED_VALUE"""),"ryan.uteg@pwc.com")</f>
        <v>ryan.uteg@pwc.com</v>
      </c>
      <c r="G584" s="3" t="str">
        <f>IFERROR(__xludf.DUMMYFUNCTION("""COMPUTED_VALUE"""),"Deals Transformation")</f>
        <v>Deals Transformation</v>
      </c>
      <c r="H584" s="3" t="str">
        <f>IFERROR(__xludf.DUMMYFUNCTION("""COMPUTED_VALUE"""),"Health Services")</f>
        <v>Health Services</v>
      </c>
      <c r="I584" s="3" t="str">
        <f>IFERROR(__xludf.DUMMYFUNCTION("""COMPUTED_VALUE"""),"DDV - IT")</f>
        <v>DDV - IT</v>
      </c>
      <c r="J584" s="3" t="str">
        <f>IFERROR(__xludf.DUMMYFUNCTION("""COMPUTED_VALUE"""),"Partner")</f>
        <v>Partner</v>
      </c>
      <c r="K584" s="12">
        <f>IFERROR(__xludf.DUMMYFUNCTION("""COMPUTED_VALUE"""),42086.0)</f>
        <v>42086</v>
      </c>
      <c r="L584" s="3" t="str">
        <f>IFERROR(__xludf.DUMMYFUNCTION("""COMPUTED_VALUE"""),"Chicago")</f>
        <v>Chicago</v>
      </c>
      <c r="M584" s="3" t="str">
        <f>IFERROR(__xludf.DUMMYFUNCTION("""COMPUTED_VALUE"""),"Chicago - One North Wacker Drive")</f>
        <v>Chicago - One North Wacker Drive</v>
      </c>
      <c r="N584" s="3" t="b">
        <f>IFERROR(__xludf.DUMMYFUNCTION("""COMPUTED_VALUE"""),FALSE)</f>
        <v>0</v>
      </c>
      <c r="O584" s="3" t="str">
        <f>IFERROR(__xludf.DUMMYFUNCTION("""COMPUTED_VALUE"""),"derek.b.townsend@pwc.com")</f>
        <v>derek.b.townsend@pwc.com</v>
      </c>
      <c r="P584" s="3" t="str">
        <f>IFERROR(__xludf.DUMMYFUNCTION("""COMPUTED_VALUE"""),"No")</f>
        <v>No</v>
      </c>
      <c r="Q584" s="3" t="b">
        <f>IFERROR(__xludf.DUMMYFUNCTION("""COMPUTED_VALUE"""),FALSE)</f>
        <v>0</v>
      </c>
      <c r="R584" s="3"/>
      <c r="S584" s="3"/>
      <c r="T584" s="3" t="b">
        <f>IFERROR(__xludf.DUMMYFUNCTION("""COMPUTED_VALUE"""),FALSE)</f>
        <v>0</v>
      </c>
      <c r="U584" s="3" t="b">
        <f>IFERROR(__xludf.DUMMYFUNCTION("""COMPUTED_VALUE"""),TRUE)</f>
        <v>1</v>
      </c>
      <c r="V584" s="3" t="b">
        <f>IFERROR(__xludf.DUMMYFUNCTION("""COMPUTED_VALUE"""),FALSE)</f>
        <v>0</v>
      </c>
      <c r="W584" s="3" t="str">
        <f>IFERROR(__xludf.DUMMYFUNCTION("""COMPUTED_VALUE"""),"Delivery")</f>
        <v>Delivery</v>
      </c>
      <c r="X584" s="3" t="str">
        <f>IFERROR(__xludf.DUMMYFUNCTION("""COMPUTED_VALUE"""),"Investment")</f>
        <v>Investment</v>
      </c>
      <c r="Y584" s="3"/>
      <c r="Z584" s="3" t="str">
        <f>IFERROR(__xludf.DUMMYFUNCTION("""COMPUTED_VALUE"""),"Corporate M&amp;A Transformation Payer/Provider/Digital Health")</f>
        <v>Corporate M&amp;A Transformation Payer/Provider/Digital Health</v>
      </c>
      <c r="AA584" s="3" t="b">
        <f>IFERROR(__xludf.DUMMYFUNCTION("""COMPUTED_VALUE"""),FALSE)</f>
        <v>0</v>
      </c>
    </row>
    <row r="585">
      <c r="A585" s="3">
        <f>IFERROR(__xludf.DUMMYFUNCTION("""COMPUTED_VALUE"""),1.00955805E8)</f>
        <v>100955805</v>
      </c>
      <c r="B585" s="3" t="str">
        <f>IFERROR(__xludf.DUMMYFUNCTION("""COMPUTED_VALUE"""),"Sabah Cambrelen")</f>
        <v>Sabah Cambrelen</v>
      </c>
      <c r="C585" s="3" t="str">
        <f>IFERROR(__xludf.DUMMYFUNCTION("""COMPUTED_VALUE"""),"Sabah S. Cambrelen")</f>
        <v>Sabah S. Cambrelen</v>
      </c>
      <c r="D585" s="3" t="str">
        <f>IFERROR(__xludf.DUMMYFUNCTION("""COMPUTED_VALUE"""),"Cambrelen, Sabah S.")</f>
        <v>Cambrelen, Sabah S.</v>
      </c>
      <c r="E585" s="3" t="str">
        <f>IFERROR(__xludf.DUMMYFUNCTION("""COMPUTED_VALUE"""),"Active")</f>
        <v>Active</v>
      </c>
      <c r="F585" s="3" t="str">
        <f>IFERROR(__xludf.DUMMYFUNCTION("""COMPUTED_VALUE"""),"sabah.cambrelen@pwc.com")</f>
        <v>sabah.cambrelen@pwc.com</v>
      </c>
      <c r="G585" s="3" t="str">
        <f>IFERROR(__xludf.DUMMYFUNCTION("""COMPUTED_VALUE"""),"Workforce")</f>
        <v>Workforce</v>
      </c>
      <c r="H585" s="3" t="str">
        <f>IFERROR(__xludf.DUMMYFUNCTION("""COMPUTED_VALUE"""),"TMT X-Sector")</f>
        <v>TMT X-Sector</v>
      </c>
      <c r="I585" s="3" t="str">
        <f>IFERROR(__xludf.DUMMYFUNCTION("""COMPUTED_VALUE"""),"Workforce - Talent, Change &amp; Behaviors")</f>
        <v>Workforce - Talent, Change &amp; Behaviors</v>
      </c>
      <c r="J585" s="3" t="str">
        <f>IFERROR(__xludf.DUMMYFUNCTION("""COMPUTED_VALUE"""),"Managing Director")</f>
        <v>Managing Director</v>
      </c>
      <c r="K585" s="12">
        <f>IFERROR(__xludf.DUMMYFUNCTION("""COMPUTED_VALUE"""),43842.0)</f>
        <v>43842</v>
      </c>
      <c r="L585" s="3" t="str">
        <f>IFERROR(__xludf.DUMMYFUNCTION("""COMPUTED_VALUE"""),"Denver")</f>
        <v>Denver</v>
      </c>
      <c r="M585" s="3" t="str">
        <f>IFERROR(__xludf.DUMMYFUNCTION("""COMPUTED_VALUE"""),"Denver - 1900 Sixteenth Street")</f>
        <v>Denver - 1900 Sixteenth Street</v>
      </c>
      <c r="N585" s="3" t="b">
        <f>IFERROR(__xludf.DUMMYFUNCTION("""COMPUTED_VALUE"""),FALSE)</f>
        <v>0</v>
      </c>
      <c r="O585" s="3" t="str">
        <f>IFERROR(__xludf.DUMMYFUNCTION("""COMPUTED_VALUE"""),"carrie.duarte@pwc.com")</f>
        <v>carrie.duarte@pwc.com</v>
      </c>
      <c r="P585" s="3" t="str">
        <f>IFERROR(__xludf.DUMMYFUNCTION("""COMPUTED_VALUE"""),"No")</f>
        <v>No</v>
      </c>
      <c r="Q585" s="3" t="b">
        <f>IFERROR(__xludf.DUMMYFUNCTION("""COMPUTED_VALUE"""),FALSE)</f>
        <v>0</v>
      </c>
      <c r="R585" s="3"/>
      <c r="S585" s="3"/>
      <c r="T585" s="3" t="b">
        <f>IFERROR(__xludf.DUMMYFUNCTION("""COMPUTED_VALUE"""),FALSE)</f>
        <v>0</v>
      </c>
      <c r="U585" s="3" t="b">
        <f>IFERROR(__xludf.DUMMYFUNCTION("""COMPUTED_VALUE"""),FALSE)</f>
        <v>0</v>
      </c>
      <c r="V585" s="3" t="b">
        <f>IFERROR(__xludf.DUMMYFUNCTION("""COMPUTED_VALUE"""),FALSE)</f>
        <v>0</v>
      </c>
      <c r="W585" s="3" t="str">
        <f>IFERROR(__xludf.DUMMYFUNCTION("""COMPUTED_VALUE"""),"#N/A")</f>
        <v>#N/A</v>
      </c>
      <c r="X585" s="3" t="str">
        <f>IFERROR(__xludf.DUMMYFUNCTION("""COMPUTED_VALUE"""),"#N/A")</f>
        <v>#N/A</v>
      </c>
      <c r="Y585" s="3" t="str">
        <f>IFERROR(__xludf.DUMMYFUNCTION("""COMPUTED_VALUE"""),"#N/A")</f>
        <v>#N/A</v>
      </c>
      <c r="Z585" s="3" t="str">
        <f>IFERROR(__xludf.DUMMYFUNCTION("""COMPUTED_VALUE"""),"Unknown")</f>
        <v>Unknown</v>
      </c>
      <c r="AA585" s="3" t="b">
        <f>IFERROR(__xludf.DUMMYFUNCTION("""COMPUTED_VALUE"""),FALSE)</f>
        <v>0</v>
      </c>
    </row>
    <row r="586">
      <c r="A586" s="11">
        <f>IFERROR(__xludf.DUMMYFUNCTION("""COMPUTED_VALUE"""),1.00584032E8)</f>
        <v>100584032</v>
      </c>
      <c r="B586" s="3" t="str">
        <f>IFERROR(__xludf.DUMMYFUNCTION("""COMPUTED_VALUE"""),"Sahil Bhardwaj")</f>
        <v>Sahil Bhardwaj</v>
      </c>
      <c r="C586" s="3" t="str">
        <f>IFERROR(__xludf.DUMMYFUNCTION("""COMPUTED_VALUE"""),"Sahil Chander Bhardwaj")</f>
        <v>Sahil Chander Bhardwaj</v>
      </c>
      <c r="D586" s="3" t="str">
        <f>IFERROR(__xludf.DUMMYFUNCTION("""COMPUTED_VALUE"""),"Bhardwaj, Sahil Chander")</f>
        <v>Bhardwaj, Sahil Chander</v>
      </c>
      <c r="E586" s="3" t="str">
        <f>IFERROR(__xludf.DUMMYFUNCTION("""COMPUTED_VALUE"""),"Active")</f>
        <v>Active</v>
      </c>
      <c r="F586" s="3" t="str">
        <f>IFERROR(__xludf.DUMMYFUNCTION("""COMPUTED_VALUE"""),"sahil@pwc.com")</f>
        <v>sahil@pwc.com</v>
      </c>
      <c r="G586" s="3" t="str">
        <f>IFERROR(__xludf.DUMMYFUNCTION("""COMPUTED_VALUE"""),"ESV")</f>
        <v>ESV</v>
      </c>
      <c r="H586" s="3" t="str">
        <f>IFERROR(__xludf.DUMMYFUNCTION("""COMPUTED_VALUE"""),"TMT X-Sector")</f>
        <v>TMT X-Sector</v>
      </c>
      <c r="I586" s="3" t="str">
        <f>IFERROR(__xludf.DUMMYFUNCTION("""COMPUTED_VALUE"""),"ESV - TMT")</f>
        <v>ESV - TMT</v>
      </c>
      <c r="J586" s="3" t="str">
        <f>IFERROR(__xludf.DUMMYFUNCTION("""COMPUTED_VALUE"""),"Partner")</f>
        <v>Partner</v>
      </c>
      <c r="K586" s="12">
        <f>IFERROR(__xludf.DUMMYFUNCTION("""COMPUTED_VALUE"""),40798.0)</f>
        <v>40798</v>
      </c>
      <c r="L586" s="3" t="str">
        <f>IFERROR(__xludf.DUMMYFUNCTION("""COMPUTED_VALUE"""),"San Jose")</f>
        <v>San Jose</v>
      </c>
      <c r="M586" s="3" t="str">
        <f>IFERROR(__xludf.DUMMYFUNCTION("""COMPUTED_VALUE"""),"San Jose - 488 Almaden Boulevard")</f>
        <v>San Jose - 488 Almaden Boulevard</v>
      </c>
      <c r="N586" s="3" t="b">
        <f>IFERROR(__xludf.DUMMYFUNCTION("""COMPUTED_VALUE"""),FALSE)</f>
        <v>0</v>
      </c>
      <c r="O586" s="3" t="str">
        <f>IFERROR(__xludf.DUMMYFUNCTION("""COMPUTED_VALUE"""),"sundar.subramanian@pwc.com")</f>
        <v>sundar.subramanian@pwc.com</v>
      </c>
      <c r="P586" s="3" t="str">
        <f>IFERROR(__xludf.DUMMYFUNCTION("""COMPUTED_VALUE"""),"No")</f>
        <v>No</v>
      </c>
      <c r="Q586" s="3" t="b">
        <f>IFERROR(__xludf.DUMMYFUNCTION("""COMPUTED_VALUE"""),FALSE)</f>
        <v>0</v>
      </c>
      <c r="R586" s="3"/>
      <c r="S586" s="3"/>
      <c r="T586" s="3" t="b">
        <f>IFERROR(__xludf.DUMMYFUNCTION("""COMPUTED_VALUE"""),FALSE)</f>
        <v>0</v>
      </c>
      <c r="U586" s="3" t="b">
        <f>IFERROR(__xludf.DUMMYFUNCTION("""COMPUTED_VALUE"""),TRUE)</f>
        <v>1</v>
      </c>
      <c r="V586" s="3" t="b">
        <f>IFERROR(__xludf.DUMMYFUNCTION("""COMPUTED_VALUE"""),FALSE)</f>
        <v>0</v>
      </c>
      <c r="W586" s="3" t="str">
        <f>IFERROR(__xludf.DUMMYFUNCTION("""COMPUTED_VALUE"""),"Delivery")</f>
        <v>Delivery</v>
      </c>
      <c r="X586" s="3"/>
      <c r="Y586" s="3"/>
      <c r="Z586" s="3" t="str">
        <f>IFERROR(__xludf.DUMMYFUNCTION("""COMPUTED_VALUE"""),"Enterprise Digital Transformation - TMT")</f>
        <v>Enterprise Digital Transformation - TMT</v>
      </c>
      <c r="AA586" s="3" t="b">
        <f>IFERROR(__xludf.DUMMYFUNCTION("""COMPUTED_VALUE"""),FALSE)</f>
        <v>0</v>
      </c>
    </row>
    <row r="587">
      <c r="A587" s="11">
        <f>IFERROR(__xludf.DUMMYFUNCTION("""COMPUTED_VALUE"""),1.00580806E8)</f>
        <v>100580806</v>
      </c>
      <c r="B587" s="3" t="str">
        <f>IFERROR(__xludf.DUMMYFUNCTION("""COMPUTED_VALUE"""),"Salil Thakar")</f>
        <v>Salil Thakar</v>
      </c>
      <c r="C587" s="3" t="str">
        <f>IFERROR(__xludf.DUMMYFUNCTION("""COMPUTED_VALUE"""),"Salil  Thakar")</f>
        <v>Salil  Thakar</v>
      </c>
      <c r="D587" s="3" t="str">
        <f>IFERROR(__xludf.DUMMYFUNCTION("""COMPUTED_VALUE"""),"Thakar, Salil")</f>
        <v>Thakar, Salil</v>
      </c>
      <c r="E587" s="3" t="str">
        <f>IFERROR(__xludf.DUMMYFUNCTION("""COMPUTED_VALUE"""),"Active")</f>
        <v>Active</v>
      </c>
      <c r="F587" s="3" t="str">
        <f>IFERROR(__xludf.DUMMYFUNCTION("""COMPUTED_VALUE"""),"salil.thakar@pwc.com")</f>
        <v>salil.thakar@pwc.com</v>
      </c>
      <c r="G587" s="3" t="str">
        <f>IFERROR(__xludf.DUMMYFUNCTION("""COMPUTED_VALUE"""),"Ops")</f>
        <v>Ops</v>
      </c>
      <c r="H587" s="3" t="str">
        <f>IFERROR(__xludf.DUMMYFUNCTION("""COMPUTED_VALUE"""),"Pharma and Life Sciences")</f>
        <v>Pharma and Life Sciences</v>
      </c>
      <c r="I587" s="3" t="str">
        <f>IFERROR(__xludf.DUMMYFUNCTION("""COMPUTED_VALUE"""),"Ops - Connected Supply Chain (CSC)")</f>
        <v>Ops - Connected Supply Chain (CSC)</v>
      </c>
      <c r="J587" s="3" t="str">
        <f>IFERROR(__xludf.DUMMYFUNCTION("""COMPUTED_VALUE"""),"Partner")</f>
        <v>Partner</v>
      </c>
      <c r="K587" s="12">
        <f>IFERROR(__xludf.DUMMYFUNCTION("""COMPUTED_VALUE"""),40798.0)</f>
        <v>40798</v>
      </c>
      <c r="L587" s="3" t="str">
        <f>IFERROR(__xludf.DUMMYFUNCTION("""COMPUTED_VALUE"""),"Dallas")</f>
        <v>Dallas</v>
      </c>
      <c r="M587" s="3" t="str">
        <f>IFERROR(__xludf.DUMMYFUNCTION("""COMPUTED_VALUE"""),"Dallas - 2121 North Pearl Street")</f>
        <v>Dallas - 2121 North Pearl Street</v>
      </c>
      <c r="N587" s="3" t="b">
        <f>IFERROR(__xludf.DUMMYFUNCTION("""COMPUTED_VALUE"""),FALSE)</f>
        <v>0</v>
      </c>
      <c r="O587" s="3" t="str">
        <f>IFERROR(__xludf.DUMMYFUNCTION("""COMPUTED_VALUE"""),"matthew.r.comte@pwc.com")</f>
        <v>matthew.r.comte@pwc.com</v>
      </c>
      <c r="P587" s="3" t="str">
        <f>IFERROR(__xludf.DUMMYFUNCTION("""COMPUTED_VALUE"""),"No")</f>
        <v>No</v>
      </c>
      <c r="Q587" s="3" t="b">
        <f>IFERROR(__xludf.DUMMYFUNCTION("""COMPUTED_VALUE"""),FALSE)</f>
        <v>0</v>
      </c>
      <c r="R587" s="3"/>
      <c r="S587" s="3"/>
      <c r="T587" s="3" t="b">
        <f>IFERROR(__xludf.DUMMYFUNCTION("""COMPUTED_VALUE"""),FALSE)</f>
        <v>0</v>
      </c>
      <c r="U587" s="3" t="b">
        <f>IFERROR(__xludf.DUMMYFUNCTION("""COMPUTED_VALUE"""),TRUE)</f>
        <v>1</v>
      </c>
      <c r="V587" s="3" t="b">
        <f>IFERROR(__xludf.DUMMYFUNCTION("""COMPUTED_VALUE"""),FALSE)</f>
        <v>0</v>
      </c>
      <c r="W587" s="3" t="str">
        <f>IFERROR(__xludf.DUMMYFUNCTION("""COMPUTED_VALUE"""),"Delivery")</f>
        <v>Delivery</v>
      </c>
      <c r="X587" s="3"/>
      <c r="Y587" s="3"/>
      <c r="Z587" s="3" t="str">
        <f>IFERROR(__xludf.DUMMYFUNCTION("""COMPUTED_VALUE"""),"PLS Ops Transformation")</f>
        <v>PLS Ops Transformation</v>
      </c>
      <c r="AA587" s="3" t="b">
        <f>IFERROR(__xludf.DUMMYFUNCTION("""COMPUTED_VALUE"""),FALSE)</f>
        <v>0</v>
      </c>
    </row>
    <row r="588">
      <c r="A588" s="11">
        <f>IFERROR(__xludf.DUMMYFUNCTION("""COMPUTED_VALUE"""),1.00586863E8)</f>
        <v>100586863</v>
      </c>
      <c r="B588" s="3" t="str">
        <f>IFERROR(__xludf.DUMMYFUNCTION("""COMPUTED_VALUE"""),"Sam Venugopal")</f>
        <v>Sam Venugopal</v>
      </c>
      <c r="C588" s="3" t="str">
        <f>IFERROR(__xludf.DUMMYFUNCTION("""COMPUTED_VALUE"""),"Sumanth  Venugopal")</f>
        <v>Sumanth  Venugopal</v>
      </c>
      <c r="D588" s="3" t="str">
        <f>IFERROR(__xludf.DUMMYFUNCTION("""COMPUTED_VALUE"""),"Venugopal, Sumanth")</f>
        <v>Venugopal, Sumanth</v>
      </c>
      <c r="E588" s="3" t="str">
        <f>IFERROR(__xludf.DUMMYFUNCTION("""COMPUTED_VALUE"""),"Active")</f>
        <v>Active</v>
      </c>
      <c r="F588" s="3" t="str">
        <f>IFERROR(__xludf.DUMMYFUNCTION("""COMPUTED_VALUE"""),"sam.venugopal@pwc.com")</f>
        <v>sam.venugopal@pwc.com</v>
      </c>
      <c r="G588" s="3" t="str">
        <f>IFERROR(__xludf.DUMMYFUNCTION("""COMPUTED_VALUE"""),"Ops")</f>
        <v>Ops</v>
      </c>
      <c r="H588" s="3" t="str">
        <f>IFERROR(__xludf.DUMMYFUNCTION("""COMPUTED_VALUE"""),"Pharma and Life Sciences")</f>
        <v>Pharma and Life Sciences</v>
      </c>
      <c r="I588" s="3" t="str">
        <f>IFERROR(__xludf.DUMMYFUNCTION("""COMPUTED_VALUE"""),"Ops - Connected Supply Chain (CSC)")</f>
        <v>Ops - Connected Supply Chain (CSC)</v>
      </c>
      <c r="J588" s="3" t="str">
        <f>IFERROR(__xludf.DUMMYFUNCTION("""COMPUTED_VALUE"""),"Partner")</f>
        <v>Partner</v>
      </c>
      <c r="K588" s="12">
        <f>IFERROR(__xludf.DUMMYFUNCTION("""COMPUTED_VALUE"""),40798.0)</f>
        <v>40798</v>
      </c>
      <c r="L588" s="3" t="str">
        <f>IFERROR(__xludf.DUMMYFUNCTION("""COMPUTED_VALUE"""),"San Jose")</f>
        <v>San Jose</v>
      </c>
      <c r="M588" s="3" t="str">
        <f>IFERROR(__xludf.DUMMYFUNCTION("""COMPUTED_VALUE"""),"San Jose - 488 Almaden Boulevard")</f>
        <v>San Jose - 488 Almaden Boulevard</v>
      </c>
      <c r="N588" s="3" t="b">
        <f>IFERROR(__xludf.DUMMYFUNCTION("""COMPUTED_VALUE"""),FALSE)</f>
        <v>0</v>
      </c>
      <c r="O588" s="3" t="str">
        <f>IFERROR(__xludf.DUMMYFUNCTION("""COMPUTED_VALUE"""),"matthew.r.comte@pwc.com")</f>
        <v>matthew.r.comte@pwc.com</v>
      </c>
      <c r="P588" s="3" t="str">
        <f>IFERROR(__xludf.DUMMYFUNCTION("""COMPUTED_VALUE"""),"No")</f>
        <v>No</v>
      </c>
      <c r="Q588" s="3" t="b">
        <f>IFERROR(__xludf.DUMMYFUNCTION("""COMPUTED_VALUE"""),FALSE)</f>
        <v>0</v>
      </c>
      <c r="R588" s="3"/>
      <c r="S588" s="3"/>
      <c r="T588" s="3" t="b">
        <f>IFERROR(__xludf.DUMMYFUNCTION("""COMPUTED_VALUE"""),FALSE)</f>
        <v>0</v>
      </c>
      <c r="U588" s="3" t="b">
        <f>IFERROR(__xludf.DUMMYFUNCTION("""COMPUTED_VALUE"""),TRUE)</f>
        <v>1</v>
      </c>
      <c r="V588" s="3" t="b">
        <f>IFERROR(__xludf.DUMMYFUNCTION("""COMPUTED_VALUE"""),FALSE)</f>
        <v>0</v>
      </c>
      <c r="W588" s="3" t="str">
        <f>IFERROR(__xludf.DUMMYFUNCTION("""COMPUTED_VALUE"""),"Delivery")</f>
        <v>Delivery</v>
      </c>
      <c r="X588" s="3" t="str">
        <f>IFERROR(__xludf.DUMMYFUNCTION("""COMPUTED_VALUE"""),"Investment")</f>
        <v>Investment</v>
      </c>
      <c r="Y588" s="3" t="str">
        <f>IFERROR(__xludf.DUMMYFUNCTION("""COMPUTED_VALUE"""),"Investment")</f>
        <v>Investment</v>
      </c>
      <c r="Z588" s="3" t="str">
        <f>IFERROR(__xludf.DUMMYFUNCTION("""COMPUTED_VALUE"""),"PLS Ops Transformation")</f>
        <v>PLS Ops Transformation</v>
      </c>
      <c r="AA588" s="3" t="b">
        <f>IFERROR(__xludf.DUMMYFUNCTION("""COMPUTED_VALUE"""),FALSE)</f>
        <v>0</v>
      </c>
    </row>
    <row r="589">
      <c r="A589" s="3">
        <f>IFERROR(__xludf.DUMMYFUNCTION("""COMPUTED_VALUE"""),1.01062258E8)</f>
        <v>101062258</v>
      </c>
      <c r="B589" s="3" t="str">
        <f>IFERROR(__xludf.DUMMYFUNCTION("""COMPUTED_VALUE"""),"Samir Singh")</f>
        <v>Samir Singh</v>
      </c>
      <c r="C589" s="3" t="str">
        <f>IFERROR(__xludf.DUMMYFUNCTION("""COMPUTED_VALUE"""),"Samir  Singh")</f>
        <v>Samir  Singh</v>
      </c>
      <c r="D589" s="3" t="str">
        <f>IFERROR(__xludf.DUMMYFUNCTION("""COMPUTED_VALUE"""),"Singh, Samir")</f>
        <v>Singh, Samir</v>
      </c>
      <c r="E589" s="3" t="str">
        <f>IFERROR(__xludf.DUMMYFUNCTION("""COMPUTED_VALUE"""),"Active")</f>
        <v>Active</v>
      </c>
      <c r="F589" s="3" t="str">
        <f>IFERROR(__xludf.DUMMYFUNCTION("""COMPUTED_VALUE"""),"samir.singh@pwc.com")</f>
        <v>samir.singh@pwc.com</v>
      </c>
      <c r="G589" s="3" t="str">
        <f>IFERROR(__xludf.DUMMYFUNCTION("""COMPUTED_VALUE"""),"Deals Transformation")</f>
        <v>Deals Transformation</v>
      </c>
      <c r="H589" s="3" t="str">
        <f>IFERROR(__xludf.DUMMYFUNCTION("""COMPUTED_VALUE"""),"TMT X-Sector")</f>
        <v>TMT X-Sector</v>
      </c>
      <c r="I589" s="3" t="str">
        <f>IFERROR(__xludf.DUMMYFUNCTION("""COMPUTED_VALUE"""),"DDV - IT")</f>
        <v>DDV - IT</v>
      </c>
      <c r="J589" s="3" t="str">
        <f>IFERROR(__xludf.DUMMYFUNCTION("""COMPUTED_VALUE"""),"Partner")</f>
        <v>Partner</v>
      </c>
      <c r="K589" s="12">
        <f>IFERROR(__xludf.DUMMYFUNCTION("""COMPUTED_VALUE"""),44277.0)</f>
        <v>44277</v>
      </c>
      <c r="L589" s="3" t="str">
        <f>IFERROR(__xludf.DUMMYFUNCTION("""COMPUTED_VALUE"""),"San Francisco")</f>
        <v>San Francisco</v>
      </c>
      <c r="M589" s="3" t="str">
        <f>IFERROR(__xludf.DUMMYFUNCTION("""COMPUTED_VALUE"""),"San Francisco - 405 Howard St")</f>
        <v>San Francisco - 405 Howard St</v>
      </c>
      <c r="N589" s="3" t="b">
        <f>IFERROR(__xludf.DUMMYFUNCTION("""COMPUTED_VALUE"""),FALSE)</f>
        <v>0</v>
      </c>
      <c r="O589" s="3" t="str">
        <f>IFERROR(__xludf.DUMMYFUNCTION("""COMPUTED_VALUE"""),"derek.b.townsend@pwc.com")</f>
        <v>derek.b.townsend@pwc.com</v>
      </c>
      <c r="P589" s="3" t="str">
        <f>IFERROR(__xludf.DUMMYFUNCTION("""COMPUTED_VALUE"""),"FY21 2nd Half")</f>
        <v>FY21 2nd Half</v>
      </c>
      <c r="Q589" s="3" t="b">
        <f>IFERROR(__xludf.DUMMYFUNCTION("""COMPUTED_VALUE"""),FALSE)</f>
        <v>0</v>
      </c>
      <c r="R589" s="3"/>
      <c r="S589" s="3"/>
      <c r="T589" s="3" t="b">
        <f>IFERROR(__xludf.DUMMYFUNCTION("""COMPUTED_VALUE"""),FALSE)</f>
        <v>0</v>
      </c>
      <c r="U589" s="3" t="b">
        <f>IFERROR(__xludf.DUMMYFUNCTION("""COMPUTED_VALUE"""),TRUE)</f>
        <v>1</v>
      </c>
      <c r="V589" s="3" t="b">
        <f>IFERROR(__xludf.DUMMYFUNCTION("""COMPUTED_VALUE"""),FALSE)</f>
        <v>0</v>
      </c>
      <c r="W589" s="3" t="str">
        <f>IFERROR(__xludf.DUMMYFUNCTION("""COMPUTED_VALUE"""),"Catalyst")</f>
        <v>Catalyst</v>
      </c>
      <c r="X589" s="3"/>
      <c r="Y589" s="3" t="str">
        <f>IFERROR(__xludf.DUMMYFUNCTION("""COMPUTED_VALUE"""),"FY21 2nd Half")</f>
        <v>FY21 2nd Half</v>
      </c>
      <c r="Z589" s="3" t="str">
        <f>IFERROR(__xludf.DUMMYFUNCTION("""COMPUTED_VALUE"""),"Corporate M&amp;A Transformation - TMT")</f>
        <v>Corporate M&amp;A Transformation - TMT</v>
      </c>
      <c r="AA589" s="3" t="b">
        <f>IFERROR(__xludf.DUMMYFUNCTION("""COMPUTED_VALUE"""),FALSE)</f>
        <v>0</v>
      </c>
    </row>
    <row r="590">
      <c r="A590" s="11">
        <f>IFERROR(__xludf.DUMMYFUNCTION("""COMPUTED_VALUE"""),1.01141441E8)</f>
        <v>101141441</v>
      </c>
      <c r="B590" s="3" t="str">
        <f>IFERROR(__xludf.DUMMYFUNCTION("""COMPUTED_VALUE"""),"Sammy Lakshmanan")</f>
        <v>Sammy Lakshmanan</v>
      </c>
      <c r="C590" s="3" t="str">
        <f>IFERROR(__xludf.DUMMYFUNCTION("""COMPUTED_VALUE"""),"Kalyan Raman Lakshmanan")</f>
        <v>Kalyan Raman Lakshmanan</v>
      </c>
      <c r="D590" s="3" t="str">
        <f>IFERROR(__xludf.DUMMYFUNCTION("""COMPUTED_VALUE"""),"Lakshmanan, Kalyan Raman")</f>
        <v>Lakshmanan, Kalyan Raman</v>
      </c>
      <c r="E590" s="3" t="str">
        <f>IFERROR(__xludf.DUMMYFUNCTION("""COMPUTED_VALUE"""),"Active")</f>
        <v>Active</v>
      </c>
      <c r="F590" s="3" t="str">
        <f>IFERROR(__xludf.DUMMYFUNCTION("""COMPUTED_VALUE"""),"sammy.lakshmanan@pwc.com")</f>
        <v>sammy.lakshmanan@pwc.com</v>
      </c>
      <c r="G590" s="3" t="str">
        <f>IFERROR(__xludf.DUMMYFUNCTION("""COMPUTED_VALUE"""),"ESV")</f>
        <v>ESV</v>
      </c>
      <c r="H590" s="3" t="str">
        <f>IFERROR(__xludf.DUMMYFUNCTION("""COMPUTED_VALUE"""),"EUR X-Sector")</f>
        <v>EUR X-Sector</v>
      </c>
      <c r="I590" s="3" t="str">
        <f>IFERROR(__xludf.DUMMYFUNCTION("""COMPUTED_VALUE"""),"ESV - ESG")</f>
        <v>ESV - ESG</v>
      </c>
      <c r="J590" s="3" t="str">
        <f>IFERROR(__xludf.DUMMYFUNCTION("""COMPUTED_VALUE"""),"Partner")</f>
        <v>Partner</v>
      </c>
      <c r="K590" s="12">
        <f>IFERROR(__xludf.DUMMYFUNCTION("""COMPUTED_VALUE"""),44473.0)</f>
        <v>44473</v>
      </c>
      <c r="L590" s="3" t="str">
        <f>IFERROR(__xludf.DUMMYFUNCTION("""COMPUTED_VALUE"""),"Houston")</f>
        <v>Houston</v>
      </c>
      <c r="M590" s="3" t="str">
        <f>IFERROR(__xludf.DUMMYFUNCTION("""COMPUTED_VALUE"""),"Houston - 1000 Louisiana Street")</f>
        <v>Houston - 1000 Louisiana Street</v>
      </c>
      <c r="N590" s="3" t="b">
        <f>IFERROR(__xludf.DUMMYFUNCTION("""COMPUTED_VALUE"""),FALSE)</f>
        <v>0</v>
      </c>
      <c r="O590" s="3" t="str">
        <f>IFERROR(__xludf.DUMMYFUNCTION("""COMPUTED_VALUE"""),"sundar.subramanian@pwc.com")</f>
        <v>sundar.subramanian@pwc.com</v>
      </c>
      <c r="P590" s="3" t="str">
        <f>IFERROR(__xludf.DUMMYFUNCTION("""COMPUTED_VALUE"""),"FY22")</f>
        <v>FY22</v>
      </c>
      <c r="Q590" s="3" t="b">
        <f>IFERROR(__xludf.DUMMYFUNCTION("""COMPUTED_VALUE"""),FALSE)</f>
        <v>0</v>
      </c>
      <c r="R590" s="3"/>
      <c r="S590" s="3"/>
      <c r="T590" s="3" t="b">
        <f>IFERROR(__xludf.DUMMYFUNCTION("""COMPUTED_VALUE"""),TRUE)</f>
        <v>1</v>
      </c>
      <c r="U590" s="3" t="b">
        <f>IFERROR(__xludf.DUMMYFUNCTION("""COMPUTED_VALUE"""),FALSE)</f>
        <v>0</v>
      </c>
      <c r="V590" s="3" t="b">
        <f>IFERROR(__xludf.DUMMYFUNCTION("""COMPUTED_VALUE"""),TRUE)</f>
        <v>1</v>
      </c>
      <c r="W590" s="3" t="str">
        <f>IFERROR(__xludf.DUMMYFUNCTION("""COMPUTED_VALUE"""),"Catalyst")</f>
        <v>Catalyst</v>
      </c>
      <c r="X590" s="3"/>
      <c r="Y590" s="3" t="str">
        <f>IFERROR(__xludf.DUMMYFUNCTION("""COMPUTED_VALUE"""),"FY22")</f>
        <v>FY22</v>
      </c>
      <c r="Z590" s="3" t="str">
        <f>IFERROR(__xludf.DUMMYFUNCTION("""COMPUTED_VALUE"""),"ESG")</f>
        <v>ESG</v>
      </c>
      <c r="AA590" s="3" t="b">
        <f>IFERROR(__xludf.DUMMYFUNCTION("""COMPUTED_VALUE"""),FALSE)</f>
        <v>0</v>
      </c>
    </row>
    <row r="591">
      <c r="A591" s="11">
        <f>IFERROR(__xludf.DUMMYFUNCTION("""COMPUTED_VALUE"""),1.00655091E8)</f>
        <v>100655091</v>
      </c>
      <c r="B591" s="3" t="str">
        <f>IFERROR(__xludf.DUMMYFUNCTION("""COMPUTED_VALUE"""),"Samrat Sharma")</f>
        <v>Samrat Sharma</v>
      </c>
      <c r="C591" s="3" t="str">
        <f>IFERROR(__xludf.DUMMYFUNCTION("""COMPUTED_VALUE"""),"Samrat  Sharma")</f>
        <v>Samrat  Sharma</v>
      </c>
      <c r="D591" s="3" t="str">
        <f>IFERROR(__xludf.DUMMYFUNCTION("""COMPUTED_VALUE"""),"Sharma, Samrat")</f>
        <v>Sharma, Samrat</v>
      </c>
      <c r="E591" s="3" t="str">
        <f>IFERROR(__xludf.DUMMYFUNCTION("""COMPUTED_VALUE"""),"Active")</f>
        <v>Active</v>
      </c>
      <c r="F591" s="3" t="str">
        <f>IFERROR(__xludf.DUMMYFUNCTION("""COMPUTED_VALUE"""),"samrat.sharma@pwc.com")</f>
        <v>samrat.sharma@pwc.com</v>
      </c>
      <c r="G591" s="3" t="str">
        <f>IFERROR(__xludf.DUMMYFUNCTION("""COMPUTED_VALUE"""),"Customer")</f>
        <v>Customer</v>
      </c>
      <c r="H591" s="3" t="str">
        <f>IFERROR(__xludf.DUMMYFUNCTION("""COMPUTED_VALUE"""),"CM X-Sector")</f>
        <v>CM X-Sector</v>
      </c>
      <c r="I591" s="3" t="str">
        <f>IFERROR(__xludf.DUMMYFUNCTION("""COMPUTED_VALUE"""),"Customer - Marketing")</f>
        <v>Customer - Marketing</v>
      </c>
      <c r="J591" s="3" t="str">
        <f>IFERROR(__xludf.DUMMYFUNCTION("""COMPUTED_VALUE"""),"Partner")</f>
        <v>Partner</v>
      </c>
      <c r="K591" s="12">
        <f>IFERROR(__xludf.DUMMYFUNCTION("""COMPUTED_VALUE"""),42186.0)</f>
        <v>42186</v>
      </c>
      <c r="L591" s="3" t="str">
        <f>IFERROR(__xludf.DUMMYFUNCTION("""COMPUTED_VALUE"""),"Atlanta")</f>
        <v>Atlanta</v>
      </c>
      <c r="M591" s="3" t="str">
        <f>IFERROR(__xludf.DUMMYFUNCTION("""COMPUTED_VALUE"""),"Atlanta - 1075 Peachtree Street NE")</f>
        <v>Atlanta - 1075 Peachtree Street NE</v>
      </c>
      <c r="N591" s="3" t="b">
        <f>IFERROR(__xludf.DUMMYFUNCTION("""COMPUTED_VALUE"""),TRUE)</f>
        <v>1</v>
      </c>
      <c r="O591" s="3" t="str">
        <f>IFERROR(__xludf.DUMMYFUNCTION("""COMPUTED_VALUE"""),"george.korizis@pwc.com")</f>
        <v>george.korizis@pwc.com</v>
      </c>
      <c r="P591" s="3" t="str">
        <f>IFERROR(__xludf.DUMMYFUNCTION("""COMPUTED_VALUE"""),"No")</f>
        <v>No</v>
      </c>
      <c r="Q591" s="3" t="b">
        <f>IFERROR(__xludf.DUMMYFUNCTION("""COMPUTED_VALUE"""),FALSE)</f>
        <v>0</v>
      </c>
      <c r="R591" s="3"/>
      <c r="S591" s="3"/>
      <c r="T591" s="3" t="b">
        <f>IFERROR(__xludf.DUMMYFUNCTION("""COMPUTED_VALUE"""),FALSE)</f>
        <v>0</v>
      </c>
      <c r="U591" s="3" t="b">
        <f>IFERROR(__xludf.DUMMYFUNCTION("""COMPUTED_VALUE"""),FALSE)</f>
        <v>0</v>
      </c>
      <c r="V591" s="3" t="b">
        <f>IFERROR(__xludf.DUMMYFUNCTION("""COMPUTED_VALUE"""),FALSE)</f>
        <v>0</v>
      </c>
      <c r="W591" s="3" t="str">
        <f>IFERROR(__xludf.DUMMYFUNCTION("""COMPUTED_VALUE"""),"Delivery")</f>
        <v>Delivery</v>
      </c>
      <c r="X591" s="3"/>
      <c r="Y591" s="3" t="str">
        <f>IFERROR(__xludf.DUMMYFUNCTION("""COMPUTED_VALUE"""),"Point Partner")</f>
        <v>Point Partner</v>
      </c>
      <c r="Z591" s="3" t="str">
        <f>IFERROR(__xludf.DUMMYFUNCTION("""COMPUTED_VALUE"""),"Marketing Transformation")</f>
        <v>Marketing Transformation</v>
      </c>
      <c r="AA591" s="3" t="b">
        <f>IFERROR(__xludf.DUMMYFUNCTION("""COMPUTED_VALUE"""),FALSE)</f>
        <v>0</v>
      </c>
    </row>
    <row r="592">
      <c r="A592" s="11">
        <f>IFERROR(__xludf.DUMMYFUNCTION("""COMPUTED_VALUE"""),1.00650453E8)</f>
        <v>100650453</v>
      </c>
      <c r="B592" s="3" t="str">
        <f>IFERROR(__xludf.DUMMYFUNCTION("""COMPUTED_VALUE"""),"Samuel Bloustein")</f>
        <v>Samuel Bloustein</v>
      </c>
      <c r="C592" s="3" t="str">
        <f>IFERROR(__xludf.DUMMYFUNCTION("""COMPUTED_VALUE"""),"Samuel  Bloustein")</f>
        <v>Samuel  Bloustein</v>
      </c>
      <c r="D592" s="3" t="str">
        <f>IFERROR(__xludf.DUMMYFUNCTION("""COMPUTED_VALUE"""),"Bloustein, Samuel")</f>
        <v>Bloustein, Samuel</v>
      </c>
      <c r="E592" s="3" t="str">
        <f>IFERROR(__xludf.DUMMYFUNCTION("""COMPUTED_VALUE"""),"Active")</f>
        <v>Active</v>
      </c>
      <c r="F592" s="3" t="str">
        <f>IFERROR(__xludf.DUMMYFUNCTION("""COMPUTED_VALUE"""),"samuel.bloustein@pwc.com")</f>
        <v>samuel.bloustein@pwc.com</v>
      </c>
      <c r="G592" s="3" t="str">
        <f>IFERROR(__xludf.DUMMYFUNCTION("""COMPUTED_VALUE"""),"ESV")</f>
        <v>ESV</v>
      </c>
      <c r="H592" s="3" t="str">
        <f>IFERROR(__xludf.DUMMYFUNCTION("""COMPUTED_VALUE"""),"Banking and Capital Markets")</f>
        <v>Banking and Capital Markets</v>
      </c>
      <c r="I592" s="3" t="str">
        <f>IFERROR(__xludf.DUMMYFUNCTION("""COMPUTED_VALUE"""),"ESV - BCM")</f>
        <v>ESV - BCM</v>
      </c>
      <c r="J592" s="3" t="str">
        <f>IFERROR(__xludf.DUMMYFUNCTION("""COMPUTED_VALUE"""),"Partner")</f>
        <v>Partner</v>
      </c>
      <c r="K592" s="12">
        <f>IFERROR(__xludf.DUMMYFUNCTION("""COMPUTED_VALUE"""),42186.0)</f>
        <v>42186</v>
      </c>
      <c r="L592" s="3" t="str">
        <f>IFERROR(__xludf.DUMMYFUNCTION("""COMPUTED_VALUE"""),"New York")</f>
        <v>New York</v>
      </c>
      <c r="M592" s="3" t="str">
        <f>IFERROR(__xludf.DUMMYFUNCTION("""COMPUTED_VALUE"""),"New York - 300 Madison Avenue")</f>
        <v>New York - 300 Madison Avenue</v>
      </c>
      <c r="N592" s="3" t="b">
        <f>IFERROR(__xludf.DUMMYFUNCTION("""COMPUTED_VALUE"""),FALSE)</f>
        <v>0</v>
      </c>
      <c r="O592" s="3" t="str">
        <f>IFERROR(__xludf.DUMMYFUNCTION("""COMPUTED_VALUE"""),"sundar.subramanian@pwc.com")</f>
        <v>sundar.subramanian@pwc.com</v>
      </c>
      <c r="P592" s="3" t="str">
        <f>IFERROR(__xludf.DUMMYFUNCTION("""COMPUTED_VALUE"""),"No")</f>
        <v>No</v>
      </c>
      <c r="Q592" s="3" t="b">
        <f>IFERROR(__xludf.DUMMYFUNCTION("""COMPUTED_VALUE"""),TRUE)</f>
        <v>1</v>
      </c>
      <c r="R592" s="3" t="str">
        <f>IFERROR(__xludf.DUMMYFUNCTION("""COMPUTED_VALUE"""),"LCP Low")</f>
        <v>LCP Low</v>
      </c>
      <c r="S592" s="3"/>
      <c r="T592" s="3" t="b">
        <f>IFERROR(__xludf.DUMMYFUNCTION("""COMPUTED_VALUE"""),FALSE)</f>
        <v>0</v>
      </c>
      <c r="U592" s="3" t="b">
        <f>IFERROR(__xludf.DUMMYFUNCTION("""COMPUTED_VALUE"""),TRUE)</f>
        <v>1</v>
      </c>
      <c r="V592" s="3" t="b">
        <f>IFERROR(__xludf.DUMMYFUNCTION("""COMPUTED_VALUE"""),FALSE)</f>
        <v>0</v>
      </c>
      <c r="W592" s="3" t="str">
        <f>IFERROR(__xludf.DUMMYFUNCTION("""COMPUTED_VALUE"""),"LCP")</f>
        <v>LCP</v>
      </c>
      <c r="X592" s="3" t="str">
        <f>IFERROR(__xludf.DUMMYFUNCTION("""COMPUTED_VALUE"""),"Investment")</f>
        <v>Investment</v>
      </c>
      <c r="Y592" s="3" t="str">
        <f>IFERROR(__xludf.DUMMYFUNCTION("""COMPUTED_VALUE"""),"GEP - Low")</f>
        <v>GEP - Low</v>
      </c>
      <c r="Z592" s="3" t="str">
        <f>IFERROR(__xludf.DUMMYFUNCTION("""COMPUTED_VALUE"""),"Enterprise Digital Transformation - BCM &amp; AWM")</f>
        <v>Enterprise Digital Transformation - BCM &amp; AWM</v>
      </c>
      <c r="AA592" s="3" t="b">
        <f>IFERROR(__xludf.DUMMYFUNCTION("""COMPUTED_VALUE"""),FALSE)</f>
        <v>0</v>
      </c>
    </row>
    <row r="593">
      <c r="A593" s="11">
        <f>IFERROR(__xludf.DUMMYFUNCTION("""COMPUTED_VALUE"""),1.00649264E8)</f>
        <v>100649264</v>
      </c>
      <c r="B593" s="3" t="str">
        <f>IFERROR(__xludf.DUMMYFUNCTION("""COMPUTED_VALUE"""),"Sanchit Madan")</f>
        <v>Sanchit Madan</v>
      </c>
      <c r="C593" s="3" t="str">
        <f>IFERROR(__xludf.DUMMYFUNCTION("""COMPUTED_VALUE"""),"Sanchit  Madan")</f>
        <v>Sanchit  Madan</v>
      </c>
      <c r="D593" s="3" t="str">
        <f>IFERROR(__xludf.DUMMYFUNCTION("""COMPUTED_VALUE"""),"Madan, Sanchit")</f>
        <v>Madan, Sanchit</v>
      </c>
      <c r="E593" s="3" t="str">
        <f>IFERROR(__xludf.DUMMYFUNCTION("""COMPUTED_VALUE"""),"Active")</f>
        <v>Active</v>
      </c>
      <c r="F593" s="3" t="str">
        <f>IFERROR(__xludf.DUMMYFUNCTION("""COMPUTED_VALUE"""),"sanchit.madan@pwc.com")</f>
        <v>sanchit.madan@pwc.com</v>
      </c>
      <c r="G593" s="3" t="str">
        <f>IFERROR(__xludf.DUMMYFUNCTION("""COMPUTED_VALUE"""),"Customer")</f>
        <v>Customer</v>
      </c>
      <c r="H593" s="3" t="str">
        <f>IFERROR(__xludf.DUMMYFUNCTION("""COMPUTED_VALUE"""),"Health Services")</f>
        <v>Health Services</v>
      </c>
      <c r="I593" s="3" t="str">
        <f>IFERROR(__xludf.DUMMYFUNCTION("""COMPUTED_VALUE"""),"Customer - Service")</f>
        <v>Customer - Service</v>
      </c>
      <c r="J593" s="3" t="str">
        <f>IFERROR(__xludf.DUMMYFUNCTION("""COMPUTED_VALUE"""),"Partner")</f>
        <v>Partner</v>
      </c>
      <c r="K593" s="12">
        <f>IFERROR(__xludf.DUMMYFUNCTION("""COMPUTED_VALUE"""),42186.0)</f>
        <v>42186</v>
      </c>
      <c r="L593" s="3" t="str">
        <f>IFERROR(__xludf.DUMMYFUNCTION("""COMPUTED_VALUE"""),"Austin")</f>
        <v>Austin</v>
      </c>
      <c r="M593" s="3" t="str">
        <f>IFERROR(__xludf.DUMMYFUNCTION("""COMPUTED_VALUE"""),"Austin - 835 West 6th Street")</f>
        <v>Austin - 835 West 6th Street</v>
      </c>
      <c r="N593" s="3" t="b">
        <f>IFERROR(__xludf.DUMMYFUNCTION("""COMPUTED_VALUE"""),FALSE)</f>
        <v>0</v>
      </c>
      <c r="O593" s="3" t="str">
        <f>IFERROR(__xludf.DUMMYFUNCTION("""COMPUTED_VALUE"""),"george.korizis@pwc.com")</f>
        <v>george.korizis@pwc.com</v>
      </c>
      <c r="P593" s="3" t="str">
        <f>IFERROR(__xludf.DUMMYFUNCTION("""COMPUTED_VALUE"""),"No")</f>
        <v>No</v>
      </c>
      <c r="Q593" s="3" t="b">
        <f>IFERROR(__xludf.DUMMYFUNCTION("""COMPUTED_VALUE"""),FALSE)</f>
        <v>0</v>
      </c>
      <c r="R593" s="3"/>
      <c r="S593" s="3"/>
      <c r="T593" s="3" t="b">
        <f>IFERROR(__xludf.DUMMYFUNCTION("""COMPUTED_VALUE"""),FALSE)</f>
        <v>0</v>
      </c>
      <c r="U593" s="3" t="b">
        <f>IFERROR(__xludf.DUMMYFUNCTION("""COMPUTED_VALUE"""),TRUE)</f>
        <v>1</v>
      </c>
      <c r="V593" s="3" t="b">
        <f>IFERROR(__xludf.DUMMYFUNCTION("""COMPUTED_VALUE"""),FALSE)</f>
        <v>0</v>
      </c>
      <c r="W593" s="3" t="str">
        <f>IFERROR(__xludf.DUMMYFUNCTION("""COMPUTED_VALUE"""),"Delivery")</f>
        <v>Delivery</v>
      </c>
      <c r="X593" s="3"/>
      <c r="Y593" s="3"/>
      <c r="Z593" s="3" t="str">
        <f>IFERROR(__xludf.DUMMYFUNCTION("""COMPUTED_VALUE"""),"Commercial / CRM Transformation - CM &amp; IPS &amp; HIA")</f>
        <v>Commercial / CRM Transformation - CM &amp; IPS &amp; HIA</v>
      </c>
      <c r="AA593" s="3" t="b">
        <f>IFERROR(__xludf.DUMMYFUNCTION("""COMPUTED_VALUE"""),FALSE)</f>
        <v>0</v>
      </c>
    </row>
    <row r="594">
      <c r="A594" s="11">
        <f>IFERROR(__xludf.DUMMYFUNCTION("""COMPUTED_VALUE"""),1.00652489E8)</f>
        <v>100652489</v>
      </c>
      <c r="B594" s="3" t="str">
        <f>IFERROR(__xludf.DUMMYFUNCTION("""COMPUTED_VALUE"""),"Sanchit Tiwari")</f>
        <v>Sanchit Tiwari</v>
      </c>
      <c r="C594" s="3" t="str">
        <f>IFERROR(__xludf.DUMMYFUNCTION("""COMPUTED_VALUE"""),"Sanchit  Tiwari")</f>
        <v>Sanchit  Tiwari</v>
      </c>
      <c r="D594" s="3" t="str">
        <f>IFERROR(__xludf.DUMMYFUNCTION("""COMPUTED_VALUE"""),"Tiwari, Sanchit")</f>
        <v>Tiwari, Sanchit</v>
      </c>
      <c r="E594" s="3" t="str">
        <f>IFERROR(__xludf.DUMMYFUNCTION("""COMPUTED_VALUE"""),"Active")</f>
        <v>Active</v>
      </c>
      <c r="F594" s="3" t="str">
        <f>IFERROR(__xludf.DUMMYFUNCTION("""COMPUTED_VALUE"""),"sanchit.tiwari@pwc.com")</f>
        <v>sanchit.tiwari@pwc.com</v>
      </c>
      <c r="G594" s="3" t="str">
        <f>IFERROR(__xludf.DUMMYFUNCTION("""COMPUTED_VALUE"""),"ESV")</f>
        <v>ESV</v>
      </c>
      <c r="H594" s="3" t="str">
        <f>IFERROR(__xludf.DUMMYFUNCTION("""COMPUTED_VALUE"""),"Banking and Capital Markets")</f>
        <v>Banking and Capital Markets</v>
      </c>
      <c r="I594" s="3" t="str">
        <f>IFERROR(__xludf.DUMMYFUNCTION("""COMPUTED_VALUE"""),"ESV - BCM")</f>
        <v>ESV - BCM</v>
      </c>
      <c r="J594" s="3" t="str">
        <f>IFERROR(__xludf.DUMMYFUNCTION("""COMPUTED_VALUE"""),"Partner")</f>
        <v>Partner</v>
      </c>
      <c r="K594" s="12">
        <f>IFERROR(__xludf.DUMMYFUNCTION("""COMPUTED_VALUE"""),42186.0)</f>
        <v>42186</v>
      </c>
      <c r="L594" s="3" t="str">
        <f>IFERROR(__xludf.DUMMYFUNCTION("""COMPUTED_VALUE"""),"New York")</f>
        <v>New York</v>
      </c>
      <c r="M594" s="3" t="str">
        <f>IFERROR(__xludf.DUMMYFUNCTION("""COMPUTED_VALUE"""),"New York - 300 Madison Avenue")</f>
        <v>New York - 300 Madison Avenue</v>
      </c>
      <c r="N594" s="3" t="b">
        <f>IFERROR(__xludf.DUMMYFUNCTION("""COMPUTED_VALUE"""),FALSE)</f>
        <v>0</v>
      </c>
      <c r="O594" s="3" t="str">
        <f>IFERROR(__xludf.DUMMYFUNCTION("""COMPUTED_VALUE"""),"sundar.subramanian@pwc.com")</f>
        <v>sundar.subramanian@pwc.com</v>
      </c>
      <c r="P594" s="3" t="str">
        <f>IFERROR(__xludf.DUMMYFUNCTION("""COMPUTED_VALUE"""),"No")</f>
        <v>No</v>
      </c>
      <c r="Q594" s="3" t="b">
        <f>IFERROR(__xludf.DUMMYFUNCTION("""COMPUTED_VALUE"""),FALSE)</f>
        <v>0</v>
      </c>
      <c r="R594" s="3"/>
      <c r="S594" s="3"/>
      <c r="T594" s="3" t="b">
        <f>IFERROR(__xludf.DUMMYFUNCTION("""COMPUTED_VALUE"""),FALSE)</f>
        <v>0</v>
      </c>
      <c r="U594" s="3" t="b">
        <f>IFERROR(__xludf.DUMMYFUNCTION("""COMPUTED_VALUE"""),TRUE)</f>
        <v>1</v>
      </c>
      <c r="V594" s="3" t="b">
        <f>IFERROR(__xludf.DUMMYFUNCTION("""COMPUTED_VALUE"""),FALSE)</f>
        <v>0</v>
      </c>
      <c r="W594" s="3" t="str">
        <f>IFERROR(__xludf.DUMMYFUNCTION("""COMPUTED_VALUE"""),"Delivery")</f>
        <v>Delivery</v>
      </c>
      <c r="X594" s="3"/>
      <c r="Y594" s="3"/>
      <c r="Z594" s="3" t="str">
        <f>IFERROR(__xludf.DUMMYFUNCTION("""COMPUTED_VALUE"""),"Enterprise Digital Transformation - BCM &amp; AWM")</f>
        <v>Enterprise Digital Transformation - BCM &amp; AWM</v>
      </c>
      <c r="AA594" s="3" t="b">
        <f>IFERROR(__xludf.DUMMYFUNCTION("""COMPUTED_VALUE"""),FALSE)</f>
        <v>0</v>
      </c>
    </row>
    <row r="595">
      <c r="A595" s="3">
        <f>IFERROR(__xludf.DUMMYFUNCTION("""COMPUTED_VALUE"""),1.01025735E8)</f>
        <v>101025735</v>
      </c>
      <c r="B595" s="3" t="str">
        <f>IFERROR(__xludf.DUMMYFUNCTION("""COMPUTED_VALUE"""),"Sarah Daubenspeck")</f>
        <v>Sarah Daubenspeck</v>
      </c>
      <c r="C595" s="3" t="str">
        <f>IFERROR(__xludf.DUMMYFUNCTION("""COMPUTED_VALUE"""),"Sarah Elizabeth Daubenspeck")</f>
        <v>Sarah Elizabeth Daubenspeck</v>
      </c>
      <c r="D595" s="3" t="str">
        <f>IFERROR(__xludf.DUMMYFUNCTION("""COMPUTED_VALUE"""),"Daubenspeck, Sarah Elizabeth")</f>
        <v>Daubenspeck, Sarah Elizabeth</v>
      </c>
      <c r="E595" s="3" t="str">
        <f>IFERROR(__xludf.DUMMYFUNCTION("""COMPUTED_VALUE"""),"Active")</f>
        <v>Active</v>
      </c>
      <c r="F595" s="3" t="str">
        <f>IFERROR(__xludf.DUMMYFUNCTION("""COMPUTED_VALUE"""),"sarah.daubenspeck@pwc.com")</f>
        <v>sarah.daubenspeck@pwc.com</v>
      </c>
      <c r="G595" s="3" t="str">
        <f>IFERROR(__xludf.DUMMYFUNCTION("""COMPUTED_VALUE"""),"Health")</f>
        <v>Health</v>
      </c>
      <c r="H595" s="3" t="str">
        <f>IFERROR(__xludf.DUMMYFUNCTION("""COMPUTED_VALUE"""),"Health Services")</f>
        <v>Health Services</v>
      </c>
      <c r="I595" s="3" t="str">
        <f>IFERROR(__xludf.DUMMYFUNCTION("""COMPUTED_VALUE"""),"Health - Provider FFG")</f>
        <v>Health - Provider FFG</v>
      </c>
      <c r="J595" s="3" t="str">
        <f>IFERROR(__xludf.DUMMYFUNCTION("""COMPUTED_VALUE"""),"Partner")</f>
        <v>Partner</v>
      </c>
      <c r="K595" s="12">
        <f>IFERROR(__xludf.DUMMYFUNCTION("""COMPUTED_VALUE"""),44136.0)</f>
        <v>44136</v>
      </c>
      <c r="L595" s="3" t="str">
        <f>IFERROR(__xludf.DUMMYFUNCTION("""COMPUTED_VALUE"""),"Cleveland")</f>
        <v>Cleveland</v>
      </c>
      <c r="M595" s="3" t="str">
        <f>IFERROR(__xludf.DUMMYFUNCTION("""COMPUTED_VALUE"""),"Cleveland - 200 Public Square")</f>
        <v>Cleveland - 200 Public Square</v>
      </c>
      <c r="N595" s="3" t="b">
        <f>IFERROR(__xludf.DUMMYFUNCTION("""COMPUTED_VALUE"""),FALSE)</f>
        <v>0</v>
      </c>
      <c r="O595" s="3" t="str">
        <f>IFERROR(__xludf.DUMMYFUNCTION("""COMPUTED_VALUE"""),"craig.e.gooch@pwc.com")</f>
        <v>craig.e.gooch@pwc.com</v>
      </c>
      <c r="P595" s="3" t="str">
        <f>IFERROR(__xludf.DUMMYFUNCTION("""COMPUTED_VALUE"""),"FY21 1st Half")</f>
        <v>FY21 1st Half</v>
      </c>
      <c r="Q595" s="3" t="b">
        <f>IFERROR(__xludf.DUMMYFUNCTION("""COMPUTED_VALUE"""),FALSE)</f>
        <v>0</v>
      </c>
      <c r="R595" s="3"/>
      <c r="S595" s="3"/>
      <c r="T595" s="3" t="b">
        <f>IFERROR(__xludf.DUMMYFUNCTION("""COMPUTED_VALUE"""),TRUE)</f>
        <v>1</v>
      </c>
      <c r="U595" s="3" t="b">
        <f>IFERROR(__xludf.DUMMYFUNCTION("""COMPUTED_VALUE"""),FALSE)</f>
        <v>0</v>
      </c>
      <c r="V595" s="3" t="b">
        <f>IFERROR(__xludf.DUMMYFUNCTION("""COMPUTED_VALUE"""),FALSE)</f>
        <v>0</v>
      </c>
      <c r="W595" s="3" t="str">
        <f>IFERROR(__xludf.DUMMYFUNCTION("""COMPUTED_VALUE"""),"Catalyst")</f>
        <v>Catalyst</v>
      </c>
      <c r="X595" s="3"/>
      <c r="Y595" s="3" t="str">
        <f>IFERROR(__xludf.DUMMYFUNCTION("""COMPUTED_VALUE"""),"FY21 1st Half")</f>
        <v>FY21 1st Half</v>
      </c>
      <c r="Z595" s="3" t="str">
        <f>IFERROR(__xludf.DUMMYFUNCTION("""COMPUTED_VALUE"""),"Provider Transformation")</f>
        <v>Provider Transformation</v>
      </c>
      <c r="AA595" s="3" t="b">
        <f>IFERROR(__xludf.DUMMYFUNCTION("""COMPUTED_VALUE"""),TRUE)</f>
        <v>1</v>
      </c>
    </row>
    <row r="596">
      <c r="A596" s="11">
        <f>IFERROR(__xludf.DUMMYFUNCTION("""COMPUTED_VALUE"""),1.00643946E8)</f>
        <v>100643946</v>
      </c>
      <c r="B596" s="3" t="str">
        <f>IFERROR(__xludf.DUMMYFUNCTION("""COMPUTED_VALUE"""),"Sarah Pullins")</f>
        <v>Sarah Pullins</v>
      </c>
      <c r="C596" s="3" t="str">
        <f>IFERROR(__xludf.DUMMYFUNCTION("""COMPUTED_VALUE"""),"Sarah E Pullins")</f>
        <v>Sarah E Pullins</v>
      </c>
      <c r="D596" s="3" t="str">
        <f>IFERROR(__xludf.DUMMYFUNCTION("""COMPUTED_VALUE"""),"Pullins, Sarah E")</f>
        <v>Pullins, Sarah E</v>
      </c>
      <c r="E596" s="3" t="str">
        <f>IFERROR(__xludf.DUMMYFUNCTION("""COMPUTED_VALUE"""),"Active")</f>
        <v>Active</v>
      </c>
      <c r="F596" s="3" t="str">
        <f>IFERROR(__xludf.DUMMYFUNCTION("""COMPUTED_VALUE"""),"sarah.e.pullins@pwc.com")</f>
        <v>sarah.e.pullins@pwc.com</v>
      </c>
      <c r="G596" s="3" t="str">
        <f>IFERROR(__xludf.DUMMYFUNCTION("""COMPUTED_VALUE"""),"Workforce")</f>
        <v>Workforce</v>
      </c>
      <c r="H596" s="3" t="str">
        <f>IFERROR(__xludf.DUMMYFUNCTION("""COMPUTED_VALUE"""),"CM X-Sector")</f>
        <v>CM X-Sector</v>
      </c>
      <c r="I596" s="3" t="str">
        <f>IFERROR(__xludf.DUMMYFUNCTION("""COMPUTED_VALUE"""),"Workforce - Deals")</f>
        <v>Workforce - Deals</v>
      </c>
      <c r="J596" s="3" t="str">
        <f>IFERROR(__xludf.DUMMYFUNCTION("""COMPUTED_VALUE"""),"Partner")</f>
        <v>Partner</v>
      </c>
      <c r="K596" s="12">
        <f>IFERROR(__xludf.DUMMYFUNCTION("""COMPUTED_VALUE"""),40252.0)</f>
        <v>40252</v>
      </c>
      <c r="L596" s="3" t="str">
        <f>IFERROR(__xludf.DUMMYFUNCTION("""COMPUTED_VALUE"""),"Chicago")</f>
        <v>Chicago</v>
      </c>
      <c r="M596" s="3" t="str">
        <f>IFERROR(__xludf.DUMMYFUNCTION("""COMPUTED_VALUE"""),"Chicago - One North Wacker Drive")</f>
        <v>Chicago - One North Wacker Drive</v>
      </c>
      <c r="N596" s="3" t="b">
        <f>IFERROR(__xludf.DUMMYFUNCTION("""COMPUTED_VALUE"""),FALSE)</f>
        <v>0</v>
      </c>
      <c r="O596" s="3" t="str">
        <f>IFERROR(__xludf.DUMMYFUNCTION("""COMPUTED_VALUE"""),"craig.odonnell@pwc.com")</f>
        <v>craig.odonnell@pwc.com</v>
      </c>
      <c r="P596" s="3" t="str">
        <f>IFERROR(__xludf.DUMMYFUNCTION("""COMPUTED_VALUE"""),"No")</f>
        <v>No</v>
      </c>
      <c r="Q596" s="3" t="b">
        <f>IFERROR(__xludf.DUMMYFUNCTION("""COMPUTED_VALUE"""),FALSE)</f>
        <v>0</v>
      </c>
      <c r="R596" s="3"/>
      <c r="S596" s="3"/>
      <c r="T596" s="3" t="b">
        <f>IFERROR(__xludf.DUMMYFUNCTION("""COMPUTED_VALUE"""),FALSE)</f>
        <v>0</v>
      </c>
      <c r="U596" s="3" t="b">
        <f>IFERROR(__xludf.DUMMYFUNCTION("""COMPUTED_VALUE"""),FALSE)</f>
        <v>0</v>
      </c>
      <c r="V596" s="3" t="b">
        <f>IFERROR(__xludf.DUMMYFUNCTION("""COMPUTED_VALUE"""),FALSE)</f>
        <v>0</v>
      </c>
      <c r="W596" s="3" t="str">
        <f>IFERROR(__xludf.DUMMYFUNCTION("""COMPUTED_VALUE"""),"#N/A")</f>
        <v>#N/A</v>
      </c>
      <c r="X596" s="3" t="str">
        <f>IFERROR(__xludf.DUMMYFUNCTION("""COMPUTED_VALUE"""),"#N/A")</f>
        <v>#N/A</v>
      </c>
      <c r="Y596" s="3" t="str">
        <f>IFERROR(__xludf.DUMMYFUNCTION("""COMPUTED_VALUE"""),"#N/A")</f>
        <v>#N/A</v>
      </c>
      <c r="Z596" s="3" t="str">
        <f>IFERROR(__xludf.DUMMYFUNCTION("""COMPUTED_VALUE"""),"Unknown")</f>
        <v>Unknown</v>
      </c>
      <c r="AA596" s="3" t="b">
        <f>IFERROR(__xludf.DUMMYFUNCTION("""COMPUTED_VALUE"""),FALSE)</f>
        <v>0</v>
      </c>
    </row>
    <row r="597">
      <c r="A597" s="11">
        <f>IFERROR(__xludf.DUMMYFUNCTION("""COMPUTED_VALUE"""),1.00646702E8)</f>
        <v>100646702</v>
      </c>
      <c r="B597" s="3" t="str">
        <f>IFERROR(__xludf.DUMMYFUNCTION("""COMPUTED_VALUE"""),"Sarah Rodriguez")</f>
        <v>Sarah Rodriguez</v>
      </c>
      <c r="C597" s="3" t="str">
        <f>IFERROR(__xludf.DUMMYFUNCTION("""COMPUTED_VALUE"""),"Sarah  Rodriguez")</f>
        <v>Sarah  Rodriguez</v>
      </c>
      <c r="D597" s="3" t="str">
        <f>IFERROR(__xludf.DUMMYFUNCTION("""COMPUTED_VALUE"""),"Rodriguez, Sarah")</f>
        <v>Rodriguez, Sarah</v>
      </c>
      <c r="E597" s="3" t="str">
        <f>IFERROR(__xludf.DUMMYFUNCTION("""COMPUTED_VALUE"""),"Active")</f>
        <v>Active</v>
      </c>
      <c r="F597" s="3" t="str">
        <f>IFERROR(__xludf.DUMMYFUNCTION("""COMPUTED_VALUE"""),"sarah.rodriguez@pwc.com")</f>
        <v>sarah.rodriguez@pwc.com</v>
      </c>
      <c r="G597" s="3" t="str">
        <f>IFERROR(__xludf.DUMMYFUNCTION("""COMPUTED_VALUE"""),"Finance")</f>
        <v>Finance</v>
      </c>
      <c r="H597" s="3" t="str">
        <f>IFERROR(__xludf.DUMMYFUNCTION("""COMPUTED_VALUE"""),"Energy")</f>
        <v>Energy</v>
      </c>
      <c r="I597" s="3" t="str">
        <f>IFERROR(__xludf.DUMMYFUNCTION("""COMPUTED_VALUE"""),"Finance - Finance Strategy / Op Model / Global Business Services / Talent")</f>
        <v>Finance - Finance Strategy / Op Model / Global Business Services / Talent</v>
      </c>
      <c r="J597" s="3" t="str">
        <f>IFERROR(__xludf.DUMMYFUNCTION("""COMPUTED_VALUE"""),"Partner")</f>
        <v>Partner</v>
      </c>
      <c r="K597" s="12">
        <f>IFERROR(__xludf.DUMMYFUNCTION("""COMPUTED_VALUE"""),40343.0)</f>
        <v>40343</v>
      </c>
      <c r="L597" s="3" t="str">
        <f>IFERROR(__xludf.DUMMYFUNCTION("""COMPUTED_VALUE"""),"Dallas")</f>
        <v>Dallas</v>
      </c>
      <c r="M597" s="3" t="str">
        <f>IFERROR(__xludf.DUMMYFUNCTION("""COMPUTED_VALUE"""),"Dallas - 2121 North Pearl Street")</f>
        <v>Dallas - 2121 North Pearl Street</v>
      </c>
      <c r="N597" s="3" t="b">
        <f>IFERROR(__xludf.DUMMYFUNCTION("""COMPUTED_VALUE"""),FALSE)</f>
        <v>0</v>
      </c>
      <c r="O597" s="3" t="str">
        <f>IFERROR(__xludf.DUMMYFUNCTION("""COMPUTED_VALUE"""),"kurtis.babczenko@pwc.com")</f>
        <v>kurtis.babczenko@pwc.com</v>
      </c>
      <c r="P597" s="3" t="str">
        <f>IFERROR(__xludf.DUMMYFUNCTION("""COMPUTED_VALUE"""),"No")</f>
        <v>No</v>
      </c>
      <c r="Q597" s="3" t="b">
        <f>IFERROR(__xludf.DUMMYFUNCTION("""COMPUTED_VALUE"""),TRUE)</f>
        <v>1</v>
      </c>
      <c r="R597" s="3" t="str">
        <f>IFERROR(__xludf.DUMMYFUNCTION("""COMPUTED_VALUE"""),"LCP Low")</f>
        <v>LCP Low</v>
      </c>
      <c r="S597" s="3"/>
      <c r="T597" s="3" t="b">
        <f>IFERROR(__xludf.DUMMYFUNCTION("""COMPUTED_VALUE"""),FALSE)</f>
        <v>0</v>
      </c>
      <c r="U597" s="3" t="b">
        <f>IFERROR(__xludf.DUMMYFUNCTION("""COMPUTED_VALUE"""),FALSE)</f>
        <v>0</v>
      </c>
      <c r="V597" s="3" t="b">
        <f>IFERROR(__xludf.DUMMYFUNCTION("""COMPUTED_VALUE"""),FALSE)</f>
        <v>0</v>
      </c>
      <c r="W597" s="3" t="str">
        <f>IFERROR(__xludf.DUMMYFUNCTION("""COMPUTED_VALUE"""),"LCP")</f>
        <v>LCP</v>
      </c>
      <c r="X597" s="3"/>
      <c r="Y597" s="3" t="str">
        <f>IFERROR(__xludf.DUMMYFUNCTION("""COMPUTED_VALUE"""),"GEP - Low")</f>
        <v>GEP - Low</v>
      </c>
      <c r="Z597" s="3" t="str">
        <f>IFERROR(__xludf.DUMMYFUNCTION("""COMPUTED_VALUE"""),"Finance Transformation IPS - EUM / PU")</f>
        <v>Finance Transformation IPS - EUM / PU</v>
      </c>
      <c r="AA597" s="3" t="b">
        <f>IFERROR(__xludf.DUMMYFUNCTION("""COMPUTED_VALUE"""),FALSE)</f>
        <v>0</v>
      </c>
    </row>
    <row r="598">
      <c r="A598" s="11">
        <f>IFERROR(__xludf.DUMMYFUNCTION("""COMPUTED_VALUE"""),1.00660027E8)</f>
        <v>100660027</v>
      </c>
      <c r="B598" s="3" t="str">
        <f>IFERROR(__xludf.DUMMYFUNCTION("""COMPUTED_VALUE"""),"Sarah Senyo")</f>
        <v>Sarah Senyo</v>
      </c>
      <c r="C598" s="3" t="str">
        <f>IFERROR(__xludf.DUMMYFUNCTION("""COMPUTED_VALUE"""),"Sarah D Senyo")</f>
        <v>Sarah D Senyo</v>
      </c>
      <c r="D598" s="3" t="str">
        <f>IFERROR(__xludf.DUMMYFUNCTION("""COMPUTED_VALUE"""),"Senyo, Sarah D")</f>
        <v>Senyo, Sarah D</v>
      </c>
      <c r="E598" s="3" t="str">
        <f>IFERROR(__xludf.DUMMYFUNCTION("""COMPUTED_VALUE"""),"Active")</f>
        <v>Active</v>
      </c>
      <c r="F598" s="3" t="str">
        <f>IFERROR(__xludf.DUMMYFUNCTION("""COMPUTED_VALUE"""),"sarah.d.senyo@pwc.com")</f>
        <v>sarah.d.senyo@pwc.com</v>
      </c>
      <c r="G598" s="3" t="str">
        <f>IFERROR(__xludf.DUMMYFUNCTION("""COMPUTED_VALUE"""),"Deals Transformation")</f>
        <v>Deals Transformation</v>
      </c>
      <c r="H598" s="3" t="str">
        <f>IFERROR(__xludf.DUMMYFUNCTION("""COMPUTED_VALUE"""),"Aerospace and Defence")</f>
        <v>Aerospace and Defence</v>
      </c>
      <c r="I598" s="3" t="str">
        <f>IFERROR(__xludf.DUMMYFUNCTION("""COMPUTED_VALUE"""),"DDV - GTM")</f>
        <v>DDV - GTM</v>
      </c>
      <c r="J598" s="3" t="str">
        <f>IFERROR(__xludf.DUMMYFUNCTION("""COMPUTED_VALUE"""),"Partner")</f>
        <v>Partner</v>
      </c>
      <c r="K598" s="12">
        <f>IFERROR(__xludf.DUMMYFUNCTION("""COMPUTED_VALUE"""),40776.0)</f>
        <v>40776</v>
      </c>
      <c r="L598" s="3" t="str">
        <f>IFERROR(__xludf.DUMMYFUNCTION("""COMPUTED_VALUE"""),"Washington")</f>
        <v>Washington</v>
      </c>
      <c r="M598" s="3" t="str">
        <f>IFERROR(__xludf.DUMMYFUNCTION("""COMPUTED_VALUE"""),"Washington DC - 655 New York Avenue")</f>
        <v>Washington DC - 655 New York Avenue</v>
      </c>
      <c r="N598" s="3" t="b">
        <f>IFERROR(__xludf.DUMMYFUNCTION("""COMPUTED_VALUE"""),FALSE)</f>
        <v>0</v>
      </c>
      <c r="O598" s="3" t="str">
        <f>IFERROR(__xludf.DUMMYFUNCTION("""COMPUTED_VALUE"""),"derek.b.townsend@pwc.com")</f>
        <v>derek.b.townsend@pwc.com</v>
      </c>
      <c r="P598" s="3" t="str">
        <f>IFERROR(__xludf.DUMMYFUNCTION("""COMPUTED_VALUE"""),"No")</f>
        <v>No</v>
      </c>
      <c r="Q598" s="3" t="b">
        <f>IFERROR(__xludf.DUMMYFUNCTION("""COMPUTED_VALUE"""),FALSE)</f>
        <v>0</v>
      </c>
      <c r="R598" s="3"/>
      <c r="S598" s="3"/>
      <c r="T598" s="3" t="b">
        <f>IFERROR(__xludf.DUMMYFUNCTION("""COMPUTED_VALUE"""),FALSE)</f>
        <v>0</v>
      </c>
      <c r="U598" s="3" t="b">
        <f>IFERROR(__xludf.DUMMYFUNCTION("""COMPUTED_VALUE"""),TRUE)</f>
        <v>1</v>
      </c>
      <c r="V598" s="3" t="b">
        <f>IFERROR(__xludf.DUMMYFUNCTION("""COMPUTED_VALUE"""),FALSE)</f>
        <v>0</v>
      </c>
      <c r="W598" s="3" t="str">
        <f>IFERROR(__xludf.DUMMYFUNCTION("""COMPUTED_VALUE"""),"Delivery")</f>
        <v>Delivery</v>
      </c>
      <c r="X598" s="3"/>
      <c r="Y598" s="3"/>
      <c r="Z598" s="3" t="str">
        <f>IFERROR(__xludf.DUMMYFUNCTION("""COMPUTED_VALUE"""),"Corporate M&amp;A Transformation - IPS")</f>
        <v>Corporate M&amp;A Transformation - IPS</v>
      </c>
      <c r="AA598" s="3" t="b">
        <f>IFERROR(__xludf.DUMMYFUNCTION("""COMPUTED_VALUE"""),FALSE)</f>
        <v>0</v>
      </c>
    </row>
    <row r="599">
      <c r="A599" s="11">
        <f>IFERROR(__xludf.DUMMYFUNCTION("""COMPUTED_VALUE"""),1.00644048E8)</f>
        <v>100644048</v>
      </c>
      <c r="B599" s="3" t="str">
        <f>IFERROR(__xludf.DUMMYFUNCTION("""COMPUTED_VALUE"""),"Sarah Tunku Mu'Tamir")</f>
        <v>Sarah Tunku Mu'Tamir</v>
      </c>
      <c r="C599" s="3" t="str">
        <f>IFERROR(__xludf.DUMMYFUNCTION("""COMPUTED_VALUE"""),"Tunku Sarah Mastura binti Tunku Mu'Tamir")</f>
        <v>Tunku Sarah Mastura binti Tunku Mu'Tamir</v>
      </c>
      <c r="D599" s="3" t="str">
        <f>IFERROR(__xludf.DUMMYFUNCTION("""COMPUTED_VALUE"""),"Tunku Mu'Tamir, Tunku Sarah Mastura binti")</f>
        <v>Tunku Mu'Tamir, Tunku Sarah Mastura binti</v>
      </c>
      <c r="E599" s="3" t="str">
        <f>IFERROR(__xludf.DUMMYFUNCTION("""COMPUTED_VALUE"""),"Active")</f>
        <v>Active</v>
      </c>
      <c r="F599" s="3" t="str">
        <f>IFERROR(__xludf.DUMMYFUNCTION("""COMPUTED_VALUE"""),"tunku.sarah.m.tunku.mutamir@pwc.com")</f>
        <v>tunku.sarah.m.tunku.mutamir@pwc.com</v>
      </c>
      <c r="G599" s="3" t="str">
        <f>IFERROR(__xludf.DUMMYFUNCTION("""COMPUTED_VALUE"""),"Workforce")</f>
        <v>Workforce</v>
      </c>
      <c r="H599" s="3" t="str">
        <f>IFERROR(__xludf.DUMMYFUNCTION("""COMPUTED_VALUE"""),"TMT X-Sector")</f>
        <v>TMT X-Sector</v>
      </c>
      <c r="I599" s="3" t="str">
        <f>IFERROR(__xludf.DUMMYFUNCTION("""COMPUTED_VALUE"""),"Workforce - Deals")</f>
        <v>Workforce - Deals</v>
      </c>
      <c r="J599" s="3" t="str">
        <f>IFERROR(__xludf.DUMMYFUNCTION("""COMPUTED_VALUE"""),"Partner")</f>
        <v>Partner</v>
      </c>
      <c r="K599" s="12">
        <f>IFERROR(__xludf.DUMMYFUNCTION("""COMPUTED_VALUE"""),40252.0)</f>
        <v>40252</v>
      </c>
      <c r="L599" s="3" t="str">
        <f>IFERROR(__xludf.DUMMYFUNCTION("""COMPUTED_VALUE"""),"New York")</f>
        <v>New York</v>
      </c>
      <c r="M599" s="3" t="str">
        <f>IFERROR(__xludf.DUMMYFUNCTION("""COMPUTED_VALUE"""),"New York - 300 Madison Avenue")</f>
        <v>New York - 300 Madison Avenue</v>
      </c>
      <c r="N599" s="3" t="b">
        <f>IFERROR(__xludf.DUMMYFUNCTION("""COMPUTED_VALUE"""),FALSE)</f>
        <v>0</v>
      </c>
      <c r="O599" s="3" t="str">
        <f>IFERROR(__xludf.DUMMYFUNCTION("""COMPUTED_VALUE"""),"craig.odonnell@pwc.com")</f>
        <v>craig.odonnell@pwc.com</v>
      </c>
      <c r="P599" s="3" t="str">
        <f>IFERROR(__xludf.DUMMYFUNCTION("""COMPUTED_VALUE"""),"No")</f>
        <v>No</v>
      </c>
      <c r="Q599" s="3" t="b">
        <f>IFERROR(__xludf.DUMMYFUNCTION("""COMPUTED_VALUE"""),FALSE)</f>
        <v>0</v>
      </c>
      <c r="R599" s="3"/>
      <c r="S599" s="3"/>
      <c r="T599" s="3" t="b">
        <f>IFERROR(__xludf.DUMMYFUNCTION("""COMPUTED_VALUE"""),FALSE)</f>
        <v>0</v>
      </c>
      <c r="U599" s="3" t="b">
        <f>IFERROR(__xludf.DUMMYFUNCTION("""COMPUTED_VALUE"""),FALSE)</f>
        <v>0</v>
      </c>
      <c r="V599" s="3" t="b">
        <f>IFERROR(__xludf.DUMMYFUNCTION("""COMPUTED_VALUE"""),FALSE)</f>
        <v>0</v>
      </c>
      <c r="W599" s="3" t="str">
        <f>IFERROR(__xludf.DUMMYFUNCTION("""COMPUTED_VALUE"""),"#N/A")</f>
        <v>#N/A</v>
      </c>
      <c r="X599" s="3" t="str">
        <f>IFERROR(__xludf.DUMMYFUNCTION("""COMPUTED_VALUE"""),"#N/A")</f>
        <v>#N/A</v>
      </c>
      <c r="Y599" s="3" t="str">
        <f>IFERROR(__xludf.DUMMYFUNCTION("""COMPUTED_VALUE"""),"#N/A")</f>
        <v>#N/A</v>
      </c>
      <c r="Z599" s="3" t="str">
        <f>IFERROR(__xludf.DUMMYFUNCTION("""COMPUTED_VALUE"""),"Unknown")</f>
        <v>Unknown</v>
      </c>
      <c r="AA599" s="3" t="b">
        <f>IFERROR(__xludf.DUMMYFUNCTION("""COMPUTED_VALUE"""),FALSE)</f>
        <v>0</v>
      </c>
    </row>
    <row r="600">
      <c r="A600" s="11">
        <f>IFERROR(__xludf.DUMMYFUNCTION("""COMPUTED_VALUE"""),1.00631322E8)</f>
        <v>100631322</v>
      </c>
      <c r="B600" s="3" t="str">
        <f>IFERROR(__xludf.DUMMYFUNCTION("""COMPUTED_VALUE"""),"Satyen Popat")</f>
        <v>Satyen Popat</v>
      </c>
      <c r="C600" s="3" t="str">
        <f>IFERROR(__xludf.DUMMYFUNCTION("""COMPUTED_VALUE"""),"Satyen  Popat")</f>
        <v>Satyen  Popat</v>
      </c>
      <c r="D600" s="3" t="str">
        <f>IFERROR(__xludf.DUMMYFUNCTION("""COMPUTED_VALUE"""),"Popat, Satyen")</f>
        <v>Popat, Satyen</v>
      </c>
      <c r="E600" s="3" t="str">
        <f>IFERROR(__xludf.DUMMYFUNCTION("""COMPUTED_VALUE"""),"Active")</f>
        <v>Active</v>
      </c>
      <c r="F600" s="3" t="str">
        <f>IFERROR(__xludf.DUMMYFUNCTION("""COMPUTED_VALUE"""),"satyen.popat@pwc.com")</f>
        <v>satyen.popat@pwc.com</v>
      </c>
      <c r="G600" s="3" t="str">
        <f>IFERROR(__xludf.DUMMYFUNCTION("""COMPUTED_VALUE"""),"Finance")</f>
        <v>Finance</v>
      </c>
      <c r="H600" s="3" t="str">
        <f>IFERROR(__xludf.DUMMYFUNCTION("""COMPUTED_VALUE"""),"TMT X-Sector")</f>
        <v>TMT X-Sector</v>
      </c>
      <c r="I600" s="3" t="str">
        <f>IFERROR(__xludf.DUMMYFUNCTION("""COMPUTED_VALUE"""),"Finance - Enterprise Performance Management")</f>
        <v>Finance - Enterprise Performance Management</v>
      </c>
      <c r="J600" s="3" t="str">
        <f>IFERROR(__xludf.DUMMYFUNCTION("""COMPUTED_VALUE"""),"Partner")</f>
        <v>Partner</v>
      </c>
      <c r="K600" s="12">
        <f>IFERROR(__xludf.DUMMYFUNCTION("""COMPUTED_VALUE"""),42008.0)</f>
        <v>42008</v>
      </c>
      <c r="L600" s="3" t="str">
        <f>IFERROR(__xludf.DUMMYFUNCTION("""COMPUTED_VALUE"""),"San Jose")</f>
        <v>San Jose</v>
      </c>
      <c r="M600" s="3" t="str">
        <f>IFERROR(__xludf.DUMMYFUNCTION("""COMPUTED_VALUE"""),"San Jose - 488 Almaden Boulevard")</f>
        <v>San Jose - 488 Almaden Boulevard</v>
      </c>
      <c r="N600" s="3" t="b">
        <f>IFERROR(__xludf.DUMMYFUNCTION("""COMPUTED_VALUE"""),FALSE)</f>
        <v>0</v>
      </c>
      <c r="O600" s="3" t="str">
        <f>IFERROR(__xludf.DUMMYFUNCTION("""COMPUTED_VALUE"""),"kurtis.babczenko@pwc.com")</f>
        <v>kurtis.babczenko@pwc.com</v>
      </c>
      <c r="P600" s="3" t="str">
        <f>IFERROR(__xludf.DUMMYFUNCTION("""COMPUTED_VALUE"""),"No")</f>
        <v>No</v>
      </c>
      <c r="Q600" s="3" t="b">
        <f>IFERROR(__xludf.DUMMYFUNCTION("""COMPUTED_VALUE"""),FALSE)</f>
        <v>0</v>
      </c>
      <c r="R600" s="3"/>
      <c r="S600" s="3"/>
      <c r="T600" s="3" t="b">
        <f>IFERROR(__xludf.DUMMYFUNCTION("""COMPUTED_VALUE"""),FALSE)</f>
        <v>0</v>
      </c>
      <c r="U600" s="3" t="b">
        <f>IFERROR(__xludf.DUMMYFUNCTION("""COMPUTED_VALUE"""),FALSE)</f>
        <v>0</v>
      </c>
      <c r="V600" s="3" t="b">
        <f>IFERROR(__xludf.DUMMYFUNCTION("""COMPUTED_VALUE"""),FALSE)</f>
        <v>0</v>
      </c>
      <c r="W600" s="3" t="str">
        <f>IFERROR(__xludf.DUMMYFUNCTION("""COMPUTED_VALUE"""),"Delivery")</f>
        <v>Delivery</v>
      </c>
      <c r="X600" s="3"/>
      <c r="Y600" s="3" t="str">
        <f>IFERROR(__xludf.DUMMYFUNCTION("""COMPUTED_VALUE"""),"Point Partner")</f>
        <v>Point Partner</v>
      </c>
      <c r="Z600" s="3" t="str">
        <f>IFERROR(__xludf.DUMMYFUNCTION("""COMPUTED_VALUE"""),"Finance Transformation - TMT")</f>
        <v>Finance Transformation - TMT</v>
      </c>
      <c r="AA600" s="3" t="b">
        <f>IFERROR(__xludf.DUMMYFUNCTION("""COMPUTED_VALUE"""),FALSE)</f>
        <v>0</v>
      </c>
    </row>
    <row r="601">
      <c r="A601" s="11">
        <f>IFERROR(__xludf.DUMMYFUNCTION("""COMPUTED_VALUE"""),1.00642238E8)</f>
        <v>100642238</v>
      </c>
      <c r="B601" s="3" t="str">
        <f>IFERROR(__xludf.DUMMYFUNCTION("""COMPUTED_VALUE"""),"Scott Boruff")</f>
        <v>Scott Boruff</v>
      </c>
      <c r="C601" s="3" t="str">
        <f>IFERROR(__xludf.DUMMYFUNCTION("""COMPUTED_VALUE"""),"Scott William Boruff")</f>
        <v>Scott William Boruff</v>
      </c>
      <c r="D601" s="3" t="str">
        <f>IFERROR(__xludf.DUMMYFUNCTION("""COMPUTED_VALUE"""),"Boruff, Scott William")</f>
        <v>Boruff, Scott William</v>
      </c>
      <c r="E601" s="3" t="str">
        <f>IFERROR(__xludf.DUMMYFUNCTION("""COMPUTED_VALUE"""),"Active")</f>
        <v>Active</v>
      </c>
      <c r="F601" s="3" t="str">
        <f>IFERROR(__xludf.DUMMYFUNCTION("""COMPUTED_VALUE"""),"scott.w.boruff@pwc.com")</f>
        <v>scott.w.boruff@pwc.com</v>
      </c>
      <c r="G601" s="3" t="str">
        <f>IFERROR(__xludf.DUMMYFUNCTION("""COMPUTED_VALUE"""),"Ops")</f>
        <v>Ops</v>
      </c>
      <c r="H601" s="3" t="str">
        <f>IFERROR(__xludf.DUMMYFUNCTION("""COMPUTED_VALUE"""),"CM X-Sector")</f>
        <v>CM X-Sector</v>
      </c>
      <c r="I601" s="3" t="str">
        <f>IFERROR(__xludf.DUMMYFUNCTION("""COMPUTED_VALUE"""),"Ops - Sourcing &amp; Procurement (S&amp;P)")</f>
        <v>Ops - Sourcing &amp; Procurement (S&amp;P)</v>
      </c>
      <c r="J601" s="3" t="str">
        <f>IFERROR(__xludf.DUMMYFUNCTION("""COMPUTED_VALUE"""),"Partner")</f>
        <v>Partner</v>
      </c>
      <c r="K601" s="12">
        <f>IFERROR(__xludf.DUMMYFUNCTION("""COMPUTED_VALUE"""),40162.0)</f>
        <v>40162</v>
      </c>
      <c r="L601" s="3" t="str">
        <f>IFERROR(__xludf.DUMMYFUNCTION("""COMPUTED_VALUE"""),"Chicago")</f>
        <v>Chicago</v>
      </c>
      <c r="M601" s="3" t="str">
        <f>IFERROR(__xludf.DUMMYFUNCTION("""COMPUTED_VALUE"""),"Chicago - One North Wacker Drive")</f>
        <v>Chicago - One North Wacker Drive</v>
      </c>
      <c r="N601" s="3" t="b">
        <f>IFERROR(__xludf.DUMMYFUNCTION("""COMPUTED_VALUE"""),FALSE)</f>
        <v>0</v>
      </c>
      <c r="O601" s="3" t="str">
        <f>IFERROR(__xludf.DUMMYFUNCTION("""COMPUTED_VALUE"""),"matthew.r.comte@pwc.com")</f>
        <v>matthew.r.comte@pwc.com</v>
      </c>
      <c r="P601" s="3" t="str">
        <f>IFERROR(__xludf.DUMMYFUNCTION("""COMPUTED_VALUE"""),"No")</f>
        <v>No</v>
      </c>
      <c r="Q601" s="3" t="b">
        <f>IFERROR(__xludf.DUMMYFUNCTION("""COMPUTED_VALUE"""),FALSE)</f>
        <v>0</v>
      </c>
      <c r="R601" s="3"/>
      <c r="S601" s="3"/>
      <c r="T601" s="3" t="b">
        <f>IFERROR(__xludf.DUMMYFUNCTION("""COMPUTED_VALUE"""),FALSE)</f>
        <v>0</v>
      </c>
      <c r="U601" s="3" t="b">
        <f>IFERROR(__xludf.DUMMYFUNCTION("""COMPUTED_VALUE"""),TRUE)</f>
        <v>1</v>
      </c>
      <c r="V601" s="3" t="b">
        <f>IFERROR(__xludf.DUMMYFUNCTION("""COMPUTED_VALUE"""),FALSE)</f>
        <v>0</v>
      </c>
      <c r="W601" s="3" t="str">
        <f>IFERROR(__xludf.DUMMYFUNCTION("""COMPUTED_VALUE"""),"Delivery")</f>
        <v>Delivery</v>
      </c>
      <c r="X601" s="3"/>
      <c r="Y601" s="3"/>
      <c r="Z601" s="3" t="str">
        <f>IFERROR(__xludf.DUMMYFUNCTION("""COMPUTED_VALUE"""),"CM Ops Transformation")</f>
        <v>CM Ops Transformation</v>
      </c>
      <c r="AA601" s="3" t="b">
        <f>IFERROR(__xludf.DUMMYFUNCTION("""COMPUTED_VALUE"""),FALSE)</f>
        <v>0</v>
      </c>
    </row>
    <row r="602">
      <c r="A602" s="11">
        <f>IFERROR(__xludf.DUMMYFUNCTION("""COMPUTED_VALUE"""),1.00624533E8)</f>
        <v>100624533</v>
      </c>
      <c r="B602" s="3" t="str">
        <f>IFERROR(__xludf.DUMMYFUNCTION("""COMPUTED_VALUE"""),"Scott Kittrell")</f>
        <v>Scott Kittrell</v>
      </c>
      <c r="C602" s="3" t="str">
        <f>IFERROR(__xludf.DUMMYFUNCTION("""COMPUTED_VALUE"""),"Scott Curtis Kittrell")</f>
        <v>Scott Curtis Kittrell</v>
      </c>
      <c r="D602" s="3" t="str">
        <f>IFERROR(__xludf.DUMMYFUNCTION("""COMPUTED_VALUE"""),"Kittrell, Scott Curtis")</f>
        <v>Kittrell, Scott Curtis</v>
      </c>
      <c r="E602" s="3" t="str">
        <f>IFERROR(__xludf.DUMMYFUNCTION("""COMPUTED_VALUE"""),"Active")</f>
        <v>Active</v>
      </c>
      <c r="F602" s="3" t="str">
        <f>IFERROR(__xludf.DUMMYFUNCTION("""COMPUTED_VALUE"""),"kittrell.scott@pwc.com")</f>
        <v>kittrell.scott@pwc.com</v>
      </c>
      <c r="G602" s="3" t="str">
        <f>IFERROR(__xludf.DUMMYFUNCTION("""COMPUTED_VALUE"""),"ESV")</f>
        <v>ESV</v>
      </c>
      <c r="H602" s="3" t="str">
        <f>IFERROR(__xludf.DUMMYFUNCTION("""COMPUTED_VALUE"""),"Aerospace and Defence")</f>
        <v>Aerospace and Defence</v>
      </c>
      <c r="I602" s="3" t="str">
        <f>IFERROR(__xludf.DUMMYFUNCTION("""COMPUTED_VALUE"""),"ESV - IPS")</f>
        <v>ESV - IPS</v>
      </c>
      <c r="J602" s="3" t="str">
        <f>IFERROR(__xludf.DUMMYFUNCTION("""COMPUTED_VALUE"""),"Managing Director")</f>
        <v>Managing Director</v>
      </c>
      <c r="K602" s="12">
        <f>IFERROR(__xludf.DUMMYFUNCTION("""COMPUTED_VALUE"""),42186.0)</f>
        <v>42186</v>
      </c>
      <c r="L602" s="3" t="str">
        <f>IFERROR(__xludf.DUMMYFUNCTION("""COMPUTED_VALUE"""),"Washington")</f>
        <v>Washington</v>
      </c>
      <c r="M602" s="3" t="str">
        <f>IFERROR(__xludf.DUMMYFUNCTION("""COMPUTED_VALUE"""),"Washington DC - 655 New York Avenue")</f>
        <v>Washington DC - 655 New York Avenue</v>
      </c>
      <c r="N602" s="3" t="b">
        <f>IFERROR(__xludf.DUMMYFUNCTION("""COMPUTED_VALUE"""),FALSE)</f>
        <v>0</v>
      </c>
      <c r="O602" s="3" t="str">
        <f>IFERROR(__xludf.DUMMYFUNCTION("""COMPUTED_VALUE"""),"william.j.lay@pwc.com")</f>
        <v>william.j.lay@pwc.com</v>
      </c>
      <c r="P602" s="3" t="str">
        <f>IFERROR(__xludf.DUMMYFUNCTION("""COMPUTED_VALUE"""),"No")</f>
        <v>No</v>
      </c>
      <c r="Q602" s="3" t="b">
        <f>IFERROR(__xludf.DUMMYFUNCTION("""COMPUTED_VALUE"""),FALSE)</f>
        <v>0</v>
      </c>
      <c r="R602" s="3"/>
      <c r="S602" s="3"/>
      <c r="T602" s="3" t="b">
        <f>IFERROR(__xludf.DUMMYFUNCTION("""COMPUTED_VALUE"""),FALSE)</f>
        <v>0</v>
      </c>
      <c r="U602" s="3" t="b">
        <f>IFERROR(__xludf.DUMMYFUNCTION("""COMPUTED_VALUE"""),FALSE)</f>
        <v>0</v>
      </c>
      <c r="V602" s="3" t="b">
        <f>IFERROR(__xludf.DUMMYFUNCTION("""COMPUTED_VALUE"""),FALSE)</f>
        <v>0</v>
      </c>
      <c r="W602" s="3" t="str">
        <f>IFERROR(__xludf.DUMMYFUNCTION("""COMPUTED_VALUE"""),"Delivery")</f>
        <v>Delivery</v>
      </c>
      <c r="X602" s="3"/>
      <c r="Y602" s="3"/>
      <c r="Z602" s="3" t="str">
        <f>IFERROR(__xludf.DUMMYFUNCTION("""COMPUTED_VALUE"""),"")</f>
        <v/>
      </c>
      <c r="AA602" s="3" t="b">
        <f>IFERROR(__xludf.DUMMYFUNCTION("""COMPUTED_VALUE"""),FALSE)</f>
        <v>0</v>
      </c>
    </row>
    <row r="603">
      <c r="A603" s="11">
        <f>IFERROR(__xludf.DUMMYFUNCTION("""COMPUTED_VALUE"""),1.00606975E8)</f>
        <v>100606975</v>
      </c>
      <c r="B603" s="3" t="str">
        <f>IFERROR(__xludf.DUMMYFUNCTION("""COMPUTED_VALUE"""),"Scott Mahoney")</f>
        <v>Scott Mahoney</v>
      </c>
      <c r="C603" s="3" t="str">
        <f>IFERROR(__xludf.DUMMYFUNCTION("""COMPUTED_VALUE"""),"Scott John Mahoney")</f>
        <v>Scott John Mahoney</v>
      </c>
      <c r="D603" s="3" t="str">
        <f>IFERROR(__xludf.DUMMYFUNCTION("""COMPUTED_VALUE"""),"Mahoney, Scott John")</f>
        <v>Mahoney, Scott John</v>
      </c>
      <c r="E603" s="3" t="str">
        <f>IFERROR(__xludf.DUMMYFUNCTION("""COMPUTED_VALUE"""),"Active")</f>
        <v>Active</v>
      </c>
      <c r="F603" s="3" t="str">
        <f>IFERROR(__xludf.DUMMYFUNCTION("""COMPUTED_VALUE"""),"scott.j.mahoney@pwc.com")</f>
        <v>scott.j.mahoney@pwc.com</v>
      </c>
      <c r="G603" s="3" t="str">
        <f>IFERROR(__xludf.DUMMYFUNCTION("""COMPUTED_VALUE"""),"Ops")</f>
        <v>Ops</v>
      </c>
      <c r="H603" s="3" t="str">
        <f>IFERROR(__xludf.DUMMYFUNCTION("""COMPUTED_VALUE"""),"Pharma and Life Sciences")</f>
        <v>Pharma and Life Sciences</v>
      </c>
      <c r="I603" s="3" t="str">
        <f>IFERROR(__xludf.DUMMYFUNCTION("""COMPUTED_VALUE"""),"Ops - Product Development &amp; Manufacturing (PDM)")</f>
        <v>Ops - Product Development &amp; Manufacturing (PDM)</v>
      </c>
      <c r="J603" s="3" t="str">
        <f>IFERROR(__xludf.DUMMYFUNCTION("""COMPUTED_VALUE"""),"Partner")</f>
        <v>Partner</v>
      </c>
      <c r="K603" s="12">
        <f>IFERROR(__xludf.DUMMYFUNCTION("""COMPUTED_VALUE"""),40777.0)</f>
        <v>40777</v>
      </c>
      <c r="L603" s="3" t="str">
        <f>IFERROR(__xludf.DUMMYFUNCTION("""COMPUTED_VALUE"""),"Boston")</f>
        <v>Boston</v>
      </c>
      <c r="M603" s="3" t="str">
        <f>IFERROR(__xludf.DUMMYFUNCTION("""COMPUTED_VALUE"""),"Boston - 101 Seaport Boulevard")</f>
        <v>Boston - 101 Seaport Boulevard</v>
      </c>
      <c r="N603" s="3" t="b">
        <f>IFERROR(__xludf.DUMMYFUNCTION("""COMPUTED_VALUE"""),FALSE)</f>
        <v>0</v>
      </c>
      <c r="O603" s="3" t="str">
        <f>IFERROR(__xludf.DUMMYFUNCTION("""COMPUTED_VALUE"""),"matthew.r.comte@pwc.com")</f>
        <v>matthew.r.comte@pwc.com</v>
      </c>
      <c r="P603" s="3" t="str">
        <f>IFERROR(__xludf.DUMMYFUNCTION("""COMPUTED_VALUE"""),"No")</f>
        <v>No</v>
      </c>
      <c r="Q603" s="3" t="b">
        <f>IFERROR(__xludf.DUMMYFUNCTION("""COMPUTED_VALUE"""),TRUE)</f>
        <v>1</v>
      </c>
      <c r="R603" s="3" t="str">
        <f>IFERROR(__xludf.DUMMYFUNCTION("""COMPUTED_VALUE"""),"LCP Low")</f>
        <v>LCP Low</v>
      </c>
      <c r="S603" s="3"/>
      <c r="T603" s="3" t="b">
        <f>IFERROR(__xludf.DUMMYFUNCTION("""COMPUTED_VALUE"""),FALSE)</f>
        <v>0</v>
      </c>
      <c r="U603" s="3" t="b">
        <f>IFERROR(__xludf.DUMMYFUNCTION("""COMPUTED_VALUE"""),FALSE)</f>
        <v>0</v>
      </c>
      <c r="V603" s="3" t="b">
        <f>IFERROR(__xludf.DUMMYFUNCTION("""COMPUTED_VALUE"""),FALSE)</f>
        <v>0</v>
      </c>
      <c r="W603" s="3" t="str">
        <f>IFERROR(__xludf.DUMMYFUNCTION("""COMPUTED_VALUE"""),"LCP")</f>
        <v>LCP</v>
      </c>
      <c r="X603" s="3"/>
      <c r="Y603" s="3" t="str">
        <f>IFERROR(__xludf.DUMMYFUNCTION("""COMPUTED_VALUE"""),"GEP - Low")</f>
        <v>GEP - Low</v>
      </c>
      <c r="Z603" s="3" t="str">
        <f>IFERROR(__xludf.DUMMYFUNCTION("""COMPUTED_VALUE"""),"PLS Ops Transformation")</f>
        <v>PLS Ops Transformation</v>
      </c>
      <c r="AA603" s="3" t="b">
        <f>IFERROR(__xludf.DUMMYFUNCTION("""COMPUTED_VALUE"""),FALSE)</f>
        <v>0</v>
      </c>
    </row>
    <row r="604">
      <c r="A604" s="11">
        <f>IFERROR(__xludf.DUMMYFUNCTION("""COMPUTED_VALUE"""),1.00608282E8)</f>
        <v>100608282</v>
      </c>
      <c r="B604" s="3" t="str">
        <f>IFERROR(__xludf.DUMMYFUNCTION("""COMPUTED_VALUE"""),"Scott McMillen")</f>
        <v>Scott McMillen</v>
      </c>
      <c r="C604" s="3" t="str">
        <f>IFERROR(__xludf.DUMMYFUNCTION("""COMPUTED_VALUE"""),"Scott A McMillen")</f>
        <v>Scott A McMillen</v>
      </c>
      <c r="D604" s="3" t="str">
        <f>IFERROR(__xludf.DUMMYFUNCTION("""COMPUTED_VALUE"""),"McMillen, Scott A")</f>
        <v>McMillen, Scott A</v>
      </c>
      <c r="E604" s="3" t="str">
        <f>IFERROR(__xludf.DUMMYFUNCTION("""COMPUTED_VALUE"""),"Active")</f>
        <v>Active</v>
      </c>
      <c r="F604" s="3" t="str">
        <f>IFERROR(__xludf.DUMMYFUNCTION("""COMPUTED_VALUE"""),"scott.mcmillen@pwc.com")</f>
        <v>scott.mcmillen@pwc.com</v>
      </c>
      <c r="G604" s="3" t="str">
        <f>IFERROR(__xludf.DUMMYFUNCTION("""COMPUTED_VALUE"""),"FS")</f>
        <v>FS</v>
      </c>
      <c r="H604" s="3" t="str">
        <f>IFERROR(__xludf.DUMMYFUNCTION("""COMPUTED_VALUE"""),"Insurance")</f>
        <v>Insurance</v>
      </c>
      <c r="I604" s="3" t="str">
        <f>IFERROR(__xludf.DUMMYFUNCTION("""COMPUTED_VALUE"""),"FS - Insurance")</f>
        <v>FS - Insurance</v>
      </c>
      <c r="J604" s="3" t="str">
        <f>IFERROR(__xludf.DUMMYFUNCTION("""COMPUTED_VALUE"""),"Partner")</f>
        <v>Partner</v>
      </c>
      <c r="K604" s="12">
        <f>IFERROR(__xludf.DUMMYFUNCTION("""COMPUTED_VALUE"""),40485.0)</f>
        <v>40485</v>
      </c>
      <c r="L604" s="3" t="str">
        <f>IFERROR(__xludf.DUMMYFUNCTION("""COMPUTED_VALUE"""),"Cleveland")</f>
        <v>Cleveland</v>
      </c>
      <c r="M604" s="3" t="str">
        <f>IFERROR(__xludf.DUMMYFUNCTION("""COMPUTED_VALUE"""),"Cleveland - 200 Public Square")</f>
        <v>Cleveland - 200 Public Square</v>
      </c>
      <c r="N604" s="3" t="b">
        <f>IFERROR(__xludf.DUMMYFUNCTION("""COMPUTED_VALUE"""),TRUE)</f>
        <v>1</v>
      </c>
      <c r="O604" s="3" t="str">
        <f>IFERROR(__xludf.DUMMYFUNCTION("""COMPUTED_VALUE"""),"alison.hoover@pwc.com")</f>
        <v>alison.hoover@pwc.com</v>
      </c>
      <c r="P604" s="3" t="str">
        <f>IFERROR(__xludf.DUMMYFUNCTION("""COMPUTED_VALUE"""),"No")</f>
        <v>No</v>
      </c>
      <c r="Q604" s="3" t="b">
        <f>IFERROR(__xludf.DUMMYFUNCTION("""COMPUTED_VALUE"""),TRUE)</f>
        <v>1</v>
      </c>
      <c r="R604" s="3" t="str">
        <f>IFERROR(__xludf.DUMMYFUNCTION("""COMPUTED_VALUE"""),"LCP Low")</f>
        <v>LCP Low</v>
      </c>
      <c r="S604" s="3"/>
      <c r="T604" s="3" t="b">
        <f>IFERROR(__xludf.DUMMYFUNCTION("""COMPUTED_VALUE"""),FALSE)</f>
        <v>0</v>
      </c>
      <c r="U604" s="3" t="b">
        <f>IFERROR(__xludf.DUMMYFUNCTION("""COMPUTED_VALUE"""),FALSE)</f>
        <v>0</v>
      </c>
      <c r="V604" s="3" t="b">
        <f>IFERROR(__xludf.DUMMYFUNCTION("""COMPUTED_VALUE"""),FALSE)</f>
        <v>0</v>
      </c>
      <c r="W604" s="3" t="str">
        <f>IFERROR(__xludf.DUMMYFUNCTION("""COMPUTED_VALUE"""),"LCP")</f>
        <v>LCP</v>
      </c>
      <c r="X604" s="3"/>
      <c r="Y604" s="3" t="str">
        <f>IFERROR(__xludf.DUMMYFUNCTION("""COMPUTED_VALUE"""),"GEP - Low")</f>
        <v>GEP - Low</v>
      </c>
      <c r="Z604" s="3" t="str">
        <f>IFERROR(__xludf.DUMMYFUNCTION("""COMPUTED_VALUE"""),"Insurance Transformation")</f>
        <v>Insurance Transformation</v>
      </c>
      <c r="AA604" s="3" t="b">
        <f>IFERROR(__xludf.DUMMYFUNCTION("""COMPUTED_VALUE"""),FALSE)</f>
        <v>0</v>
      </c>
    </row>
    <row r="605">
      <c r="A605" s="11">
        <f>IFERROR(__xludf.DUMMYFUNCTION("""COMPUTED_VALUE"""),1.00612055E8)</f>
        <v>100612055</v>
      </c>
      <c r="B605" s="3" t="str">
        <f>IFERROR(__xludf.DUMMYFUNCTION("""COMPUTED_VALUE"""),"Scott Pollak")</f>
        <v>Scott Pollak</v>
      </c>
      <c r="C605" s="3" t="str">
        <f>IFERROR(__xludf.DUMMYFUNCTION("""COMPUTED_VALUE"""),"Scott D Pollak")</f>
        <v>Scott D Pollak</v>
      </c>
      <c r="D605" s="3" t="str">
        <f>IFERROR(__xludf.DUMMYFUNCTION("""COMPUTED_VALUE"""),"Pollak, Scott D")</f>
        <v>Pollak, Scott D</v>
      </c>
      <c r="E605" s="3" t="str">
        <f>IFERROR(__xludf.DUMMYFUNCTION("""COMPUTED_VALUE"""),"Active")</f>
        <v>Active</v>
      </c>
      <c r="F605" s="3" t="str">
        <f>IFERROR(__xludf.DUMMYFUNCTION("""COMPUTED_VALUE"""),"scott.pollak@pwc.com")</f>
        <v>scott.pollak@pwc.com</v>
      </c>
      <c r="G605" s="3" t="str">
        <f>IFERROR(__xludf.DUMMYFUNCTION("""COMPUTED_VALUE"""),"Workforce")</f>
        <v>Workforce</v>
      </c>
      <c r="H605" s="3" t="str">
        <f>IFERROR(__xludf.DUMMYFUNCTION("""COMPUTED_VALUE"""),"Technology")</f>
        <v>Technology</v>
      </c>
      <c r="I605" s="3" t="str">
        <f>IFERROR(__xludf.DUMMYFUNCTION("""COMPUTED_VALUE"""),"Workforce - HRT")</f>
        <v>Workforce - HRT</v>
      </c>
      <c r="J605" s="3" t="str">
        <f>IFERROR(__xludf.DUMMYFUNCTION("""COMPUTED_VALUE"""),"Partner")</f>
        <v>Partner</v>
      </c>
      <c r="K605" s="12">
        <f>IFERROR(__xludf.DUMMYFUNCTION("""COMPUTED_VALUE"""),37683.0)</f>
        <v>37683</v>
      </c>
      <c r="L605" s="3" t="str">
        <f>IFERROR(__xludf.DUMMYFUNCTION("""COMPUTED_VALUE"""),"San Francisco")</f>
        <v>San Francisco</v>
      </c>
      <c r="M605" s="3" t="str">
        <f>IFERROR(__xludf.DUMMYFUNCTION("""COMPUTED_VALUE"""),"San Francisco - 405 Howard St")</f>
        <v>San Francisco - 405 Howard St</v>
      </c>
      <c r="N605" s="3" t="b">
        <f>IFERROR(__xludf.DUMMYFUNCTION("""COMPUTED_VALUE"""),FALSE)</f>
        <v>0</v>
      </c>
      <c r="O605" s="3" t="str">
        <f>IFERROR(__xludf.DUMMYFUNCTION("""COMPUTED_VALUE"""),"craig.odonnell@pwc.com")</f>
        <v>craig.odonnell@pwc.com</v>
      </c>
      <c r="P605" s="3" t="str">
        <f>IFERROR(__xludf.DUMMYFUNCTION("""COMPUTED_VALUE"""),"No")</f>
        <v>No</v>
      </c>
      <c r="Q605" s="3" t="b">
        <f>IFERROR(__xludf.DUMMYFUNCTION("""COMPUTED_VALUE"""),FALSE)</f>
        <v>0</v>
      </c>
      <c r="R605" s="3"/>
      <c r="S605" s="3"/>
      <c r="T605" s="3" t="b">
        <f>IFERROR(__xludf.DUMMYFUNCTION("""COMPUTED_VALUE"""),FALSE)</f>
        <v>0</v>
      </c>
      <c r="U605" s="3" t="b">
        <f>IFERROR(__xludf.DUMMYFUNCTION("""COMPUTED_VALUE"""),FALSE)</f>
        <v>0</v>
      </c>
      <c r="V605" s="3" t="b">
        <f>IFERROR(__xludf.DUMMYFUNCTION("""COMPUTED_VALUE"""),FALSE)</f>
        <v>0</v>
      </c>
      <c r="W605" s="3" t="str">
        <f>IFERROR(__xludf.DUMMYFUNCTION("""COMPUTED_VALUE"""),"#N/A")</f>
        <v>#N/A</v>
      </c>
      <c r="X605" s="3" t="str">
        <f>IFERROR(__xludf.DUMMYFUNCTION("""COMPUTED_VALUE"""),"#N/A")</f>
        <v>#N/A</v>
      </c>
      <c r="Y605" s="3" t="str">
        <f>IFERROR(__xludf.DUMMYFUNCTION("""COMPUTED_VALUE"""),"#N/A")</f>
        <v>#N/A</v>
      </c>
      <c r="Z605" s="3" t="str">
        <f>IFERROR(__xludf.DUMMYFUNCTION("""COMPUTED_VALUE"""),"Unknown")</f>
        <v>Unknown</v>
      </c>
      <c r="AA605" s="3" t="b">
        <f>IFERROR(__xludf.DUMMYFUNCTION("""COMPUTED_VALUE"""),FALSE)</f>
        <v>0</v>
      </c>
    </row>
    <row r="606">
      <c r="A606" s="11">
        <f>IFERROR(__xludf.DUMMYFUNCTION("""COMPUTED_VALUE"""),1.01227513E8)</f>
        <v>101227513</v>
      </c>
      <c r="B606" s="3" t="str">
        <f>IFERROR(__xludf.DUMMYFUNCTION("""COMPUTED_VALUE"""),"Scott Satriano")</f>
        <v>Scott Satriano</v>
      </c>
      <c r="C606" s="3" t="str">
        <f>IFERROR(__xludf.DUMMYFUNCTION("""COMPUTED_VALUE"""),"Scott Satriano")</f>
        <v>Scott Satriano</v>
      </c>
      <c r="D606" s="3" t="str">
        <f>IFERROR(__xludf.DUMMYFUNCTION("""COMPUTED_VALUE"""),"Satriano, Scott")</f>
        <v>Satriano, Scott</v>
      </c>
      <c r="E606" s="3" t="str">
        <f>IFERROR(__xludf.DUMMYFUNCTION("""COMPUTED_VALUE"""),"Active")</f>
        <v>Active</v>
      </c>
      <c r="F606" s="3" t="str">
        <f>IFERROR(__xludf.DUMMYFUNCTION("""COMPUTED_VALUE"""),"scott.satriano@pwc.com")</f>
        <v>scott.satriano@pwc.com</v>
      </c>
      <c r="G606" s="3" t="str">
        <f>IFERROR(__xludf.DUMMYFUNCTION("""COMPUTED_VALUE"""),"FS")</f>
        <v>FS</v>
      </c>
      <c r="H606" s="3" t="str">
        <f>IFERROR(__xludf.DUMMYFUNCTION("""COMPUTED_VALUE"""),"Banking and Capital Markets")</f>
        <v>Banking and Capital Markets</v>
      </c>
      <c r="I606" s="3" t="str">
        <f>IFERROR(__xludf.DUMMYFUNCTION("""COMPUTED_VALUE"""),"Unknown")</f>
        <v>Unknown</v>
      </c>
      <c r="J606" s="3" t="str">
        <f>IFERROR(__xludf.DUMMYFUNCTION("""COMPUTED_VALUE"""),"Managing Director")</f>
        <v>Managing Director</v>
      </c>
      <c r="K606" s="12">
        <f>IFERROR(__xludf.DUMMYFUNCTION("""COMPUTED_VALUE"""),44718.0)</f>
        <v>44718</v>
      </c>
      <c r="L606" s="3" t="str">
        <f>IFERROR(__xludf.DUMMYFUNCTION("""COMPUTED_VALUE"""),"Stamford")</f>
        <v>Stamford</v>
      </c>
      <c r="M606" s="3" t="str">
        <f>IFERROR(__xludf.DUMMYFUNCTION("""COMPUTED_VALUE"""),"Unknown")</f>
        <v>Unknown</v>
      </c>
      <c r="N606" s="3" t="str">
        <f>IFERROR(__xludf.DUMMYFUNCTION("""COMPUTED_VALUE"""),"Unknown")</f>
        <v>Unknown</v>
      </c>
      <c r="O606" s="3" t="str">
        <f>IFERROR(__xludf.DUMMYFUNCTION("""COMPUTED_VALUE"""),"Unknown")</f>
        <v>Unknown</v>
      </c>
      <c r="P606" s="3" t="str">
        <f>IFERROR(__xludf.DUMMYFUNCTION("""COMPUTED_VALUE"""),"FY22")</f>
        <v>FY22</v>
      </c>
      <c r="Q606" s="3" t="str">
        <f>IFERROR(__xludf.DUMMYFUNCTION("""COMPUTED_VALUE"""),"Unknown")</f>
        <v>Unknown</v>
      </c>
      <c r="R606" s="3" t="str">
        <f>IFERROR(__xludf.DUMMYFUNCTION("""COMPUTED_VALUE"""),"Unknown")</f>
        <v>Unknown</v>
      </c>
      <c r="S606" s="3"/>
      <c r="T606" s="3" t="str">
        <f>IFERROR(__xludf.DUMMYFUNCTION("""COMPUTED_VALUE"""),"Unknown")</f>
        <v>Unknown</v>
      </c>
      <c r="U606" s="3" t="str">
        <f>IFERROR(__xludf.DUMMYFUNCTION("""COMPUTED_VALUE"""),"Unknown")</f>
        <v>Unknown</v>
      </c>
      <c r="V606" s="3" t="str">
        <f>IFERROR(__xludf.DUMMYFUNCTION("""COMPUTED_VALUE"""),"Unknown")</f>
        <v>Unknown</v>
      </c>
      <c r="W606" s="3" t="str">
        <f>IFERROR(__xludf.DUMMYFUNCTION("""COMPUTED_VALUE"""),"Catalyst")</f>
        <v>Catalyst</v>
      </c>
      <c r="X606" s="3" t="str">
        <f>IFERROR(__xludf.DUMMYFUNCTION("""COMPUTED_VALUE"""),"Unknown")</f>
        <v>Unknown</v>
      </c>
      <c r="Y606" s="3" t="str">
        <f>IFERROR(__xludf.DUMMYFUNCTION("""COMPUTED_VALUE"""),"Unknown")</f>
        <v>Unknown</v>
      </c>
      <c r="Z606" s="3" t="str">
        <f>IFERROR(__xludf.DUMMYFUNCTION("""COMPUTED_VALUE"""),"Unknown")</f>
        <v>Unknown</v>
      </c>
      <c r="AA606" s="3" t="str">
        <f>IFERROR(__xludf.DUMMYFUNCTION("""COMPUTED_VALUE"""),"Unknown")</f>
        <v>Unknown</v>
      </c>
    </row>
    <row r="607">
      <c r="A607" s="11">
        <f>IFERROR(__xludf.DUMMYFUNCTION("""COMPUTED_VALUE"""),1.00599152E8)</f>
        <v>100599152</v>
      </c>
      <c r="B607" s="3" t="str">
        <f>IFERROR(__xludf.DUMMYFUNCTION("""COMPUTED_VALUE"""),"Sean McDonald")</f>
        <v>Sean McDonald</v>
      </c>
      <c r="C607" s="3" t="str">
        <f>IFERROR(__xludf.DUMMYFUNCTION("""COMPUTED_VALUE"""),"Sean Michael McDonald")</f>
        <v>Sean Michael McDonald</v>
      </c>
      <c r="D607" s="3" t="str">
        <f>IFERROR(__xludf.DUMMYFUNCTION("""COMPUTED_VALUE"""),"McDonald, Sean Michael")</f>
        <v>McDonald, Sean Michael</v>
      </c>
      <c r="E607" s="3" t="str">
        <f>IFERROR(__xludf.DUMMYFUNCTION("""COMPUTED_VALUE"""),"Active")</f>
        <v>Active</v>
      </c>
      <c r="F607" s="3" t="str">
        <f>IFERROR(__xludf.DUMMYFUNCTION("""COMPUTED_VALUE"""),"sean.mcdonald@pwc.com")</f>
        <v>sean.mcdonald@pwc.com</v>
      </c>
      <c r="G607" s="3" t="str">
        <f>IFERROR(__xludf.DUMMYFUNCTION("""COMPUTED_VALUE"""),"Customer")</f>
        <v>Customer</v>
      </c>
      <c r="H607" s="3" t="str">
        <f>IFERROR(__xludf.DUMMYFUNCTION("""COMPUTED_VALUE"""),"TMT X-Sector")</f>
        <v>TMT X-Sector</v>
      </c>
      <c r="I607" s="3" t="str">
        <f>IFERROR(__xludf.DUMMYFUNCTION("""COMPUTED_VALUE"""),"Customer - Customer Strategy &amp; Experience")</f>
        <v>Customer - Customer Strategy &amp; Experience</v>
      </c>
      <c r="J607" s="3" t="str">
        <f>IFERROR(__xludf.DUMMYFUNCTION("""COMPUTED_VALUE"""),"Partner")</f>
        <v>Partner</v>
      </c>
      <c r="K607" s="12">
        <f>IFERROR(__xludf.DUMMYFUNCTION("""COMPUTED_VALUE"""),41176.0)</f>
        <v>41176</v>
      </c>
      <c r="L607" s="3" t="str">
        <f>IFERROR(__xludf.DUMMYFUNCTION("""COMPUTED_VALUE"""),"Austin")</f>
        <v>Austin</v>
      </c>
      <c r="M607" s="3" t="str">
        <f>IFERROR(__xludf.DUMMYFUNCTION("""COMPUTED_VALUE"""),"Austin - 835 West 6th Street")</f>
        <v>Austin - 835 West 6th Street</v>
      </c>
      <c r="N607" s="3" t="b">
        <f>IFERROR(__xludf.DUMMYFUNCTION("""COMPUTED_VALUE"""),FALSE)</f>
        <v>0</v>
      </c>
      <c r="O607" s="3" t="str">
        <f>IFERROR(__xludf.DUMMYFUNCTION("""COMPUTED_VALUE"""),"george.korizis@pwc.com")</f>
        <v>george.korizis@pwc.com</v>
      </c>
      <c r="P607" s="3" t="str">
        <f>IFERROR(__xludf.DUMMYFUNCTION("""COMPUTED_VALUE"""),"No")</f>
        <v>No</v>
      </c>
      <c r="Q607" s="3" t="b">
        <f>IFERROR(__xludf.DUMMYFUNCTION("""COMPUTED_VALUE"""),FALSE)</f>
        <v>0</v>
      </c>
      <c r="R607" s="3"/>
      <c r="S607" s="3"/>
      <c r="T607" s="3" t="b">
        <f>IFERROR(__xludf.DUMMYFUNCTION("""COMPUTED_VALUE"""),FALSE)</f>
        <v>0</v>
      </c>
      <c r="U607" s="3" t="b">
        <f>IFERROR(__xludf.DUMMYFUNCTION("""COMPUTED_VALUE"""),TRUE)</f>
        <v>1</v>
      </c>
      <c r="V607" s="3" t="b">
        <f>IFERROR(__xludf.DUMMYFUNCTION("""COMPUTED_VALUE"""),FALSE)</f>
        <v>0</v>
      </c>
      <c r="W607" s="3" t="str">
        <f>IFERROR(__xludf.DUMMYFUNCTION("""COMPUTED_VALUE"""),"Delivery")</f>
        <v>Delivery</v>
      </c>
      <c r="X607" s="3"/>
      <c r="Y607" s="3"/>
      <c r="Z607" s="3" t="str">
        <f>IFERROR(__xludf.DUMMYFUNCTION("""COMPUTED_VALUE"""),"Enterprise Digital Transformation - TMT")</f>
        <v>Enterprise Digital Transformation - TMT</v>
      </c>
      <c r="AA607" s="3" t="b">
        <f>IFERROR(__xludf.DUMMYFUNCTION("""COMPUTED_VALUE"""),FALSE)</f>
        <v>0</v>
      </c>
    </row>
    <row r="608">
      <c r="A608" s="11">
        <f>IFERROR(__xludf.DUMMYFUNCTION("""COMPUTED_VALUE"""),1.00964362E8)</f>
        <v>100964362</v>
      </c>
      <c r="B608" s="3" t="str">
        <f>IFERROR(__xludf.DUMMYFUNCTION("""COMPUTED_VALUE"""),"Sean Viergutz")</f>
        <v>Sean Viergutz</v>
      </c>
      <c r="C608" s="3" t="str">
        <f>IFERROR(__xludf.DUMMYFUNCTION("""COMPUTED_VALUE"""),"Andrew Sean Viergutz")</f>
        <v>Andrew Sean Viergutz</v>
      </c>
      <c r="D608" s="3" t="str">
        <f>IFERROR(__xludf.DUMMYFUNCTION("""COMPUTED_VALUE"""),"Viergutz, Andrew Sean")</f>
        <v>Viergutz, Andrew Sean</v>
      </c>
      <c r="E608" s="3" t="str">
        <f>IFERROR(__xludf.DUMMYFUNCTION("""COMPUTED_VALUE"""),"Active")</f>
        <v>Active</v>
      </c>
      <c r="F608" s="3" t="str">
        <f>IFERROR(__xludf.DUMMYFUNCTION("""COMPUTED_VALUE"""),"sean.viergutz@pwc.com")</f>
        <v>sean.viergutz@pwc.com</v>
      </c>
      <c r="G608" s="3" t="str">
        <f>IFERROR(__xludf.DUMMYFUNCTION("""COMPUTED_VALUE"""),"FS")</f>
        <v>FS</v>
      </c>
      <c r="H608" s="3" t="str">
        <f>IFERROR(__xludf.DUMMYFUNCTION("""COMPUTED_VALUE"""),"Banking and Capital Markets")</f>
        <v>Banking and Capital Markets</v>
      </c>
      <c r="I608" s="3" t="str">
        <f>IFERROR(__xludf.DUMMYFUNCTION("""COMPUTED_VALUE"""),"FS - Banking and Capital Markets")</f>
        <v>FS - Banking and Capital Markets</v>
      </c>
      <c r="J608" s="3" t="str">
        <f>IFERROR(__xludf.DUMMYFUNCTION("""COMPUTED_VALUE"""),"Partner")</f>
        <v>Partner</v>
      </c>
      <c r="K608" s="12">
        <f>IFERROR(__xludf.DUMMYFUNCTION("""COMPUTED_VALUE"""),43815.0)</f>
        <v>43815</v>
      </c>
      <c r="L608" s="3" t="str">
        <f>IFERROR(__xludf.DUMMYFUNCTION("""COMPUTED_VALUE"""),"Chicago")</f>
        <v>Chicago</v>
      </c>
      <c r="M608" s="3" t="str">
        <f>IFERROR(__xludf.DUMMYFUNCTION("""COMPUTED_VALUE"""),"Chicago - One North Wacker Drive")</f>
        <v>Chicago - One North Wacker Drive</v>
      </c>
      <c r="N608" s="3" t="b">
        <f>IFERROR(__xludf.DUMMYFUNCTION("""COMPUTED_VALUE"""),FALSE)</f>
        <v>0</v>
      </c>
      <c r="O608" s="3" t="str">
        <f>IFERROR(__xludf.DUMMYFUNCTION("""COMPUTED_VALUE"""),"alison.hoover@pwc.com")</f>
        <v>alison.hoover@pwc.com</v>
      </c>
      <c r="P608" s="3" t="str">
        <f>IFERROR(__xludf.DUMMYFUNCTION("""COMPUTED_VALUE"""),"No")</f>
        <v>No</v>
      </c>
      <c r="Q608" s="3" t="b">
        <f>IFERROR(__xludf.DUMMYFUNCTION("""COMPUTED_VALUE"""),TRUE)</f>
        <v>1</v>
      </c>
      <c r="R608" s="3" t="str">
        <f>IFERROR(__xludf.DUMMYFUNCTION("""COMPUTED_VALUE"""),"LCP Low")</f>
        <v>LCP Low</v>
      </c>
      <c r="S608" s="3"/>
      <c r="T608" s="3" t="b">
        <f>IFERROR(__xludf.DUMMYFUNCTION("""COMPUTED_VALUE"""),FALSE)</f>
        <v>0</v>
      </c>
      <c r="U608" s="3" t="b">
        <f>IFERROR(__xludf.DUMMYFUNCTION("""COMPUTED_VALUE"""),TRUE)</f>
        <v>1</v>
      </c>
      <c r="V608" s="3" t="b">
        <f>IFERROR(__xludf.DUMMYFUNCTION("""COMPUTED_VALUE"""),FALSE)</f>
        <v>0</v>
      </c>
      <c r="W608" s="3" t="str">
        <f>IFERROR(__xludf.DUMMYFUNCTION("""COMPUTED_VALUE"""),"LCP")</f>
        <v>LCP</v>
      </c>
      <c r="X608" s="3" t="str">
        <f>IFERROR(__xludf.DUMMYFUNCTION("""COMPUTED_VALUE"""),"Investment")</f>
        <v>Investment</v>
      </c>
      <c r="Y608" s="3" t="str">
        <f>IFERROR(__xludf.DUMMYFUNCTION("""COMPUTED_VALUE"""),"GEP - Low")</f>
        <v>GEP - Low</v>
      </c>
      <c r="Z608" s="3" t="str">
        <f>IFERROR(__xludf.DUMMYFUNCTION("""COMPUTED_VALUE"""),"Banking Transformation")</f>
        <v>Banking Transformation</v>
      </c>
      <c r="AA608" s="3" t="b">
        <f>IFERROR(__xludf.DUMMYFUNCTION("""COMPUTED_VALUE"""),TRUE)</f>
        <v>1</v>
      </c>
    </row>
    <row r="609">
      <c r="A609" s="11">
        <f>IFERROR(__xludf.DUMMYFUNCTION("""COMPUTED_VALUE"""),1.0065462E8)</f>
        <v>100654620</v>
      </c>
      <c r="B609" s="3" t="str">
        <f>IFERROR(__xludf.DUMMYFUNCTION("""COMPUTED_VALUE"""),"Shaguna Punj")</f>
        <v>Shaguna Punj</v>
      </c>
      <c r="C609" s="3" t="str">
        <f>IFERROR(__xludf.DUMMYFUNCTION("""COMPUTED_VALUE"""),"Shaguna  Punj")</f>
        <v>Shaguna  Punj</v>
      </c>
      <c r="D609" s="3" t="str">
        <f>IFERROR(__xludf.DUMMYFUNCTION("""COMPUTED_VALUE"""),"Punj, Shaguna")</f>
        <v>Punj, Shaguna</v>
      </c>
      <c r="E609" s="3" t="str">
        <f>IFERROR(__xludf.DUMMYFUNCTION("""COMPUTED_VALUE"""),"Active")</f>
        <v>Active</v>
      </c>
      <c r="F609" s="3" t="str">
        <f>IFERROR(__xludf.DUMMYFUNCTION("""COMPUTED_VALUE"""),"shaguna.punj@pwc.com")</f>
        <v>shaguna.punj@pwc.com</v>
      </c>
      <c r="G609" s="3" t="str">
        <f>IFERROR(__xludf.DUMMYFUNCTION("""COMPUTED_VALUE"""),"ESV")</f>
        <v>ESV</v>
      </c>
      <c r="H609" s="3" t="str">
        <f>IFERROR(__xludf.DUMMYFUNCTION("""COMPUTED_VALUE"""),"Pharma and Life Sciences")</f>
        <v>Pharma and Life Sciences</v>
      </c>
      <c r="I609" s="3" t="str">
        <f>IFERROR(__xludf.DUMMYFUNCTION("""COMPUTED_VALUE"""),"ESV - PLS")</f>
        <v>ESV - PLS</v>
      </c>
      <c r="J609" s="3" t="str">
        <f>IFERROR(__xludf.DUMMYFUNCTION("""COMPUTED_VALUE"""),"Partner")</f>
        <v>Partner</v>
      </c>
      <c r="K609" s="12">
        <f>IFERROR(__xludf.DUMMYFUNCTION("""COMPUTED_VALUE"""),42186.0)</f>
        <v>42186</v>
      </c>
      <c r="L609" s="3" t="str">
        <f>IFERROR(__xludf.DUMMYFUNCTION("""COMPUTED_VALUE"""),"New York")</f>
        <v>New York</v>
      </c>
      <c r="M609" s="3" t="str">
        <f>IFERROR(__xludf.DUMMYFUNCTION("""COMPUTED_VALUE"""),"New York - 300 Madison Avenue")</f>
        <v>New York - 300 Madison Avenue</v>
      </c>
      <c r="N609" s="3" t="b">
        <f>IFERROR(__xludf.DUMMYFUNCTION("""COMPUTED_VALUE"""),FALSE)</f>
        <v>0</v>
      </c>
      <c r="O609" s="3" t="str">
        <f>IFERROR(__xludf.DUMMYFUNCTION("""COMPUTED_VALUE"""),"sundar.subramanian@pwc.com")</f>
        <v>sundar.subramanian@pwc.com</v>
      </c>
      <c r="P609" s="3" t="str">
        <f>IFERROR(__xludf.DUMMYFUNCTION("""COMPUTED_VALUE"""),"No")</f>
        <v>No</v>
      </c>
      <c r="Q609" s="3" t="b">
        <f>IFERROR(__xludf.DUMMYFUNCTION("""COMPUTED_VALUE"""),FALSE)</f>
        <v>0</v>
      </c>
      <c r="R609" s="3"/>
      <c r="S609" s="3"/>
      <c r="T609" s="3" t="b">
        <f>IFERROR(__xludf.DUMMYFUNCTION("""COMPUTED_VALUE"""),FALSE)</f>
        <v>0</v>
      </c>
      <c r="U609" s="3" t="b">
        <f>IFERROR(__xludf.DUMMYFUNCTION("""COMPUTED_VALUE"""),TRUE)</f>
        <v>1</v>
      </c>
      <c r="V609" s="3" t="b">
        <f>IFERROR(__xludf.DUMMYFUNCTION("""COMPUTED_VALUE"""),FALSE)</f>
        <v>0</v>
      </c>
      <c r="W609" s="3" t="str">
        <f>IFERROR(__xludf.DUMMYFUNCTION("""COMPUTED_VALUE"""),"Delivery")</f>
        <v>Delivery</v>
      </c>
      <c r="X609" s="3" t="str">
        <f>IFERROR(__xludf.DUMMYFUNCTION("""COMPUTED_VALUE"""),"Investment")</f>
        <v>Investment</v>
      </c>
      <c r="Y609" s="3"/>
      <c r="Z609" s="3" t="str">
        <f>IFERROR(__xludf.DUMMYFUNCTION("""COMPUTED_VALUE"""),"Enterprise Digital Transformation - PLS")</f>
        <v>Enterprise Digital Transformation - PLS</v>
      </c>
      <c r="AA609" s="3" t="b">
        <f>IFERROR(__xludf.DUMMYFUNCTION("""COMPUTED_VALUE"""),FALSE)</f>
        <v>0</v>
      </c>
    </row>
    <row r="610">
      <c r="A610" s="11">
        <f>IFERROR(__xludf.DUMMYFUNCTION("""COMPUTED_VALUE"""),1.00586334E8)</f>
        <v>100586334</v>
      </c>
      <c r="B610" s="3" t="str">
        <f>IFERROR(__xludf.DUMMYFUNCTION("""COMPUTED_VALUE"""),"Shankar Subramaniam")</f>
        <v>Shankar Subramaniam</v>
      </c>
      <c r="C610" s="3" t="str">
        <f>IFERROR(__xludf.DUMMYFUNCTION("""COMPUTED_VALUE"""),"Shankar Prasanna Subramaniam")</f>
        <v>Shankar Prasanna Subramaniam</v>
      </c>
      <c r="D610" s="3" t="str">
        <f>IFERROR(__xludf.DUMMYFUNCTION("""COMPUTED_VALUE"""),"Subramaniam, Shankar Prasanna")</f>
        <v>Subramaniam, Shankar Prasanna</v>
      </c>
      <c r="E610" s="3" t="str">
        <f>IFERROR(__xludf.DUMMYFUNCTION("""COMPUTED_VALUE"""),"Active")</f>
        <v>Active</v>
      </c>
      <c r="F610" s="3" t="str">
        <f>IFERROR(__xludf.DUMMYFUNCTION("""COMPUTED_VALUE"""),"shankar.p.subramaniam@pwc.com")</f>
        <v>shankar.p.subramaniam@pwc.com</v>
      </c>
      <c r="G610" s="3" t="str">
        <f>IFERROR(__xludf.DUMMYFUNCTION("""COMPUTED_VALUE"""),"Ops")</f>
        <v>Ops</v>
      </c>
      <c r="H610" s="3" t="str">
        <f>IFERROR(__xludf.DUMMYFUNCTION("""COMPUTED_VALUE"""),"TMT X-Sector")</f>
        <v>TMT X-Sector</v>
      </c>
      <c r="I610" s="3" t="str">
        <f>IFERROR(__xludf.DUMMYFUNCTION("""COMPUTED_VALUE"""),"Ops - Product Development &amp; Manufacturing (PDM)")</f>
        <v>Ops - Product Development &amp; Manufacturing (PDM)</v>
      </c>
      <c r="J610" s="3" t="str">
        <f>IFERROR(__xludf.DUMMYFUNCTION("""COMPUTED_VALUE"""),"Partner")</f>
        <v>Partner</v>
      </c>
      <c r="K610" s="12">
        <f>IFERROR(__xludf.DUMMYFUNCTION("""COMPUTED_VALUE"""),40798.0)</f>
        <v>40798</v>
      </c>
      <c r="L610" s="3" t="str">
        <f>IFERROR(__xludf.DUMMYFUNCTION("""COMPUTED_VALUE"""),"San Jose")</f>
        <v>San Jose</v>
      </c>
      <c r="M610" s="3" t="str">
        <f>IFERROR(__xludf.DUMMYFUNCTION("""COMPUTED_VALUE"""),"San Jose - 488 Almaden Boulevard")</f>
        <v>San Jose - 488 Almaden Boulevard</v>
      </c>
      <c r="N610" s="3" t="b">
        <f>IFERROR(__xludf.DUMMYFUNCTION("""COMPUTED_VALUE"""),FALSE)</f>
        <v>0</v>
      </c>
      <c r="O610" s="3" t="str">
        <f>IFERROR(__xludf.DUMMYFUNCTION("""COMPUTED_VALUE"""),"matthew.r.comte@pwc.com")</f>
        <v>matthew.r.comte@pwc.com</v>
      </c>
      <c r="P610" s="3" t="str">
        <f>IFERROR(__xludf.DUMMYFUNCTION("""COMPUTED_VALUE"""),"No")</f>
        <v>No</v>
      </c>
      <c r="Q610" s="3" t="b">
        <f>IFERROR(__xludf.DUMMYFUNCTION("""COMPUTED_VALUE"""),FALSE)</f>
        <v>0</v>
      </c>
      <c r="R610" s="3"/>
      <c r="S610" s="3"/>
      <c r="T610" s="3" t="b">
        <f>IFERROR(__xludf.DUMMYFUNCTION("""COMPUTED_VALUE"""),FALSE)</f>
        <v>0</v>
      </c>
      <c r="U610" s="3" t="b">
        <f>IFERROR(__xludf.DUMMYFUNCTION("""COMPUTED_VALUE"""),TRUE)</f>
        <v>1</v>
      </c>
      <c r="V610" s="3" t="b">
        <f>IFERROR(__xludf.DUMMYFUNCTION("""COMPUTED_VALUE"""),FALSE)</f>
        <v>0</v>
      </c>
      <c r="W610" s="3" t="str">
        <f>IFERROR(__xludf.DUMMYFUNCTION("""COMPUTED_VALUE"""),"Delivery")</f>
        <v>Delivery</v>
      </c>
      <c r="X610" s="3" t="str">
        <f>IFERROR(__xludf.DUMMYFUNCTION("""COMPUTED_VALUE"""),"Investment")</f>
        <v>Investment</v>
      </c>
      <c r="Y610" s="3" t="str">
        <f>IFERROR(__xludf.DUMMYFUNCTION("""COMPUTED_VALUE"""),"Investment")</f>
        <v>Investment</v>
      </c>
      <c r="Z610" s="3" t="str">
        <f>IFERROR(__xludf.DUMMYFUNCTION("""COMPUTED_VALUE"""),"IP + Technology Ops Transformation")</f>
        <v>IP + Technology Ops Transformation</v>
      </c>
      <c r="AA610" s="3" t="b">
        <f>IFERROR(__xludf.DUMMYFUNCTION("""COMPUTED_VALUE"""),FALSE)</f>
        <v>0</v>
      </c>
    </row>
    <row r="611">
      <c r="A611" s="11">
        <f>IFERROR(__xludf.DUMMYFUNCTION("""COMPUTED_VALUE"""),1.00586452E8)</f>
        <v>100586452</v>
      </c>
      <c r="B611" s="3" t="str">
        <f>IFERROR(__xludf.DUMMYFUNCTION("""COMPUTED_VALUE"""),"Shannon O'Shea")</f>
        <v>Shannon O'Shea</v>
      </c>
      <c r="C611" s="3" t="str">
        <f>IFERROR(__xludf.DUMMYFUNCTION("""COMPUTED_VALUE"""),"Shannon M O'Shea")</f>
        <v>Shannon M O'Shea</v>
      </c>
      <c r="D611" s="3" t="str">
        <f>IFERROR(__xludf.DUMMYFUNCTION("""COMPUTED_VALUE"""),"O'Shea, Shannon M")</f>
        <v>O'Shea, Shannon M</v>
      </c>
      <c r="E611" s="3" t="str">
        <f>IFERROR(__xludf.DUMMYFUNCTION("""COMPUTED_VALUE"""),"Active")</f>
        <v>Active</v>
      </c>
      <c r="F611" s="3" t="str">
        <f>IFERROR(__xludf.DUMMYFUNCTION("""COMPUTED_VALUE"""),"shannon.m.oshea@pwc.com")</f>
        <v>shannon.m.oshea@pwc.com</v>
      </c>
      <c r="G611" s="3" t="str">
        <f>IFERROR(__xludf.DUMMYFUNCTION("""COMPUTED_VALUE"""),"Health")</f>
        <v>Health</v>
      </c>
      <c r="H611" s="3" t="str">
        <f>IFERROR(__xludf.DUMMYFUNCTION("""COMPUTED_VALUE"""),"Health Services")</f>
        <v>Health Services</v>
      </c>
      <c r="I611" s="3" t="str">
        <f>IFERROR(__xludf.DUMMYFUNCTION("""COMPUTED_VALUE"""),"Health - Provider Revenue Cycle")</f>
        <v>Health - Provider Revenue Cycle</v>
      </c>
      <c r="J611" s="3" t="str">
        <f>IFERROR(__xludf.DUMMYFUNCTION("""COMPUTED_VALUE"""),"Partner")</f>
        <v>Partner</v>
      </c>
      <c r="K611" s="12">
        <f>IFERROR(__xludf.DUMMYFUNCTION("""COMPUTED_VALUE"""),36206.0)</f>
        <v>36206</v>
      </c>
      <c r="L611" s="3" t="str">
        <f>IFERROR(__xludf.DUMMYFUNCTION("""COMPUTED_VALUE"""),"San Francisco")</f>
        <v>San Francisco</v>
      </c>
      <c r="M611" s="3" t="str">
        <f>IFERROR(__xludf.DUMMYFUNCTION("""COMPUTED_VALUE"""),"San Francisco - 405 Howard St")</f>
        <v>San Francisco - 405 Howard St</v>
      </c>
      <c r="N611" s="3" t="b">
        <f>IFERROR(__xludf.DUMMYFUNCTION("""COMPUTED_VALUE"""),TRUE)</f>
        <v>1</v>
      </c>
      <c r="O611" s="3" t="str">
        <f>IFERROR(__xludf.DUMMYFUNCTION("""COMPUTED_VALUE"""),"craig.e.gooch@pwc.com")</f>
        <v>craig.e.gooch@pwc.com</v>
      </c>
      <c r="P611" s="3" t="str">
        <f>IFERROR(__xludf.DUMMYFUNCTION("""COMPUTED_VALUE"""),"No")</f>
        <v>No</v>
      </c>
      <c r="Q611" s="3" t="b">
        <f>IFERROR(__xludf.DUMMYFUNCTION("""COMPUTED_VALUE"""),TRUE)</f>
        <v>1</v>
      </c>
      <c r="R611" s="3" t="str">
        <f>IFERROR(__xludf.DUMMYFUNCTION("""COMPUTED_VALUE"""),"LCP High")</f>
        <v>LCP High</v>
      </c>
      <c r="S611" s="3"/>
      <c r="T611" s="3" t="b">
        <f>IFERROR(__xludf.DUMMYFUNCTION("""COMPUTED_VALUE"""),FALSE)</f>
        <v>0</v>
      </c>
      <c r="U611" s="3" t="b">
        <f>IFERROR(__xludf.DUMMYFUNCTION("""COMPUTED_VALUE"""),FALSE)</f>
        <v>0</v>
      </c>
      <c r="V611" s="3" t="b">
        <f>IFERROR(__xludf.DUMMYFUNCTION("""COMPUTED_VALUE"""),FALSE)</f>
        <v>0</v>
      </c>
      <c r="W611" s="3" t="str">
        <f>IFERROR(__xludf.DUMMYFUNCTION("""COMPUTED_VALUE"""),"LCP")</f>
        <v>LCP</v>
      </c>
      <c r="X611" s="3"/>
      <c r="Y611" s="3" t="str">
        <f>IFERROR(__xludf.DUMMYFUNCTION("""COMPUTED_VALUE"""),"GEP - High")</f>
        <v>GEP - High</v>
      </c>
      <c r="Z611" s="3" t="str">
        <f>IFERROR(__xludf.DUMMYFUNCTION("""COMPUTED_VALUE"""),"Provider Transformation")</f>
        <v>Provider Transformation</v>
      </c>
      <c r="AA611" s="3" t="b">
        <f>IFERROR(__xludf.DUMMYFUNCTION("""COMPUTED_VALUE"""),TRUE)</f>
        <v>1</v>
      </c>
    </row>
    <row r="612">
      <c r="A612" s="11">
        <f>IFERROR(__xludf.DUMMYFUNCTION("""COMPUTED_VALUE"""),1.00625563E8)</f>
        <v>100625563</v>
      </c>
      <c r="B612" s="3" t="str">
        <f>IFERROR(__xludf.DUMMYFUNCTION("""COMPUTED_VALUE"""),"Shannon Smith")</f>
        <v>Shannon Smith</v>
      </c>
      <c r="C612" s="3" t="str">
        <f>IFERROR(__xludf.DUMMYFUNCTION("""COMPUTED_VALUE"""),"Shannon  Smith")</f>
        <v>Shannon  Smith</v>
      </c>
      <c r="D612" s="3" t="str">
        <f>IFERROR(__xludf.DUMMYFUNCTION("""COMPUTED_VALUE"""),"Smith, Shannon")</f>
        <v>Smith, Shannon</v>
      </c>
      <c r="E612" s="3" t="str">
        <f>IFERROR(__xludf.DUMMYFUNCTION("""COMPUTED_VALUE"""),"Active")</f>
        <v>Active</v>
      </c>
      <c r="F612" s="3" t="str">
        <f>IFERROR(__xludf.DUMMYFUNCTION("""COMPUTED_VALUE"""),"shannon.smith@pwc.com")</f>
        <v>shannon.smith@pwc.com</v>
      </c>
      <c r="G612" s="3" t="str">
        <f>IFERROR(__xludf.DUMMYFUNCTION("""COMPUTED_VALUE"""),"Customer")</f>
        <v>Customer</v>
      </c>
      <c r="H612" s="3" t="str">
        <f>IFERROR(__xludf.DUMMYFUNCTION("""COMPUTED_VALUE"""),"Health Services")</f>
        <v>Health Services</v>
      </c>
      <c r="I612" s="3" t="str">
        <f>IFERROR(__xludf.DUMMYFUNCTION("""COMPUTED_VALUE"""),"Customer - Analytics")</f>
        <v>Customer - Analytics</v>
      </c>
      <c r="J612" s="3" t="str">
        <f>IFERROR(__xludf.DUMMYFUNCTION("""COMPUTED_VALUE"""),"Partner")</f>
        <v>Partner</v>
      </c>
      <c r="K612" s="12">
        <f>IFERROR(__xludf.DUMMYFUNCTION("""COMPUTED_VALUE"""),38635.0)</f>
        <v>38635</v>
      </c>
      <c r="L612" s="3" t="str">
        <f>IFERROR(__xludf.DUMMYFUNCTION("""COMPUTED_VALUE"""),"Kansas City")</f>
        <v>Kansas City</v>
      </c>
      <c r="M612" s="3" t="str">
        <f>IFERROR(__xludf.DUMMYFUNCTION("""COMPUTED_VALUE"""),"Kansas City - 1100 Walnut Street")</f>
        <v>Kansas City - 1100 Walnut Street</v>
      </c>
      <c r="N612" s="3" t="b">
        <f>IFERROR(__xludf.DUMMYFUNCTION("""COMPUTED_VALUE"""),FALSE)</f>
        <v>0</v>
      </c>
      <c r="O612" s="3" t="str">
        <f>IFERROR(__xludf.DUMMYFUNCTION("""COMPUTED_VALUE"""),"george.korizis@pwc.com")</f>
        <v>george.korizis@pwc.com</v>
      </c>
      <c r="P612" s="3" t="str">
        <f>IFERROR(__xludf.DUMMYFUNCTION("""COMPUTED_VALUE"""),"No")</f>
        <v>No</v>
      </c>
      <c r="Q612" s="3" t="b">
        <f>IFERROR(__xludf.DUMMYFUNCTION("""COMPUTED_VALUE"""),FALSE)</f>
        <v>0</v>
      </c>
      <c r="R612" s="3"/>
      <c r="S612" s="3"/>
      <c r="T612" s="3" t="b">
        <f>IFERROR(__xludf.DUMMYFUNCTION("""COMPUTED_VALUE"""),FALSE)</f>
        <v>0</v>
      </c>
      <c r="U612" s="3" t="b">
        <f>IFERROR(__xludf.DUMMYFUNCTION("""COMPUTED_VALUE"""),TRUE)</f>
        <v>1</v>
      </c>
      <c r="V612" s="3" t="b">
        <f>IFERROR(__xludf.DUMMYFUNCTION("""COMPUTED_VALUE"""),FALSE)</f>
        <v>0</v>
      </c>
      <c r="W612" s="3" t="str">
        <f>IFERROR(__xludf.DUMMYFUNCTION("""COMPUTED_VALUE"""),"Delivery")</f>
        <v>Delivery</v>
      </c>
      <c r="X612" s="3"/>
      <c r="Y612" s="3"/>
      <c r="Z612" s="3" t="str">
        <f>IFERROR(__xludf.DUMMYFUNCTION("""COMPUTED_VALUE"""),"Payer Transformation")</f>
        <v>Payer Transformation</v>
      </c>
      <c r="AA612" s="3" t="b">
        <f>IFERROR(__xludf.DUMMYFUNCTION("""COMPUTED_VALUE"""),FALSE)</f>
        <v>0</v>
      </c>
    </row>
    <row r="613">
      <c r="A613" s="11">
        <f>IFERROR(__xludf.DUMMYFUNCTION("""COMPUTED_VALUE"""),1.00626837E8)</f>
        <v>100626837</v>
      </c>
      <c r="B613" s="3" t="str">
        <f>IFERROR(__xludf.DUMMYFUNCTION("""COMPUTED_VALUE"""),"Sharmon Priaulx")</f>
        <v>Sharmon Priaulx</v>
      </c>
      <c r="C613" s="3" t="str">
        <f>IFERROR(__xludf.DUMMYFUNCTION("""COMPUTED_VALUE"""),"Sharmon  Priaulx")</f>
        <v>Sharmon  Priaulx</v>
      </c>
      <c r="D613" s="3" t="str">
        <f>IFERROR(__xludf.DUMMYFUNCTION("""COMPUTED_VALUE"""),"Priaulx, Sharmon")</f>
        <v>Priaulx, Sharmon</v>
      </c>
      <c r="E613" s="3" t="str">
        <f>IFERROR(__xludf.DUMMYFUNCTION("""COMPUTED_VALUE"""),"Active")</f>
        <v>Active</v>
      </c>
      <c r="F613" s="3" t="str">
        <f>IFERROR(__xludf.DUMMYFUNCTION("""COMPUTED_VALUE"""),"sharmon.priaulx@pwc.com")</f>
        <v>sharmon.priaulx@pwc.com</v>
      </c>
      <c r="G613" s="3" t="str">
        <f>IFERROR(__xludf.DUMMYFUNCTION("""COMPUTED_VALUE"""),"Workforce")</f>
        <v>Workforce</v>
      </c>
      <c r="H613" s="3" t="str">
        <f>IFERROR(__xludf.DUMMYFUNCTION("""COMPUTED_VALUE"""),"FS X-Sector")</f>
        <v>FS X-Sector</v>
      </c>
      <c r="I613" s="3" t="str">
        <f>IFERROR(__xludf.DUMMYFUNCTION("""COMPUTED_VALUE"""),"Workforce - Rewards &amp; Well Being")</f>
        <v>Workforce - Rewards &amp; Well Being</v>
      </c>
      <c r="J613" s="3" t="str">
        <f>IFERROR(__xludf.DUMMYFUNCTION("""COMPUTED_VALUE"""),"Managing Director")</f>
        <v>Managing Director</v>
      </c>
      <c r="K613" s="12">
        <f>IFERROR(__xludf.DUMMYFUNCTION("""COMPUTED_VALUE"""),38977.0)</f>
        <v>38977</v>
      </c>
      <c r="L613" s="3" t="str">
        <f>IFERROR(__xludf.DUMMYFUNCTION("""COMPUTED_VALUE"""),"Boston")</f>
        <v>Boston</v>
      </c>
      <c r="M613" s="3" t="str">
        <f>IFERROR(__xludf.DUMMYFUNCTION("""COMPUTED_VALUE"""),"Boston - 101 Seaport Boulevard")</f>
        <v>Boston - 101 Seaport Boulevard</v>
      </c>
      <c r="N613" s="3" t="b">
        <f>IFERROR(__xludf.DUMMYFUNCTION("""COMPUTED_VALUE"""),FALSE)</f>
        <v>0</v>
      </c>
      <c r="O613" s="3" t="str">
        <f>IFERROR(__xludf.DUMMYFUNCTION("""COMPUTED_VALUE"""),"cindy.fraterrigo@pwc.com")</f>
        <v>cindy.fraterrigo@pwc.com</v>
      </c>
      <c r="P613" s="3" t="str">
        <f>IFERROR(__xludf.DUMMYFUNCTION("""COMPUTED_VALUE"""),"No")</f>
        <v>No</v>
      </c>
      <c r="Q613" s="3" t="b">
        <f>IFERROR(__xludf.DUMMYFUNCTION("""COMPUTED_VALUE"""),FALSE)</f>
        <v>0</v>
      </c>
      <c r="R613" s="3"/>
      <c r="S613" s="3"/>
      <c r="T613" s="3" t="b">
        <f>IFERROR(__xludf.DUMMYFUNCTION("""COMPUTED_VALUE"""),FALSE)</f>
        <v>0</v>
      </c>
      <c r="U613" s="3" t="b">
        <f>IFERROR(__xludf.DUMMYFUNCTION("""COMPUTED_VALUE"""),FALSE)</f>
        <v>0</v>
      </c>
      <c r="V613" s="3" t="b">
        <f>IFERROR(__xludf.DUMMYFUNCTION("""COMPUTED_VALUE"""),FALSE)</f>
        <v>0</v>
      </c>
      <c r="W613" s="3" t="str">
        <f>IFERROR(__xludf.DUMMYFUNCTION("""COMPUTED_VALUE"""),"#N/A")</f>
        <v>#N/A</v>
      </c>
      <c r="X613" s="3" t="str">
        <f>IFERROR(__xludf.DUMMYFUNCTION("""COMPUTED_VALUE"""),"#N/A")</f>
        <v>#N/A</v>
      </c>
      <c r="Y613" s="3" t="str">
        <f>IFERROR(__xludf.DUMMYFUNCTION("""COMPUTED_VALUE"""),"#N/A")</f>
        <v>#N/A</v>
      </c>
      <c r="Z613" s="3" t="str">
        <f>IFERROR(__xludf.DUMMYFUNCTION("""COMPUTED_VALUE"""),"Unknown")</f>
        <v>Unknown</v>
      </c>
      <c r="AA613" s="3" t="b">
        <f>IFERROR(__xludf.DUMMYFUNCTION("""COMPUTED_VALUE"""),FALSE)</f>
        <v>0</v>
      </c>
    </row>
    <row r="614">
      <c r="A614" s="11">
        <f>IFERROR(__xludf.DUMMYFUNCTION("""COMPUTED_VALUE"""),1.00612509E8)</f>
        <v>100612509</v>
      </c>
      <c r="B614" s="3" t="str">
        <f>IFERROR(__xludf.DUMMYFUNCTION("""COMPUTED_VALUE"""),"Shebani Patel")</f>
        <v>Shebani Patel</v>
      </c>
      <c r="C614" s="3" t="str">
        <f>IFERROR(__xludf.DUMMYFUNCTION("""COMPUTED_VALUE"""),"Shebani  Patel")</f>
        <v>Shebani  Patel</v>
      </c>
      <c r="D614" s="3" t="str">
        <f>IFERROR(__xludf.DUMMYFUNCTION("""COMPUTED_VALUE"""),"Patel, Shebani")</f>
        <v>Patel, Shebani</v>
      </c>
      <c r="E614" s="3" t="str">
        <f>IFERROR(__xludf.DUMMYFUNCTION("""COMPUTED_VALUE"""),"Active")</f>
        <v>Active</v>
      </c>
      <c r="F614" s="3" t="str">
        <f>IFERROR(__xludf.DUMMYFUNCTION("""COMPUTED_VALUE"""),"shebani.patel@pwc.com")</f>
        <v>shebani.patel@pwc.com</v>
      </c>
      <c r="G614" s="3" t="str">
        <f>IFERROR(__xludf.DUMMYFUNCTION("""COMPUTED_VALUE"""),"Workforce")</f>
        <v>Workforce</v>
      </c>
      <c r="H614" s="3" t="str">
        <f>IFERROR(__xludf.DUMMYFUNCTION("""COMPUTED_VALUE"""),"HI X-Sector")</f>
        <v>HI X-Sector</v>
      </c>
      <c r="I614" s="3" t="str">
        <f>IFERROR(__xludf.DUMMYFUNCTION("""COMPUTED_VALUE"""),"Workforce - Talent, Change &amp; Behaviors")</f>
        <v>Workforce - Talent, Change &amp; Behaviors</v>
      </c>
      <c r="J614" s="3" t="str">
        <f>IFERROR(__xludf.DUMMYFUNCTION("""COMPUTED_VALUE"""),"Partner")</f>
        <v>Partner</v>
      </c>
      <c r="K614" s="12">
        <f>IFERROR(__xludf.DUMMYFUNCTION("""COMPUTED_VALUE"""),37683.0)</f>
        <v>37683</v>
      </c>
      <c r="L614" s="3" t="str">
        <f>IFERROR(__xludf.DUMMYFUNCTION("""COMPUTED_VALUE"""),"San Jose")</f>
        <v>San Jose</v>
      </c>
      <c r="M614" s="3" t="str">
        <f>IFERROR(__xludf.DUMMYFUNCTION("""COMPUTED_VALUE"""),"San Jose - 488 Almaden Boulevard")</f>
        <v>San Jose - 488 Almaden Boulevard</v>
      </c>
      <c r="N614" s="3" t="b">
        <f>IFERROR(__xludf.DUMMYFUNCTION("""COMPUTED_VALUE"""),FALSE)</f>
        <v>0</v>
      </c>
      <c r="O614" s="3" t="str">
        <f>IFERROR(__xludf.DUMMYFUNCTION("""COMPUTED_VALUE"""),"craig.odonnell@pwc.com")</f>
        <v>craig.odonnell@pwc.com</v>
      </c>
      <c r="P614" s="3" t="str">
        <f>IFERROR(__xludf.DUMMYFUNCTION("""COMPUTED_VALUE"""),"No")</f>
        <v>No</v>
      </c>
      <c r="Q614" s="3" t="b">
        <f>IFERROR(__xludf.DUMMYFUNCTION("""COMPUTED_VALUE"""),FALSE)</f>
        <v>0</v>
      </c>
      <c r="R614" s="3"/>
      <c r="S614" s="3"/>
      <c r="T614" s="3" t="b">
        <f>IFERROR(__xludf.DUMMYFUNCTION("""COMPUTED_VALUE"""),FALSE)</f>
        <v>0</v>
      </c>
      <c r="U614" s="3" t="b">
        <f>IFERROR(__xludf.DUMMYFUNCTION("""COMPUTED_VALUE"""),FALSE)</f>
        <v>0</v>
      </c>
      <c r="V614" s="3" t="b">
        <f>IFERROR(__xludf.DUMMYFUNCTION("""COMPUTED_VALUE"""),FALSE)</f>
        <v>0</v>
      </c>
      <c r="W614" s="3" t="str">
        <f>IFERROR(__xludf.DUMMYFUNCTION("""COMPUTED_VALUE"""),"#N/A")</f>
        <v>#N/A</v>
      </c>
      <c r="X614" s="3" t="str">
        <f>IFERROR(__xludf.DUMMYFUNCTION("""COMPUTED_VALUE"""),"#N/A")</f>
        <v>#N/A</v>
      </c>
      <c r="Y614" s="3" t="str">
        <f>IFERROR(__xludf.DUMMYFUNCTION("""COMPUTED_VALUE"""),"#N/A")</f>
        <v>#N/A</v>
      </c>
      <c r="Z614" s="3" t="str">
        <f>IFERROR(__xludf.DUMMYFUNCTION("""COMPUTED_VALUE"""),"Unknown")</f>
        <v>Unknown</v>
      </c>
      <c r="AA614" s="3" t="b">
        <f>IFERROR(__xludf.DUMMYFUNCTION("""COMPUTED_VALUE"""),FALSE)</f>
        <v>0</v>
      </c>
    </row>
    <row r="615">
      <c r="A615" s="11">
        <f>IFERROR(__xludf.DUMMYFUNCTION("""COMPUTED_VALUE"""),1.01154613E8)</f>
        <v>101154613</v>
      </c>
      <c r="B615" s="3" t="str">
        <f>IFERROR(__xludf.DUMMYFUNCTION("""COMPUTED_VALUE"""),"Shekhar Purohit")</f>
        <v>Shekhar Purohit</v>
      </c>
      <c r="C615" s="3" t="str">
        <f>IFERROR(__xludf.DUMMYFUNCTION("""COMPUTED_VALUE"""),"Shekhar  Purohit")</f>
        <v>Shekhar  Purohit</v>
      </c>
      <c r="D615" s="3" t="str">
        <f>IFERROR(__xludf.DUMMYFUNCTION("""COMPUTED_VALUE"""),"Purohit, Shekhar")</f>
        <v>Purohit, Shekhar</v>
      </c>
      <c r="E615" s="3" t="str">
        <f>IFERROR(__xludf.DUMMYFUNCTION("""COMPUTED_VALUE"""),"Active")</f>
        <v>Active</v>
      </c>
      <c r="F615" s="3" t="str">
        <f>IFERROR(__xludf.DUMMYFUNCTION("""COMPUTED_VALUE"""),"shekhar.purohit@pwc.com")</f>
        <v>shekhar.purohit@pwc.com</v>
      </c>
      <c r="G615" s="3" t="str">
        <f>IFERROR(__xludf.DUMMYFUNCTION("""COMPUTED_VALUE"""),"Workforce")</f>
        <v>Workforce</v>
      </c>
      <c r="H615" s="3" t="str">
        <f>IFERROR(__xludf.DUMMYFUNCTION("""COMPUTED_VALUE"""),"CM X-Sector")</f>
        <v>CM X-Sector</v>
      </c>
      <c r="I615" s="3" t="str">
        <f>IFERROR(__xludf.DUMMYFUNCTION("""COMPUTED_VALUE"""),"Workforce - Rewards &amp; Well Being")</f>
        <v>Workforce - Rewards &amp; Well Being</v>
      </c>
      <c r="J615" s="3" t="str">
        <f>IFERROR(__xludf.DUMMYFUNCTION("""COMPUTED_VALUE"""),"Partner")</f>
        <v>Partner</v>
      </c>
      <c r="K615" s="12">
        <f>IFERROR(__xludf.DUMMYFUNCTION("""COMPUTED_VALUE"""),44501.0)</f>
        <v>44501</v>
      </c>
      <c r="L615" s="3" t="str">
        <f>IFERROR(__xludf.DUMMYFUNCTION("""COMPUTED_VALUE"""),"Chicago")</f>
        <v>Chicago</v>
      </c>
      <c r="M615" s="3" t="str">
        <f>IFERROR(__xludf.DUMMYFUNCTION("""COMPUTED_VALUE"""),"Chicago - One North Wacker Drive")</f>
        <v>Chicago - One North Wacker Drive</v>
      </c>
      <c r="N615" s="3" t="b">
        <f>IFERROR(__xludf.DUMMYFUNCTION("""COMPUTED_VALUE"""),FALSE)</f>
        <v>0</v>
      </c>
      <c r="O615" s="3" t="str">
        <f>IFERROR(__xludf.DUMMYFUNCTION("""COMPUTED_VALUE"""),"craig.odonnell@pwc.com")</f>
        <v>craig.odonnell@pwc.com</v>
      </c>
      <c r="P615" s="3" t="str">
        <f>IFERROR(__xludf.DUMMYFUNCTION("""COMPUTED_VALUE"""),"FY22")</f>
        <v>FY22</v>
      </c>
      <c r="Q615" s="3" t="b">
        <f>IFERROR(__xludf.DUMMYFUNCTION("""COMPUTED_VALUE"""),FALSE)</f>
        <v>0</v>
      </c>
      <c r="R615" s="3"/>
      <c r="S615" s="3"/>
      <c r="T615" s="3" t="b">
        <f>IFERROR(__xludf.DUMMYFUNCTION("""COMPUTED_VALUE"""),FALSE)</f>
        <v>0</v>
      </c>
      <c r="U615" s="3" t="b">
        <f>IFERROR(__xludf.DUMMYFUNCTION("""COMPUTED_VALUE"""),TRUE)</f>
        <v>1</v>
      </c>
      <c r="V615" s="3" t="b">
        <f>IFERROR(__xludf.DUMMYFUNCTION("""COMPUTED_VALUE"""),FALSE)</f>
        <v>0</v>
      </c>
      <c r="W615" s="3" t="str">
        <f>IFERROR(__xludf.DUMMYFUNCTION("""COMPUTED_VALUE"""),"Catalyst")</f>
        <v>Catalyst</v>
      </c>
      <c r="X615" s="3"/>
      <c r="Y615" s="3" t="str">
        <f>IFERROR(__xludf.DUMMYFUNCTION("""COMPUTED_VALUE"""),"FY22")</f>
        <v>FY22</v>
      </c>
      <c r="Z615" s="3" t="str">
        <f>IFERROR(__xludf.DUMMYFUNCTION("""COMPUTED_VALUE"""),"Rewards and Well-Being")</f>
        <v>Rewards and Well-Being</v>
      </c>
      <c r="AA615" s="3" t="b">
        <f>IFERROR(__xludf.DUMMYFUNCTION("""COMPUTED_VALUE"""),FALSE)</f>
        <v>0</v>
      </c>
    </row>
    <row r="616">
      <c r="A616" s="11">
        <f>IFERROR(__xludf.DUMMYFUNCTION("""COMPUTED_VALUE"""),1.00630016E8)</f>
        <v>100630016</v>
      </c>
      <c r="B616" s="3" t="str">
        <f>IFERROR(__xludf.DUMMYFUNCTION("""COMPUTED_VALUE"""),"Shungu Chigariro")</f>
        <v>Shungu Chigariro</v>
      </c>
      <c r="C616" s="3" t="str">
        <f>IFERROR(__xludf.DUMMYFUNCTION("""COMPUTED_VALUE"""),"Shungu  Chigariro")</f>
        <v>Shungu  Chigariro</v>
      </c>
      <c r="D616" s="3" t="str">
        <f>IFERROR(__xludf.DUMMYFUNCTION("""COMPUTED_VALUE"""),"Chigariro, Shungu")</f>
        <v>Chigariro, Shungu</v>
      </c>
      <c r="E616" s="3" t="str">
        <f>IFERROR(__xludf.DUMMYFUNCTION("""COMPUTED_VALUE"""),"Active")</f>
        <v>Active</v>
      </c>
      <c r="F616" s="3" t="str">
        <f>IFERROR(__xludf.DUMMYFUNCTION("""COMPUTED_VALUE"""),"shungu.chigariro@pwc.com")</f>
        <v>shungu.chigariro@pwc.com</v>
      </c>
      <c r="G616" s="3" t="str">
        <f>IFERROR(__xludf.DUMMYFUNCTION("""COMPUTED_VALUE"""),"Workforce")</f>
        <v>Workforce</v>
      </c>
      <c r="H616" s="3" t="str">
        <f>IFERROR(__xludf.DUMMYFUNCTION("""COMPUTED_VALUE"""),"Pharma and Life Sciences")</f>
        <v>Pharma and Life Sciences</v>
      </c>
      <c r="I616" s="3" t="str">
        <f>IFERROR(__xludf.DUMMYFUNCTION("""COMPUTED_VALUE"""),"Workforce - Deals")</f>
        <v>Workforce - Deals</v>
      </c>
      <c r="J616" s="3" t="str">
        <f>IFERROR(__xludf.DUMMYFUNCTION("""COMPUTED_VALUE"""),"Partner")</f>
        <v>Partner</v>
      </c>
      <c r="K616" s="12">
        <f>IFERROR(__xludf.DUMMYFUNCTION("""COMPUTED_VALUE"""),41568.0)</f>
        <v>41568</v>
      </c>
      <c r="L616" s="3" t="str">
        <f>IFERROR(__xludf.DUMMYFUNCTION("""COMPUTED_VALUE"""),"New York")</f>
        <v>New York</v>
      </c>
      <c r="M616" s="3" t="str">
        <f>IFERROR(__xludf.DUMMYFUNCTION("""COMPUTED_VALUE"""),"New York - 300 Madison Avenue")</f>
        <v>New York - 300 Madison Avenue</v>
      </c>
      <c r="N616" s="3" t="b">
        <f>IFERROR(__xludf.DUMMYFUNCTION("""COMPUTED_VALUE"""),FALSE)</f>
        <v>0</v>
      </c>
      <c r="O616" s="3" t="str">
        <f>IFERROR(__xludf.DUMMYFUNCTION("""COMPUTED_VALUE"""),"craig.odonnell@pwc.com")</f>
        <v>craig.odonnell@pwc.com</v>
      </c>
      <c r="P616" s="3" t="str">
        <f>IFERROR(__xludf.DUMMYFUNCTION("""COMPUTED_VALUE"""),"No")</f>
        <v>No</v>
      </c>
      <c r="Q616" s="3" t="b">
        <f>IFERROR(__xludf.DUMMYFUNCTION("""COMPUTED_VALUE"""),FALSE)</f>
        <v>0</v>
      </c>
      <c r="R616" s="3"/>
      <c r="S616" s="3"/>
      <c r="T616" s="3" t="b">
        <f>IFERROR(__xludf.DUMMYFUNCTION("""COMPUTED_VALUE"""),FALSE)</f>
        <v>0</v>
      </c>
      <c r="U616" s="3" t="b">
        <f>IFERROR(__xludf.DUMMYFUNCTION("""COMPUTED_VALUE"""),FALSE)</f>
        <v>0</v>
      </c>
      <c r="V616" s="3" t="b">
        <f>IFERROR(__xludf.DUMMYFUNCTION("""COMPUTED_VALUE"""),FALSE)</f>
        <v>0</v>
      </c>
      <c r="W616" s="3" t="str">
        <f>IFERROR(__xludf.DUMMYFUNCTION("""COMPUTED_VALUE"""),"#N/A")</f>
        <v>#N/A</v>
      </c>
      <c r="X616" s="3" t="str">
        <f>IFERROR(__xludf.DUMMYFUNCTION("""COMPUTED_VALUE"""),"#N/A")</f>
        <v>#N/A</v>
      </c>
      <c r="Y616" s="3" t="str">
        <f>IFERROR(__xludf.DUMMYFUNCTION("""COMPUTED_VALUE"""),"#N/A")</f>
        <v>#N/A</v>
      </c>
      <c r="Z616" s="3" t="str">
        <f>IFERROR(__xludf.DUMMYFUNCTION("""COMPUTED_VALUE"""),"Unknown")</f>
        <v>Unknown</v>
      </c>
      <c r="AA616" s="3" t="b">
        <f>IFERROR(__xludf.DUMMYFUNCTION("""COMPUTED_VALUE"""),FALSE)</f>
        <v>0</v>
      </c>
    </row>
    <row r="617">
      <c r="A617" s="11">
        <f>IFERROR(__xludf.DUMMYFUNCTION("""COMPUTED_VALUE"""),1.00601135E8)</f>
        <v>100601135</v>
      </c>
      <c r="B617" s="3" t="str">
        <f>IFERROR(__xludf.DUMMYFUNCTION("""COMPUTED_VALUE"""),"Sid Mehra")</f>
        <v>Sid Mehra</v>
      </c>
      <c r="C617" s="3" t="str">
        <f>IFERROR(__xludf.DUMMYFUNCTION("""COMPUTED_VALUE"""),"Siddharth  Mehra")</f>
        <v>Siddharth  Mehra</v>
      </c>
      <c r="D617" s="3" t="str">
        <f>IFERROR(__xludf.DUMMYFUNCTION("""COMPUTED_VALUE"""),"Mehra, Siddharth")</f>
        <v>Mehra, Siddharth</v>
      </c>
      <c r="E617" s="3" t="str">
        <f>IFERROR(__xludf.DUMMYFUNCTION("""COMPUTED_VALUE"""),"Active")</f>
        <v>Active</v>
      </c>
      <c r="F617" s="3" t="str">
        <f>IFERROR(__xludf.DUMMYFUNCTION("""COMPUTED_VALUE"""),"smehra@pwc.com")</f>
        <v>smehra@pwc.com</v>
      </c>
      <c r="G617" s="3" t="str">
        <f>IFERROR(__xludf.DUMMYFUNCTION("""COMPUTED_VALUE"""),"Deals Transformation")</f>
        <v>Deals Transformation</v>
      </c>
      <c r="H617" s="3" t="str">
        <f>IFERROR(__xludf.DUMMYFUNCTION("""COMPUTED_VALUE"""),"TMT X-Sector")</f>
        <v>TMT X-Sector</v>
      </c>
      <c r="I617" s="3" t="str">
        <f>IFERROR(__xludf.DUMMYFUNCTION("""COMPUTED_VALUE"""),"DDV - Finance")</f>
        <v>DDV - Finance</v>
      </c>
      <c r="J617" s="3" t="str">
        <f>IFERROR(__xludf.DUMMYFUNCTION("""COMPUTED_VALUE"""),"Partner")</f>
        <v>Partner</v>
      </c>
      <c r="K617" s="12">
        <f>IFERROR(__xludf.DUMMYFUNCTION("""COMPUTED_VALUE"""),41294.0)</f>
        <v>41294</v>
      </c>
      <c r="L617" s="3" t="str">
        <f>IFERROR(__xludf.DUMMYFUNCTION("""COMPUTED_VALUE"""),"Los Angeles")</f>
        <v>Los Angeles</v>
      </c>
      <c r="M617" s="3" t="str">
        <f>IFERROR(__xludf.DUMMYFUNCTION("""COMPUTED_VALUE"""),"Los Angeles - 601 South Figueroa Street")</f>
        <v>Los Angeles - 601 South Figueroa Street</v>
      </c>
      <c r="N617" s="3" t="b">
        <f>IFERROR(__xludf.DUMMYFUNCTION("""COMPUTED_VALUE"""),FALSE)</f>
        <v>0</v>
      </c>
      <c r="O617" s="3" t="str">
        <f>IFERROR(__xludf.DUMMYFUNCTION("""COMPUTED_VALUE"""),"derek.b.townsend@pwc.com")</f>
        <v>derek.b.townsend@pwc.com</v>
      </c>
      <c r="P617" s="3" t="str">
        <f>IFERROR(__xludf.DUMMYFUNCTION("""COMPUTED_VALUE"""),"No")</f>
        <v>No</v>
      </c>
      <c r="Q617" s="3" t="b">
        <f>IFERROR(__xludf.DUMMYFUNCTION("""COMPUTED_VALUE"""),FALSE)</f>
        <v>0</v>
      </c>
      <c r="R617" s="3"/>
      <c r="S617" s="3"/>
      <c r="T617" s="3" t="b">
        <f>IFERROR(__xludf.DUMMYFUNCTION("""COMPUTED_VALUE"""),FALSE)</f>
        <v>0</v>
      </c>
      <c r="U617" s="3" t="b">
        <f>IFERROR(__xludf.DUMMYFUNCTION("""COMPUTED_VALUE"""),TRUE)</f>
        <v>1</v>
      </c>
      <c r="V617" s="3" t="b">
        <f>IFERROR(__xludf.DUMMYFUNCTION("""COMPUTED_VALUE"""),FALSE)</f>
        <v>0</v>
      </c>
      <c r="W617" s="3" t="str">
        <f>IFERROR(__xludf.DUMMYFUNCTION("""COMPUTED_VALUE"""),"Delivery")</f>
        <v>Delivery</v>
      </c>
      <c r="X617" s="3"/>
      <c r="Y617" s="3"/>
      <c r="Z617" s="3" t="str">
        <f>IFERROR(__xludf.DUMMYFUNCTION("""COMPUTED_VALUE"""),"Corporate M&amp;A Transformation - TMT")</f>
        <v>Corporate M&amp;A Transformation - TMT</v>
      </c>
      <c r="AA617" s="3" t="b">
        <f>IFERROR(__xludf.DUMMYFUNCTION("""COMPUTED_VALUE"""),FALSE)</f>
        <v>0</v>
      </c>
    </row>
    <row r="618">
      <c r="A618" s="11">
        <f>IFERROR(__xludf.DUMMYFUNCTION("""COMPUTED_VALUE"""),1.00904604E8)</f>
        <v>100904604</v>
      </c>
      <c r="B618" s="3" t="str">
        <f>IFERROR(__xludf.DUMMYFUNCTION("""COMPUTED_VALUE"""),"Simon Singh")</f>
        <v>Simon Singh</v>
      </c>
      <c r="C618" s="3" t="str">
        <f>IFERROR(__xludf.DUMMYFUNCTION("""COMPUTED_VALUE"""),"Simon Preet Singh")</f>
        <v>Simon Preet Singh</v>
      </c>
      <c r="D618" s="3" t="str">
        <f>IFERROR(__xludf.DUMMYFUNCTION("""COMPUTED_VALUE"""),"Singh, Simon Preet")</f>
        <v>Singh, Simon Preet</v>
      </c>
      <c r="E618" s="3" t="str">
        <f>IFERROR(__xludf.DUMMYFUNCTION("""COMPUTED_VALUE"""),"Active")</f>
        <v>Active</v>
      </c>
      <c r="F618" s="3" t="str">
        <f>IFERROR(__xludf.DUMMYFUNCTION("""COMPUTED_VALUE"""),"simon.p.singh@pwc.com")</f>
        <v>simon.p.singh@pwc.com</v>
      </c>
      <c r="G618" s="3" t="str">
        <f>IFERROR(__xludf.DUMMYFUNCTION("""COMPUTED_VALUE"""),"Deals Transformation")</f>
        <v>Deals Transformation</v>
      </c>
      <c r="H618" s="3" t="str">
        <f>IFERROR(__xludf.DUMMYFUNCTION("""COMPUTED_VALUE"""),"TMT X-Sector")</f>
        <v>TMT X-Sector</v>
      </c>
      <c r="I618" s="3" t="str">
        <f>IFERROR(__xludf.DUMMYFUNCTION("""COMPUTED_VALUE"""),"DDV - IT")</f>
        <v>DDV - IT</v>
      </c>
      <c r="J618" s="3" t="str">
        <f>IFERROR(__xludf.DUMMYFUNCTION("""COMPUTED_VALUE"""),"Partner")</f>
        <v>Partner</v>
      </c>
      <c r="K618" s="12">
        <f>IFERROR(__xludf.DUMMYFUNCTION("""COMPUTED_VALUE"""),43619.0)</f>
        <v>43619</v>
      </c>
      <c r="L618" s="3" t="str">
        <f>IFERROR(__xludf.DUMMYFUNCTION("""COMPUTED_VALUE"""),"San Jose")</f>
        <v>San Jose</v>
      </c>
      <c r="M618" s="3" t="str">
        <f>IFERROR(__xludf.DUMMYFUNCTION("""COMPUTED_VALUE"""),"San Jose - 488 Almaden Boulevard")</f>
        <v>San Jose - 488 Almaden Boulevard</v>
      </c>
      <c r="N618" s="3" t="b">
        <f>IFERROR(__xludf.DUMMYFUNCTION("""COMPUTED_VALUE"""),FALSE)</f>
        <v>0</v>
      </c>
      <c r="O618" s="3" t="str">
        <f>IFERROR(__xludf.DUMMYFUNCTION("""COMPUTED_VALUE"""),"derek.b.townsend@pwc.com")</f>
        <v>derek.b.townsend@pwc.com</v>
      </c>
      <c r="P618" s="3" t="str">
        <f>IFERROR(__xludf.DUMMYFUNCTION("""COMPUTED_VALUE"""),"No")</f>
        <v>No</v>
      </c>
      <c r="Q618" s="3" t="b">
        <f>IFERROR(__xludf.DUMMYFUNCTION("""COMPUTED_VALUE"""),FALSE)</f>
        <v>0</v>
      </c>
      <c r="R618" s="3"/>
      <c r="S618" s="3"/>
      <c r="T618" s="3" t="b">
        <f>IFERROR(__xludf.DUMMYFUNCTION("""COMPUTED_VALUE"""),FALSE)</f>
        <v>0</v>
      </c>
      <c r="U618" s="3" t="b">
        <f>IFERROR(__xludf.DUMMYFUNCTION("""COMPUTED_VALUE"""),FALSE)</f>
        <v>0</v>
      </c>
      <c r="V618" s="3" t="b">
        <f>IFERROR(__xludf.DUMMYFUNCTION("""COMPUTED_VALUE"""),FALSE)</f>
        <v>0</v>
      </c>
      <c r="W618" s="3" t="str">
        <f>IFERROR(__xludf.DUMMYFUNCTION("""COMPUTED_VALUE"""),"Delivery")</f>
        <v>Delivery</v>
      </c>
      <c r="X618" s="3"/>
      <c r="Y618" s="3" t="str">
        <f>IFERROR(__xludf.DUMMYFUNCTION("""COMPUTED_VALUE"""),"Point Partner")</f>
        <v>Point Partner</v>
      </c>
      <c r="Z618" s="3" t="str">
        <f>IFERROR(__xludf.DUMMYFUNCTION("""COMPUTED_VALUE"""),"Corporate M&amp;A Transformation - TMT")</f>
        <v>Corporate M&amp;A Transformation - TMT</v>
      </c>
      <c r="AA618" s="3" t="b">
        <f>IFERROR(__xludf.DUMMYFUNCTION("""COMPUTED_VALUE"""),FALSE)</f>
        <v>0</v>
      </c>
    </row>
    <row r="619">
      <c r="A619" s="11">
        <f>IFERROR(__xludf.DUMMYFUNCTION("""COMPUTED_VALUE"""),1.01127868E8)</f>
        <v>101127868</v>
      </c>
      <c r="B619" s="3" t="str">
        <f>IFERROR(__xludf.DUMMYFUNCTION("""COMPUTED_VALUE"""),"Simon Strom")</f>
        <v>Simon Strom</v>
      </c>
      <c r="C619" s="3" t="str">
        <f>IFERROR(__xludf.DUMMYFUNCTION("""COMPUTED_VALUE"""),"Dan Erik Simon  Strom")</f>
        <v>Dan Erik Simon  Strom</v>
      </c>
      <c r="D619" s="3" t="str">
        <f>IFERROR(__xludf.DUMMYFUNCTION("""COMPUTED_VALUE"""),"Strom, Dan Erik Simon")</f>
        <v>Strom, Dan Erik Simon</v>
      </c>
      <c r="E619" s="3" t="str">
        <f>IFERROR(__xludf.DUMMYFUNCTION("""COMPUTED_VALUE"""),"Secondment")</f>
        <v>Secondment</v>
      </c>
      <c r="F619" s="3" t="str">
        <f>IFERROR(__xludf.DUMMYFUNCTION("""COMPUTED_VALUE"""),"simon.strom@pwc.com")</f>
        <v>simon.strom@pwc.com</v>
      </c>
      <c r="G619" s="3" t="str">
        <f>IFERROR(__xludf.DUMMYFUNCTION("""COMPUTED_VALUE"""),"ESV")</f>
        <v>ESV</v>
      </c>
      <c r="H619" s="3" t="str">
        <f>IFERROR(__xludf.DUMMYFUNCTION("""COMPUTED_VALUE"""),"Automotive")</f>
        <v>Automotive</v>
      </c>
      <c r="I619" s="3" t="str">
        <f>IFERROR(__xludf.DUMMYFUNCTION("""COMPUTED_VALUE"""),"ESV - IPS")</f>
        <v>ESV - IPS</v>
      </c>
      <c r="J619" s="3" t="str">
        <f>IFERROR(__xludf.DUMMYFUNCTION("""COMPUTED_VALUE"""),"Partner")</f>
        <v>Partner</v>
      </c>
      <c r="K619" s="12">
        <f>IFERROR(__xludf.DUMMYFUNCTION("""COMPUTED_VALUE"""),44487.0)</f>
        <v>44487</v>
      </c>
      <c r="L619" s="3" t="str">
        <f>IFERROR(__xludf.DUMMYFUNCTION("""COMPUTED_VALUE"""),"New York")</f>
        <v>New York</v>
      </c>
      <c r="M619" s="3" t="str">
        <f>IFERROR(__xludf.DUMMYFUNCTION("""COMPUTED_VALUE"""),"New York - 300 Madison Avenue")</f>
        <v>New York - 300 Madison Avenue</v>
      </c>
      <c r="N619" s="3" t="b">
        <f>IFERROR(__xludf.DUMMYFUNCTION("""COMPUTED_VALUE"""),FALSE)</f>
        <v>0</v>
      </c>
      <c r="O619" s="3" t="str">
        <f>IFERROR(__xludf.DUMMYFUNCTION("""COMPUTED_VALUE"""),"sundar.subramanian@pwc.com")</f>
        <v>sundar.subramanian@pwc.com</v>
      </c>
      <c r="P619" s="3" t="str">
        <f>IFERROR(__xludf.DUMMYFUNCTION("""COMPUTED_VALUE"""),"FY22")</f>
        <v>FY22</v>
      </c>
      <c r="Q619" s="3" t="b">
        <f>IFERROR(__xludf.DUMMYFUNCTION("""COMPUTED_VALUE"""),FALSE)</f>
        <v>0</v>
      </c>
      <c r="R619" s="3"/>
      <c r="S619" s="3"/>
      <c r="T619" s="3" t="b">
        <f>IFERROR(__xludf.DUMMYFUNCTION("""COMPUTED_VALUE"""),FALSE)</f>
        <v>0</v>
      </c>
      <c r="U619" s="3" t="b">
        <f>IFERROR(__xludf.DUMMYFUNCTION("""COMPUTED_VALUE"""),TRUE)</f>
        <v>1</v>
      </c>
      <c r="V619" s="3" t="b">
        <f>IFERROR(__xludf.DUMMYFUNCTION("""COMPUTED_VALUE"""),FALSE)</f>
        <v>0</v>
      </c>
      <c r="W619" s="3" t="str">
        <f>IFERROR(__xludf.DUMMYFUNCTION("""COMPUTED_VALUE"""),"Catalyst")</f>
        <v>Catalyst</v>
      </c>
      <c r="X619" s="3"/>
      <c r="Y619" s="3" t="str">
        <f>IFERROR(__xludf.DUMMYFUNCTION("""COMPUTED_VALUE"""),"FY22")</f>
        <v>FY22</v>
      </c>
      <c r="Z619" s="3" t="str">
        <f>IFERROR(__xludf.DUMMYFUNCTION("""COMPUTED_VALUE"""),"Enterprise Digital Transformation - CM &amp; IPS")</f>
        <v>Enterprise Digital Transformation - CM &amp; IPS</v>
      </c>
      <c r="AA619" s="3" t="b">
        <f>IFERROR(__xludf.DUMMYFUNCTION("""COMPUTED_VALUE"""),FALSE)</f>
        <v>0</v>
      </c>
    </row>
    <row r="620">
      <c r="A620" s="11">
        <f>IFERROR(__xludf.DUMMYFUNCTION("""COMPUTED_VALUE"""),1.0061958E8)</f>
        <v>100619580</v>
      </c>
      <c r="B620" s="3" t="str">
        <f>IFERROR(__xludf.DUMMYFUNCTION("""COMPUTED_VALUE"""),"Sky Milch")</f>
        <v>Sky Milch</v>
      </c>
      <c r="C620" s="3" t="str">
        <f>IFERROR(__xludf.DUMMYFUNCTION("""COMPUTED_VALUE"""),"Sky  Milch")</f>
        <v>Sky  Milch</v>
      </c>
      <c r="D620" s="3" t="str">
        <f>IFERROR(__xludf.DUMMYFUNCTION("""COMPUTED_VALUE"""),"Milch, Sky")</f>
        <v>Milch, Sky</v>
      </c>
      <c r="E620" s="3" t="str">
        <f>IFERROR(__xludf.DUMMYFUNCTION("""COMPUTED_VALUE"""),"Active")</f>
        <v>Active</v>
      </c>
      <c r="F620" s="3" t="str">
        <f>IFERROR(__xludf.DUMMYFUNCTION("""COMPUTED_VALUE"""),"sky.milch@pwc.com")</f>
        <v>sky.milch@pwc.com</v>
      </c>
      <c r="G620" s="3" t="str">
        <f>IFERROR(__xludf.DUMMYFUNCTION("""COMPUTED_VALUE"""),"Deals Transformation")</f>
        <v>Deals Transformation</v>
      </c>
      <c r="H620" s="3" t="str">
        <f>IFERROR(__xludf.DUMMYFUNCTION("""COMPUTED_VALUE"""),"Pharma and Life Sciences")</f>
        <v>Pharma and Life Sciences</v>
      </c>
      <c r="I620" s="3" t="str">
        <f>IFERROR(__xludf.DUMMYFUNCTION("""COMPUTED_VALUE"""),"DDV - ISD (Integration, Separation, Divestitures)")</f>
        <v>DDV - ISD (Integration, Separation, Divestitures)</v>
      </c>
      <c r="J620" s="3" t="str">
        <f>IFERROR(__xludf.DUMMYFUNCTION("""COMPUTED_VALUE"""),"Partner")</f>
        <v>Partner</v>
      </c>
      <c r="K620" s="12">
        <f>IFERROR(__xludf.DUMMYFUNCTION("""COMPUTED_VALUE"""),38207.0)</f>
        <v>38207</v>
      </c>
      <c r="L620" s="3" t="str">
        <f>IFERROR(__xludf.DUMMYFUNCTION("""COMPUTED_VALUE"""),"Los Angeles")</f>
        <v>Los Angeles</v>
      </c>
      <c r="M620" s="3" t="str">
        <f>IFERROR(__xludf.DUMMYFUNCTION("""COMPUTED_VALUE"""),"Los Angeles - 601 South Figueroa Street")</f>
        <v>Los Angeles - 601 South Figueroa Street</v>
      </c>
      <c r="N620" s="3" t="b">
        <f>IFERROR(__xludf.DUMMYFUNCTION("""COMPUTED_VALUE"""),FALSE)</f>
        <v>0</v>
      </c>
      <c r="O620" s="3" t="str">
        <f>IFERROR(__xludf.DUMMYFUNCTION("""COMPUTED_VALUE"""),"derek.b.townsend@pwc.com")</f>
        <v>derek.b.townsend@pwc.com</v>
      </c>
      <c r="P620" s="3" t="str">
        <f>IFERROR(__xludf.DUMMYFUNCTION("""COMPUTED_VALUE"""),"No")</f>
        <v>No</v>
      </c>
      <c r="Q620" s="3" t="b">
        <f>IFERROR(__xludf.DUMMYFUNCTION("""COMPUTED_VALUE"""),TRUE)</f>
        <v>1</v>
      </c>
      <c r="R620" s="3" t="str">
        <f>IFERROR(__xludf.DUMMYFUNCTION("""COMPUTED_VALUE"""),"LCP High")</f>
        <v>LCP High</v>
      </c>
      <c r="S620" s="3"/>
      <c r="T620" s="3" t="b">
        <f>IFERROR(__xludf.DUMMYFUNCTION("""COMPUTED_VALUE"""),FALSE)</f>
        <v>0</v>
      </c>
      <c r="U620" s="3" t="b">
        <f>IFERROR(__xludf.DUMMYFUNCTION("""COMPUTED_VALUE"""),FALSE)</f>
        <v>0</v>
      </c>
      <c r="V620" s="3" t="b">
        <f>IFERROR(__xludf.DUMMYFUNCTION("""COMPUTED_VALUE"""),FALSE)</f>
        <v>0</v>
      </c>
      <c r="W620" s="3" t="str">
        <f>IFERROR(__xludf.DUMMYFUNCTION("""COMPUTED_VALUE"""),"LCP")</f>
        <v>LCP</v>
      </c>
      <c r="X620" s="3"/>
      <c r="Y620" s="3" t="str">
        <f>IFERROR(__xludf.DUMMYFUNCTION("""COMPUTED_VALUE"""),"GEP - High")</f>
        <v>GEP - High</v>
      </c>
      <c r="Z620" s="3" t="str">
        <f>IFERROR(__xludf.DUMMYFUNCTION("""COMPUTED_VALUE"""),"Corporate M&amp;A Transformation - PLS/Med Device")</f>
        <v>Corporate M&amp;A Transformation - PLS/Med Device</v>
      </c>
      <c r="AA620" s="3" t="b">
        <f>IFERROR(__xludf.DUMMYFUNCTION("""COMPUTED_VALUE"""),FALSE)</f>
        <v>0</v>
      </c>
    </row>
    <row r="621">
      <c r="A621" s="11">
        <f>IFERROR(__xludf.DUMMYFUNCTION("""COMPUTED_VALUE"""),1.00983419E8)</f>
        <v>100983419</v>
      </c>
      <c r="B621" s="3" t="str">
        <f>IFERROR(__xludf.DUMMYFUNCTION("""COMPUTED_VALUE"""),"Sonepal Kohli")</f>
        <v>Sonepal Kohli</v>
      </c>
      <c r="C621" s="3" t="str">
        <f>IFERROR(__xludf.DUMMYFUNCTION("""COMPUTED_VALUE"""),"Sonepal Singh Kohli")</f>
        <v>Sonepal Singh Kohli</v>
      </c>
      <c r="D621" s="3" t="str">
        <f>IFERROR(__xludf.DUMMYFUNCTION("""COMPUTED_VALUE"""),"Kohli, Sonepal Singh")</f>
        <v>Kohli, Sonepal Singh</v>
      </c>
      <c r="E621" s="3" t="str">
        <f>IFERROR(__xludf.DUMMYFUNCTION("""COMPUTED_VALUE"""),"Active")</f>
        <v>Active</v>
      </c>
      <c r="F621" s="3" t="str">
        <f>IFERROR(__xludf.DUMMYFUNCTION("""COMPUTED_VALUE"""),"sonepal.kohli@pwc.com")</f>
        <v>sonepal.kohli@pwc.com</v>
      </c>
      <c r="G621" s="3" t="str">
        <f>IFERROR(__xludf.DUMMYFUNCTION("""COMPUTED_VALUE"""),"ESV")</f>
        <v>ESV</v>
      </c>
      <c r="H621" s="3" t="str">
        <f>IFERROR(__xludf.DUMMYFUNCTION("""COMPUTED_VALUE"""),"Insurance")</f>
        <v>Insurance</v>
      </c>
      <c r="I621" s="3" t="str">
        <f>IFERROR(__xludf.DUMMYFUNCTION("""COMPUTED_VALUE"""),"ESV - Insurance")</f>
        <v>ESV - Insurance</v>
      </c>
      <c r="J621" s="3" t="str">
        <f>IFERROR(__xludf.DUMMYFUNCTION("""COMPUTED_VALUE"""),"Partner")</f>
        <v>Partner</v>
      </c>
      <c r="K621" s="12">
        <f>IFERROR(__xludf.DUMMYFUNCTION("""COMPUTED_VALUE"""),43891.0)</f>
        <v>43891</v>
      </c>
      <c r="L621" s="3" t="str">
        <f>IFERROR(__xludf.DUMMYFUNCTION("""COMPUTED_VALUE"""),"Chicago")</f>
        <v>Chicago</v>
      </c>
      <c r="M621" s="3" t="str">
        <f>IFERROR(__xludf.DUMMYFUNCTION("""COMPUTED_VALUE"""),"Chicago - One North Wacker Drive")</f>
        <v>Chicago - One North Wacker Drive</v>
      </c>
      <c r="N621" s="3" t="b">
        <f>IFERROR(__xludf.DUMMYFUNCTION("""COMPUTED_VALUE"""),FALSE)</f>
        <v>0</v>
      </c>
      <c r="O621" s="3" t="str">
        <f>IFERROR(__xludf.DUMMYFUNCTION("""COMPUTED_VALUE"""),"sundar.subramanian@pwc.com")</f>
        <v>sundar.subramanian@pwc.com</v>
      </c>
      <c r="P621" s="3" t="str">
        <f>IFERROR(__xludf.DUMMYFUNCTION("""COMPUTED_VALUE"""),"No")</f>
        <v>No</v>
      </c>
      <c r="Q621" s="3" t="b">
        <f>IFERROR(__xludf.DUMMYFUNCTION("""COMPUTED_VALUE"""),FALSE)</f>
        <v>0</v>
      </c>
      <c r="R621" s="3"/>
      <c r="S621" s="3"/>
      <c r="T621" s="3" t="b">
        <f>IFERROR(__xludf.DUMMYFUNCTION("""COMPUTED_VALUE"""),FALSE)</f>
        <v>0</v>
      </c>
      <c r="U621" s="3" t="b">
        <f>IFERROR(__xludf.DUMMYFUNCTION("""COMPUTED_VALUE"""),TRUE)</f>
        <v>1</v>
      </c>
      <c r="V621" s="3" t="b">
        <f>IFERROR(__xludf.DUMMYFUNCTION("""COMPUTED_VALUE"""),FALSE)</f>
        <v>0</v>
      </c>
      <c r="W621" s="3" t="str">
        <f>IFERROR(__xludf.DUMMYFUNCTION("""COMPUTED_VALUE"""),"Delivery")</f>
        <v>Delivery</v>
      </c>
      <c r="X621" s="3"/>
      <c r="Y621" s="3"/>
      <c r="Z621" s="3" t="str">
        <f>IFERROR(__xludf.DUMMYFUNCTION("""COMPUTED_VALUE"""),"Enterprise Digital Transformation - Insurance")</f>
        <v>Enterprise Digital Transformation - Insurance</v>
      </c>
      <c r="AA621" s="3" t="b">
        <f>IFERROR(__xludf.DUMMYFUNCTION("""COMPUTED_VALUE"""),FALSE)</f>
        <v>0</v>
      </c>
    </row>
    <row r="622">
      <c r="A622" s="11">
        <f>IFERROR(__xludf.DUMMYFUNCTION("""COMPUTED_VALUE"""),1.00650783E8)</f>
        <v>100650783</v>
      </c>
      <c r="B622" s="3" t="str">
        <f>IFERROR(__xludf.DUMMYFUNCTION("""COMPUTED_VALUE"""),"Sreekumar Krishnamony")</f>
        <v>Sreekumar Krishnamony</v>
      </c>
      <c r="C622" s="3" t="str">
        <f>IFERROR(__xludf.DUMMYFUNCTION("""COMPUTED_VALUE"""),"Sreekumar  Krishnamony")</f>
        <v>Sreekumar  Krishnamony</v>
      </c>
      <c r="D622" s="3" t="str">
        <f>IFERROR(__xludf.DUMMYFUNCTION("""COMPUTED_VALUE"""),"Krishnamony, Sreekumar")</f>
        <v>Krishnamony, Sreekumar</v>
      </c>
      <c r="E622" s="3" t="str">
        <f>IFERROR(__xludf.DUMMYFUNCTION("""COMPUTED_VALUE"""),"Active")</f>
        <v>Active</v>
      </c>
      <c r="F622" s="3" t="str">
        <f>IFERROR(__xludf.DUMMYFUNCTION("""COMPUTED_VALUE"""),"sreekumar.krishnamony@pwc.com")</f>
        <v>sreekumar.krishnamony@pwc.com</v>
      </c>
      <c r="G622" s="3" t="str">
        <f>IFERROR(__xludf.DUMMYFUNCTION("""COMPUTED_VALUE"""),"Customer")</f>
        <v>Customer</v>
      </c>
      <c r="H622" s="3" t="str">
        <f>IFERROR(__xludf.DUMMYFUNCTION("""COMPUTED_VALUE"""),"CM X-Sector")</f>
        <v>CM X-Sector</v>
      </c>
      <c r="I622" s="3" t="str">
        <f>IFERROR(__xludf.DUMMYFUNCTION("""COMPUTED_VALUE"""),"Customer - Service")</f>
        <v>Customer - Service</v>
      </c>
      <c r="J622" s="3" t="str">
        <f>IFERROR(__xludf.DUMMYFUNCTION("""COMPUTED_VALUE"""),"Partner")</f>
        <v>Partner</v>
      </c>
      <c r="K622" s="12">
        <f>IFERROR(__xludf.DUMMYFUNCTION("""COMPUTED_VALUE"""),42186.0)</f>
        <v>42186</v>
      </c>
      <c r="L622" s="3" t="str">
        <f>IFERROR(__xludf.DUMMYFUNCTION("""COMPUTED_VALUE"""),"Chicago")</f>
        <v>Chicago</v>
      </c>
      <c r="M622" s="3" t="str">
        <f>IFERROR(__xludf.DUMMYFUNCTION("""COMPUTED_VALUE"""),"Chicago - One North Wacker Drive")</f>
        <v>Chicago - One North Wacker Drive</v>
      </c>
      <c r="N622" s="3" t="b">
        <f>IFERROR(__xludf.DUMMYFUNCTION("""COMPUTED_VALUE"""),FALSE)</f>
        <v>0</v>
      </c>
      <c r="O622" s="3" t="str">
        <f>IFERROR(__xludf.DUMMYFUNCTION("""COMPUTED_VALUE"""),"george.korizis@pwc.com")</f>
        <v>george.korizis@pwc.com</v>
      </c>
      <c r="P622" s="3" t="str">
        <f>IFERROR(__xludf.DUMMYFUNCTION("""COMPUTED_VALUE"""),"No")</f>
        <v>No</v>
      </c>
      <c r="Q622" s="3" t="b">
        <f>IFERROR(__xludf.DUMMYFUNCTION("""COMPUTED_VALUE"""),FALSE)</f>
        <v>0</v>
      </c>
      <c r="R622" s="3"/>
      <c r="S622" s="3"/>
      <c r="T622" s="3" t="b">
        <f>IFERROR(__xludf.DUMMYFUNCTION("""COMPUTED_VALUE"""),FALSE)</f>
        <v>0</v>
      </c>
      <c r="U622" s="3" t="b">
        <f>IFERROR(__xludf.DUMMYFUNCTION("""COMPUTED_VALUE"""),TRUE)</f>
        <v>1</v>
      </c>
      <c r="V622" s="3" t="b">
        <f>IFERROR(__xludf.DUMMYFUNCTION("""COMPUTED_VALUE"""),FALSE)</f>
        <v>0</v>
      </c>
      <c r="W622" s="3" t="str">
        <f>IFERROR(__xludf.DUMMYFUNCTION("""COMPUTED_VALUE"""),"Delivery")</f>
        <v>Delivery</v>
      </c>
      <c r="X622" s="3" t="str">
        <f>IFERROR(__xludf.DUMMYFUNCTION("""COMPUTED_VALUE"""),"Investment")</f>
        <v>Investment</v>
      </c>
      <c r="Y622" s="3"/>
      <c r="Z622" s="3" t="str">
        <f>IFERROR(__xludf.DUMMYFUNCTION("""COMPUTED_VALUE"""),"Commercial / CRM Transformation - CM &amp; IPS &amp; HIA")</f>
        <v>Commercial / CRM Transformation - CM &amp; IPS &amp; HIA</v>
      </c>
      <c r="AA622" s="3" t="b">
        <f>IFERROR(__xludf.DUMMYFUNCTION("""COMPUTED_VALUE"""),FALSE)</f>
        <v>0</v>
      </c>
    </row>
    <row r="623">
      <c r="A623" s="11">
        <f>IFERROR(__xludf.DUMMYFUNCTION("""COMPUTED_VALUE"""),1.01143771E8)</f>
        <v>101143771</v>
      </c>
      <c r="B623" s="3" t="str">
        <f>IFERROR(__xludf.DUMMYFUNCTION("""COMPUTED_VALUE"""),"Sri Kumar")</f>
        <v>Sri Kumar</v>
      </c>
      <c r="C623" s="3" t="str">
        <f>IFERROR(__xludf.DUMMYFUNCTION("""COMPUTED_VALUE"""),"Srikanth  Kumar")</f>
        <v>Srikanth  Kumar</v>
      </c>
      <c r="D623" s="3" t="str">
        <f>IFERROR(__xludf.DUMMYFUNCTION("""COMPUTED_VALUE"""),"Kumar, Srikanth")</f>
        <v>Kumar, Srikanth</v>
      </c>
      <c r="E623" s="3" t="str">
        <f>IFERROR(__xludf.DUMMYFUNCTION("""COMPUTED_VALUE"""),"Active")</f>
        <v>Active</v>
      </c>
      <c r="F623" s="3" t="str">
        <f>IFERROR(__xludf.DUMMYFUNCTION("""COMPUTED_VALUE"""),"sri.kumar@pwc.com")</f>
        <v>sri.kumar@pwc.com</v>
      </c>
      <c r="G623" s="3" t="str">
        <f>IFERROR(__xludf.DUMMYFUNCTION("""COMPUTED_VALUE"""),"Finance")</f>
        <v>Finance</v>
      </c>
      <c r="H623" s="3" t="str">
        <f>IFERROR(__xludf.DUMMYFUNCTION("""COMPUTED_VALUE"""),"Insurance")</f>
        <v>Insurance</v>
      </c>
      <c r="I623" s="3" t="str">
        <f>IFERROR(__xludf.DUMMYFUNCTION("""COMPUTED_VALUE"""),"Finance - Financial Operations")</f>
        <v>Finance - Financial Operations</v>
      </c>
      <c r="J623" s="3" t="str">
        <f>IFERROR(__xludf.DUMMYFUNCTION("""COMPUTED_VALUE"""),"Managing Director")</f>
        <v>Managing Director</v>
      </c>
      <c r="K623" s="12">
        <f>IFERROR(__xludf.DUMMYFUNCTION("""COMPUTED_VALUE"""),44494.0)</f>
        <v>44494</v>
      </c>
      <c r="L623" s="3" t="str">
        <f>IFERROR(__xludf.DUMMYFUNCTION("""COMPUTED_VALUE"""),"Stamford")</f>
        <v>Stamford</v>
      </c>
      <c r="M623" s="3" t="str">
        <f>IFERROR(__xludf.DUMMYFUNCTION("""COMPUTED_VALUE"""),"Stamford - 263 Tresser")</f>
        <v>Stamford - 263 Tresser</v>
      </c>
      <c r="N623" s="3" t="b">
        <f>IFERROR(__xludf.DUMMYFUNCTION("""COMPUTED_VALUE"""),FALSE)</f>
        <v>0</v>
      </c>
      <c r="O623" s="3" t="str">
        <f>IFERROR(__xludf.DUMMYFUNCTION("""COMPUTED_VALUE"""),"brett.r.maher@pwc.com")</f>
        <v>brett.r.maher@pwc.com</v>
      </c>
      <c r="P623" s="3" t="str">
        <f>IFERROR(__xludf.DUMMYFUNCTION("""COMPUTED_VALUE"""),"FY22")</f>
        <v>FY22</v>
      </c>
      <c r="Q623" s="3" t="b">
        <f>IFERROR(__xludf.DUMMYFUNCTION("""COMPUTED_VALUE"""),FALSE)</f>
        <v>0</v>
      </c>
      <c r="R623" s="3"/>
      <c r="S623" s="3"/>
      <c r="T623" s="3" t="b">
        <f>IFERROR(__xludf.DUMMYFUNCTION("""COMPUTED_VALUE"""),FALSE)</f>
        <v>0</v>
      </c>
      <c r="U623" s="3" t="b">
        <f>IFERROR(__xludf.DUMMYFUNCTION("""COMPUTED_VALUE"""),TRUE)</f>
        <v>1</v>
      </c>
      <c r="V623" s="3" t="b">
        <f>IFERROR(__xludf.DUMMYFUNCTION("""COMPUTED_VALUE"""),FALSE)</f>
        <v>0</v>
      </c>
      <c r="W623" s="3" t="str">
        <f>IFERROR(__xludf.DUMMYFUNCTION("""COMPUTED_VALUE"""),"Catalyst")</f>
        <v>Catalyst</v>
      </c>
      <c r="X623" s="3"/>
      <c r="Y623" s="3" t="str">
        <f>IFERROR(__xludf.DUMMYFUNCTION("""COMPUTED_VALUE"""),"FY22")</f>
        <v>FY22</v>
      </c>
      <c r="Z623" s="3" t="str">
        <f>IFERROR(__xludf.DUMMYFUNCTION("""COMPUTED_VALUE"""),"Finance Transformation - Banking")</f>
        <v>Finance Transformation - Banking</v>
      </c>
      <c r="AA623" s="3" t="b">
        <f>IFERROR(__xludf.DUMMYFUNCTION("""COMPUTED_VALUE"""),FALSE)</f>
        <v>0</v>
      </c>
    </row>
    <row r="624">
      <c r="A624" s="11">
        <f>IFERROR(__xludf.DUMMYFUNCTION("""COMPUTED_VALUE"""),1.00632043E8)</f>
        <v>100632043</v>
      </c>
      <c r="B624" s="3" t="str">
        <f>IFERROR(__xludf.DUMMYFUNCTION("""COMPUTED_VALUE"""),"Srini Gabu")</f>
        <v>Srini Gabu</v>
      </c>
      <c r="C624" s="3" t="str">
        <f>IFERROR(__xludf.DUMMYFUNCTION("""COMPUTED_VALUE"""),"Srinivasa R Gabu")</f>
        <v>Srinivasa R Gabu</v>
      </c>
      <c r="D624" s="3" t="str">
        <f>IFERROR(__xludf.DUMMYFUNCTION("""COMPUTED_VALUE"""),"Gabu, Srinivasa R")</f>
        <v>Gabu, Srinivasa R</v>
      </c>
      <c r="E624" s="3" t="str">
        <f>IFERROR(__xludf.DUMMYFUNCTION("""COMPUTED_VALUE"""),"Active")</f>
        <v>Active</v>
      </c>
      <c r="F624" s="3" t="str">
        <f>IFERROR(__xludf.DUMMYFUNCTION("""COMPUTED_VALUE"""),"srinivasa.gabu@pwc.com")</f>
        <v>srinivasa.gabu@pwc.com</v>
      </c>
      <c r="G624" s="3" t="str">
        <f>IFERROR(__xludf.DUMMYFUNCTION("""COMPUTED_VALUE"""),"Workforce")</f>
        <v>Workforce</v>
      </c>
      <c r="H624" s="3" t="str">
        <f>IFERROR(__xludf.DUMMYFUNCTION("""COMPUTED_VALUE"""),"Chemicals")</f>
        <v>Chemicals</v>
      </c>
      <c r="I624" s="3" t="str">
        <f>IFERROR(__xludf.DUMMYFUNCTION("""COMPUTED_VALUE"""),"Workforce - Deals")</f>
        <v>Workforce - Deals</v>
      </c>
      <c r="J624" s="3" t="str">
        <f>IFERROR(__xludf.DUMMYFUNCTION("""COMPUTED_VALUE"""),"Partner")</f>
        <v>Partner</v>
      </c>
      <c r="K624" s="12">
        <f>IFERROR(__xludf.DUMMYFUNCTION("""COMPUTED_VALUE"""),39223.0)</f>
        <v>39223</v>
      </c>
      <c r="L624" s="3" t="str">
        <f>IFERROR(__xludf.DUMMYFUNCTION("""COMPUTED_VALUE"""),"Dallas")</f>
        <v>Dallas</v>
      </c>
      <c r="M624" s="3" t="str">
        <f>IFERROR(__xludf.DUMMYFUNCTION("""COMPUTED_VALUE"""),"Dallas - 2121 North Pearl Street")</f>
        <v>Dallas - 2121 North Pearl Street</v>
      </c>
      <c r="N624" s="3" t="b">
        <f>IFERROR(__xludf.DUMMYFUNCTION("""COMPUTED_VALUE"""),FALSE)</f>
        <v>0</v>
      </c>
      <c r="O624" s="3" t="str">
        <f>IFERROR(__xludf.DUMMYFUNCTION("""COMPUTED_VALUE"""),"craig.odonnell@pwc.com")</f>
        <v>craig.odonnell@pwc.com</v>
      </c>
      <c r="P624" s="3" t="str">
        <f>IFERROR(__xludf.DUMMYFUNCTION("""COMPUTED_VALUE"""),"No")</f>
        <v>No</v>
      </c>
      <c r="Q624" s="3" t="b">
        <f>IFERROR(__xludf.DUMMYFUNCTION("""COMPUTED_VALUE"""),FALSE)</f>
        <v>0</v>
      </c>
      <c r="R624" s="3"/>
      <c r="S624" s="3"/>
      <c r="T624" s="3" t="b">
        <f>IFERROR(__xludf.DUMMYFUNCTION("""COMPUTED_VALUE"""),FALSE)</f>
        <v>0</v>
      </c>
      <c r="U624" s="3" t="b">
        <f>IFERROR(__xludf.DUMMYFUNCTION("""COMPUTED_VALUE"""),FALSE)</f>
        <v>0</v>
      </c>
      <c r="V624" s="3" t="b">
        <f>IFERROR(__xludf.DUMMYFUNCTION("""COMPUTED_VALUE"""),FALSE)</f>
        <v>0</v>
      </c>
      <c r="W624" s="3" t="str">
        <f>IFERROR(__xludf.DUMMYFUNCTION("""COMPUTED_VALUE"""),"#N/A")</f>
        <v>#N/A</v>
      </c>
      <c r="X624" s="3" t="str">
        <f>IFERROR(__xludf.DUMMYFUNCTION("""COMPUTED_VALUE"""),"#N/A")</f>
        <v>#N/A</v>
      </c>
      <c r="Y624" s="3" t="str">
        <f>IFERROR(__xludf.DUMMYFUNCTION("""COMPUTED_VALUE"""),"#N/A")</f>
        <v>#N/A</v>
      </c>
      <c r="Z624" s="3" t="str">
        <f>IFERROR(__xludf.DUMMYFUNCTION("""COMPUTED_VALUE"""),"Unknown")</f>
        <v>Unknown</v>
      </c>
      <c r="AA624" s="3" t="b">
        <f>IFERROR(__xludf.DUMMYFUNCTION("""COMPUTED_VALUE"""),FALSE)</f>
        <v>0</v>
      </c>
    </row>
    <row r="625">
      <c r="A625" s="3">
        <f>IFERROR(__xludf.DUMMYFUNCTION("""COMPUTED_VALUE"""),1.0061032E8)</f>
        <v>100610320</v>
      </c>
      <c r="B625" s="3" t="str">
        <f>IFERROR(__xludf.DUMMYFUNCTION("""COMPUTED_VALUE"""),"Stacey Empson")</f>
        <v>Stacey Empson</v>
      </c>
      <c r="C625" s="3" t="str">
        <f>IFERROR(__xludf.DUMMYFUNCTION("""COMPUTED_VALUE"""),"Stacey R Empson")</f>
        <v>Stacey R Empson</v>
      </c>
      <c r="D625" s="3" t="str">
        <f>IFERROR(__xludf.DUMMYFUNCTION("""COMPUTED_VALUE"""),"Empson, Stacey R")</f>
        <v>Empson, Stacey R</v>
      </c>
      <c r="E625" s="3" t="str">
        <f>IFERROR(__xludf.DUMMYFUNCTION("""COMPUTED_VALUE"""),"Active")</f>
        <v>Active</v>
      </c>
      <c r="F625" s="3" t="str">
        <f>IFERROR(__xludf.DUMMYFUNCTION("""COMPUTED_VALUE"""),"stacey.empson@pwc.com")</f>
        <v>stacey.empson@pwc.com</v>
      </c>
      <c r="G625" s="3" t="str">
        <f>IFERROR(__xludf.DUMMYFUNCTION("""COMPUTED_VALUE"""),"Health")</f>
        <v>Health</v>
      </c>
      <c r="H625" s="3" t="str">
        <f>IFERROR(__xludf.DUMMYFUNCTION("""COMPUTED_VALUE"""),"Health Services")</f>
        <v>Health Services</v>
      </c>
      <c r="I625" s="3" t="str">
        <f>IFERROR(__xludf.DUMMYFUNCTION("""COMPUTED_VALUE"""),"Health - Provider FFG")</f>
        <v>Health - Provider FFG</v>
      </c>
      <c r="J625" s="3" t="str">
        <f>IFERROR(__xludf.DUMMYFUNCTION("""COMPUTED_VALUE"""),"Partner")</f>
        <v>Partner</v>
      </c>
      <c r="K625" s="12">
        <f>IFERROR(__xludf.DUMMYFUNCTION("""COMPUTED_VALUE"""),41699.0)</f>
        <v>41699</v>
      </c>
      <c r="L625" s="3" t="str">
        <f>IFERROR(__xludf.DUMMYFUNCTION("""COMPUTED_VALUE"""),"Chicago")</f>
        <v>Chicago</v>
      </c>
      <c r="M625" s="3" t="str">
        <f>IFERROR(__xludf.DUMMYFUNCTION("""COMPUTED_VALUE"""),"Chicago - One North Wacker Drive")</f>
        <v>Chicago - One North Wacker Drive</v>
      </c>
      <c r="N625" s="3" t="b">
        <f>IFERROR(__xludf.DUMMYFUNCTION("""COMPUTED_VALUE"""),FALSE)</f>
        <v>0</v>
      </c>
      <c r="O625" s="3" t="str">
        <f>IFERROR(__xludf.DUMMYFUNCTION("""COMPUTED_VALUE"""),"craig.e.gooch@pwc.com")</f>
        <v>craig.e.gooch@pwc.com</v>
      </c>
      <c r="P625" s="3" t="str">
        <f>IFERROR(__xludf.DUMMYFUNCTION("""COMPUTED_VALUE"""),"No")</f>
        <v>No</v>
      </c>
      <c r="Q625" s="3" t="b">
        <f>IFERROR(__xludf.DUMMYFUNCTION("""COMPUTED_VALUE"""),TRUE)</f>
        <v>1</v>
      </c>
      <c r="R625" s="3" t="str">
        <f>IFERROR(__xludf.DUMMYFUNCTION("""COMPUTED_VALUE"""),"LCP Low")</f>
        <v>LCP Low</v>
      </c>
      <c r="S625" s="3"/>
      <c r="T625" s="3" t="b">
        <f>IFERROR(__xludf.DUMMYFUNCTION("""COMPUTED_VALUE"""),FALSE)</f>
        <v>0</v>
      </c>
      <c r="U625" s="3" t="b">
        <f>IFERROR(__xludf.DUMMYFUNCTION("""COMPUTED_VALUE"""),FALSE)</f>
        <v>0</v>
      </c>
      <c r="V625" s="3" t="b">
        <f>IFERROR(__xludf.DUMMYFUNCTION("""COMPUTED_VALUE"""),FALSE)</f>
        <v>0</v>
      </c>
      <c r="W625" s="3" t="str">
        <f>IFERROR(__xludf.DUMMYFUNCTION("""COMPUTED_VALUE"""),"LCP")</f>
        <v>LCP</v>
      </c>
      <c r="X625" s="3"/>
      <c r="Y625" s="3" t="str">
        <f>IFERROR(__xludf.DUMMYFUNCTION("""COMPUTED_VALUE"""),"GEP - Low")</f>
        <v>GEP - Low</v>
      </c>
      <c r="Z625" s="3" t="str">
        <f>IFERROR(__xludf.DUMMYFUNCTION("""COMPUTED_VALUE"""),"Provider Transformation")</f>
        <v>Provider Transformation</v>
      </c>
      <c r="AA625" s="3" t="b">
        <f>IFERROR(__xludf.DUMMYFUNCTION("""COMPUTED_VALUE"""),FALSE)</f>
        <v>0</v>
      </c>
    </row>
    <row r="626">
      <c r="A626" s="11">
        <f>IFERROR(__xludf.DUMMYFUNCTION("""COMPUTED_VALUE"""),1.01245118E8)</f>
        <v>101245118</v>
      </c>
      <c r="B626" s="3" t="str">
        <f>IFERROR(__xludf.DUMMYFUNCTION("""COMPUTED_VALUE"""),"Stacey Petrey")</f>
        <v>Stacey Petrey</v>
      </c>
      <c r="C626" s="3" t="str">
        <f>IFERROR(__xludf.DUMMYFUNCTION("""COMPUTED_VALUE"""),"Stacey Petrey")</f>
        <v>Stacey Petrey</v>
      </c>
      <c r="D626" s="3" t="str">
        <f>IFERROR(__xludf.DUMMYFUNCTION("""COMPUTED_VALUE"""),"Petrey, Stacey")</f>
        <v>Petrey, Stacey</v>
      </c>
      <c r="E626" s="3" t="str">
        <f>IFERROR(__xludf.DUMMYFUNCTION("""COMPUTED_VALUE"""),"Active")</f>
        <v>Active</v>
      </c>
      <c r="F626" s="3" t="str">
        <f>IFERROR(__xludf.DUMMYFUNCTION("""COMPUTED_VALUE"""),"stacey.petrey@pwc.com")</f>
        <v>stacey.petrey@pwc.com</v>
      </c>
      <c r="G626" s="3" t="str">
        <f>IFERROR(__xludf.DUMMYFUNCTION("""COMPUTED_VALUE"""),"Deals Transformation")</f>
        <v>Deals Transformation</v>
      </c>
      <c r="H626" s="3" t="str">
        <f>IFERROR(__xludf.DUMMYFUNCTION("""COMPUTED_VALUE"""),"Pharma and Life Sciences")</f>
        <v>Pharma and Life Sciences</v>
      </c>
      <c r="I626" s="3" t="str">
        <f>IFERROR(__xludf.DUMMYFUNCTION("""COMPUTED_VALUE"""),"Unknown")</f>
        <v>Unknown</v>
      </c>
      <c r="J626" s="3" t="str">
        <f>IFERROR(__xludf.DUMMYFUNCTION("""COMPUTED_VALUE"""),"Partner")</f>
        <v>Partner</v>
      </c>
      <c r="K626" s="12">
        <f>IFERROR(__xludf.DUMMYFUNCTION("""COMPUTED_VALUE"""),44697.0)</f>
        <v>44697</v>
      </c>
      <c r="L626" s="3" t="str">
        <f>IFERROR(__xludf.DUMMYFUNCTION("""COMPUTED_VALUE"""),"Philadelphia")</f>
        <v>Philadelphia</v>
      </c>
      <c r="M626" s="3" t="str">
        <f>IFERROR(__xludf.DUMMYFUNCTION("""COMPUTED_VALUE"""),"Unknown")</f>
        <v>Unknown</v>
      </c>
      <c r="N626" s="3" t="str">
        <f>IFERROR(__xludf.DUMMYFUNCTION("""COMPUTED_VALUE"""),"Unknown")</f>
        <v>Unknown</v>
      </c>
      <c r="O626" s="3" t="str">
        <f>IFERROR(__xludf.DUMMYFUNCTION("""COMPUTED_VALUE"""),"Unknown")</f>
        <v>Unknown</v>
      </c>
      <c r="P626" s="3" t="str">
        <f>IFERROR(__xludf.DUMMYFUNCTION("""COMPUTED_VALUE"""),"FY22")</f>
        <v>FY22</v>
      </c>
      <c r="Q626" s="3" t="str">
        <f>IFERROR(__xludf.DUMMYFUNCTION("""COMPUTED_VALUE"""),"Unknown")</f>
        <v>Unknown</v>
      </c>
      <c r="R626" s="3" t="str">
        <f>IFERROR(__xludf.DUMMYFUNCTION("""COMPUTED_VALUE"""),"Unknown")</f>
        <v>Unknown</v>
      </c>
      <c r="S626" s="3"/>
      <c r="T626" s="3" t="str">
        <f>IFERROR(__xludf.DUMMYFUNCTION("""COMPUTED_VALUE"""),"Unknown")</f>
        <v>Unknown</v>
      </c>
      <c r="U626" s="3" t="str">
        <f>IFERROR(__xludf.DUMMYFUNCTION("""COMPUTED_VALUE"""),"Unknown")</f>
        <v>Unknown</v>
      </c>
      <c r="V626" s="3" t="str">
        <f>IFERROR(__xludf.DUMMYFUNCTION("""COMPUTED_VALUE"""),"Unknown")</f>
        <v>Unknown</v>
      </c>
      <c r="W626" s="3" t="str">
        <f>IFERROR(__xludf.DUMMYFUNCTION("""COMPUTED_VALUE"""),"Catalyst")</f>
        <v>Catalyst</v>
      </c>
      <c r="X626" s="3" t="str">
        <f>IFERROR(__xludf.DUMMYFUNCTION("""COMPUTED_VALUE"""),"Unknown")</f>
        <v>Unknown</v>
      </c>
      <c r="Y626" s="3" t="str">
        <f>IFERROR(__xludf.DUMMYFUNCTION("""COMPUTED_VALUE"""),"Unknown")</f>
        <v>Unknown</v>
      </c>
      <c r="Z626" s="3" t="str">
        <f>IFERROR(__xludf.DUMMYFUNCTION("""COMPUTED_VALUE"""),"Unknown")</f>
        <v>Unknown</v>
      </c>
      <c r="AA626" s="3" t="str">
        <f>IFERROR(__xludf.DUMMYFUNCTION("""COMPUTED_VALUE"""),"Unknown")</f>
        <v>Unknown</v>
      </c>
    </row>
    <row r="627">
      <c r="A627" s="11">
        <f>IFERROR(__xludf.DUMMYFUNCTION("""COMPUTED_VALUE"""),1.00589278E8)</f>
        <v>100589278</v>
      </c>
      <c r="B627" s="3" t="str">
        <f>IFERROR(__xludf.DUMMYFUNCTION("""COMPUTED_VALUE"""),"Stacy Dunton")</f>
        <v>Stacy Dunton</v>
      </c>
      <c r="C627" s="3" t="str">
        <f>IFERROR(__xludf.DUMMYFUNCTION("""COMPUTED_VALUE"""),"Stacy  Dunton")</f>
        <v>Stacy  Dunton</v>
      </c>
      <c r="D627" s="3" t="str">
        <f>IFERROR(__xludf.DUMMYFUNCTION("""COMPUTED_VALUE"""),"Dunton, Stacy")</f>
        <v>Dunton, Stacy</v>
      </c>
      <c r="E627" s="3" t="str">
        <f>IFERROR(__xludf.DUMMYFUNCTION("""COMPUTED_VALUE"""),"Active")</f>
        <v>Active</v>
      </c>
      <c r="F627" s="3" t="str">
        <f>IFERROR(__xludf.DUMMYFUNCTION("""COMPUTED_VALUE"""),"stacy.dunton@pwc.com")</f>
        <v>stacy.dunton@pwc.com</v>
      </c>
      <c r="G627" s="3" t="str">
        <f>IFERROR(__xludf.DUMMYFUNCTION("""COMPUTED_VALUE"""),"Customer")</f>
        <v>Customer</v>
      </c>
      <c r="H627" s="3" t="str">
        <f>IFERROR(__xludf.DUMMYFUNCTION("""COMPUTED_VALUE"""),"TMT X-Sector")</f>
        <v>TMT X-Sector</v>
      </c>
      <c r="I627" s="3" t="str">
        <f>IFERROR(__xludf.DUMMYFUNCTION("""COMPUTED_VALUE"""),"Customer - Service")</f>
        <v>Customer - Service</v>
      </c>
      <c r="J627" s="3" t="str">
        <f>IFERROR(__xludf.DUMMYFUNCTION("""COMPUTED_VALUE"""),"Partner")</f>
        <v>Partner</v>
      </c>
      <c r="K627" s="12">
        <f>IFERROR(__xludf.DUMMYFUNCTION("""COMPUTED_VALUE"""),36745.0)</f>
        <v>36745</v>
      </c>
      <c r="L627" s="3" t="str">
        <f>IFERROR(__xludf.DUMMYFUNCTION("""COMPUTED_VALUE"""),"Dallas")</f>
        <v>Dallas</v>
      </c>
      <c r="M627" s="3" t="str">
        <f>IFERROR(__xludf.DUMMYFUNCTION("""COMPUTED_VALUE"""),"Dallas - 2121 North Pearl Street")</f>
        <v>Dallas - 2121 North Pearl Street</v>
      </c>
      <c r="N627" s="3" t="b">
        <f>IFERROR(__xludf.DUMMYFUNCTION("""COMPUTED_VALUE"""),FALSE)</f>
        <v>0</v>
      </c>
      <c r="O627" s="3" t="str">
        <f>IFERROR(__xludf.DUMMYFUNCTION("""COMPUTED_VALUE"""),"george.korizis@pwc.com")</f>
        <v>george.korizis@pwc.com</v>
      </c>
      <c r="P627" s="3" t="str">
        <f>IFERROR(__xludf.DUMMYFUNCTION("""COMPUTED_VALUE"""),"No")</f>
        <v>No</v>
      </c>
      <c r="Q627" s="3" t="b">
        <f>IFERROR(__xludf.DUMMYFUNCTION("""COMPUTED_VALUE"""),TRUE)</f>
        <v>1</v>
      </c>
      <c r="R627" s="3" t="str">
        <f>IFERROR(__xludf.DUMMYFUNCTION("""COMPUTED_VALUE"""),"LCP Low")</f>
        <v>LCP Low</v>
      </c>
      <c r="S627" s="3"/>
      <c r="T627" s="3" t="b">
        <f>IFERROR(__xludf.DUMMYFUNCTION("""COMPUTED_VALUE"""),FALSE)</f>
        <v>0</v>
      </c>
      <c r="U627" s="3" t="b">
        <f>IFERROR(__xludf.DUMMYFUNCTION("""COMPUTED_VALUE"""),FALSE)</f>
        <v>0</v>
      </c>
      <c r="V627" s="3" t="b">
        <f>IFERROR(__xludf.DUMMYFUNCTION("""COMPUTED_VALUE"""),FALSE)</f>
        <v>0</v>
      </c>
      <c r="W627" s="3" t="str">
        <f>IFERROR(__xludf.DUMMYFUNCTION("""COMPUTED_VALUE"""),"LCP")</f>
        <v>LCP</v>
      </c>
      <c r="X627" s="3"/>
      <c r="Y627" s="3" t="str">
        <f>IFERROR(__xludf.DUMMYFUNCTION("""COMPUTED_VALUE"""),"GEP - Low")</f>
        <v>GEP - Low</v>
      </c>
      <c r="Z627" s="3" t="str">
        <f>IFERROR(__xludf.DUMMYFUNCTION("""COMPUTED_VALUE"""),"Commercial / CRM Transformation - FS &amp; TMT")</f>
        <v>Commercial / CRM Transformation - FS &amp; TMT</v>
      </c>
      <c r="AA627" s="3" t="b">
        <f>IFERROR(__xludf.DUMMYFUNCTION("""COMPUTED_VALUE"""),FALSE)</f>
        <v>0</v>
      </c>
    </row>
    <row r="628">
      <c r="A628" s="11">
        <f>IFERROR(__xludf.DUMMYFUNCTION("""COMPUTED_VALUE"""),1.01088701E8)</f>
        <v>101088701</v>
      </c>
      <c r="B628" s="3" t="str">
        <f>IFERROR(__xludf.DUMMYFUNCTION("""COMPUTED_VALUE"""),"Stefan Zorn")</f>
        <v>Stefan Zorn</v>
      </c>
      <c r="C628" s="3" t="str">
        <f>IFERROR(__xludf.DUMMYFUNCTION("""COMPUTED_VALUE"""),"Stefan  Zorn")</f>
        <v>Stefan  Zorn</v>
      </c>
      <c r="D628" s="3" t="str">
        <f>IFERROR(__xludf.DUMMYFUNCTION("""COMPUTED_VALUE"""),"Zorn, Stefan")</f>
        <v>Zorn, Stefan</v>
      </c>
      <c r="E628" s="3" t="str">
        <f>IFERROR(__xludf.DUMMYFUNCTION("""COMPUTED_VALUE"""),"Active")</f>
        <v>Active</v>
      </c>
      <c r="F628" s="3" t="str">
        <f>IFERROR(__xludf.DUMMYFUNCTION("""COMPUTED_VALUE"""),"stefan.zorn@pwc.com")</f>
        <v>stefan.zorn@pwc.com</v>
      </c>
      <c r="G628" s="3" t="str">
        <f>IFERROR(__xludf.DUMMYFUNCTION("""COMPUTED_VALUE"""),"Ops")</f>
        <v>Ops</v>
      </c>
      <c r="H628" s="3" t="str">
        <f>IFERROR(__xludf.DUMMYFUNCTION("""COMPUTED_VALUE"""),"TMT X-Sector")</f>
        <v>TMT X-Sector</v>
      </c>
      <c r="I628" s="3" t="str">
        <f>IFERROR(__xludf.DUMMYFUNCTION("""COMPUTED_VALUE"""),"Ops - Sourcing &amp; Procurement (S&amp;P)")</f>
        <v>Ops - Sourcing &amp; Procurement (S&amp;P)</v>
      </c>
      <c r="J628" s="3" t="str">
        <f>IFERROR(__xludf.DUMMYFUNCTION("""COMPUTED_VALUE"""),"Partner")</f>
        <v>Partner</v>
      </c>
      <c r="K628" s="12">
        <f>IFERROR(__xludf.DUMMYFUNCTION("""COMPUTED_VALUE"""),44354.0)</f>
        <v>44354</v>
      </c>
      <c r="L628" s="3" t="str">
        <f>IFERROR(__xludf.DUMMYFUNCTION("""COMPUTED_VALUE"""),"San Francisco")</f>
        <v>San Francisco</v>
      </c>
      <c r="M628" s="3" t="str">
        <f>IFERROR(__xludf.DUMMYFUNCTION("""COMPUTED_VALUE"""),"San Francisco - 405 Howard St")</f>
        <v>San Francisco - 405 Howard St</v>
      </c>
      <c r="N628" s="3" t="b">
        <f>IFERROR(__xludf.DUMMYFUNCTION("""COMPUTED_VALUE"""),FALSE)</f>
        <v>0</v>
      </c>
      <c r="O628" s="3" t="str">
        <f>IFERROR(__xludf.DUMMYFUNCTION("""COMPUTED_VALUE"""),"matthew.r.comte@pwc.com")</f>
        <v>matthew.r.comte@pwc.com</v>
      </c>
      <c r="P628" s="3" t="str">
        <f>IFERROR(__xludf.DUMMYFUNCTION("""COMPUTED_VALUE"""),"FY21 2nd Half")</f>
        <v>FY21 2nd Half</v>
      </c>
      <c r="Q628" s="3" t="b">
        <f>IFERROR(__xludf.DUMMYFUNCTION("""COMPUTED_VALUE"""),FALSE)</f>
        <v>0</v>
      </c>
      <c r="R628" s="3"/>
      <c r="S628" s="3"/>
      <c r="T628" s="3" t="b">
        <f>IFERROR(__xludf.DUMMYFUNCTION("""COMPUTED_VALUE"""),FALSE)</f>
        <v>0</v>
      </c>
      <c r="U628" s="3" t="b">
        <f>IFERROR(__xludf.DUMMYFUNCTION("""COMPUTED_VALUE"""),TRUE)</f>
        <v>1</v>
      </c>
      <c r="V628" s="3" t="b">
        <f>IFERROR(__xludf.DUMMYFUNCTION("""COMPUTED_VALUE"""),FALSE)</f>
        <v>0</v>
      </c>
      <c r="W628" s="3" t="str">
        <f>IFERROR(__xludf.DUMMYFUNCTION("""COMPUTED_VALUE"""),"Catalyst")</f>
        <v>Catalyst</v>
      </c>
      <c r="X628" s="3"/>
      <c r="Y628" s="3" t="str">
        <f>IFERROR(__xludf.DUMMYFUNCTION("""COMPUTED_VALUE"""),"FY21 2nd Half")</f>
        <v>FY21 2nd Half</v>
      </c>
      <c r="Z628" s="3" t="str">
        <f>IFERROR(__xludf.DUMMYFUNCTION("""COMPUTED_VALUE"""),"IP + Technology Ops Transformation")</f>
        <v>IP + Technology Ops Transformation</v>
      </c>
      <c r="AA628" s="3" t="b">
        <f>IFERROR(__xludf.DUMMYFUNCTION("""COMPUTED_VALUE"""),FALSE)</f>
        <v>0</v>
      </c>
    </row>
    <row r="629">
      <c r="A629" s="11">
        <f>IFERROR(__xludf.DUMMYFUNCTION("""COMPUTED_VALUE"""),1.00608828E8)</f>
        <v>100608828</v>
      </c>
      <c r="B629" s="3" t="str">
        <f>IFERROR(__xludf.DUMMYFUNCTION("""COMPUTED_VALUE"""),"Stephen Pillsbury")</f>
        <v>Stephen Pillsbury</v>
      </c>
      <c r="C629" s="3" t="str">
        <f>IFERROR(__xludf.DUMMYFUNCTION("""COMPUTED_VALUE"""),"Stephen D Pillsbury")</f>
        <v>Stephen D Pillsbury</v>
      </c>
      <c r="D629" s="3" t="str">
        <f>IFERROR(__xludf.DUMMYFUNCTION("""COMPUTED_VALUE"""),"Pillsbury, Stephen D")</f>
        <v>Pillsbury, Stephen D</v>
      </c>
      <c r="E629" s="3" t="str">
        <f>IFERROR(__xludf.DUMMYFUNCTION("""COMPUTED_VALUE"""),"Active")</f>
        <v>Active</v>
      </c>
      <c r="F629" s="3" t="str">
        <f>IFERROR(__xludf.DUMMYFUNCTION("""COMPUTED_VALUE"""),"steve.pillsbury@pwc.com")</f>
        <v>steve.pillsbury@pwc.com</v>
      </c>
      <c r="G629" s="3" t="str">
        <f>IFERROR(__xludf.DUMMYFUNCTION("""COMPUTED_VALUE"""),"Ops")</f>
        <v>Ops</v>
      </c>
      <c r="H629" s="3" t="str">
        <f>IFERROR(__xludf.DUMMYFUNCTION("""COMPUTED_VALUE"""),"Manufacturing")</f>
        <v>Manufacturing</v>
      </c>
      <c r="I629" s="3" t="str">
        <f>IFERROR(__xludf.DUMMYFUNCTION("""COMPUTED_VALUE"""),"Ops - Product Development &amp; Manufacturing (PDM)")</f>
        <v>Ops - Product Development &amp; Manufacturing (PDM)</v>
      </c>
      <c r="J629" s="3" t="str">
        <f>IFERROR(__xludf.DUMMYFUNCTION("""COMPUTED_VALUE"""),"Partner")</f>
        <v>Partner</v>
      </c>
      <c r="K629" s="12">
        <f>IFERROR(__xludf.DUMMYFUNCTION("""COMPUTED_VALUE"""),40777.0)</f>
        <v>40777</v>
      </c>
      <c r="L629" s="3" t="str">
        <f>IFERROR(__xludf.DUMMYFUNCTION("""COMPUTED_VALUE"""),"Chicago")</f>
        <v>Chicago</v>
      </c>
      <c r="M629" s="3" t="str">
        <f>IFERROR(__xludf.DUMMYFUNCTION("""COMPUTED_VALUE"""),"Chicago - One North Wacker Drive")</f>
        <v>Chicago - One North Wacker Drive</v>
      </c>
      <c r="N629" s="3" t="b">
        <f>IFERROR(__xludf.DUMMYFUNCTION("""COMPUTED_VALUE"""),FALSE)</f>
        <v>0</v>
      </c>
      <c r="O629" s="3" t="str">
        <f>IFERROR(__xludf.DUMMYFUNCTION("""COMPUTED_VALUE"""),"matthew.r.comte@pwc.com")</f>
        <v>matthew.r.comte@pwc.com</v>
      </c>
      <c r="P629" s="3" t="str">
        <f>IFERROR(__xludf.DUMMYFUNCTION("""COMPUTED_VALUE"""),"No")</f>
        <v>No</v>
      </c>
      <c r="Q629" s="3" t="b">
        <f>IFERROR(__xludf.DUMMYFUNCTION("""COMPUTED_VALUE"""),FALSE)</f>
        <v>0</v>
      </c>
      <c r="R629" s="3"/>
      <c r="S629" s="3"/>
      <c r="T629" s="3" t="b">
        <f>IFERROR(__xludf.DUMMYFUNCTION("""COMPUTED_VALUE"""),FALSE)</f>
        <v>0</v>
      </c>
      <c r="U629" s="3" t="b">
        <f>IFERROR(__xludf.DUMMYFUNCTION("""COMPUTED_VALUE"""),TRUE)</f>
        <v>1</v>
      </c>
      <c r="V629" s="3" t="b">
        <f>IFERROR(__xludf.DUMMYFUNCTION("""COMPUTED_VALUE"""),FALSE)</f>
        <v>0</v>
      </c>
      <c r="W629" s="3" t="str">
        <f>IFERROR(__xludf.DUMMYFUNCTION("""COMPUTED_VALUE"""),"Delivery")</f>
        <v>Delivery</v>
      </c>
      <c r="X629" s="3"/>
      <c r="Y629" s="3"/>
      <c r="Z629" s="3" t="str">
        <f>IFERROR(__xludf.DUMMYFUNCTION("""COMPUTED_VALUE"""),"IP + Technology Ops Transformation")</f>
        <v>IP + Technology Ops Transformation</v>
      </c>
      <c r="AA629" s="3" t="b">
        <f>IFERROR(__xludf.DUMMYFUNCTION("""COMPUTED_VALUE"""),FALSE)</f>
        <v>0</v>
      </c>
    </row>
    <row r="630">
      <c r="A630" s="11">
        <f>IFERROR(__xludf.DUMMYFUNCTION("""COMPUTED_VALUE"""),1.01138319E8)</f>
        <v>101138319</v>
      </c>
      <c r="B630" s="3" t="str">
        <f>IFERROR(__xludf.DUMMYFUNCTION("""COMPUTED_VALUE"""),"Steve Foran")</f>
        <v>Steve Foran</v>
      </c>
      <c r="C630" s="3" t="str">
        <f>IFERROR(__xludf.DUMMYFUNCTION("""COMPUTED_VALUE"""),"Stephen  Foran")</f>
        <v>Stephen  Foran</v>
      </c>
      <c r="D630" s="3" t="str">
        <f>IFERROR(__xludf.DUMMYFUNCTION("""COMPUTED_VALUE"""),"Foran, Stephen")</f>
        <v>Foran, Stephen</v>
      </c>
      <c r="E630" s="3" t="str">
        <f>IFERROR(__xludf.DUMMYFUNCTION("""COMPUTED_VALUE"""),"Active")</f>
        <v>Active</v>
      </c>
      <c r="F630" s="3" t="str">
        <f>IFERROR(__xludf.DUMMYFUNCTION("""COMPUTED_VALUE"""),"steve.foran@pwc.com")</f>
        <v>steve.foran@pwc.com</v>
      </c>
      <c r="G630" s="3" t="str">
        <f>IFERROR(__xludf.DUMMYFUNCTION("""COMPUTED_VALUE"""),"Customer")</f>
        <v>Customer</v>
      </c>
      <c r="H630" s="3" t="str">
        <f>IFERROR(__xludf.DUMMYFUNCTION("""COMPUTED_VALUE"""),"Pharma and Life Sciences")</f>
        <v>Pharma and Life Sciences</v>
      </c>
      <c r="I630" s="3" t="str">
        <f>IFERROR(__xludf.DUMMYFUNCTION("""COMPUTED_VALUE"""),"Customer - Pricing &amp; Profitability")</f>
        <v>Customer - Pricing &amp; Profitability</v>
      </c>
      <c r="J630" s="3" t="str">
        <f>IFERROR(__xludf.DUMMYFUNCTION("""COMPUTED_VALUE"""),"Managing Director")</f>
        <v>Managing Director</v>
      </c>
      <c r="K630" s="12">
        <f>IFERROR(__xludf.DUMMYFUNCTION("""COMPUTED_VALUE"""),44461.0)</f>
        <v>44461</v>
      </c>
      <c r="L630" s="3" t="str">
        <f>IFERROR(__xludf.DUMMYFUNCTION("""COMPUTED_VALUE"""),"Phoenix")</f>
        <v>Phoenix</v>
      </c>
      <c r="M630" s="3" t="str">
        <f>IFERROR(__xludf.DUMMYFUNCTION("""COMPUTED_VALUE"""),"Phoenix - 1850 North Central Avenue")</f>
        <v>Phoenix - 1850 North Central Avenue</v>
      </c>
      <c r="N630" s="3" t="b">
        <f>IFERROR(__xludf.DUMMYFUNCTION("""COMPUTED_VALUE"""),FALSE)</f>
        <v>0</v>
      </c>
      <c r="O630" s="3" t="str">
        <f>IFERROR(__xludf.DUMMYFUNCTION("""COMPUTED_VALUE"""),"peter.gilmore@pwc.com")</f>
        <v>peter.gilmore@pwc.com</v>
      </c>
      <c r="P630" s="3" t="str">
        <f>IFERROR(__xludf.DUMMYFUNCTION("""COMPUTED_VALUE"""),"FY22")</f>
        <v>FY22</v>
      </c>
      <c r="Q630" s="3" t="b">
        <f>IFERROR(__xludf.DUMMYFUNCTION("""COMPUTED_VALUE"""),FALSE)</f>
        <v>0</v>
      </c>
      <c r="R630" s="3"/>
      <c r="S630" s="3"/>
      <c r="T630" s="3" t="b">
        <f>IFERROR(__xludf.DUMMYFUNCTION("""COMPUTED_VALUE"""),FALSE)</f>
        <v>0</v>
      </c>
      <c r="U630" s="3" t="b">
        <f>IFERROR(__xludf.DUMMYFUNCTION("""COMPUTED_VALUE"""),TRUE)</f>
        <v>1</v>
      </c>
      <c r="V630" s="3" t="b">
        <f>IFERROR(__xludf.DUMMYFUNCTION("""COMPUTED_VALUE"""),FALSE)</f>
        <v>0</v>
      </c>
      <c r="W630" s="3" t="str">
        <f>IFERROR(__xludf.DUMMYFUNCTION("""COMPUTED_VALUE"""),"Catalyst")</f>
        <v>Catalyst</v>
      </c>
      <c r="X630" s="3"/>
      <c r="Y630" s="3" t="str">
        <f>IFERROR(__xludf.DUMMYFUNCTION("""COMPUTED_VALUE"""),"FY22")</f>
        <v>FY22</v>
      </c>
      <c r="Z630" s="3" t="str">
        <f>IFERROR(__xludf.DUMMYFUNCTION("""COMPUTED_VALUE"""),"Commercial / CRM Transformation - CM &amp; IPS &amp; HIA")</f>
        <v>Commercial / CRM Transformation - CM &amp; IPS &amp; HIA</v>
      </c>
      <c r="AA630" s="3" t="b">
        <f>IFERROR(__xludf.DUMMYFUNCTION("""COMPUTED_VALUE"""),FALSE)</f>
        <v>0</v>
      </c>
    </row>
    <row r="631">
      <c r="A631" s="11">
        <f>IFERROR(__xludf.DUMMYFUNCTION("""COMPUTED_VALUE"""),1.0125102E8)</f>
        <v>101251020</v>
      </c>
      <c r="B631" s="3" t="str">
        <f>IFERROR(__xludf.DUMMYFUNCTION("""COMPUTED_VALUE"""),"Steve Puricelli")</f>
        <v>Steve Puricelli</v>
      </c>
      <c r="C631" s="3" t="str">
        <f>IFERROR(__xludf.DUMMYFUNCTION("""COMPUTED_VALUE"""),"Steve Puricelli")</f>
        <v>Steve Puricelli</v>
      </c>
      <c r="D631" s="3" t="str">
        <f>IFERROR(__xludf.DUMMYFUNCTION("""COMPUTED_VALUE"""),"Puricelli, Steve")</f>
        <v>Puricelli, Steve</v>
      </c>
      <c r="E631" s="3" t="str">
        <f>IFERROR(__xludf.DUMMYFUNCTION("""COMPUTED_VALUE"""),"Active")</f>
        <v>Active</v>
      </c>
      <c r="F631" s="3" t="str">
        <f>IFERROR(__xludf.DUMMYFUNCTION("""COMPUTED_VALUE"""),"steve.puricelli@pwc.com")</f>
        <v>steve.puricelli@pwc.com</v>
      </c>
      <c r="G631" s="3" t="str">
        <f>IFERROR(__xludf.DUMMYFUNCTION("""COMPUTED_VALUE"""),"Ops")</f>
        <v>Ops</v>
      </c>
      <c r="H631" s="3" t="str">
        <f>IFERROR(__xludf.DUMMYFUNCTION("""COMPUTED_VALUE"""),"Manufacturing")</f>
        <v>Manufacturing</v>
      </c>
      <c r="I631" s="3" t="str">
        <f>IFERROR(__xludf.DUMMYFUNCTION("""COMPUTED_VALUE"""),"Unknown")</f>
        <v>Unknown</v>
      </c>
      <c r="J631" s="3" t="str">
        <f>IFERROR(__xludf.DUMMYFUNCTION("""COMPUTED_VALUE"""),"Partner")</f>
        <v>Partner</v>
      </c>
      <c r="K631" s="12">
        <f>IFERROR(__xludf.DUMMYFUNCTION("""COMPUTED_VALUE"""),44718.0)</f>
        <v>44718</v>
      </c>
      <c r="L631" s="3" t="str">
        <f>IFERROR(__xludf.DUMMYFUNCTION("""COMPUTED_VALUE"""),"Nashville")</f>
        <v>Nashville</v>
      </c>
      <c r="M631" s="3" t="str">
        <f>IFERROR(__xludf.DUMMYFUNCTION("""COMPUTED_VALUE"""),"Unknown")</f>
        <v>Unknown</v>
      </c>
      <c r="N631" s="3" t="str">
        <f>IFERROR(__xludf.DUMMYFUNCTION("""COMPUTED_VALUE"""),"Unknown")</f>
        <v>Unknown</v>
      </c>
      <c r="O631" s="3" t="str">
        <f>IFERROR(__xludf.DUMMYFUNCTION("""COMPUTED_VALUE"""),"Unknown")</f>
        <v>Unknown</v>
      </c>
      <c r="P631" s="3" t="str">
        <f>IFERROR(__xludf.DUMMYFUNCTION("""COMPUTED_VALUE"""),"FY22")</f>
        <v>FY22</v>
      </c>
      <c r="Q631" s="3" t="str">
        <f>IFERROR(__xludf.DUMMYFUNCTION("""COMPUTED_VALUE"""),"Unknown")</f>
        <v>Unknown</v>
      </c>
      <c r="R631" s="3" t="str">
        <f>IFERROR(__xludf.DUMMYFUNCTION("""COMPUTED_VALUE"""),"Unknown")</f>
        <v>Unknown</v>
      </c>
      <c r="S631" s="3"/>
      <c r="T631" s="3" t="str">
        <f>IFERROR(__xludf.DUMMYFUNCTION("""COMPUTED_VALUE"""),"Unknown")</f>
        <v>Unknown</v>
      </c>
      <c r="U631" s="3" t="str">
        <f>IFERROR(__xludf.DUMMYFUNCTION("""COMPUTED_VALUE"""),"Unknown")</f>
        <v>Unknown</v>
      </c>
      <c r="V631" s="3" t="str">
        <f>IFERROR(__xludf.DUMMYFUNCTION("""COMPUTED_VALUE"""),"Unknown")</f>
        <v>Unknown</v>
      </c>
      <c r="W631" s="3" t="str">
        <f>IFERROR(__xludf.DUMMYFUNCTION("""COMPUTED_VALUE"""),"Catalyst")</f>
        <v>Catalyst</v>
      </c>
      <c r="X631" s="3" t="str">
        <f>IFERROR(__xludf.DUMMYFUNCTION("""COMPUTED_VALUE"""),"Unknown")</f>
        <v>Unknown</v>
      </c>
      <c r="Y631" s="3" t="str">
        <f>IFERROR(__xludf.DUMMYFUNCTION("""COMPUTED_VALUE"""),"Unknown")</f>
        <v>Unknown</v>
      </c>
      <c r="Z631" s="3" t="str">
        <f>IFERROR(__xludf.DUMMYFUNCTION("""COMPUTED_VALUE"""),"Unknown")</f>
        <v>Unknown</v>
      </c>
      <c r="AA631" s="3" t="str">
        <f>IFERROR(__xludf.DUMMYFUNCTION("""COMPUTED_VALUE"""),"Unknown")</f>
        <v>Unknown</v>
      </c>
    </row>
    <row r="632">
      <c r="A632" s="3">
        <f>IFERROR(__xludf.DUMMYFUNCTION("""COMPUTED_VALUE"""),1.0065588E8)</f>
        <v>100655880</v>
      </c>
      <c r="B632" s="3" t="str">
        <f>IFERROR(__xludf.DUMMYFUNCTION("""COMPUTED_VALUE"""),"Steve Rimmer")</f>
        <v>Steve Rimmer</v>
      </c>
      <c r="C632" s="3" t="str">
        <f>IFERROR(__xludf.DUMMYFUNCTION("""COMPUTED_VALUE"""),"Stephen I Rimmer")</f>
        <v>Stephen I Rimmer</v>
      </c>
      <c r="D632" s="3" t="str">
        <f>IFERROR(__xludf.DUMMYFUNCTION("""COMPUTED_VALUE"""),"Rimmer, Stephen I")</f>
        <v>Rimmer, Stephen I</v>
      </c>
      <c r="E632" s="3" t="str">
        <f>IFERROR(__xludf.DUMMYFUNCTION("""COMPUTED_VALUE"""),"Active")</f>
        <v>Active</v>
      </c>
      <c r="F632" s="3" t="str">
        <f>IFERROR(__xludf.DUMMYFUNCTION("""COMPUTED_VALUE"""),"steve.rimmer@pwc.com")</f>
        <v>steve.rimmer@pwc.com</v>
      </c>
      <c r="G632" s="3" t="str">
        <f>IFERROR(__xludf.DUMMYFUNCTION("""COMPUTED_VALUE"""),"Workforce")</f>
        <v>Workforce</v>
      </c>
      <c r="H632" s="3" t="str">
        <f>IFERROR(__xludf.DUMMYFUNCTION("""COMPUTED_VALUE"""),"FS X-Sector")</f>
        <v>FS X-Sector</v>
      </c>
      <c r="I632" s="3" t="str">
        <f>IFERROR(__xludf.DUMMYFUNCTION("""COMPUTED_VALUE"""),"Workforce - Deals")</f>
        <v>Workforce - Deals</v>
      </c>
      <c r="J632" s="3" t="str">
        <f>IFERROR(__xludf.DUMMYFUNCTION("""COMPUTED_VALUE"""),"Partner")</f>
        <v>Partner</v>
      </c>
      <c r="K632" s="12">
        <f>IFERROR(__xludf.DUMMYFUNCTION("""COMPUTED_VALUE"""),34304.0)</f>
        <v>34304</v>
      </c>
      <c r="L632" s="3" t="str">
        <f>IFERROR(__xludf.DUMMYFUNCTION("""COMPUTED_VALUE"""),"New York")</f>
        <v>New York</v>
      </c>
      <c r="M632" s="3" t="str">
        <f>IFERROR(__xludf.DUMMYFUNCTION("""COMPUTED_VALUE"""),"New York - 300 Madison Avenue")</f>
        <v>New York - 300 Madison Avenue</v>
      </c>
      <c r="N632" s="3" t="b">
        <f>IFERROR(__xludf.DUMMYFUNCTION("""COMPUTED_VALUE"""),FALSE)</f>
        <v>0</v>
      </c>
      <c r="O632" s="3" t="str">
        <f>IFERROR(__xludf.DUMMYFUNCTION("""COMPUTED_VALUE"""),"craig.odonnell@pwc.com")</f>
        <v>craig.odonnell@pwc.com</v>
      </c>
      <c r="P632" s="3" t="str">
        <f>IFERROR(__xludf.DUMMYFUNCTION("""COMPUTED_VALUE"""),"No")</f>
        <v>No</v>
      </c>
      <c r="Q632" s="3" t="b">
        <f>IFERROR(__xludf.DUMMYFUNCTION("""COMPUTED_VALUE"""),FALSE)</f>
        <v>0</v>
      </c>
      <c r="R632" s="3"/>
      <c r="S632" s="3"/>
      <c r="T632" s="3" t="b">
        <f>IFERROR(__xludf.DUMMYFUNCTION("""COMPUTED_VALUE"""),FALSE)</f>
        <v>0</v>
      </c>
      <c r="U632" s="3" t="b">
        <f>IFERROR(__xludf.DUMMYFUNCTION("""COMPUTED_VALUE"""),FALSE)</f>
        <v>0</v>
      </c>
      <c r="V632" s="3" t="b">
        <f>IFERROR(__xludf.DUMMYFUNCTION("""COMPUTED_VALUE"""),FALSE)</f>
        <v>0</v>
      </c>
      <c r="W632" s="3" t="str">
        <f>IFERROR(__xludf.DUMMYFUNCTION("""COMPUTED_VALUE"""),"#N/A")</f>
        <v>#N/A</v>
      </c>
      <c r="X632" s="3" t="str">
        <f>IFERROR(__xludf.DUMMYFUNCTION("""COMPUTED_VALUE"""),"#N/A")</f>
        <v>#N/A</v>
      </c>
      <c r="Y632" s="3" t="str">
        <f>IFERROR(__xludf.DUMMYFUNCTION("""COMPUTED_VALUE"""),"#N/A")</f>
        <v>#N/A</v>
      </c>
      <c r="Z632" s="3" t="str">
        <f>IFERROR(__xludf.DUMMYFUNCTION("""COMPUTED_VALUE"""),"Unknown")</f>
        <v>Unknown</v>
      </c>
      <c r="AA632" s="3" t="b">
        <f>IFERROR(__xludf.DUMMYFUNCTION("""COMPUTED_VALUE"""),FALSE)</f>
        <v>0</v>
      </c>
    </row>
    <row r="633">
      <c r="A633" s="11">
        <f>IFERROR(__xludf.DUMMYFUNCTION("""COMPUTED_VALUE"""),1.00963608E8)</f>
        <v>100963608</v>
      </c>
      <c r="B633" s="3" t="str">
        <f>IFERROR(__xludf.DUMMYFUNCTION("""COMPUTED_VALUE"""),"Steve Schultz")</f>
        <v>Steve Schultz</v>
      </c>
      <c r="C633" s="3" t="str">
        <f>IFERROR(__xludf.DUMMYFUNCTION("""COMPUTED_VALUE"""),"Steven  Schultz")</f>
        <v>Steven  Schultz</v>
      </c>
      <c r="D633" s="3" t="str">
        <f>IFERROR(__xludf.DUMMYFUNCTION("""COMPUTED_VALUE"""),"Schultz, Steven")</f>
        <v>Schultz, Steven</v>
      </c>
      <c r="E633" s="3" t="str">
        <f>IFERROR(__xludf.DUMMYFUNCTION("""COMPUTED_VALUE"""),"Active")</f>
        <v>Active</v>
      </c>
      <c r="F633" s="3" t="str">
        <f>IFERROR(__xludf.DUMMYFUNCTION("""COMPUTED_VALUE"""),"steve.schultz@pwc.com")</f>
        <v>steve.schultz@pwc.com</v>
      </c>
      <c r="G633" s="3" t="str">
        <f>IFERROR(__xludf.DUMMYFUNCTION("""COMPUTED_VALUE"""),"Workforce")</f>
        <v>Workforce</v>
      </c>
      <c r="H633" s="3" t="str">
        <f>IFERROR(__xludf.DUMMYFUNCTION("""COMPUTED_VALUE"""),"HI X-Sector")</f>
        <v>HI X-Sector</v>
      </c>
      <c r="I633" s="3" t="str">
        <f>IFERROR(__xludf.DUMMYFUNCTION("""COMPUTED_VALUE"""),"Workforce - Deals")</f>
        <v>Workforce - Deals</v>
      </c>
      <c r="J633" s="3" t="str">
        <f>IFERROR(__xludf.DUMMYFUNCTION("""COMPUTED_VALUE"""),"Partner")</f>
        <v>Partner</v>
      </c>
      <c r="K633" s="12">
        <f>IFERROR(__xludf.DUMMYFUNCTION("""COMPUTED_VALUE"""),43815.0)</f>
        <v>43815</v>
      </c>
      <c r="L633" s="3" t="str">
        <f>IFERROR(__xludf.DUMMYFUNCTION("""COMPUTED_VALUE"""),"New York")</f>
        <v>New York</v>
      </c>
      <c r="M633" s="3" t="str">
        <f>IFERROR(__xludf.DUMMYFUNCTION("""COMPUTED_VALUE"""),"New York - 300 Madison Avenue")</f>
        <v>New York - 300 Madison Avenue</v>
      </c>
      <c r="N633" s="3" t="b">
        <f>IFERROR(__xludf.DUMMYFUNCTION("""COMPUTED_VALUE"""),FALSE)</f>
        <v>0</v>
      </c>
      <c r="O633" s="3" t="str">
        <f>IFERROR(__xludf.DUMMYFUNCTION("""COMPUTED_VALUE"""),"craig.odonnell@pwc.com")</f>
        <v>craig.odonnell@pwc.com</v>
      </c>
      <c r="P633" s="3" t="str">
        <f>IFERROR(__xludf.DUMMYFUNCTION("""COMPUTED_VALUE"""),"No")</f>
        <v>No</v>
      </c>
      <c r="Q633" s="3" t="b">
        <f>IFERROR(__xludf.DUMMYFUNCTION("""COMPUTED_VALUE"""),FALSE)</f>
        <v>0</v>
      </c>
      <c r="R633" s="3"/>
      <c r="S633" s="3"/>
      <c r="T633" s="3" t="b">
        <f>IFERROR(__xludf.DUMMYFUNCTION("""COMPUTED_VALUE"""),FALSE)</f>
        <v>0</v>
      </c>
      <c r="U633" s="3" t="b">
        <f>IFERROR(__xludf.DUMMYFUNCTION("""COMPUTED_VALUE"""),FALSE)</f>
        <v>0</v>
      </c>
      <c r="V633" s="3" t="b">
        <f>IFERROR(__xludf.DUMMYFUNCTION("""COMPUTED_VALUE"""),FALSE)</f>
        <v>0</v>
      </c>
      <c r="W633" s="3" t="str">
        <f>IFERROR(__xludf.DUMMYFUNCTION("""COMPUTED_VALUE"""),"#N/A")</f>
        <v>#N/A</v>
      </c>
      <c r="X633" s="3" t="str">
        <f>IFERROR(__xludf.DUMMYFUNCTION("""COMPUTED_VALUE"""),"#N/A")</f>
        <v>#N/A</v>
      </c>
      <c r="Y633" s="3" t="str">
        <f>IFERROR(__xludf.DUMMYFUNCTION("""COMPUTED_VALUE"""),"#N/A")</f>
        <v>#N/A</v>
      </c>
      <c r="Z633" s="3" t="str">
        <f>IFERROR(__xludf.DUMMYFUNCTION("""COMPUTED_VALUE"""),"Unknown")</f>
        <v>Unknown</v>
      </c>
      <c r="AA633" s="3" t="b">
        <f>IFERROR(__xludf.DUMMYFUNCTION("""COMPUTED_VALUE"""),FALSE)</f>
        <v>0</v>
      </c>
    </row>
    <row r="634">
      <c r="A634" s="11">
        <f>IFERROR(__xludf.DUMMYFUNCTION("""COMPUTED_VALUE"""),1.00658814E8)</f>
        <v>100658814</v>
      </c>
      <c r="B634" s="3" t="str">
        <f>IFERROR(__xludf.DUMMYFUNCTION("""COMPUTED_VALUE"""),"Steven Robertson")</f>
        <v>Steven Robertson</v>
      </c>
      <c r="C634" s="3" t="str">
        <f>IFERROR(__xludf.DUMMYFUNCTION("""COMPUTED_VALUE"""),"Steven J Robertson")</f>
        <v>Steven J Robertson</v>
      </c>
      <c r="D634" s="3" t="str">
        <f>IFERROR(__xludf.DUMMYFUNCTION("""COMPUTED_VALUE"""),"Robertson, Steven J")</f>
        <v>Robertson, Steven J</v>
      </c>
      <c r="E634" s="3" t="str">
        <f>IFERROR(__xludf.DUMMYFUNCTION("""COMPUTED_VALUE"""),"Active")</f>
        <v>Active</v>
      </c>
      <c r="F634" s="3" t="str">
        <f>IFERROR(__xludf.DUMMYFUNCTION("""COMPUTED_VALUE"""),"steve.robertson@pwc.com")</f>
        <v>steve.robertson@pwc.com</v>
      </c>
      <c r="G634" s="3" t="str">
        <f>IFERROR(__xludf.DUMMYFUNCTION("""COMPUTED_VALUE"""),"FS")</f>
        <v>FS</v>
      </c>
      <c r="H634" s="3" t="str">
        <f>IFERROR(__xludf.DUMMYFUNCTION("""COMPUTED_VALUE"""),"Banking and Capital Markets")</f>
        <v>Banking and Capital Markets</v>
      </c>
      <c r="I634" s="3" t="str">
        <f>IFERROR(__xludf.DUMMYFUNCTION("""COMPUTED_VALUE"""),"FS - Banking and Capital Markets")</f>
        <v>FS - Banking and Capital Markets</v>
      </c>
      <c r="J634" s="3" t="str">
        <f>IFERROR(__xludf.DUMMYFUNCTION("""COMPUTED_VALUE"""),"Partner")</f>
        <v>Partner</v>
      </c>
      <c r="K634" s="12">
        <f>IFERROR(__xludf.DUMMYFUNCTION("""COMPUTED_VALUE"""),35311.0)</f>
        <v>35311</v>
      </c>
      <c r="L634" s="3" t="str">
        <f>IFERROR(__xludf.DUMMYFUNCTION("""COMPUTED_VALUE"""),"Minneapolis")</f>
        <v>Minneapolis</v>
      </c>
      <c r="M634" s="3" t="str">
        <f>IFERROR(__xludf.DUMMYFUNCTION("""COMPUTED_VALUE"""),"Minneapolis - 45 South 7th Street")</f>
        <v>Minneapolis - 45 South 7th Street</v>
      </c>
      <c r="N634" s="3" t="b">
        <f>IFERROR(__xludf.DUMMYFUNCTION("""COMPUTED_VALUE"""),FALSE)</f>
        <v>0</v>
      </c>
      <c r="O634" s="3" t="str">
        <f>IFERROR(__xludf.DUMMYFUNCTION("""COMPUTED_VALUE"""),"alison.hoover@pwc.com")</f>
        <v>alison.hoover@pwc.com</v>
      </c>
      <c r="P634" s="3" t="str">
        <f>IFERROR(__xludf.DUMMYFUNCTION("""COMPUTED_VALUE"""),"No")</f>
        <v>No</v>
      </c>
      <c r="Q634" s="3" t="b">
        <f>IFERROR(__xludf.DUMMYFUNCTION("""COMPUTED_VALUE"""),FALSE)</f>
        <v>0</v>
      </c>
      <c r="R634" s="3"/>
      <c r="S634" s="3"/>
      <c r="T634" s="3" t="b">
        <f>IFERROR(__xludf.DUMMYFUNCTION("""COMPUTED_VALUE"""),FALSE)</f>
        <v>0</v>
      </c>
      <c r="U634" s="3" t="b">
        <f>IFERROR(__xludf.DUMMYFUNCTION("""COMPUTED_VALUE"""),TRUE)</f>
        <v>1</v>
      </c>
      <c r="V634" s="3" t="b">
        <f>IFERROR(__xludf.DUMMYFUNCTION("""COMPUTED_VALUE"""),FALSE)</f>
        <v>0</v>
      </c>
      <c r="W634" s="3" t="str">
        <f>IFERROR(__xludf.DUMMYFUNCTION("""COMPUTED_VALUE"""),"Delivery")</f>
        <v>Delivery</v>
      </c>
      <c r="X634" s="3"/>
      <c r="Y634" s="3"/>
      <c r="Z634" s="3" t="str">
        <f>IFERROR(__xludf.DUMMYFUNCTION("""COMPUTED_VALUE"""),"Banking Transformation")</f>
        <v>Banking Transformation</v>
      </c>
      <c r="AA634" s="3" t="b">
        <f>IFERROR(__xludf.DUMMYFUNCTION("""COMPUTED_VALUE"""),FALSE)</f>
        <v>0</v>
      </c>
    </row>
    <row r="635">
      <c r="A635" s="11">
        <f>IFERROR(__xludf.DUMMYFUNCTION("""COMPUTED_VALUE"""),1.00642211E8)</f>
        <v>100642211</v>
      </c>
      <c r="B635" s="3" t="str">
        <f>IFERROR(__xludf.DUMMYFUNCTION("""COMPUTED_VALUE"""),"Steven Tess")</f>
        <v>Steven Tess</v>
      </c>
      <c r="C635" s="3" t="str">
        <f>IFERROR(__xludf.DUMMYFUNCTION("""COMPUTED_VALUE"""),"Steven Peter Tess")</f>
        <v>Steven Peter Tess</v>
      </c>
      <c r="D635" s="3" t="str">
        <f>IFERROR(__xludf.DUMMYFUNCTION("""COMPUTED_VALUE"""),"Tess, Steven Peter")</f>
        <v>Tess, Steven Peter</v>
      </c>
      <c r="E635" s="3" t="str">
        <f>IFERROR(__xludf.DUMMYFUNCTION("""COMPUTED_VALUE"""),"Active")</f>
        <v>Active</v>
      </c>
      <c r="F635" s="3" t="str">
        <f>IFERROR(__xludf.DUMMYFUNCTION("""COMPUTED_VALUE"""),"steven.tess@pwc.com")</f>
        <v>steven.tess@pwc.com</v>
      </c>
      <c r="G635" s="3" t="str">
        <f>IFERROR(__xludf.DUMMYFUNCTION("""COMPUTED_VALUE"""),"Deals Transformation")</f>
        <v>Deals Transformation</v>
      </c>
      <c r="H635" s="3" t="str">
        <f>IFERROR(__xludf.DUMMYFUNCTION("""COMPUTED_VALUE"""),"CM X-Sector")</f>
        <v>CM X-Sector</v>
      </c>
      <c r="I635" s="3" t="str">
        <f>IFERROR(__xludf.DUMMYFUNCTION("""COMPUTED_VALUE"""),"DDV - Operations")</f>
        <v>DDV - Operations</v>
      </c>
      <c r="J635" s="3" t="str">
        <f>IFERROR(__xludf.DUMMYFUNCTION("""COMPUTED_VALUE"""),"Partner")</f>
        <v>Partner</v>
      </c>
      <c r="K635" s="12">
        <f>IFERROR(__xludf.DUMMYFUNCTION("""COMPUTED_VALUE"""),40162.0)</f>
        <v>40162</v>
      </c>
      <c r="L635" s="3" t="str">
        <f>IFERROR(__xludf.DUMMYFUNCTION("""COMPUTED_VALUE"""),"Chicago")</f>
        <v>Chicago</v>
      </c>
      <c r="M635" s="3" t="str">
        <f>IFERROR(__xludf.DUMMYFUNCTION("""COMPUTED_VALUE"""),"Chicago - One North Wacker Drive")</f>
        <v>Chicago - One North Wacker Drive</v>
      </c>
      <c r="N635" s="3" t="b">
        <f>IFERROR(__xludf.DUMMYFUNCTION("""COMPUTED_VALUE"""),FALSE)</f>
        <v>0</v>
      </c>
      <c r="O635" s="3" t="str">
        <f>IFERROR(__xludf.DUMMYFUNCTION("""COMPUTED_VALUE"""),"derek.b.townsend@pwc.com")</f>
        <v>derek.b.townsend@pwc.com</v>
      </c>
      <c r="P635" s="3" t="str">
        <f>IFERROR(__xludf.DUMMYFUNCTION("""COMPUTED_VALUE"""),"No")</f>
        <v>No</v>
      </c>
      <c r="Q635" s="3" t="b">
        <f>IFERROR(__xludf.DUMMYFUNCTION("""COMPUTED_VALUE"""),FALSE)</f>
        <v>0</v>
      </c>
      <c r="R635" s="3"/>
      <c r="S635" s="3"/>
      <c r="T635" s="3" t="b">
        <f>IFERROR(__xludf.DUMMYFUNCTION("""COMPUTED_VALUE"""),FALSE)</f>
        <v>0</v>
      </c>
      <c r="U635" s="3" t="b">
        <f>IFERROR(__xludf.DUMMYFUNCTION("""COMPUTED_VALUE"""),TRUE)</f>
        <v>1</v>
      </c>
      <c r="V635" s="3" t="b">
        <f>IFERROR(__xludf.DUMMYFUNCTION("""COMPUTED_VALUE"""),FALSE)</f>
        <v>0</v>
      </c>
      <c r="W635" s="3" t="str">
        <f>IFERROR(__xludf.DUMMYFUNCTION("""COMPUTED_VALUE"""),"Delivery")</f>
        <v>Delivery</v>
      </c>
      <c r="X635" s="3"/>
      <c r="Y635" s="3"/>
      <c r="Z635" s="3" t="str">
        <f>IFERROR(__xludf.DUMMYFUNCTION("""COMPUTED_VALUE"""),"Corporate M&amp;A Transformation - CM")</f>
        <v>Corporate M&amp;A Transformation - CM</v>
      </c>
      <c r="AA635" s="3" t="b">
        <f>IFERROR(__xludf.DUMMYFUNCTION("""COMPUTED_VALUE"""),FALSE)</f>
        <v>0</v>
      </c>
    </row>
    <row r="636">
      <c r="A636" s="11">
        <f>IFERROR(__xludf.DUMMYFUNCTION("""COMPUTED_VALUE"""),1.00650678E8)</f>
        <v>100650678</v>
      </c>
      <c r="B636" s="3" t="str">
        <f>IFERROR(__xludf.DUMMYFUNCTION("""COMPUTED_VALUE"""),"Steven Treppo")</f>
        <v>Steven Treppo</v>
      </c>
      <c r="C636" s="3" t="str">
        <f>IFERROR(__xludf.DUMMYFUNCTION("""COMPUTED_VALUE"""),"Steven  Treppo")</f>
        <v>Steven  Treppo</v>
      </c>
      <c r="D636" s="3" t="str">
        <f>IFERROR(__xludf.DUMMYFUNCTION("""COMPUTED_VALUE"""),"Treppo, Steven")</f>
        <v>Treppo, Steven</v>
      </c>
      <c r="E636" s="3" t="str">
        <f>IFERROR(__xludf.DUMMYFUNCTION("""COMPUTED_VALUE"""),"Active")</f>
        <v>Active</v>
      </c>
      <c r="F636" s="3" t="str">
        <f>IFERROR(__xludf.DUMMYFUNCTION("""COMPUTED_VALUE"""),"steven.treppo@pwc.com")</f>
        <v>steven.treppo@pwc.com</v>
      </c>
      <c r="G636" s="3" t="str">
        <f>IFERROR(__xludf.DUMMYFUNCTION("""COMPUTED_VALUE"""),"Customer")</f>
        <v>Customer</v>
      </c>
      <c r="H636" s="3" t="str">
        <f>IFERROR(__xludf.DUMMYFUNCTION("""COMPUTED_VALUE"""),"CM X-Sector")</f>
        <v>CM X-Sector</v>
      </c>
      <c r="I636" s="3" t="str">
        <f>IFERROR(__xludf.DUMMYFUNCTION("""COMPUTED_VALUE"""),"Customer - Marketing")</f>
        <v>Customer - Marketing</v>
      </c>
      <c r="J636" s="3" t="str">
        <f>IFERROR(__xludf.DUMMYFUNCTION("""COMPUTED_VALUE"""),"Partner")</f>
        <v>Partner</v>
      </c>
      <c r="K636" s="12">
        <f>IFERROR(__xludf.DUMMYFUNCTION("""COMPUTED_VALUE"""),42186.0)</f>
        <v>42186</v>
      </c>
      <c r="L636" s="3" t="str">
        <f>IFERROR(__xludf.DUMMYFUNCTION("""COMPUTED_VALUE"""),"Cleveland")</f>
        <v>Cleveland</v>
      </c>
      <c r="M636" s="3" t="str">
        <f>IFERROR(__xludf.DUMMYFUNCTION("""COMPUTED_VALUE"""),"Cleveland - 200 Public Square")</f>
        <v>Cleveland - 200 Public Square</v>
      </c>
      <c r="N636" s="3" t="b">
        <f>IFERROR(__xludf.DUMMYFUNCTION("""COMPUTED_VALUE"""),FALSE)</f>
        <v>0</v>
      </c>
      <c r="O636" s="3" t="str">
        <f>IFERROR(__xludf.DUMMYFUNCTION("""COMPUTED_VALUE"""),"george.korizis@pwc.com")</f>
        <v>george.korizis@pwc.com</v>
      </c>
      <c r="P636" s="3" t="str">
        <f>IFERROR(__xludf.DUMMYFUNCTION("""COMPUTED_VALUE"""),"No")</f>
        <v>No</v>
      </c>
      <c r="Q636" s="3" t="b">
        <f>IFERROR(__xludf.DUMMYFUNCTION("""COMPUTED_VALUE"""),FALSE)</f>
        <v>0</v>
      </c>
      <c r="R636" s="3"/>
      <c r="S636" s="3"/>
      <c r="T636" s="3" t="b">
        <f>IFERROR(__xludf.DUMMYFUNCTION("""COMPUTED_VALUE"""),FALSE)</f>
        <v>0</v>
      </c>
      <c r="U636" s="3" t="b">
        <f>IFERROR(__xludf.DUMMYFUNCTION("""COMPUTED_VALUE"""),TRUE)</f>
        <v>1</v>
      </c>
      <c r="V636" s="3" t="b">
        <f>IFERROR(__xludf.DUMMYFUNCTION("""COMPUTED_VALUE"""),FALSE)</f>
        <v>0</v>
      </c>
      <c r="W636" s="3" t="str">
        <f>IFERROR(__xludf.DUMMYFUNCTION("""COMPUTED_VALUE"""),"Delivery")</f>
        <v>Delivery</v>
      </c>
      <c r="X636" s="3"/>
      <c r="Y636" s="3"/>
      <c r="Z636" s="3" t="str">
        <f>IFERROR(__xludf.DUMMYFUNCTION("""COMPUTED_VALUE"""),"Commercial / CRM Transformation - CM &amp; IPS &amp; HIA")</f>
        <v>Commercial / CRM Transformation - CM &amp; IPS &amp; HIA</v>
      </c>
      <c r="AA636" s="3" t="b">
        <f>IFERROR(__xludf.DUMMYFUNCTION("""COMPUTED_VALUE"""),FALSE)</f>
        <v>0</v>
      </c>
    </row>
    <row r="637">
      <c r="A637" s="11">
        <f>IFERROR(__xludf.DUMMYFUNCTION("""COMPUTED_VALUE"""),1.01164038E8)</f>
        <v>101164038</v>
      </c>
      <c r="B637" s="3" t="str">
        <f>IFERROR(__xludf.DUMMYFUNCTION("""COMPUTED_VALUE"""),"Sudharsan Iyengar")</f>
        <v>Sudharsan Iyengar</v>
      </c>
      <c r="C637" s="3" t="str">
        <f>IFERROR(__xludf.DUMMYFUNCTION("""COMPUTED_VALUE"""),"Sudharsan Govindarajan Iyengar")</f>
        <v>Sudharsan Govindarajan Iyengar</v>
      </c>
      <c r="D637" s="3" t="str">
        <f>IFERROR(__xludf.DUMMYFUNCTION("""COMPUTED_VALUE"""),"Iyengar, Sudharsan Govindarajan")</f>
        <v>Iyengar, Sudharsan Govindarajan</v>
      </c>
      <c r="E637" s="3" t="str">
        <f>IFERROR(__xludf.DUMMYFUNCTION("""COMPUTED_VALUE"""),"Active")</f>
        <v>Active</v>
      </c>
      <c r="F637" s="3" t="str">
        <f>IFERROR(__xludf.DUMMYFUNCTION("""COMPUTED_VALUE"""),"sudharsan.iyengar@pwc.com")</f>
        <v>sudharsan.iyengar@pwc.com</v>
      </c>
      <c r="G637" s="3" t="str">
        <f>IFERROR(__xludf.DUMMYFUNCTION("""COMPUTED_VALUE"""),"ESV")</f>
        <v>ESV</v>
      </c>
      <c r="H637" s="3" t="str">
        <f>IFERROR(__xludf.DUMMYFUNCTION("""COMPUTED_VALUE"""),"TMT X-Sector")</f>
        <v>TMT X-Sector</v>
      </c>
      <c r="I637" s="3" t="str">
        <f>IFERROR(__xludf.DUMMYFUNCTION("""COMPUTED_VALUE"""),"ESV - TMT")</f>
        <v>ESV - TMT</v>
      </c>
      <c r="J637" s="3" t="str">
        <f>IFERROR(__xludf.DUMMYFUNCTION("""COMPUTED_VALUE"""),"Partner")</f>
        <v>Partner</v>
      </c>
      <c r="K637" s="12">
        <f>IFERROR(__xludf.DUMMYFUNCTION("""COMPUTED_VALUE"""),44531.0)</f>
        <v>44531</v>
      </c>
      <c r="L637" s="3" t="str">
        <f>IFERROR(__xludf.DUMMYFUNCTION("""COMPUTED_VALUE"""),"Atlanta")</f>
        <v>Atlanta</v>
      </c>
      <c r="M637" s="3" t="str">
        <f>IFERROR(__xludf.DUMMYFUNCTION("""COMPUTED_VALUE"""),"Atlanta - 1075 Peachtree Street NE")</f>
        <v>Atlanta - 1075 Peachtree Street NE</v>
      </c>
      <c r="N637" s="3" t="b">
        <f>IFERROR(__xludf.DUMMYFUNCTION("""COMPUTED_VALUE"""),FALSE)</f>
        <v>0</v>
      </c>
      <c r="O637" s="3" t="str">
        <f>IFERROR(__xludf.DUMMYFUNCTION("""COMPUTED_VALUE"""),"sundar.subramanian@pwc.com")</f>
        <v>sundar.subramanian@pwc.com</v>
      </c>
      <c r="P637" s="3" t="str">
        <f>IFERROR(__xludf.DUMMYFUNCTION("""COMPUTED_VALUE"""),"FY22")</f>
        <v>FY22</v>
      </c>
      <c r="Q637" s="3" t="b">
        <f>IFERROR(__xludf.DUMMYFUNCTION("""COMPUTED_VALUE"""),FALSE)</f>
        <v>0</v>
      </c>
      <c r="R637" s="3"/>
      <c r="S637" s="3"/>
      <c r="T637" s="3" t="b">
        <f>IFERROR(__xludf.DUMMYFUNCTION("""COMPUTED_VALUE"""),FALSE)</f>
        <v>0</v>
      </c>
      <c r="U637" s="3" t="b">
        <f>IFERROR(__xludf.DUMMYFUNCTION("""COMPUTED_VALUE"""),TRUE)</f>
        <v>1</v>
      </c>
      <c r="V637" s="3" t="b">
        <f>IFERROR(__xludf.DUMMYFUNCTION("""COMPUTED_VALUE"""),FALSE)</f>
        <v>0</v>
      </c>
      <c r="W637" s="3" t="str">
        <f>IFERROR(__xludf.DUMMYFUNCTION("""COMPUTED_VALUE"""),"Catalyst")</f>
        <v>Catalyst</v>
      </c>
      <c r="X637" s="3"/>
      <c r="Y637" s="3" t="str">
        <f>IFERROR(__xludf.DUMMYFUNCTION("""COMPUTED_VALUE"""),"FY22")</f>
        <v>FY22</v>
      </c>
      <c r="Z637" s="3" t="str">
        <f>IFERROR(__xludf.DUMMYFUNCTION("""COMPUTED_VALUE"""),"Enterprise Digital Transformation - TMT")</f>
        <v>Enterprise Digital Transformation - TMT</v>
      </c>
      <c r="AA637" s="3" t="b">
        <f>IFERROR(__xludf.DUMMYFUNCTION("""COMPUTED_VALUE"""),FALSE)</f>
        <v>0</v>
      </c>
    </row>
    <row r="638">
      <c r="A638" s="11">
        <f>IFERROR(__xludf.DUMMYFUNCTION("""COMPUTED_VALUE"""),1.01211126E8)</f>
        <v>101211126</v>
      </c>
      <c r="B638" s="3" t="str">
        <f>IFERROR(__xludf.DUMMYFUNCTION("""COMPUTED_VALUE"""),"Sue Wright")</f>
        <v>Sue Wright</v>
      </c>
      <c r="C638" s="3" t="str">
        <f>IFERROR(__xludf.DUMMYFUNCTION("""COMPUTED_VALUE"""),"Susan Grace Wright")</f>
        <v>Susan Grace Wright</v>
      </c>
      <c r="D638" s="3" t="str">
        <f>IFERROR(__xludf.DUMMYFUNCTION("""COMPUTED_VALUE"""),"Wright, Susan Grace")</f>
        <v>Wright, Susan Grace</v>
      </c>
      <c r="E638" s="3" t="str">
        <f>IFERROR(__xludf.DUMMYFUNCTION("""COMPUTED_VALUE"""),"Active")</f>
        <v>Active</v>
      </c>
      <c r="F638" s="3" t="str">
        <f>IFERROR(__xludf.DUMMYFUNCTION("""COMPUTED_VALUE"""),"susan.wright@pwc.com")</f>
        <v>susan.wright@pwc.com</v>
      </c>
      <c r="G638" s="3" t="str">
        <f>IFERROR(__xludf.DUMMYFUNCTION("""COMPUTED_VALUE"""),"ESV")</f>
        <v>ESV</v>
      </c>
      <c r="H638" s="3" t="str">
        <f>IFERROR(__xludf.DUMMYFUNCTION("""COMPUTED_VALUE"""),"Not Applicable")</f>
        <v>Not Applicable</v>
      </c>
      <c r="I638" s="3" t="str">
        <f>IFERROR(__xludf.DUMMYFUNCTION("""COMPUTED_VALUE"""),"ESV - ESG")</f>
        <v>ESV - ESG</v>
      </c>
      <c r="J638" s="3" t="str">
        <f>IFERROR(__xludf.DUMMYFUNCTION("""COMPUTED_VALUE"""),"Managing Director")</f>
        <v>Managing Director</v>
      </c>
      <c r="K638" s="12">
        <f>IFERROR(__xludf.DUMMYFUNCTION("""COMPUTED_VALUE"""),44641.0)</f>
        <v>44641</v>
      </c>
      <c r="L638" s="3" t="str">
        <f>IFERROR(__xludf.DUMMYFUNCTION("""COMPUTED_VALUE"""),"Houston")</f>
        <v>Houston</v>
      </c>
      <c r="M638" s="3" t="str">
        <f>IFERROR(__xludf.DUMMYFUNCTION("""COMPUTED_VALUE"""),"Houston - 1000 Louisiana Street")</f>
        <v>Houston - 1000 Louisiana Street</v>
      </c>
      <c r="N638" s="3" t="b">
        <f>IFERROR(__xludf.DUMMYFUNCTION("""COMPUTED_VALUE"""),FALSE)</f>
        <v>0</v>
      </c>
      <c r="O638" s="3" t="str">
        <f>IFERROR(__xludf.DUMMYFUNCTION("""COMPUTED_VALUE"""),"sammy.lakshmanan@pwc.com")</f>
        <v>sammy.lakshmanan@pwc.com</v>
      </c>
      <c r="P638" s="3" t="str">
        <f>IFERROR(__xludf.DUMMYFUNCTION("""COMPUTED_VALUE"""),"FY22")</f>
        <v>FY22</v>
      </c>
      <c r="Q638" s="3" t="b">
        <f>IFERROR(__xludf.DUMMYFUNCTION("""COMPUTED_VALUE"""),FALSE)</f>
        <v>0</v>
      </c>
      <c r="R638" s="3"/>
      <c r="S638" s="3"/>
      <c r="T638" s="3" t="b">
        <f>IFERROR(__xludf.DUMMYFUNCTION("""COMPUTED_VALUE"""),FALSE)</f>
        <v>0</v>
      </c>
      <c r="U638" s="3" t="b">
        <f>IFERROR(__xludf.DUMMYFUNCTION("""COMPUTED_VALUE"""),TRUE)</f>
        <v>1</v>
      </c>
      <c r="V638" s="3" t="b">
        <f>IFERROR(__xludf.DUMMYFUNCTION("""COMPUTED_VALUE"""),FALSE)</f>
        <v>0</v>
      </c>
      <c r="W638" s="3" t="str">
        <f>IFERROR(__xludf.DUMMYFUNCTION("""COMPUTED_VALUE"""),"Catalyst")</f>
        <v>Catalyst</v>
      </c>
      <c r="X638" s="3"/>
      <c r="Y638" s="3" t="str">
        <f>IFERROR(__xludf.DUMMYFUNCTION("""COMPUTED_VALUE"""),"FY22")</f>
        <v>FY22</v>
      </c>
      <c r="Z638" s="3" t="str">
        <f>IFERROR(__xludf.DUMMYFUNCTION("""COMPUTED_VALUE"""),"")</f>
        <v/>
      </c>
      <c r="AA638" s="3" t="b">
        <f>IFERROR(__xludf.DUMMYFUNCTION("""COMPUTED_VALUE"""),FALSE)</f>
        <v>0</v>
      </c>
    </row>
    <row r="639">
      <c r="A639" s="11">
        <f>IFERROR(__xludf.DUMMYFUNCTION("""COMPUTED_VALUE"""),1.00613095E8)</f>
        <v>100613095</v>
      </c>
      <c r="B639" s="3" t="str">
        <f>IFERROR(__xludf.DUMMYFUNCTION("""COMPUTED_VALUE"""),"Suheb Siddiqui")</f>
        <v>Suheb Siddiqui</v>
      </c>
      <c r="C639" s="3" t="str">
        <f>IFERROR(__xludf.DUMMYFUNCTION("""COMPUTED_VALUE"""),"Suheb  Siddiqui")</f>
        <v>Suheb  Siddiqui</v>
      </c>
      <c r="D639" s="3" t="str">
        <f>IFERROR(__xludf.DUMMYFUNCTION("""COMPUTED_VALUE"""),"Siddiqui, Suheb")</f>
        <v>Siddiqui, Suheb</v>
      </c>
      <c r="E639" s="3" t="str">
        <f>IFERROR(__xludf.DUMMYFUNCTION("""COMPUTED_VALUE"""),"Active")</f>
        <v>Active</v>
      </c>
      <c r="F639" s="3" t="str">
        <f>IFERROR(__xludf.DUMMYFUNCTION("""COMPUTED_VALUE"""),"suheb.siddiqui@pwc.com")</f>
        <v>suheb.siddiqui@pwc.com</v>
      </c>
      <c r="G639" s="3" t="str">
        <f>IFERROR(__xludf.DUMMYFUNCTION("""COMPUTED_VALUE"""),"Deals Transformation")</f>
        <v>Deals Transformation</v>
      </c>
      <c r="H639" s="3" t="str">
        <f>IFERROR(__xludf.DUMMYFUNCTION("""COMPUTED_VALUE"""),"Manufacturing")</f>
        <v>Manufacturing</v>
      </c>
      <c r="I639" s="3" t="str">
        <f>IFERROR(__xludf.DUMMYFUNCTION("""COMPUTED_VALUE"""),"DDV - IT")</f>
        <v>DDV - IT</v>
      </c>
      <c r="J639" s="3" t="str">
        <f>IFERROR(__xludf.DUMMYFUNCTION("""COMPUTED_VALUE"""),"Partner")</f>
        <v>Partner</v>
      </c>
      <c r="K639" s="12">
        <f>IFERROR(__xludf.DUMMYFUNCTION("""COMPUTED_VALUE"""),41757.0)</f>
        <v>41757</v>
      </c>
      <c r="L639" s="3" t="str">
        <f>IFERROR(__xludf.DUMMYFUNCTION("""COMPUTED_VALUE"""),"Atlanta")</f>
        <v>Atlanta</v>
      </c>
      <c r="M639" s="3" t="str">
        <f>IFERROR(__xludf.DUMMYFUNCTION("""COMPUTED_VALUE"""),"Atlanta - 1075 Peachtree Street NE")</f>
        <v>Atlanta - 1075 Peachtree Street NE</v>
      </c>
      <c r="N639" s="3" t="b">
        <f>IFERROR(__xludf.DUMMYFUNCTION("""COMPUTED_VALUE"""),TRUE)</f>
        <v>1</v>
      </c>
      <c r="O639" s="3" t="str">
        <f>IFERROR(__xludf.DUMMYFUNCTION("""COMPUTED_VALUE"""),"derek.b.townsend@pwc.com")</f>
        <v>derek.b.townsend@pwc.com</v>
      </c>
      <c r="P639" s="3" t="str">
        <f>IFERROR(__xludf.DUMMYFUNCTION("""COMPUTED_VALUE"""),"No")</f>
        <v>No</v>
      </c>
      <c r="Q639" s="3" t="b">
        <f>IFERROR(__xludf.DUMMYFUNCTION("""COMPUTED_VALUE"""),FALSE)</f>
        <v>0</v>
      </c>
      <c r="R639" s="3"/>
      <c r="S639" s="3"/>
      <c r="T639" s="3" t="b">
        <f>IFERROR(__xludf.DUMMYFUNCTION("""COMPUTED_VALUE"""),FALSE)</f>
        <v>0</v>
      </c>
      <c r="U639" s="3" t="b">
        <f>IFERROR(__xludf.DUMMYFUNCTION("""COMPUTED_VALUE"""),TRUE)</f>
        <v>1</v>
      </c>
      <c r="V639" s="3" t="b">
        <f>IFERROR(__xludf.DUMMYFUNCTION("""COMPUTED_VALUE"""),FALSE)</f>
        <v>0</v>
      </c>
      <c r="W639" s="3" t="str">
        <f>IFERROR(__xludf.DUMMYFUNCTION("""COMPUTED_VALUE"""),"Delivery")</f>
        <v>Delivery</v>
      </c>
      <c r="X639" s="3"/>
      <c r="Y639" s="3"/>
      <c r="Z639" s="3" t="str">
        <f>IFERROR(__xludf.DUMMYFUNCTION("""COMPUTED_VALUE"""),"Corporate M&amp;A Transformation - IPS")</f>
        <v>Corporate M&amp;A Transformation - IPS</v>
      </c>
      <c r="AA639" s="3" t="b">
        <f>IFERROR(__xludf.DUMMYFUNCTION("""COMPUTED_VALUE"""),FALSE)</f>
        <v>0</v>
      </c>
    </row>
    <row r="640">
      <c r="A640" s="11">
        <f>IFERROR(__xludf.DUMMYFUNCTION("""COMPUTED_VALUE"""),1.00651298E8)</f>
        <v>100651298</v>
      </c>
      <c r="B640" s="3" t="str">
        <f>IFERROR(__xludf.DUMMYFUNCTION("""COMPUTED_VALUE"""),"Sundar Subramanian")</f>
        <v>Sundar Subramanian</v>
      </c>
      <c r="C640" s="3" t="str">
        <f>IFERROR(__xludf.DUMMYFUNCTION("""COMPUTED_VALUE"""),"Sundararaman  Subramanian")</f>
        <v>Sundararaman  Subramanian</v>
      </c>
      <c r="D640" s="3" t="str">
        <f>IFERROR(__xludf.DUMMYFUNCTION("""COMPUTED_VALUE"""),"Subramanian, Sundararaman")</f>
        <v>Subramanian, Sundararaman</v>
      </c>
      <c r="E640" s="3" t="str">
        <f>IFERROR(__xludf.DUMMYFUNCTION("""COMPUTED_VALUE"""),"Active")</f>
        <v>Active</v>
      </c>
      <c r="F640" s="3" t="str">
        <f>IFERROR(__xludf.DUMMYFUNCTION("""COMPUTED_VALUE"""),"sundar.subramanian@pwc.com")</f>
        <v>sundar.subramanian@pwc.com</v>
      </c>
      <c r="G640" s="3" t="str">
        <f>IFERROR(__xludf.DUMMYFUNCTION("""COMPUTED_VALUE"""),"ESV")</f>
        <v>ESV</v>
      </c>
      <c r="H640" s="3" t="str">
        <f>IFERROR(__xludf.DUMMYFUNCTION("""COMPUTED_VALUE"""),"Health Services")</f>
        <v>Health Services</v>
      </c>
      <c r="I640" s="3" t="str">
        <f>IFERROR(__xludf.DUMMYFUNCTION("""COMPUTED_VALUE"""),"ESV - Health Services")</f>
        <v>ESV - Health Services</v>
      </c>
      <c r="J640" s="3" t="str">
        <f>IFERROR(__xludf.DUMMYFUNCTION("""COMPUTED_VALUE"""),"Partner")</f>
        <v>Partner</v>
      </c>
      <c r="K640" s="12">
        <f>IFERROR(__xludf.DUMMYFUNCTION("""COMPUTED_VALUE"""),42186.0)</f>
        <v>42186</v>
      </c>
      <c r="L640" s="3" t="str">
        <f>IFERROR(__xludf.DUMMYFUNCTION("""COMPUTED_VALUE"""),"New York")</f>
        <v>New York</v>
      </c>
      <c r="M640" s="3" t="str">
        <f>IFERROR(__xludf.DUMMYFUNCTION("""COMPUTED_VALUE"""),"New York - 300 Madison Avenue")</f>
        <v>New York - 300 Madison Avenue</v>
      </c>
      <c r="N640" s="3" t="b">
        <f>IFERROR(__xludf.DUMMYFUNCTION("""COMPUTED_VALUE"""),FALSE)</f>
        <v>0</v>
      </c>
      <c r="O640" s="3" t="str">
        <f>IFERROR(__xludf.DUMMYFUNCTION("""COMPUTED_VALUE"""),"mike.connolly@pwc.com")</f>
        <v>mike.connolly@pwc.com</v>
      </c>
      <c r="P640" s="3" t="str">
        <f>IFERROR(__xludf.DUMMYFUNCTION("""COMPUTED_VALUE"""),"No")</f>
        <v>No</v>
      </c>
      <c r="Q640" s="3" t="b">
        <f>IFERROR(__xludf.DUMMYFUNCTION("""COMPUTED_VALUE"""),TRUE)</f>
        <v>1</v>
      </c>
      <c r="R640" s="3" t="str">
        <f>IFERROR(__xludf.DUMMYFUNCTION("""COMPUTED_VALUE"""),"LCP High")</f>
        <v>LCP High</v>
      </c>
      <c r="S640" s="3"/>
      <c r="T640" s="3" t="b">
        <f>IFERROR(__xludf.DUMMYFUNCTION("""COMPUTED_VALUE"""),FALSE)</f>
        <v>0</v>
      </c>
      <c r="U640" s="3" t="b">
        <f>IFERROR(__xludf.DUMMYFUNCTION("""COMPUTED_VALUE"""),FALSE)</f>
        <v>0</v>
      </c>
      <c r="V640" s="3" t="b">
        <f>IFERROR(__xludf.DUMMYFUNCTION("""COMPUTED_VALUE"""),FALSE)</f>
        <v>0</v>
      </c>
      <c r="W640" s="3" t="str">
        <f>IFERROR(__xludf.DUMMYFUNCTION("""COMPUTED_VALUE"""),"LCP")</f>
        <v>LCP</v>
      </c>
      <c r="X640" s="3"/>
      <c r="Y640" s="3" t="str">
        <f>IFERROR(__xludf.DUMMYFUNCTION("""COMPUTED_VALUE"""),"GEP - High")</f>
        <v>GEP - High</v>
      </c>
      <c r="Z640" s="3" t="str">
        <f>IFERROR(__xludf.DUMMYFUNCTION("""COMPUTED_VALUE"""),"Enterprise Digital Transformation - Health Services")</f>
        <v>Enterprise Digital Transformation - Health Services</v>
      </c>
      <c r="AA640" s="3" t="b">
        <f>IFERROR(__xludf.DUMMYFUNCTION("""COMPUTED_VALUE"""),FALSE)</f>
        <v>0</v>
      </c>
    </row>
    <row r="641">
      <c r="A641" s="11">
        <f>IFERROR(__xludf.DUMMYFUNCTION("""COMPUTED_VALUE"""),1.00626898E8)</f>
        <v>100626898</v>
      </c>
      <c r="B641" s="3" t="str">
        <f>IFERROR(__xludf.DUMMYFUNCTION("""COMPUTED_VALUE"""),"Suni Shamapande")</f>
        <v>Suni Shamapande</v>
      </c>
      <c r="C641" s="3" t="str">
        <f>IFERROR(__xludf.DUMMYFUNCTION("""COMPUTED_VALUE"""),"Sunwa K Shamapande")</f>
        <v>Sunwa K Shamapande</v>
      </c>
      <c r="D641" s="3" t="str">
        <f>IFERROR(__xludf.DUMMYFUNCTION("""COMPUTED_VALUE"""),"Shamapande, Sunwa K")</f>
        <v>Shamapande, Sunwa K</v>
      </c>
      <c r="E641" s="3" t="str">
        <f>IFERROR(__xludf.DUMMYFUNCTION("""COMPUTED_VALUE"""),"Active")</f>
        <v>Active</v>
      </c>
      <c r="F641" s="3" t="str">
        <f>IFERROR(__xludf.DUMMYFUNCTION("""COMPUTED_VALUE"""),"suni.k.shamapande@pwc.com")</f>
        <v>suni.k.shamapande@pwc.com</v>
      </c>
      <c r="G641" s="3" t="str">
        <f>IFERROR(__xludf.DUMMYFUNCTION("""COMPUTED_VALUE"""),"Ops")</f>
        <v>Ops</v>
      </c>
      <c r="H641" s="3" t="str">
        <f>IFERROR(__xludf.DUMMYFUNCTION("""COMPUTED_VALUE"""),"CM X-Sector")</f>
        <v>CM X-Sector</v>
      </c>
      <c r="I641" s="3" t="str">
        <f>IFERROR(__xludf.DUMMYFUNCTION("""COMPUTED_VALUE"""),"Ops - Org Strategy Strategy &amp; Solutions (OSS)")</f>
        <v>Ops - Org Strategy Strategy &amp; Solutions (OSS)</v>
      </c>
      <c r="J641" s="3" t="str">
        <f>IFERROR(__xludf.DUMMYFUNCTION("""COMPUTED_VALUE"""),"Partner")</f>
        <v>Partner</v>
      </c>
      <c r="K641" s="12">
        <f>IFERROR(__xludf.DUMMYFUNCTION("""COMPUTED_VALUE"""),41827.0)</f>
        <v>41827</v>
      </c>
      <c r="L641" s="3" t="str">
        <f>IFERROR(__xludf.DUMMYFUNCTION("""COMPUTED_VALUE"""),"Dallas")</f>
        <v>Dallas</v>
      </c>
      <c r="M641" s="3" t="str">
        <f>IFERROR(__xludf.DUMMYFUNCTION("""COMPUTED_VALUE"""),"Dallas - 2121 North Pearl Street")</f>
        <v>Dallas - 2121 North Pearl Street</v>
      </c>
      <c r="N641" s="3" t="b">
        <f>IFERROR(__xludf.DUMMYFUNCTION("""COMPUTED_VALUE"""),FALSE)</f>
        <v>0</v>
      </c>
      <c r="O641" s="3" t="str">
        <f>IFERROR(__xludf.DUMMYFUNCTION("""COMPUTED_VALUE"""),"matthew.r.comte@pwc.com")</f>
        <v>matthew.r.comte@pwc.com</v>
      </c>
      <c r="P641" s="3" t="str">
        <f>IFERROR(__xludf.DUMMYFUNCTION("""COMPUTED_VALUE"""),"No")</f>
        <v>No</v>
      </c>
      <c r="Q641" s="3" t="b">
        <f>IFERROR(__xludf.DUMMYFUNCTION("""COMPUTED_VALUE"""),FALSE)</f>
        <v>0</v>
      </c>
      <c r="R641" s="3"/>
      <c r="S641" s="3"/>
      <c r="T641" s="3" t="b">
        <f>IFERROR(__xludf.DUMMYFUNCTION("""COMPUTED_VALUE"""),FALSE)</f>
        <v>0</v>
      </c>
      <c r="U641" s="3" t="b">
        <f>IFERROR(__xludf.DUMMYFUNCTION("""COMPUTED_VALUE"""),TRUE)</f>
        <v>1</v>
      </c>
      <c r="V641" s="3" t="b">
        <f>IFERROR(__xludf.DUMMYFUNCTION("""COMPUTED_VALUE"""),FALSE)</f>
        <v>0</v>
      </c>
      <c r="W641" s="3" t="str">
        <f>IFERROR(__xludf.DUMMYFUNCTION("""COMPUTED_VALUE"""),"Delivery")</f>
        <v>Delivery</v>
      </c>
      <c r="X641" s="3"/>
      <c r="Y641" s="3"/>
      <c r="Z641" s="3" t="str">
        <f>IFERROR(__xludf.DUMMYFUNCTION("""COMPUTED_VALUE"""),"CM Ops Transformation")</f>
        <v>CM Ops Transformation</v>
      </c>
      <c r="AA641" s="3" t="b">
        <f>IFERROR(__xludf.DUMMYFUNCTION("""COMPUTED_VALUE"""),FALSE)</f>
        <v>0</v>
      </c>
    </row>
    <row r="642">
      <c r="A642" s="11">
        <f>IFERROR(__xludf.DUMMYFUNCTION("""COMPUTED_VALUE"""),1.0060814E8)</f>
        <v>100608140</v>
      </c>
      <c r="B642" s="3" t="str">
        <f>IFERROR(__xludf.DUMMYFUNCTION("""COMPUTED_VALUE"""),"Susan Lennon")</f>
        <v>Susan Lennon</v>
      </c>
      <c r="C642" s="3" t="str">
        <f>IFERROR(__xludf.DUMMYFUNCTION("""COMPUTED_VALUE"""),"Susan Marie  Lennon")</f>
        <v>Susan Marie  Lennon</v>
      </c>
      <c r="D642" s="3" t="str">
        <f>IFERROR(__xludf.DUMMYFUNCTION("""COMPUTED_VALUE"""),"Lennon, Susan Marie")</f>
        <v>Lennon, Susan Marie</v>
      </c>
      <c r="E642" s="3" t="str">
        <f>IFERROR(__xludf.DUMMYFUNCTION("""COMPUTED_VALUE"""),"Active")</f>
        <v>Active</v>
      </c>
      <c r="F642" s="3" t="str">
        <f>IFERROR(__xludf.DUMMYFUNCTION("""COMPUTED_VALUE"""),"susan.m.lennon@pwc.com")</f>
        <v>susan.m.lennon@pwc.com</v>
      </c>
      <c r="G642" s="3" t="str">
        <f>IFERROR(__xludf.DUMMYFUNCTION("""COMPUTED_VALUE"""),"Workforce")</f>
        <v>Workforce</v>
      </c>
      <c r="H642" s="3" t="str">
        <f>IFERROR(__xludf.DUMMYFUNCTION("""COMPUTED_VALUE"""),"Asset and Wealth Management")</f>
        <v>Asset and Wealth Management</v>
      </c>
      <c r="I642" s="3" t="str">
        <f>IFERROR(__xludf.DUMMYFUNCTION("""COMPUTED_VALUE"""),"Workforce - Talent, Change &amp; Behaviors")</f>
        <v>Workforce - Talent, Change &amp; Behaviors</v>
      </c>
      <c r="J642" s="3" t="str">
        <f>IFERROR(__xludf.DUMMYFUNCTION("""COMPUTED_VALUE"""),"Managing Director")</f>
        <v>Managing Director</v>
      </c>
      <c r="K642" s="12">
        <f>IFERROR(__xludf.DUMMYFUNCTION("""COMPUTED_VALUE"""),37109.0)</f>
        <v>37109</v>
      </c>
      <c r="L642" s="3" t="str">
        <f>IFERROR(__xludf.DUMMYFUNCTION("""COMPUTED_VALUE"""),"Washington")</f>
        <v>Washington</v>
      </c>
      <c r="M642" s="3" t="str">
        <f>IFERROR(__xludf.DUMMYFUNCTION("""COMPUTED_VALUE"""),"Washington DC - 655 New York Avenue")</f>
        <v>Washington DC - 655 New York Avenue</v>
      </c>
      <c r="N642" s="3" t="b">
        <f>IFERROR(__xludf.DUMMYFUNCTION("""COMPUTED_VALUE"""),FALSE)</f>
        <v>0</v>
      </c>
      <c r="O642" s="3" t="str">
        <f>IFERROR(__xludf.DUMMYFUNCTION("""COMPUTED_VALUE"""),"craig.odonnell@pwc.com")</f>
        <v>craig.odonnell@pwc.com</v>
      </c>
      <c r="P642" s="3" t="str">
        <f>IFERROR(__xludf.DUMMYFUNCTION("""COMPUTED_VALUE"""),"No")</f>
        <v>No</v>
      </c>
      <c r="Q642" s="3" t="b">
        <f>IFERROR(__xludf.DUMMYFUNCTION("""COMPUTED_VALUE"""),FALSE)</f>
        <v>0</v>
      </c>
      <c r="R642" s="3"/>
      <c r="S642" s="3"/>
      <c r="T642" s="3" t="b">
        <f>IFERROR(__xludf.DUMMYFUNCTION("""COMPUTED_VALUE"""),FALSE)</f>
        <v>0</v>
      </c>
      <c r="U642" s="3" t="b">
        <f>IFERROR(__xludf.DUMMYFUNCTION("""COMPUTED_VALUE"""),FALSE)</f>
        <v>0</v>
      </c>
      <c r="V642" s="3" t="b">
        <f>IFERROR(__xludf.DUMMYFUNCTION("""COMPUTED_VALUE"""),FALSE)</f>
        <v>0</v>
      </c>
      <c r="W642" s="3" t="str">
        <f>IFERROR(__xludf.DUMMYFUNCTION("""COMPUTED_VALUE"""),"#N/A")</f>
        <v>#N/A</v>
      </c>
      <c r="X642" s="3" t="str">
        <f>IFERROR(__xludf.DUMMYFUNCTION("""COMPUTED_VALUE"""),"#N/A")</f>
        <v>#N/A</v>
      </c>
      <c r="Y642" s="3" t="str">
        <f>IFERROR(__xludf.DUMMYFUNCTION("""COMPUTED_VALUE"""),"#N/A")</f>
        <v>#N/A</v>
      </c>
      <c r="Z642" s="3" t="str">
        <f>IFERROR(__xludf.DUMMYFUNCTION("""COMPUTED_VALUE"""),"Unknown")</f>
        <v>Unknown</v>
      </c>
      <c r="AA642" s="3" t="b">
        <f>IFERROR(__xludf.DUMMYFUNCTION("""COMPUTED_VALUE"""),FALSE)</f>
        <v>0</v>
      </c>
    </row>
    <row r="643">
      <c r="A643" s="11">
        <f>IFERROR(__xludf.DUMMYFUNCTION("""COMPUTED_VALUE"""),1.00631257E8)</f>
        <v>100631257</v>
      </c>
      <c r="B643" s="3" t="str">
        <f>IFERROR(__xludf.DUMMYFUNCTION("""COMPUTED_VALUE"""),"Sushil Ahuja")</f>
        <v>Sushil Ahuja</v>
      </c>
      <c r="C643" s="3" t="str">
        <f>IFERROR(__xludf.DUMMYFUNCTION("""COMPUTED_VALUE"""),"Sushil  Ahuja")</f>
        <v>Sushil  Ahuja</v>
      </c>
      <c r="D643" s="3" t="str">
        <f>IFERROR(__xludf.DUMMYFUNCTION("""COMPUTED_VALUE"""),"Ahuja, Sushil")</f>
        <v>Ahuja, Sushil</v>
      </c>
      <c r="E643" s="3" t="str">
        <f>IFERROR(__xludf.DUMMYFUNCTION("""COMPUTED_VALUE"""),"Active")</f>
        <v>Active</v>
      </c>
      <c r="F643" s="3" t="str">
        <f>IFERROR(__xludf.DUMMYFUNCTION("""COMPUTED_VALUE"""),"sushil.ahuja@pwc.com")</f>
        <v>sushil.ahuja@pwc.com</v>
      </c>
      <c r="G643" s="3" t="str">
        <f>IFERROR(__xludf.DUMMYFUNCTION("""COMPUTED_VALUE"""),"Workforce")</f>
        <v>Workforce</v>
      </c>
      <c r="H643" s="3" t="str">
        <f>IFERROR(__xludf.DUMMYFUNCTION("""COMPUTED_VALUE"""),"CM X-Sector")</f>
        <v>CM X-Sector</v>
      </c>
      <c r="I643" s="3" t="str">
        <f>IFERROR(__xludf.DUMMYFUNCTION("""COMPUTED_VALUE"""),"Workforce - Deals")</f>
        <v>Workforce - Deals</v>
      </c>
      <c r="J643" s="3" t="str">
        <f>IFERROR(__xludf.DUMMYFUNCTION("""COMPUTED_VALUE"""),"Partner")</f>
        <v>Partner</v>
      </c>
      <c r="K643" s="12">
        <f>IFERROR(__xludf.DUMMYFUNCTION("""COMPUTED_VALUE"""),38880.0)</f>
        <v>38880</v>
      </c>
      <c r="L643" s="3" t="str">
        <f>IFERROR(__xludf.DUMMYFUNCTION("""COMPUTED_VALUE"""),"Dallas")</f>
        <v>Dallas</v>
      </c>
      <c r="M643" s="3" t="str">
        <f>IFERROR(__xludf.DUMMYFUNCTION("""COMPUTED_VALUE"""),"Dallas - 2121 North Pearl Street")</f>
        <v>Dallas - 2121 North Pearl Street</v>
      </c>
      <c r="N643" s="3" t="b">
        <f>IFERROR(__xludf.DUMMYFUNCTION("""COMPUTED_VALUE"""),FALSE)</f>
        <v>0</v>
      </c>
      <c r="O643" s="3" t="str">
        <f>IFERROR(__xludf.DUMMYFUNCTION("""COMPUTED_VALUE"""),"craig.odonnell@pwc.com")</f>
        <v>craig.odonnell@pwc.com</v>
      </c>
      <c r="P643" s="3" t="str">
        <f>IFERROR(__xludf.DUMMYFUNCTION("""COMPUTED_VALUE"""),"No")</f>
        <v>No</v>
      </c>
      <c r="Q643" s="3" t="b">
        <f>IFERROR(__xludf.DUMMYFUNCTION("""COMPUTED_VALUE"""),FALSE)</f>
        <v>0</v>
      </c>
      <c r="R643" s="3"/>
      <c r="S643" s="3"/>
      <c r="T643" s="3" t="b">
        <f>IFERROR(__xludf.DUMMYFUNCTION("""COMPUTED_VALUE"""),FALSE)</f>
        <v>0</v>
      </c>
      <c r="U643" s="3" t="b">
        <f>IFERROR(__xludf.DUMMYFUNCTION("""COMPUTED_VALUE"""),FALSE)</f>
        <v>0</v>
      </c>
      <c r="V643" s="3" t="b">
        <f>IFERROR(__xludf.DUMMYFUNCTION("""COMPUTED_VALUE"""),FALSE)</f>
        <v>0</v>
      </c>
      <c r="W643" s="3" t="str">
        <f>IFERROR(__xludf.DUMMYFUNCTION("""COMPUTED_VALUE"""),"#N/A")</f>
        <v>#N/A</v>
      </c>
      <c r="X643" s="3" t="str">
        <f>IFERROR(__xludf.DUMMYFUNCTION("""COMPUTED_VALUE"""),"#N/A")</f>
        <v>#N/A</v>
      </c>
      <c r="Y643" s="3" t="str">
        <f>IFERROR(__xludf.DUMMYFUNCTION("""COMPUTED_VALUE"""),"#N/A")</f>
        <v>#N/A</v>
      </c>
      <c r="Z643" s="3" t="str">
        <f>IFERROR(__xludf.DUMMYFUNCTION("""COMPUTED_VALUE"""),"Unknown")</f>
        <v>Unknown</v>
      </c>
      <c r="AA643" s="3" t="b">
        <f>IFERROR(__xludf.DUMMYFUNCTION("""COMPUTED_VALUE"""),FALSE)</f>
        <v>0</v>
      </c>
    </row>
    <row r="644">
      <c r="A644" s="11">
        <f>IFERROR(__xludf.DUMMYFUNCTION("""COMPUTED_VALUE"""),1.00642806E8)</f>
        <v>100642806</v>
      </c>
      <c r="B644" s="3" t="str">
        <f>IFERROR(__xludf.DUMMYFUNCTION("""COMPUTED_VALUE"""),"Susmitha Kakumani")</f>
        <v>Susmitha Kakumani</v>
      </c>
      <c r="C644" s="3" t="str">
        <f>IFERROR(__xludf.DUMMYFUNCTION("""COMPUTED_VALUE"""),"Susmitha  Kakumani")</f>
        <v>Susmitha  Kakumani</v>
      </c>
      <c r="D644" s="3" t="str">
        <f>IFERROR(__xludf.DUMMYFUNCTION("""COMPUTED_VALUE"""),"Kakumani, Susmitha")</f>
        <v>Kakumani, Susmitha</v>
      </c>
      <c r="E644" s="3" t="str">
        <f>IFERROR(__xludf.DUMMYFUNCTION("""COMPUTED_VALUE"""),"Active")</f>
        <v>Active</v>
      </c>
      <c r="F644" s="3" t="str">
        <f>IFERROR(__xludf.DUMMYFUNCTION("""COMPUTED_VALUE"""),"susmitha.kakumani@pwc.com")</f>
        <v>susmitha.kakumani@pwc.com</v>
      </c>
      <c r="G644" s="3" t="str">
        <f>IFERROR(__xludf.DUMMYFUNCTION("""COMPUTED_VALUE"""),"Customer")</f>
        <v>Customer</v>
      </c>
      <c r="H644" s="3" t="str">
        <f>IFERROR(__xludf.DUMMYFUNCTION("""COMPUTED_VALUE"""),"Insurance")</f>
        <v>Insurance</v>
      </c>
      <c r="I644" s="3" t="str">
        <f>IFERROR(__xludf.DUMMYFUNCTION("""COMPUTED_VALUE"""),"Customer - Customer Strategy &amp; Experience")</f>
        <v>Customer - Customer Strategy &amp; Experience</v>
      </c>
      <c r="J644" s="3" t="str">
        <f>IFERROR(__xludf.DUMMYFUNCTION("""COMPUTED_VALUE"""),"Partner")</f>
        <v>Partner</v>
      </c>
      <c r="K644" s="12">
        <f>IFERROR(__xludf.DUMMYFUNCTION("""COMPUTED_VALUE"""),40000.0)</f>
        <v>40000</v>
      </c>
      <c r="L644" s="3" t="str">
        <f>IFERROR(__xludf.DUMMYFUNCTION("""COMPUTED_VALUE"""),"Cleveland")</f>
        <v>Cleveland</v>
      </c>
      <c r="M644" s="3" t="str">
        <f>IFERROR(__xludf.DUMMYFUNCTION("""COMPUTED_VALUE"""),"Cleveland - 200 Public Square")</f>
        <v>Cleveland - 200 Public Square</v>
      </c>
      <c r="N644" s="3" t="b">
        <f>IFERROR(__xludf.DUMMYFUNCTION("""COMPUTED_VALUE"""),FALSE)</f>
        <v>0</v>
      </c>
      <c r="O644" s="3" t="str">
        <f>IFERROR(__xludf.DUMMYFUNCTION("""COMPUTED_VALUE"""),"george.korizis@pwc.com")</f>
        <v>george.korizis@pwc.com</v>
      </c>
      <c r="P644" s="3" t="str">
        <f>IFERROR(__xludf.DUMMYFUNCTION("""COMPUTED_VALUE"""),"No")</f>
        <v>No</v>
      </c>
      <c r="Q644" s="3" t="b">
        <f>IFERROR(__xludf.DUMMYFUNCTION("""COMPUTED_VALUE"""),FALSE)</f>
        <v>0</v>
      </c>
      <c r="R644" s="3"/>
      <c r="S644" s="3"/>
      <c r="T644" s="3" t="b">
        <f>IFERROR(__xludf.DUMMYFUNCTION("""COMPUTED_VALUE"""),FALSE)</f>
        <v>0</v>
      </c>
      <c r="U644" s="3" t="b">
        <f>IFERROR(__xludf.DUMMYFUNCTION("""COMPUTED_VALUE"""),TRUE)</f>
        <v>1</v>
      </c>
      <c r="V644" s="3" t="b">
        <f>IFERROR(__xludf.DUMMYFUNCTION("""COMPUTED_VALUE"""),FALSE)</f>
        <v>0</v>
      </c>
      <c r="W644" s="3" t="str">
        <f>IFERROR(__xludf.DUMMYFUNCTION("""COMPUTED_VALUE"""),"Delivery")</f>
        <v>Delivery</v>
      </c>
      <c r="X644" s="3"/>
      <c r="Y644" s="3"/>
      <c r="Z644" s="3" t="str">
        <f>IFERROR(__xludf.DUMMYFUNCTION("""COMPUTED_VALUE"""),"Commercial / CRM Transformation - FS &amp; TMT")</f>
        <v>Commercial / CRM Transformation - FS &amp; TMT</v>
      </c>
      <c r="AA644" s="3" t="b">
        <f>IFERROR(__xludf.DUMMYFUNCTION("""COMPUTED_VALUE"""),FALSE)</f>
        <v>0</v>
      </c>
    </row>
    <row r="645">
      <c r="A645" s="11">
        <f>IFERROR(__xludf.DUMMYFUNCTION("""COMPUTED_VALUE"""),1.00603415E8)</f>
        <v>100603415</v>
      </c>
      <c r="B645" s="3" t="str">
        <f>IFERROR(__xludf.DUMMYFUNCTION("""COMPUTED_VALUE"""),"Suzanne Fisher Roske")</f>
        <v>Suzanne Fisher Roske</v>
      </c>
      <c r="C645" s="3" t="str">
        <f>IFERROR(__xludf.DUMMYFUNCTION("""COMPUTED_VALUE"""),"Suzanne Fisher  Roske")</f>
        <v>Suzanne Fisher  Roske</v>
      </c>
      <c r="D645" s="3" t="str">
        <f>IFERROR(__xludf.DUMMYFUNCTION("""COMPUTED_VALUE"""),"Roske, Suzanne Fisher")</f>
        <v>Roske, Suzanne Fisher</v>
      </c>
      <c r="E645" s="3" t="str">
        <f>IFERROR(__xludf.DUMMYFUNCTION("""COMPUTED_VALUE"""),"Active")</f>
        <v>Active</v>
      </c>
      <c r="F645" s="3" t="str">
        <f>IFERROR(__xludf.DUMMYFUNCTION("""COMPUTED_VALUE"""),"suzanne.f.roske@pwc.com")</f>
        <v>suzanne.f.roske@pwc.com</v>
      </c>
      <c r="G645" s="3" t="str">
        <f>IFERROR(__xludf.DUMMYFUNCTION("""COMPUTED_VALUE"""),"Workforce")</f>
        <v>Workforce</v>
      </c>
      <c r="H645" s="3" t="str">
        <f>IFERROR(__xludf.DUMMYFUNCTION("""COMPUTED_VALUE"""),"Aerospace and Defence")</f>
        <v>Aerospace and Defence</v>
      </c>
      <c r="I645" s="3" t="str">
        <f>IFERROR(__xludf.DUMMYFUNCTION("""COMPUTED_VALUE"""),"Workforce - Talent, Change &amp; Behaviors")</f>
        <v>Workforce - Talent, Change &amp; Behaviors</v>
      </c>
      <c r="J645" s="3" t="str">
        <f>IFERROR(__xludf.DUMMYFUNCTION("""COMPUTED_VALUE"""),"Partner")</f>
        <v>Partner</v>
      </c>
      <c r="K645" s="12">
        <f>IFERROR(__xludf.DUMMYFUNCTION("""COMPUTED_VALUE"""),36997.0)</f>
        <v>36997</v>
      </c>
      <c r="L645" s="3" t="str">
        <f>IFERROR(__xludf.DUMMYFUNCTION("""COMPUTED_VALUE"""),"Washington")</f>
        <v>Washington</v>
      </c>
      <c r="M645" s="3" t="str">
        <f>IFERROR(__xludf.DUMMYFUNCTION("""COMPUTED_VALUE"""),"Washington DC - 655 New York Avenue")</f>
        <v>Washington DC - 655 New York Avenue</v>
      </c>
      <c r="N645" s="3" t="b">
        <f>IFERROR(__xludf.DUMMYFUNCTION("""COMPUTED_VALUE"""),FALSE)</f>
        <v>0</v>
      </c>
      <c r="O645" s="3" t="str">
        <f>IFERROR(__xludf.DUMMYFUNCTION("""COMPUTED_VALUE"""),"craig.odonnell@pwc.com")</f>
        <v>craig.odonnell@pwc.com</v>
      </c>
      <c r="P645" s="3" t="str">
        <f>IFERROR(__xludf.DUMMYFUNCTION("""COMPUTED_VALUE"""),"No")</f>
        <v>No</v>
      </c>
      <c r="Q645" s="3" t="b">
        <f>IFERROR(__xludf.DUMMYFUNCTION("""COMPUTED_VALUE"""),FALSE)</f>
        <v>0</v>
      </c>
      <c r="R645" s="3"/>
      <c r="S645" s="3"/>
      <c r="T645" s="3" t="b">
        <f>IFERROR(__xludf.DUMMYFUNCTION("""COMPUTED_VALUE"""),FALSE)</f>
        <v>0</v>
      </c>
      <c r="U645" s="3" t="b">
        <f>IFERROR(__xludf.DUMMYFUNCTION("""COMPUTED_VALUE"""),FALSE)</f>
        <v>0</v>
      </c>
      <c r="V645" s="3" t="b">
        <f>IFERROR(__xludf.DUMMYFUNCTION("""COMPUTED_VALUE"""),FALSE)</f>
        <v>0</v>
      </c>
      <c r="W645" s="3" t="str">
        <f>IFERROR(__xludf.DUMMYFUNCTION("""COMPUTED_VALUE"""),"#N/A")</f>
        <v>#N/A</v>
      </c>
      <c r="X645" s="3" t="str">
        <f>IFERROR(__xludf.DUMMYFUNCTION("""COMPUTED_VALUE"""),"#N/A")</f>
        <v>#N/A</v>
      </c>
      <c r="Y645" s="3" t="str">
        <f>IFERROR(__xludf.DUMMYFUNCTION("""COMPUTED_VALUE"""),"#N/A")</f>
        <v>#N/A</v>
      </c>
      <c r="Z645" s="3" t="str">
        <f>IFERROR(__xludf.DUMMYFUNCTION("""COMPUTED_VALUE"""),"Unknown")</f>
        <v>Unknown</v>
      </c>
      <c r="AA645" s="3" t="b">
        <f>IFERROR(__xludf.DUMMYFUNCTION("""COMPUTED_VALUE"""),FALSE)</f>
        <v>0</v>
      </c>
    </row>
    <row r="646">
      <c r="A646" s="11">
        <f>IFERROR(__xludf.DUMMYFUNCTION("""COMPUTED_VALUE"""),1.00627224E8)</f>
        <v>100627224</v>
      </c>
      <c r="B646" s="3" t="str">
        <f>IFERROR(__xludf.DUMMYFUNCTION("""COMPUTED_VALUE"""),"Tabitha DeFrancisco")</f>
        <v>Tabitha DeFrancisco</v>
      </c>
      <c r="C646" s="3" t="str">
        <f>IFERROR(__xludf.DUMMYFUNCTION("""COMPUTED_VALUE"""),"Tabitha M DeFrancisco")</f>
        <v>Tabitha M DeFrancisco</v>
      </c>
      <c r="D646" s="3" t="str">
        <f>IFERROR(__xludf.DUMMYFUNCTION("""COMPUTED_VALUE"""),"DeFrancisco, Tabitha M")</f>
        <v>DeFrancisco, Tabitha M</v>
      </c>
      <c r="E646" s="3" t="str">
        <f>IFERROR(__xludf.DUMMYFUNCTION("""COMPUTED_VALUE"""),"Active")</f>
        <v>Active</v>
      </c>
      <c r="F646" s="3" t="str">
        <f>IFERROR(__xludf.DUMMYFUNCTION("""COMPUTED_VALUE"""),"tabitha.m.defrancisco@pwc.com")</f>
        <v>tabitha.m.defrancisco@pwc.com</v>
      </c>
      <c r="G646" s="3" t="str">
        <f>IFERROR(__xludf.DUMMYFUNCTION("""COMPUTED_VALUE"""),"Finance")</f>
        <v>Finance</v>
      </c>
      <c r="H646" s="3" t="str">
        <f>IFERROR(__xludf.DUMMYFUNCTION("""COMPUTED_VALUE"""),"CM X-Sector")</f>
        <v>CM X-Sector</v>
      </c>
      <c r="I646" s="3" t="str">
        <f>IFERROR(__xludf.DUMMYFUNCTION("""COMPUTED_VALUE"""),"Finance - Financial Operations")</f>
        <v>Finance - Financial Operations</v>
      </c>
      <c r="J646" s="3" t="str">
        <f>IFERROR(__xludf.DUMMYFUNCTION("""COMPUTED_VALUE"""),"Partner")</f>
        <v>Partner</v>
      </c>
      <c r="K646" s="12">
        <f>IFERROR(__xludf.DUMMYFUNCTION("""COMPUTED_VALUE"""),39307.0)</f>
        <v>39307</v>
      </c>
      <c r="L646" s="3" t="str">
        <f>IFERROR(__xludf.DUMMYFUNCTION("""COMPUTED_VALUE"""),"Chicago")</f>
        <v>Chicago</v>
      </c>
      <c r="M646" s="3" t="str">
        <f>IFERROR(__xludf.DUMMYFUNCTION("""COMPUTED_VALUE"""),"Chicago - One North Wacker Drive")</f>
        <v>Chicago - One North Wacker Drive</v>
      </c>
      <c r="N646" s="3" t="b">
        <f>IFERROR(__xludf.DUMMYFUNCTION("""COMPUTED_VALUE"""),FALSE)</f>
        <v>0</v>
      </c>
      <c r="O646" s="3" t="str">
        <f>IFERROR(__xludf.DUMMYFUNCTION("""COMPUTED_VALUE"""),"kurtis.babczenko@pwc.com")</f>
        <v>kurtis.babczenko@pwc.com</v>
      </c>
      <c r="P646" s="3" t="str">
        <f>IFERROR(__xludf.DUMMYFUNCTION("""COMPUTED_VALUE"""),"No")</f>
        <v>No</v>
      </c>
      <c r="Q646" s="3" t="b">
        <f>IFERROR(__xludf.DUMMYFUNCTION("""COMPUTED_VALUE"""),FALSE)</f>
        <v>0</v>
      </c>
      <c r="R646" s="3"/>
      <c r="S646" s="3"/>
      <c r="T646" s="3" t="b">
        <f>IFERROR(__xludf.DUMMYFUNCTION("""COMPUTED_VALUE"""),FALSE)</f>
        <v>0</v>
      </c>
      <c r="U646" s="3" t="b">
        <f>IFERROR(__xludf.DUMMYFUNCTION("""COMPUTED_VALUE"""),TRUE)</f>
        <v>1</v>
      </c>
      <c r="V646" s="3" t="b">
        <f>IFERROR(__xludf.DUMMYFUNCTION("""COMPUTED_VALUE"""),FALSE)</f>
        <v>0</v>
      </c>
      <c r="W646" s="3" t="str">
        <f>IFERROR(__xludf.DUMMYFUNCTION("""COMPUTED_VALUE"""),"Delivery")</f>
        <v>Delivery</v>
      </c>
      <c r="X646" s="3"/>
      <c r="Y646" s="3"/>
      <c r="Z646" s="3" t="str">
        <f>IFERROR(__xludf.DUMMYFUNCTION("""COMPUTED_VALUE"""),"Finance Transformation - CM")</f>
        <v>Finance Transformation - CM</v>
      </c>
      <c r="AA646" s="3" t="b">
        <f>IFERROR(__xludf.DUMMYFUNCTION("""COMPUTED_VALUE"""),FALSE)</f>
        <v>0</v>
      </c>
    </row>
    <row r="647">
      <c r="A647" s="11">
        <f>IFERROR(__xludf.DUMMYFUNCTION("""COMPUTED_VALUE"""),1.00997154E8)</f>
        <v>100997154</v>
      </c>
      <c r="B647" s="3" t="str">
        <f>IFERROR(__xludf.DUMMYFUNCTION("""COMPUTED_VALUE"""),"Ted Fuhr")</f>
        <v>Ted Fuhr</v>
      </c>
      <c r="C647" s="3" t="str">
        <f>IFERROR(__xludf.DUMMYFUNCTION("""COMPUTED_VALUE"""),"Edward Karsten Fuhr")</f>
        <v>Edward Karsten Fuhr</v>
      </c>
      <c r="D647" s="3" t="str">
        <f>IFERROR(__xludf.DUMMYFUNCTION("""COMPUTED_VALUE"""),"Fuhr, Edward Karsten")</f>
        <v>Fuhr, Edward Karsten</v>
      </c>
      <c r="E647" s="3" t="str">
        <f>IFERROR(__xludf.DUMMYFUNCTION("""COMPUTED_VALUE"""),"Active")</f>
        <v>Active</v>
      </c>
      <c r="F647" s="3" t="str">
        <f>IFERROR(__xludf.DUMMYFUNCTION("""COMPUTED_VALUE"""),"ted.fuhr@pwc.com")</f>
        <v>ted.fuhr@pwc.com</v>
      </c>
      <c r="G647" s="3" t="str">
        <f>IFERROR(__xludf.DUMMYFUNCTION("""COMPUTED_VALUE"""),"ESV")</f>
        <v>ESV</v>
      </c>
      <c r="H647" s="3" t="str">
        <f>IFERROR(__xludf.DUMMYFUNCTION("""COMPUTED_VALUE"""),"Pharma and Life Sciences")</f>
        <v>Pharma and Life Sciences</v>
      </c>
      <c r="I647" s="3" t="str">
        <f>IFERROR(__xludf.DUMMYFUNCTION("""COMPUTED_VALUE"""),"ESV - PLS")</f>
        <v>ESV - PLS</v>
      </c>
      <c r="J647" s="3" t="str">
        <f>IFERROR(__xludf.DUMMYFUNCTION("""COMPUTED_VALUE"""),"Partner")</f>
        <v>Partner</v>
      </c>
      <c r="K647" s="12">
        <f>IFERROR(__xludf.DUMMYFUNCTION("""COMPUTED_VALUE"""),43970.0)</f>
        <v>43970</v>
      </c>
      <c r="L647" s="3" t="str">
        <f>IFERROR(__xludf.DUMMYFUNCTION("""COMPUTED_VALUE"""),"Stamford")</f>
        <v>Stamford</v>
      </c>
      <c r="M647" s="3" t="str">
        <f>IFERROR(__xludf.DUMMYFUNCTION("""COMPUTED_VALUE"""),"Stamford - 263 Tresser")</f>
        <v>Stamford - 263 Tresser</v>
      </c>
      <c r="N647" s="3" t="b">
        <f>IFERROR(__xludf.DUMMYFUNCTION("""COMPUTED_VALUE"""),FALSE)</f>
        <v>0</v>
      </c>
      <c r="O647" s="3" t="str">
        <f>IFERROR(__xludf.DUMMYFUNCTION("""COMPUTED_VALUE"""),"sundar.subramanian@pwc.com")</f>
        <v>sundar.subramanian@pwc.com</v>
      </c>
      <c r="P647" s="3" t="str">
        <f>IFERROR(__xludf.DUMMYFUNCTION("""COMPUTED_VALUE"""),"No")</f>
        <v>No</v>
      </c>
      <c r="Q647" s="3" t="b">
        <f>IFERROR(__xludf.DUMMYFUNCTION("""COMPUTED_VALUE"""),TRUE)</f>
        <v>1</v>
      </c>
      <c r="R647" s="3" t="str">
        <f>IFERROR(__xludf.DUMMYFUNCTION("""COMPUTED_VALUE"""),"LCP Low")</f>
        <v>LCP Low</v>
      </c>
      <c r="S647" s="3"/>
      <c r="T647" s="3" t="b">
        <f>IFERROR(__xludf.DUMMYFUNCTION("""COMPUTED_VALUE"""),FALSE)</f>
        <v>0</v>
      </c>
      <c r="U647" s="3" t="b">
        <f>IFERROR(__xludf.DUMMYFUNCTION("""COMPUTED_VALUE"""),TRUE)</f>
        <v>1</v>
      </c>
      <c r="V647" s="3" t="b">
        <f>IFERROR(__xludf.DUMMYFUNCTION("""COMPUTED_VALUE"""),FALSE)</f>
        <v>0</v>
      </c>
      <c r="W647" s="3" t="str">
        <f>IFERROR(__xludf.DUMMYFUNCTION("""COMPUTED_VALUE"""),"LCP")</f>
        <v>LCP</v>
      </c>
      <c r="X647" s="3"/>
      <c r="Y647" s="3" t="str">
        <f>IFERROR(__xludf.DUMMYFUNCTION("""COMPUTED_VALUE"""),"GEP - Low")</f>
        <v>GEP - Low</v>
      </c>
      <c r="Z647" s="3" t="str">
        <f>IFERROR(__xludf.DUMMYFUNCTION("""COMPUTED_VALUE"""),"Enterprise Digital Transformation - PLS")</f>
        <v>Enterprise Digital Transformation - PLS</v>
      </c>
      <c r="AA647" s="3" t="b">
        <f>IFERROR(__xludf.DUMMYFUNCTION("""COMPUTED_VALUE"""),FALSE)</f>
        <v>0</v>
      </c>
    </row>
    <row r="648">
      <c r="A648" s="11">
        <f>IFERROR(__xludf.DUMMYFUNCTION("""COMPUTED_VALUE"""),1.00655073E8)</f>
        <v>100655073</v>
      </c>
      <c r="B648" s="3" t="str">
        <f>IFERROR(__xludf.DUMMYFUNCTION("""COMPUTED_VALUE"""),"Terri McClements")</f>
        <v>Terri McClements</v>
      </c>
      <c r="C648" s="3" t="str">
        <f>IFERROR(__xludf.DUMMYFUNCTION("""COMPUTED_VALUE"""),"Terri D McClements")</f>
        <v>Terri D McClements</v>
      </c>
      <c r="D648" s="3" t="str">
        <f>IFERROR(__xludf.DUMMYFUNCTION("""COMPUTED_VALUE"""),"McClements, Terri D")</f>
        <v>McClements, Terri D</v>
      </c>
      <c r="E648" s="3" t="str">
        <f>IFERROR(__xludf.DUMMYFUNCTION("""COMPUTED_VALUE"""),"Active")</f>
        <v>Active</v>
      </c>
      <c r="F648" s="3" t="str">
        <f>IFERROR(__xludf.DUMMYFUNCTION("""COMPUTED_VALUE"""),"terri.mcclements@pwc.com")</f>
        <v>terri.mcclements@pwc.com</v>
      </c>
      <c r="G648" s="3" t="str">
        <f>IFERROR(__xludf.DUMMYFUNCTION("""COMPUTED_VALUE"""),"Workforce")</f>
        <v>Workforce</v>
      </c>
      <c r="H648" s="3" t="str">
        <f>IFERROR(__xludf.DUMMYFUNCTION("""COMPUTED_VALUE"""),"Not Applicable")</f>
        <v>Not Applicable</v>
      </c>
      <c r="I648" s="3" t="str">
        <f>IFERROR(__xludf.DUMMYFUNCTION("""COMPUTED_VALUE"""),"Workforce - Talent, Change &amp; Behaviors")</f>
        <v>Workforce - Talent, Change &amp; Behaviors</v>
      </c>
      <c r="J648" s="3" t="str">
        <f>IFERROR(__xludf.DUMMYFUNCTION("""COMPUTED_VALUE"""),"Partner")</f>
        <v>Partner</v>
      </c>
      <c r="K648" s="12">
        <f>IFERROR(__xludf.DUMMYFUNCTION("""COMPUTED_VALUE"""),31943.0)</f>
        <v>31943</v>
      </c>
      <c r="L648" s="3" t="str">
        <f>IFERROR(__xludf.DUMMYFUNCTION("""COMPUTED_VALUE"""),"Washington")</f>
        <v>Washington</v>
      </c>
      <c r="M648" s="3" t="str">
        <f>IFERROR(__xludf.DUMMYFUNCTION("""COMPUTED_VALUE"""),"Washington DC - 655 New York Avenue")</f>
        <v>Washington DC - 655 New York Avenue</v>
      </c>
      <c r="N648" s="3" t="b">
        <f>IFERROR(__xludf.DUMMYFUNCTION("""COMPUTED_VALUE"""),FALSE)</f>
        <v>0</v>
      </c>
      <c r="O648" s="3" t="str">
        <f>IFERROR(__xludf.DUMMYFUNCTION("""COMPUTED_VALUE"""),"craig.odonnell@pwc.com")</f>
        <v>craig.odonnell@pwc.com</v>
      </c>
      <c r="P648" s="3" t="str">
        <f>IFERROR(__xludf.DUMMYFUNCTION("""COMPUTED_VALUE"""),"No")</f>
        <v>No</v>
      </c>
      <c r="Q648" s="3" t="b">
        <f>IFERROR(__xludf.DUMMYFUNCTION("""COMPUTED_VALUE"""),TRUE)</f>
        <v>1</v>
      </c>
      <c r="R648" s="3" t="str">
        <f>IFERROR(__xludf.DUMMYFUNCTION("""COMPUTED_VALUE"""),"LCP Low")</f>
        <v>LCP Low</v>
      </c>
      <c r="S648" s="3"/>
      <c r="T648" s="3" t="b">
        <f>IFERROR(__xludf.DUMMYFUNCTION("""COMPUTED_VALUE"""),FALSE)</f>
        <v>0</v>
      </c>
      <c r="U648" s="3" t="b">
        <f>IFERROR(__xludf.DUMMYFUNCTION("""COMPUTED_VALUE"""),FALSE)</f>
        <v>0</v>
      </c>
      <c r="V648" s="3" t="b">
        <f>IFERROR(__xludf.DUMMYFUNCTION("""COMPUTED_VALUE"""),FALSE)</f>
        <v>0</v>
      </c>
      <c r="W648" s="3" t="str">
        <f>IFERROR(__xludf.DUMMYFUNCTION("""COMPUTED_VALUE"""),"LCP")</f>
        <v>LCP</v>
      </c>
      <c r="X648" s="3" t="str">
        <f>IFERROR(__xludf.DUMMYFUNCTION("""COMPUTED_VALUE"""),"#N/A")</f>
        <v>#N/A</v>
      </c>
      <c r="Y648" s="3" t="str">
        <f>IFERROR(__xludf.DUMMYFUNCTION("""COMPUTED_VALUE"""),"#N/A")</f>
        <v>#N/A</v>
      </c>
      <c r="Z648" s="3" t="str">
        <f>IFERROR(__xludf.DUMMYFUNCTION("""COMPUTED_VALUE"""),"Unknown")</f>
        <v>Unknown</v>
      </c>
      <c r="AA648" s="3" t="b">
        <f>IFERROR(__xludf.DUMMYFUNCTION("""COMPUTED_VALUE"""),FALSE)</f>
        <v>0</v>
      </c>
    </row>
    <row r="649">
      <c r="A649" s="11">
        <f>IFERROR(__xludf.DUMMYFUNCTION("""COMPUTED_VALUE"""),1.0059632E8)</f>
        <v>100596320</v>
      </c>
      <c r="B649" s="3" t="str">
        <f>IFERROR(__xludf.DUMMYFUNCTION("""COMPUTED_VALUE"""),"Theresa Gee")</f>
        <v>Theresa Gee</v>
      </c>
      <c r="C649" s="3" t="str">
        <f>IFERROR(__xludf.DUMMYFUNCTION("""COMPUTED_VALUE"""),"Theresa M Gee")</f>
        <v>Theresa M Gee</v>
      </c>
      <c r="D649" s="3" t="str">
        <f>IFERROR(__xludf.DUMMYFUNCTION("""COMPUTED_VALUE"""),"Gee, Theresa M")</f>
        <v>Gee, Theresa M</v>
      </c>
      <c r="E649" s="3" t="str">
        <f>IFERROR(__xludf.DUMMYFUNCTION("""COMPUTED_VALUE"""),"Active")</f>
        <v>Active</v>
      </c>
      <c r="F649" s="3" t="str">
        <f>IFERROR(__xludf.DUMMYFUNCTION("""COMPUTED_VALUE"""),"theresa.m.gee@pwc.com")</f>
        <v>theresa.m.gee@pwc.com</v>
      </c>
      <c r="G649" s="3" t="str">
        <f>IFERROR(__xludf.DUMMYFUNCTION("""COMPUTED_VALUE"""),"Workforce")</f>
        <v>Workforce</v>
      </c>
      <c r="H649" s="3" t="str">
        <f>IFERROR(__xludf.DUMMYFUNCTION("""COMPUTED_VALUE"""),"Not Applicable")</f>
        <v>Not Applicable</v>
      </c>
      <c r="I649" s="3" t="str">
        <f>IFERROR(__xludf.DUMMYFUNCTION("""COMPUTED_VALUE"""),"Workforce - Rewards &amp; Well Being")</f>
        <v>Workforce - Rewards &amp; Well Being</v>
      </c>
      <c r="J649" s="3" t="str">
        <f>IFERROR(__xludf.DUMMYFUNCTION("""COMPUTED_VALUE"""),"Partner")</f>
        <v>Partner</v>
      </c>
      <c r="K649" s="12">
        <f>IFERROR(__xludf.DUMMYFUNCTION("""COMPUTED_VALUE"""),33009.0)</f>
        <v>33009</v>
      </c>
      <c r="L649" s="3" t="str">
        <f>IFERROR(__xludf.DUMMYFUNCTION("""COMPUTED_VALUE"""),"Dallas")</f>
        <v>Dallas</v>
      </c>
      <c r="M649" s="3" t="str">
        <f>IFERROR(__xludf.DUMMYFUNCTION("""COMPUTED_VALUE"""),"Dallas - 2121 North Pearl Street")</f>
        <v>Dallas - 2121 North Pearl Street</v>
      </c>
      <c r="N649" s="3" t="b">
        <f>IFERROR(__xludf.DUMMYFUNCTION("""COMPUTED_VALUE"""),FALSE)</f>
        <v>0</v>
      </c>
      <c r="O649" s="3" t="str">
        <f>IFERROR(__xludf.DUMMYFUNCTION("""COMPUTED_VALUE"""),"craig.odonnell@pwc.com")</f>
        <v>craig.odonnell@pwc.com</v>
      </c>
      <c r="P649" s="3" t="str">
        <f>IFERROR(__xludf.DUMMYFUNCTION("""COMPUTED_VALUE"""),"No")</f>
        <v>No</v>
      </c>
      <c r="Q649" s="3" t="b">
        <f>IFERROR(__xludf.DUMMYFUNCTION("""COMPUTED_VALUE"""),FALSE)</f>
        <v>0</v>
      </c>
      <c r="R649" s="3"/>
      <c r="S649" s="3"/>
      <c r="T649" s="3" t="b">
        <f>IFERROR(__xludf.DUMMYFUNCTION("""COMPUTED_VALUE"""),FALSE)</f>
        <v>0</v>
      </c>
      <c r="U649" s="3" t="b">
        <f>IFERROR(__xludf.DUMMYFUNCTION("""COMPUTED_VALUE"""),FALSE)</f>
        <v>0</v>
      </c>
      <c r="V649" s="3" t="b">
        <f>IFERROR(__xludf.DUMMYFUNCTION("""COMPUTED_VALUE"""),FALSE)</f>
        <v>0</v>
      </c>
      <c r="W649" s="3" t="str">
        <f>IFERROR(__xludf.DUMMYFUNCTION("""COMPUTED_VALUE"""),"#N/A")</f>
        <v>#N/A</v>
      </c>
      <c r="X649" s="3" t="str">
        <f>IFERROR(__xludf.DUMMYFUNCTION("""COMPUTED_VALUE"""),"#N/A")</f>
        <v>#N/A</v>
      </c>
      <c r="Y649" s="3" t="str">
        <f>IFERROR(__xludf.DUMMYFUNCTION("""COMPUTED_VALUE"""),"#N/A")</f>
        <v>#N/A</v>
      </c>
      <c r="Z649" s="3" t="str">
        <f>IFERROR(__xludf.DUMMYFUNCTION("""COMPUTED_VALUE"""),"Unknown")</f>
        <v>Unknown</v>
      </c>
      <c r="AA649" s="3" t="b">
        <f>IFERROR(__xludf.DUMMYFUNCTION("""COMPUTED_VALUE"""),FALSE)</f>
        <v>0</v>
      </c>
    </row>
    <row r="650">
      <c r="A650" s="11">
        <f>IFERROR(__xludf.DUMMYFUNCTION("""COMPUTED_VALUE"""),1.00649673E8)</f>
        <v>100649673</v>
      </c>
      <c r="B650" s="3" t="str">
        <f>IFERROR(__xludf.DUMMYFUNCTION("""COMPUTED_VALUE"""),"Thom Bales")</f>
        <v>Thom Bales</v>
      </c>
      <c r="C650" s="3" t="str">
        <f>IFERROR(__xludf.DUMMYFUNCTION("""COMPUTED_VALUE"""),"Thom M Bales")</f>
        <v>Thom M Bales</v>
      </c>
      <c r="D650" s="3" t="str">
        <f>IFERROR(__xludf.DUMMYFUNCTION("""COMPUTED_VALUE"""),"Bales, Thom M")</f>
        <v>Bales, Thom M</v>
      </c>
      <c r="E650" s="3" t="str">
        <f>IFERROR(__xludf.DUMMYFUNCTION("""COMPUTED_VALUE"""),"Active")</f>
        <v>Active</v>
      </c>
      <c r="F650" s="3" t="str">
        <f>IFERROR(__xludf.DUMMYFUNCTION("""COMPUTED_VALUE"""),"thom.bales@pwc.com")</f>
        <v>thom.bales@pwc.com</v>
      </c>
      <c r="G650" s="3" t="str">
        <f>IFERROR(__xludf.DUMMYFUNCTION("""COMPUTED_VALUE"""),"Health")</f>
        <v>Health</v>
      </c>
      <c r="H650" s="3" t="str">
        <f>IFERROR(__xludf.DUMMYFUNCTION("""COMPUTED_VALUE"""),"Health Services")</f>
        <v>Health Services</v>
      </c>
      <c r="I650" s="3" t="str">
        <f>IFERROR(__xludf.DUMMYFUNCTION("""COMPUTED_VALUE"""),"Health - Payer CO&amp;I")</f>
        <v>Health - Payer CO&amp;I</v>
      </c>
      <c r="J650" s="3" t="str">
        <f>IFERROR(__xludf.DUMMYFUNCTION("""COMPUTED_VALUE"""),"Partner")</f>
        <v>Partner</v>
      </c>
      <c r="K650" s="12">
        <f>IFERROR(__xludf.DUMMYFUNCTION("""COMPUTED_VALUE"""),42186.0)</f>
        <v>42186</v>
      </c>
      <c r="L650" s="3" t="str">
        <f>IFERROR(__xludf.DUMMYFUNCTION("""COMPUTED_VALUE"""),"San Francisco")</f>
        <v>San Francisco</v>
      </c>
      <c r="M650" s="3" t="str">
        <f>IFERROR(__xludf.DUMMYFUNCTION("""COMPUTED_VALUE"""),"San Francisco - 405 Howard St")</f>
        <v>San Francisco - 405 Howard St</v>
      </c>
      <c r="N650" s="3" t="b">
        <f>IFERROR(__xludf.DUMMYFUNCTION("""COMPUTED_VALUE"""),TRUE)</f>
        <v>1</v>
      </c>
      <c r="O650" s="3" t="str">
        <f>IFERROR(__xludf.DUMMYFUNCTION("""COMPUTED_VALUE"""),"craig.e.gooch@pwc.com")</f>
        <v>craig.e.gooch@pwc.com</v>
      </c>
      <c r="P650" s="3" t="str">
        <f>IFERROR(__xludf.DUMMYFUNCTION("""COMPUTED_VALUE"""),"No")</f>
        <v>No</v>
      </c>
      <c r="Q650" s="3" t="b">
        <f>IFERROR(__xludf.DUMMYFUNCTION("""COMPUTED_VALUE"""),FALSE)</f>
        <v>0</v>
      </c>
      <c r="R650" s="3"/>
      <c r="S650" s="3"/>
      <c r="T650" s="3" t="b">
        <f>IFERROR(__xludf.DUMMYFUNCTION("""COMPUTED_VALUE"""),FALSE)</f>
        <v>0</v>
      </c>
      <c r="U650" s="3" t="b">
        <f>IFERROR(__xludf.DUMMYFUNCTION("""COMPUTED_VALUE"""),FALSE)</f>
        <v>0</v>
      </c>
      <c r="V650" s="3" t="b">
        <f>IFERROR(__xludf.DUMMYFUNCTION("""COMPUTED_VALUE"""),FALSE)</f>
        <v>0</v>
      </c>
      <c r="W650" s="3" t="str">
        <f>IFERROR(__xludf.DUMMYFUNCTION("""COMPUTED_VALUE"""),"Delivery")</f>
        <v>Delivery</v>
      </c>
      <c r="X650" s="3"/>
      <c r="Y650" s="3" t="str">
        <f>IFERROR(__xludf.DUMMYFUNCTION("""COMPUTED_VALUE"""),"Point Partner")</f>
        <v>Point Partner</v>
      </c>
      <c r="Z650" s="3" t="str">
        <f>IFERROR(__xludf.DUMMYFUNCTION("""COMPUTED_VALUE"""),"Payer Transformation")</f>
        <v>Payer Transformation</v>
      </c>
      <c r="AA650" s="3" t="b">
        <f>IFERROR(__xludf.DUMMYFUNCTION("""COMPUTED_VALUE"""),TRUE)</f>
        <v>1</v>
      </c>
    </row>
    <row r="651">
      <c r="A651" s="11">
        <f>IFERROR(__xludf.DUMMYFUNCTION("""COMPUTED_VALUE"""),1.00625107E8)</f>
        <v>100625107</v>
      </c>
      <c r="B651" s="3" t="str">
        <f>IFERROR(__xludf.DUMMYFUNCTION("""COMPUTED_VALUE"""),"Thomas Hojnacki")</f>
        <v>Thomas Hojnacki</v>
      </c>
      <c r="C651" s="3" t="str">
        <f>IFERROR(__xludf.DUMMYFUNCTION("""COMPUTED_VALUE"""),"Thomas Stephen Hojnacki")</f>
        <v>Thomas Stephen Hojnacki</v>
      </c>
      <c r="D651" s="3" t="str">
        <f>IFERROR(__xludf.DUMMYFUNCTION("""COMPUTED_VALUE"""),"Hojnacki, Thomas Stephen")</f>
        <v>Hojnacki, Thomas Stephen</v>
      </c>
      <c r="E651" s="3" t="str">
        <f>IFERROR(__xludf.DUMMYFUNCTION("""COMPUTED_VALUE"""),"Active")</f>
        <v>Active</v>
      </c>
      <c r="F651" s="3" t="str">
        <f>IFERROR(__xludf.DUMMYFUNCTION("""COMPUTED_VALUE"""),"thomas.hojnacki@pwc.com")</f>
        <v>thomas.hojnacki@pwc.com</v>
      </c>
      <c r="G651" s="3" t="str">
        <f>IFERROR(__xludf.DUMMYFUNCTION("""COMPUTED_VALUE"""),"Finance")</f>
        <v>Finance</v>
      </c>
      <c r="H651" s="3" t="str">
        <f>IFERROR(__xludf.DUMMYFUNCTION("""COMPUTED_VALUE"""),"TMT X-Sector")</f>
        <v>TMT X-Sector</v>
      </c>
      <c r="I651" s="3" t="str">
        <f>IFERROR(__xludf.DUMMYFUNCTION("""COMPUTED_VALUE"""),"Finance - Financial Operations")</f>
        <v>Finance - Financial Operations</v>
      </c>
      <c r="J651" s="3" t="str">
        <f>IFERROR(__xludf.DUMMYFUNCTION("""COMPUTED_VALUE"""),"Managing Director")</f>
        <v>Managing Director</v>
      </c>
      <c r="K651" s="12">
        <f>IFERROR(__xludf.DUMMYFUNCTION("""COMPUTED_VALUE"""),38726.0)</f>
        <v>38726</v>
      </c>
      <c r="L651" s="3" t="str">
        <f>IFERROR(__xludf.DUMMYFUNCTION("""COMPUTED_VALUE"""),"New York")</f>
        <v>New York</v>
      </c>
      <c r="M651" s="3" t="str">
        <f>IFERROR(__xludf.DUMMYFUNCTION("""COMPUTED_VALUE"""),"New York - 300 Madison Avenue")</f>
        <v>New York - 300 Madison Avenue</v>
      </c>
      <c r="N651" s="3" t="b">
        <f>IFERROR(__xludf.DUMMYFUNCTION("""COMPUTED_VALUE"""),FALSE)</f>
        <v>0</v>
      </c>
      <c r="O651" s="3" t="str">
        <f>IFERROR(__xludf.DUMMYFUNCTION("""COMPUTED_VALUE"""),"edward.ponagai@pwc.com")</f>
        <v>edward.ponagai@pwc.com</v>
      </c>
      <c r="P651" s="3" t="str">
        <f>IFERROR(__xludf.DUMMYFUNCTION("""COMPUTED_VALUE"""),"No")</f>
        <v>No</v>
      </c>
      <c r="Q651" s="3" t="b">
        <f>IFERROR(__xludf.DUMMYFUNCTION("""COMPUTED_VALUE"""),FALSE)</f>
        <v>0</v>
      </c>
      <c r="R651" s="3"/>
      <c r="S651" s="3"/>
      <c r="T651" s="3" t="b">
        <f>IFERROR(__xludf.DUMMYFUNCTION("""COMPUTED_VALUE"""),FALSE)</f>
        <v>0</v>
      </c>
      <c r="U651" s="3" t="b">
        <f>IFERROR(__xludf.DUMMYFUNCTION("""COMPUTED_VALUE"""),TRUE)</f>
        <v>1</v>
      </c>
      <c r="V651" s="3" t="b">
        <f>IFERROR(__xludf.DUMMYFUNCTION("""COMPUTED_VALUE"""),FALSE)</f>
        <v>0</v>
      </c>
      <c r="W651" s="3" t="str">
        <f>IFERROR(__xludf.DUMMYFUNCTION("""COMPUTED_VALUE"""),"Delivery")</f>
        <v>Delivery</v>
      </c>
      <c r="X651" s="3"/>
      <c r="Y651" s="3"/>
      <c r="Z651" s="3" t="str">
        <f>IFERROR(__xludf.DUMMYFUNCTION("""COMPUTED_VALUE"""),"Finance Transformation - TMT")</f>
        <v>Finance Transformation - TMT</v>
      </c>
      <c r="AA651" s="3" t="b">
        <f>IFERROR(__xludf.DUMMYFUNCTION("""COMPUTED_VALUE"""),FALSE)</f>
        <v>0</v>
      </c>
    </row>
    <row r="652">
      <c r="A652" s="11">
        <f>IFERROR(__xludf.DUMMYFUNCTION("""COMPUTED_VALUE"""),1.00650304E8)</f>
        <v>100650304</v>
      </c>
      <c r="B652" s="3" t="str">
        <f>IFERROR(__xludf.DUMMYFUNCTION("""COMPUTED_VALUE"""),"Thomas Kavanaugh")</f>
        <v>Thomas Kavanaugh</v>
      </c>
      <c r="C652" s="3" t="str">
        <f>IFERROR(__xludf.DUMMYFUNCTION("""COMPUTED_VALUE"""),"Thomas William Kavanaugh")</f>
        <v>Thomas William Kavanaugh</v>
      </c>
      <c r="D652" s="3" t="str">
        <f>IFERROR(__xludf.DUMMYFUNCTION("""COMPUTED_VALUE"""),"Kavanaugh, Thomas William")</f>
        <v>Kavanaugh, Thomas William</v>
      </c>
      <c r="E652" s="3" t="str">
        <f>IFERROR(__xludf.DUMMYFUNCTION("""COMPUTED_VALUE"""),"Active")</f>
        <v>Active</v>
      </c>
      <c r="F652" s="3" t="str">
        <f>IFERROR(__xludf.DUMMYFUNCTION("""COMPUTED_VALUE"""),"tom.kavanaugh@pwc.com")</f>
        <v>tom.kavanaugh@pwc.com</v>
      </c>
      <c r="G652" s="3" t="str">
        <f>IFERROR(__xludf.DUMMYFUNCTION("""COMPUTED_VALUE"""),"Customer")</f>
        <v>Customer</v>
      </c>
      <c r="H652" s="3" t="str">
        <f>IFERROR(__xludf.DUMMYFUNCTION("""COMPUTED_VALUE"""),"Insurance")</f>
        <v>Insurance</v>
      </c>
      <c r="I652" s="3" t="str">
        <f>IFERROR(__xludf.DUMMYFUNCTION("""COMPUTED_VALUE"""),"Customer - Customer Strategy &amp; Experience")</f>
        <v>Customer - Customer Strategy &amp; Experience</v>
      </c>
      <c r="J652" s="3" t="str">
        <f>IFERROR(__xludf.DUMMYFUNCTION("""COMPUTED_VALUE"""),"Partner")</f>
        <v>Partner</v>
      </c>
      <c r="K652" s="12">
        <f>IFERROR(__xludf.DUMMYFUNCTION("""COMPUTED_VALUE"""),40485.0)</f>
        <v>40485</v>
      </c>
      <c r="L652" s="3" t="str">
        <f>IFERROR(__xludf.DUMMYFUNCTION("""COMPUTED_VALUE"""),"Chicago")</f>
        <v>Chicago</v>
      </c>
      <c r="M652" s="3" t="str">
        <f>IFERROR(__xludf.DUMMYFUNCTION("""COMPUTED_VALUE"""),"Chicago - One North Wacker Drive")</f>
        <v>Chicago - One North Wacker Drive</v>
      </c>
      <c r="N652" s="3" t="b">
        <f>IFERROR(__xludf.DUMMYFUNCTION("""COMPUTED_VALUE"""),FALSE)</f>
        <v>0</v>
      </c>
      <c r="O652" s="3" t="str">
        <f>IFERROR(__xludf.DUMMYFUNCTION("""COMPUTED_VALUE"""),"george.korizis@pwc.com")</f>
        <v>george.korizis@pwc.com</v>
      </c>
      <c r="P652" s="3" t="str">
        <f>IFERROR(__xludf.DUMMYFUNCTION("""COMPUTED_VALUE"""),"No")</f>
        <v>No</v>
      </c>
      <c r="Q652" s="3" t="b">
        <f>IFERROR(__xludf.DUMMYFUNCTION("""COMPUTED_VALUE"""),FALSE)</f>
        <v>0</v>
      </c>
      <c r="R652" s="3"/>
      <c r="S652" s="3"/>
      <c r="T652" s="3" t="b">
        <f>IFERROR(__xludf.DUMMYFUNCTION("""COMPUTED_VALUE"""),FALSE)</f>
        <v>0</v>
      </c>
      <c r="U652" s="3" t="b">
        <f>IFERROR(__xludf.DUMMYFUNCTION("""COMPUTED_VALUE"""),TRUE)</f>
        <v>1</v>
      </c>
      <c r="V652" s="3" t="b">
        <f>IFERROR(__xludf.DUMMYFUNCTION("""COMPUTED_VALUE"""),FALSE)</f>
        <v>0</v>
      </c>
      <c r="W652" s="3" t="str">
        <f>IFERROR(__xludf.DUMMYFUNCTION("""COMPUTED_VALUE"""),"Delivery")</f>
        <v>Delivery</v>
      </c>
      <c r="X652" s="3"/>
      <c r="Y652" s="3"/>
      <c r="Z652" s="3" t="str">
        <f>IFERROR(__xludf.DUMMYFUNCTION("""COMPUTED_VALUE"""),"Insurance Transformation")</f>
        <v>Insurance Transformation</v>
      </c>
      <c r="AA652" s="3" t="b">
        <f>IFERROR(__xludf.DUMMYFUNCTION("""COMPUTED_VALUE"""),FALSE)</f>
        <v>0</v>
      </c>
    </row>
    <row r="653">
      <c r="A653" s="11">
        <f>IFERROR(__xludf.DUMMYFUNCTION("""COMPUTED_VALUE"""),1.00600825E8)</f>
        <v>100600825</v>
      </c>
      <c r="B653" s="3" t="str">
        <f>IFERROR(__xludf.DUMMYFUNCTION("""COMPUTED_VALUE"""),"Thomas Puthiyamadam")</f>
        <v>Thomas Puthiyamadam</v>
      </c>
      <c r="C653" s="3" t="str">
        <f>IFERROR(__xludf.DUMMYFUNCTION("""COMPUTED_VALUE"""),"Thomas J Puthiyamadam")</f>
        <v>Thomas J Puthiyamadam</v>
      </c>
      <c r="D653" s="3" t="str">
        <f>IFERROR(__xludf.DUMMYFUNCTION("""COMPUTED_VALUE"""),"Puthiyamadam, Thomas J")</f>
        <v>Puthiyamadam, Thomas J</v>
      </c>
      <c r="E653" s="3" t="str">
        <f>IFERROR(__xludf.DUMMYFUNCTION("""COMPUTED_VALUE"""),"Active")</f>
        <v>Active</v>
      </c>
      <c r="F653" s="3" t="str">
        <f>IFERROR(__xludf.DUMMYFUNCTION("""COMPUTED_VALUE"""),"tomp@pwc.com")</f>
        <v>tomp@pwc.com</v>
      </c>
      <c r="G653" s="3" t="str">
        <f>IFERROR(__xludf.DUMMYFUNCTION("""COMPUTED_VALUE"""),"Customer")</f>
        <v>Customer</v>
      </c>
      <c r="H653" s="3" t="str">
        <f>IFERROR(__xludf.DUMMYFUNCTION("""COMPUTED_VALUE"""),"CM X-Sector")</f>
        <v>CM X-Sector</v>
      </c>
      <c r="I653" s="3" t="str">
        <f>IFERROR(__xludf.DUMMYFUNCTION("""COMPUTED_VALUE"""),"Unassigned")</f>
        <v>Unassigned</v>
      </c>
      <c r="J653" s="3" t="str">
        <f>IFERROR(__xludf.DUMMYFUNCTION("""COMPUTED_VALUE"""),"Partner")</f>
        <v>Partner</v>
      </c>
      <c r="K653" s="12">
        <f>IFERROR(__xludf.DUMMYFUNCTION("""COMPUTED_VALUE"""),35650.0)</f>
        <v>35650</v>
      </c>
      <c r="L653" s="3" t="str">
        <f>IFERROR(__xludf.DUMMYFUNCTION("""COMPUTED_VALUE"""),"New York")</f>
        <v>New York</v>
      </c>
      <c r="M653" s="3" t="str">
        <f>IFERROR(__xludf.DUMMYFUNCTION("""COMPUTED_VALUE"""),"New York - 300 Madison Avenue")</f>
        <v>New York - 300 Madison Avenue</v>
      </c>
      <c r="N653" s="3" t="b">
        <f>IFERROR(__xludf.DUMMYFUNCTION("""COMPUTED_VALUE"""),FALSE)</f>
        <v>0</v>
      </c>
      <c r="O653" s="3" t="str">
        <f>IFERROR(__xludf.DUMMYFUNCTION("""COMPUTED_VALUE"""),"mohamed.k.kande@pwc.com")</f>
        <v>mohamed.k.kande@pwc.com</v>
      </c>
      <c r="P653" s="3" t="str">
        <f>IFERROR(__xludf.DUMMYFUNCTION("""COMPUTED_VALUE"""),"No")</f>
        <v>No</v>
      </c>
      <c r="Q653" s="3" t="b">
        <f>IFERROR(__xludf.DUMMYFUNCTION("""COMPUTED_VALUE"""),FALSE)</f>
        <v>0</v>
      </c>
      <c r="R653" s="3"/>
      <c r="S653" s="3"/>
      <c r="T653" s="3" t="b">
        <f>IFERROR(__xludf.DUMMYFUNCTION("""COMPUTED_VALUE"""),TRUE)</f>
        <v>1</v>
      </c>
      <c r="U653" s="3" t="b">
        <f>IFERROR(__xludf.DUMMYFUNCTION("""COMPUTED_VALUE"""),FALSE)</f>
        <v>0</v>
      </c>
      <c r="V653" s="3" t="b">
        <f>IFERROR(__xludf.DUMMYFUNCTION("""COMPUTED_VALUE"""),FALSE)</f>
        <v>0</v>
      </c>
      <c r="W653" s="3" t="str">
        <f>IFERROR(__xludf.DUMMYFUNCTION("""COMPUTED_VALUE"""),"Delivery")</f>
        <v>Delivery</v>
      </c>
      <c r="X653" s="3"/>
      <c r="Y653" s="3" t="str">
        <f>IFERROR(__xludf.DUMMYFUNCTION("""COMPUTED_VALUE"""),"Leader")</f>
        <v>Leader</v>
      </c>
      <c r="Z653" s="3" t="str">
        <f>IFERROR(__xludf.DUMMYFUNCTION("""COMPUTED_VALUE"""),"Commercial / CRM Transformation - CM &amp; IPS &amp; HIA")</f>
        <v>Commercial / CRM Transformation - CM &amp; IPS &amp; HIA</v>
      </c>
      <c r="AA653" s="3" t="b">
        <f>IFERROR(__xludf.DUMMYFUNCTION("""COMPUTED_VALUE"""),FALSE)</f>
        <v>0</v>
      </c>
    </row>
    <row r="654">
      <c r="A654" s="11">
        <f>IFERROR(__xludf.DUMMYFUNCTION("""COMPUTED_VALUE"""),1.01093737E8)</f>
        <v>101093737</v>
      </c>
      <c r="B654" s="3" t="str">
        <f>IFERROR(__xludf.DUMMYFUNCTION("""COMPUTED_VALUE"""),"Tiffany Yates")</f>
        <v>Tiffany Yates</v>
      </c>
      <c r="C654" s="3" t="str">
        <f>IFERROR(__xludf.DUMMYFUNCTION("""COMPUTED_VALUE"""),"Tiffany Ann Yates")</f>
        <v>Tiffany Ann Yates</v>
      </c>
      <c r="D654" s="3" t="str">
        <f>IFERROR(__xludf.DUMMYFUNCTION("""COMPUTED_VALUE"""),"Yates, Tiffany Ann")</f>
        <v>Yates, Tiffany Ann</v>
      </c>
      <c r="E654" s="3" t="str">
        <f>IFERROR(__xludf.DUMMYFUNCTION("""COMPUTED_VALUE"""),"Active")</f>
        <v>Active</v>
      </c>
      <c r="F654" s="3" t="str">
        <f>IFERROR(__xludf.DUMMYFUNCTION("""COMPUTED_VALUE"""),"tiffany.a.yates@pwc.com")</f>
        <v>tiffany.a.yates@pwc.com</v>
      </c>
      <c r="G654" s="3" t="str">
        <f>IFERROR(__xludf.DUMMYFUNCTION("""COMPUTED_VALUE"""),"Workforce")</f>
        <v>Workforce</v>
      </c>
      <c r="H654" s="3" t="str">
        <f>IFERROR(__xludf.DUMMYFUNCTION("""COMPUTED_VALUE"""),"Not Applicable")</f>
        <v>Not Applicable</v>
      </c>
      <c r="I654" s="3" t="str">
        <f>IFERROR(__xludf.DUMMYFUNCTION("""COMPUTED_VALUE"""),"Workforce - Talent, Change &amp; Behaviors")</f>
        <v>Workforce - Talent, Change &amp; Behaviors</v>
      </c>
      <c r="J654" s="3" t="str">
        <f>IFERROR(__xludf.DUMMYFUNCTION("""COMPUTED_VALUE"""),"Managing Director")</f>
        <v>Managing Director</v>
      </c>
      <c r="K654" s="12">
        <f>IFERROR(__xludf.DUMMYFUNCTION("""COMPUTED_VALUE"""),44403.0)</f>
        <v>44403</v>
      </c>
      <c r="L654" s="3" t="str">
        <f>IFERROR(__xludf.DUMMYFUNCTION("""COMPUTED_VALUE"""),"Chicago")</f>
        <v>Chicago</v>
      </c>
      <c r="M654" s="3" t="str">
        <f>IFERROR(__xludf.DUMMYFUNCTION("""COMPUTED_VALUE"""),"Chicago - One North Wacker Drive")</f>
        <v>Chicago - One North Wacker Drive</v>
      </c>
      <c r="N654" s="3" t="b">
        <f>IFERROR(__xludf.DUMMYFUNCTION("""COMPUTED_VALUE"""),FALSE)</f>
        <v>0</v>
      </c>
      <c r="O654" s="3" t="str">
        <f>IFERROR(__xludf.DUMMYFUNCTION("""COMPUTED_VALUE"""),"patrick.pugh@pwc.com")</f>
        <v>patrick.pugh@pwc.com</v>
      </c>
      <c r="P654" s="3" t="str">
        <f>IFERROR(__xludf.DUMMYFUNCTION("""COMPUTED_VALUE"""),"FY22")</f>
        <v>FY22</v>
      </c>
      <c r="Q654" s="3" t="b">
        <f>IFERROR(__xludf.DUMMYFUNCTION("""COMPUTED_VALUE"""),FALSE)</f>
        <v>0</v>
      </c>
      <c r="R654" s="3"/>
      <c r="S654" s="3"/>
      <c r="T654" s="3" t="b">
        <f>IFERROR(__xludf.DUMMYFUNCTION("""COMPUTED_VALUE"""),FALSE)</f>
        <v>0</v>
      </c>
      <c r="U654" s="3" t="b">
        <f>IFERROR(__xludf.DUMMYFUNCTION("""COMPUTED_VALUE"""),TRUE)</f>
        <v>1</v>
      </c>
      <c r="V654" s="3" t="b">
        <f>IFERROR(__xludf.DUMMYFUNCTION("""COMPUTED_VALUE"""),FALSE)</f>
        <v>0</v>
      </c>
      <c r="W654" s="3" t="str">
        <f>IFERROR(__xludf.DUMMYFUNCTION("""COMPUTED_VALUE"""),"Catalyst")</f>
        <v>Catalyst</v>
      </c>
      <c r="X654" s="3"/>
      <c r="Y654" s="3" t="str">
        <f>IFERROR(__xludf.DUMMYFUNCTION("""COMPUTED_VALUE"""),"FY22")</f>
        <v>FY22</v>
      </c>
      <c r="Z654" s="3" t="str">
        <f>IFERROR(__xludf.DUMMYFUNCTION("""COMPUTED_VALUE"""),"Talent Change &amp; Behaviors")</f>
        <v>Talent Change &amp; Behaviors</v>
      </c>
      <c r="AA654" s="3" t="b">
        <f>IFERROR(__xludf.DUMMYFUNCTION("""COMPUTED_VALUE"""),FALSE)</f>
        <v>0</v>
      </c>
    </row>
    <row r="655">
      <c r="A655" s="11">
        <f>IFERROR(__xludf.DUMMYFUNCTION("""COMPUTED_VALUE"""),1.00585834E8)</f>
        <v>100585834</v>
      </c>
      <c r="B655" s="3" t="str">
        <f>IFERROR(__xludf.DUMMYFUNCTION("""COMPUTED_VALUE"""),"Tim Mueller")</f>
        <v>Tim Mueller</v>
      </c>
      <c r="C655" s="3" t="str">
        <f>IFERROR(__xludf.DUMMYFUNCTION("""COMPUTED_VALUE"""),"Timothy  Mueller")</f>
        <v>Timothy  Mueller</v>
      </c>
      <c r="D655" s="3" t="str">
        <f>IFERROR(__xludf.DUMMYFUNCTION("""COMPUTED_VALUE"""),"Mueller, Timothy")</f>
        <v>Mueller, Timothy</v>
      </c>
      <c r="E655" s="3" t="str">
        <f>IFERROR(__xludf.DUMMYFUNCTION("""COMPUTED_VALUE"""),"Active")</f>
        <v>Active</v>
      </c>
      <c r="F655" s="3" t="str">
        <f>IFERROR(__xludf.DUMMYFUNCTION("""COMPUTED_VALUE"""),"timothy.mueller@pwc.com")</f>
        <v>timothy.mueller@pwc.com</v>
      </c>
      <c r="G655" s="3" t="str">
        <f>IFERROR(__xludf.DUMMYFUNCTION("""COMPUTED_VALUE"""),"FS")</f>
        <v>FS</v>
      </c>
      <c r="H655" s="3" t="str">
        <f>IFERROR(__xludf.DUMMYFUNCTION("""COMPUTED_VALUE"""),"Asset and Wealth Management")</f>
        <v>Asset and Wealth Management</v>
      </c>
      <c r="I655" s="3" t="str">
        <f>IFERROR(__xludf.DUMMYFUNCTION("""COMPUTED_VALUE"""),"FS - Asset Wealth Management")</f>
        <v>FS - Asset Wealth Management</v>
      </c>
      <c r="J655" s="3" t="str">
        <f>IFERROR(__xludf.DUMMYFUNCTION("""COMPUTED_VALUE"""),"Partner")</f>
        <v>Partner</v>
      </c>
      <c r="K655" s="12">
        <f>IFERROR(__xludf.DUMMYFUNCTION("""COMPUTED_VALUE"""),37795.0)</f>
        <v>37795</v>
      </c>
      <c r="L655" s="3" t="str">
        <f>IFERROR(__xludf.DUMMYFUNCTION("""COMPUTED_VALUE"""),"New York")</f>
        <v>New York</v>
      </c>
      <c r="M655" s="3" t="str">
        <f>IFERROR(__xludf.DUMMYFUNCTION("""COMPUTED_VALUE"""),"New York - 300 Madison Avenue")</f>
        <v>New York - 300 Madison Avenue</v>
      </c>
      <c r="N655" s="3" t="b">
        <f>IFERROR(__xludf.DUMMYFUNCTION("""COMPUTED_VALUE"""),FALSE)</f>
        <v>0</v>
      </c>
      <c r="O655" s="3" t="str">
        <f>IFERROR(__xludf.DUMMYFUNCTION("""COMPUTED_VALUE"""),"alison.hoover@pwc.com")</f>
        <v>alison.hoover@pwc.com</v>
      </c>
      <c r="P655" s="3" t="str">
        <f>IFERROR(__xludf.DUMMYFUNCTION("""COMPUTED_VALUE"""),"No")</f>
        <v>No</v>
      </c>
      <c r="Q655" s="3" t="b">
        <f>IFERROR(__xludf.DUMMYFUNCTION("""COMPUTED_VALUE"""),FALSE)</f>
        <v>0</v>
      </c>
      <c r="R655" s="3"/>
      <c r="S655" s="3"/>
      <c r="T655" s="3" t="b">
        <f>IFERROR(__xludf.DUMMYFUNCTION("""COMPUTED_VALUE"""),FALSE)</f>
        <v>0</v>
      </c>
      <c r="U655" s="3" t="b">
        <f>IFERROR(__xludf.DUMMYFUNCTION("""COMPUTED_VALUE"""),TRUE)</f>
        <v>1</v>
      </c>
      <c r="V655" s="3" t="b">
        <f>IFERROR(__xludf.DUMMYFUNCTION("""COMPUTED_VALUE"""),FALSE)</f>
        <v>0</v>
      </c>
      <c r="W655" s="3" t="str">
        <f>IFERROR(__xludf.DUMMYFUNCTION("""COMPUTED_VALUE"""),"Delivery")</f>
        <v>Delivery</v>
      </c>
      <c r="X655" s="3"/>
      <c r="Y655" s="3"/>
      <c r="Z655" s="3" t="str">
        <f>IFERROR(__xludf.DUMMYFUNCTION("""COMPUTED_VALUE"""),"AWM Transformation")</f>
        <v>AWM Transformation</v>
      </c>
      <c r="AA655" s="3" t="b">
        <f>IFERROR(__xludf.DUMMYFUNCTION("""COMPUTED_VALUE"""),FALSE)</f>
        <v>0</v>
      </c>
    </row>
    <row r="656">
      <c r="A656" s="11">
        <f>IFERROR(__xludf.DUMMYFUNCTION("""COMPUTED_VALUE"""),1.00608243E8)</f>
        <v>100608243</v>
      </c>
      <c r="B656" s="3" t="str">
        <f>IFERROR(__xludf.DUMMYFUNCTION("""COMPUTED_VALUE"""),"Timothy Davis")</f>
        <v>Timothy Davis</v>
      </c>
      <c r="C656" s="3" t="str">
        <f>IFERROR(__xludf.DUMMYFUNCTION("""COMPUTED_VALUE"""),"Timothy M Davis")</f>
        <v>Timothy M Davis</v>
      </c>
      <c r="D656" s="3" t="str">
        <f>IFERROR(__xludf.DUMMYFUNCTION("""COMPUTED_VALUE"""),"Davis, Timothy M")</f>
        <v>Davis, Timothy M</v>
      </c>
      <c r="E656" s="3" t="str">
        <f>IFERROR(__xludf.DUMMYFUNCTION("""COMPUTED_VALUE"""),"Active")</f>
        <v>Active</v>
      </c>
      <c r="F656" s="3" t="str">
        <f>IFERROR(__xludf.DUMMYFUNCTION("""COMPUTED_VALUE"""),"timothy.m.davis@pwc.com")</f>
        <v>timothy.m.davis@pwc.com</v>
      </c>
      <c r="G656" s="3" t="str">
        <f>IFERROR(__xludf.DUMMYFUNCTION("""COMPUTED_VALUE"""),"FS")</f>
        <v>FS</v>
      </c>
      <c r="H656" s="3" t="str">
        <f>IFERROR(__xludf.DUMMYFUNCTION("""COMPUTED_VALUE"""),"Banking and Capital Markets")</f>
        <v>Banking and Capital Markets</v>
      </c>
      <c r="I656" s="3" t="str">
        <f>IFERROR(__xludf.DUMMYFUNCTION("""COMPUTED_VALUE"""),"FS - Banking and Capital Markets")</f>
        <v>FS - Banking and Capital Markets</v>
      </c>
      <c r="J656" s="3" t="str">
        <f>IFERROR(__xludf.DUMMYFUNCTION("""COMPUTED_VALUE"""),"Managing Director")</f>
        <v>Managing Director</v>
      </c>
      <c r="K656" s="12">
        <f>IFERROR(__xludf.DUMMYFUNCTION("""COMPUTED_VALUE"""),41505.0)</f>
        <v>41505</v>
      </c>
      <c r="L656" s="3" t="str">
        <f>IFERROR(__xludf.DUMMYFUNCTION("""COMPUTED_VALUE"""),"Jacksonville")</f>
        <v>Jacksonville</v>
      </c>
      <c r="M656" s="3" t="str">
        <f>IFERROR(__xludf.DUMMYFUNCTION("""COMPUTED_VALUE"""),"Jacksonville - 76 Laura Street")</f>
        <v>Jacksonville - 76 Laura Street</v>
      </c>
      <c r="N656" s="3" t="b">
        <f>IFERROR(__xludf.DUMMYFUNCTION("""COMPUTED_VALUE"""),FALSE)</f>
        <v>0</v>
      </c>
      <c r="O656" s="3" t="str">
        <f>IFERROR(__xludf.DUMMYFUNCTION("""COMPUTED_VALUE"""),"david.sisko@pwc.com")</f>
        <v>david.sisko@pwc.com</v>
      </c>
      <c r="P656" s="3" t="str">
        <f>IFERROR(__xludf.DUMMYFUNCTION("""COMPUTED_VALUE"""),"No")</f>
        <v>No</v>
      </c>
      <c r="Q656" s="3" t="b">
        <f>IFERROR(__xludf.DUMMYFUNCTION("""COMPUTED_VALUE"""),FALSE)</f>
        <v>0</v>
      </c>
      <c r="R656" s="3"/>
      <c r="S656" s="3"/>
      <c r="T656" s="3" t="b">
        <f>IFERROR(__xludf.DUMMYFUNCTION("""COMPUTED_VALUE"""),FALSE)</f>
        <v>0</v>
      </c>
      <c r="U656" s="3" t="b">
        <f>IFERROR(__xludf.DUMMYFUNCTION("""COMPUTED_VALUE"""),TRUE)</f>
        <v>1</v>
      </c>
      <c r="V656" s="3" t="b">
        <f>IFERROR(__xludf.DUMMYFUNCTION("""COMPUTED_VALUE"""),FALSE)</f>
        <v>0</v>
      </c>
      <c r="W656" s="3" t="str">
        <f>IFERROR(__xludf.DUMMYFUNCTION("""COMPUTED_VALUE"""),"Delivery")</f>
        <v>Delivery</v>
      </c>
      <c r="X656" s="3"/>
      <c r="Y656" s="3"/>
      <c r="Z656" s="3" t="str">
        <f>IFERROR(__xludf.DUMMYFUNCTION("""COMPUTED_VALUE"""),"Banking Transformation")</f>
        <v>Banking Transformation</v>
      </c>
      <c r="AA656" s="3" t="b">
        <f>IFERROR(__xludf.DUMMYFUNCTION("""COMPUTED_VALUE"""),FALSE)</f>
        <v>0</v>
      </c>
    </row>
    <row r="657">
      <c r="A657" s="11">
        <f>IFERROR(__xludf.DUMMYFUNCTION("""COMPUTED_VALUE"""),1.00594872E8)</f>
        <v>100594872</v>
      </c>
      <c r="B657" s="3" t="str">
        <f>IFERROR(__xludf.DUMMYFUNCTION("""COMPUTED_VALUE"""),"Timothy Kuroda")</f>
        <v>Timothy Kuroda</v>
      </c>
      <c r="C657" s="3" t="str">
        <f>IFERROR(__xludf.DUMMYFUNCTION("""COMPUTED_VALUE"""),"Timothy E Kuroda")</f>
        <v>Timothy E Kuroda</v>
      </c>
      <c r="D657" s="3" t="str">
        <f>IFERROR(__xludf.DUMMYFUNCTION("""COMPUTED_VALUE"""),"Kuroda, Timothy E")</f>
        <v>Kuroda, Timothy E</v>
      </c>
      <c r="E657" s="3" t="str">
        <f>IFERROR(__xludf.DUMMYFUNCTION("""COMPUTED_VALUE"""),"Active")</f>
        <v>Active</v>
      </c>
      <c r="F657" s="3" t="str">
        <f>IFERROR(__xludf.DUMMYFUNCTION("""COMPUTED_VALUE"""),"tim.kuroda@pwc.com")</f>
        <v>tim.kuroda@pwc.com</v>
      </c>
      <c r="G657" s="3" t="str">
        <f>IFERROR(__xludf.DUMMYFUNCTION("""COMPUTED_VALUE"""),"Customer")</f>
        <v>Customer</v>
      </c>
      <c r="H657" s="3" t="str">
        <f>IFERROR(__xludf.DUMMYFUNCTION("""COMPUTED_VALUE"""),"TMT X-Sector")</f>
        <v>TMT X-Sector</v>
      </c>
      <c r="I657" s="3" t="str">
        <f>IFERROR(__xludf.DUMMYFUNCTION("""COMPUTED_VALUE"""),"Customer - Customer Strategy &amp; Experience")</f>
        <v>Customer - Customer Strategy &amp; Experience</v>
      </c>
      <c r="J657" s="3" t="str">
        <f>IFERROR(__xludf.DUMMYFUNCTION("""COMPUTED_VALUE"""),"Partner")</f>
        <v>Partner</v>
      </c>
      <c r="K657" s="12">
        <f>IFERROR(__xludf.DUMMYFUNCTION("""COMPUTED_VALUE"""),41428.0)</f>
        <v>41428</v>
      </c>
      <c r="L657" s="3" t="str">
        <f>IFERROR(__xludf.DUMMYFUNCTION("""COMPUTED_VALUE"""),"New York")</f>
        <v>New York</v>
      </c>
      <c r="M657" s="3" t="str">
        <f>IFERROR(__xludf.DUMMYFUNCTION("""COMPUTED_VALUE"""),"New York - 300 Madison Avenue")</f>
        <v>New York - 300 Madison Avenue</v>
      </c>
      <c r="N657" s="3" t="b">
        <f>IFERROR(__xludf.DUMMYFUNCTION("""COMPUTED_VALUE"""),FALSE)</f>
        <v>0</v>
      </c>
      <c r="O657" s="3" t="str">
        <f>IFERROR(__xludf.DUMMYFUNCTION("""COMPUTED_VALUE"""),"george.korizis@pwc.com")</f>
        <v>george.korizis@pwc.com</v>
      </c>
      <c r="P657" s="3" t="str">
        <f>IFERROR(__xludf.DUMMYFUNCTION("""COMPUTED_VALUE"""),"No")</f>
        <v>No</v>
      </c>
      <c r="Q657" s="3" t="b">
        <f>IFERROR(__xludf.DUMMYFUNCTION("""COMPUTED_VALUE"""),FALSE)</f>
        <v>0</v>
      </c>
      <c r="R657" s="3"/>
      <c r="S657" s="3"/>
      <c r="T657" s="3" t="b">
        <f>IFERROR(__xludf.DUMMYFUNCTION("""COMPUTED_VALUE"""),FALSE)</f>
        <v>0</v>
      </c>
      <c r="U657" s="3" t="b">
        <f>IFERROR(__xludf.DUMMYFUNCTION("""COMPUTED_VALUE"""),TRUE)</f>
        <v>1</v>
      </c>
      <c r="V657" s="3" t="b">
        <f>IFERROR(__xludf.DUMMYFUNCTION("""COMPUTED_VALUE"""),FALSE)</f>
        <v>0</v>
      </c>
      <c r="W657" s="3" t="str">
        <f>IFERROR(__xludf.DUMMYFUNCTION("""COMPUTED_VALUE"""),"Delivery")</f>
        <v>Delivery</v>
      </c>
      <c r="X657" s="3" t="str">
        <f>IFERROR(__xludf.DUMMYFUNCTION("""COMPUTED_VALUE"""),"Investment")</f>
        <v>Investment</v>
      </c>
      <c r="Y657" s="3"/>
      <c r="Z657" s="3" t="str">
        <f>IFERROR(__xludf.DUMMYFUNCTION("""COMPUTED_VALUE"""),"Commercial / CRM Transformation - FS &amp; TMT")</f>
        <v>Commercial / CRM Transformation - FS &amp; TMT</v>
      </c>
      <c r="AA657" s="3" t="b">
        <f>IFERROR(__xludf.DUMMYFUNCTION("""COMPUTED_VALUE"""),FALSE)</f>
        <v>0</v>
      </c>
    </row>
    <row r="658">
      <c r="A658" s="11">
        <f>IFERROR(__xludf.DUMMYFUNCTION("""COMPUTED_VALUE"""),1.00592496E8)</f>
        <v>100592496</v>
      </c>
      <c r="B658" s="3" t="str">
        <f>IFERROR(__xludf.DUMMYFUNCTION("""COMPUTED_VALUE"""),"TK (Touseef) Khowaja")</f>
        <v>TK (Touseef) Khowaja</v>
      </c>
      <c r="C658" s="3" t="str">
        <f>IFERROR(__xludf.DUMMYFUNCTION("""COMPUTED_VALUE"""),"Touseef  Khowaja")</f>
        <v>Touseef  Khowaja</v>
      </c>
      <c r="D658" s="3" t="str">
        <f>IFERROR(__xludf.DUMMYFUNCTION("""COMPUTED_VALUE"""),"Khowaja, Touseef")</f>
        <v>Khowaja, Touseef</v>
      </c>
      <c r="E658" s="3" t="str">
        <f>IFERROR(__xludf.DUMMYFUNCTION("""COMPUTED_VALUE"""),"Active")</f>
        <v>Active</v>
      </c>
      <c r="F658" s="3" t="str">
        <f>IFERROR(__xludf.DUMMYFUNCTION("""COMPUTED_VALUE"""),"touseef.khowaja@pwc.com")</f>
        <v>touseef.khowaja@pwc.com</v>
      </c>
      <c r="G658" s="3" t="str">
        <f>IFERROR(__xludf.DUMMYFUNCTION("""COMPUTED_VALUE"""),"Finance")</f>
        <v>Finance</v>
      </c>
      <c r="H658" s="3" t="str">
        <f>IFERROR(__xludf.DUMMYFUNCTION("""COMPUTED_VALUE"""),"CM X-Sector")</f>
        <v>CM X-Sector</v>
      </c>
      <c r="I658" s="3" t="str">
        <f>IFERROR(__xludf.DUMMYFUNCTION("""COMPUTED_VALUE"""),"Finance - Enterprise Performance Management")</f>
        <v>Finance - Enterprise Performance Management</v>
      </c>
      <c r="J658" s="3" t="str">
        <f>IFERROR(__xludf.DUMMYFUNCTION("""COMPUTED_VALUE"""),"Partner")</f>
        <v>Partner</v>
      </c>
      <c r="K658" s="12">
        <f>IFERROR(__xludf.DUMMYFUNCTION("""COMPUTED_VALUE"""),40840.0)</f>
        <v>40840</v>
      </c>
      <c r="L658" s="3" t="str">
        <f>IFERROR(__xludf.DUMMYFUNCTION("""COMPUTED_VALUE"""),"Dallas")</f>
        <v>Dallas</v>
      </c>
      <c r="M658" s="3" t="str">
        <f>IFERROR(__xludf.DUMMYFUNCTION("""COMPUTED_VALUE"""),"Dallas - 2121 North Pearl Street")</f>
        <v>Dallas - 2121 North Pearl Street</v>
      </c>
      <c r="N658" s="3" t="b">
        <f>IFERROR(__xludf.DUMMYFUNCTION("""COMPUTED_VALUE"""),FALSE)</f>
        <v>0</v>
      </c>
      <c r="O658" s="3" t="str">
        <f>IFERROR(__xludf.DUMMYFUNCTION("""COMPUTED_VALUE"""),"kurtis.babczenko@pwc.com")</f>
        <v>kurtis.babczenko@pwc.com</v>
      </c>
      <c r="P658" s="3" t="str">
        <f>IFERROR(__xludf.DUMMYFUNCTION("""COMPUTED_VALUE"""),"No")</f>
        <v>No</v>
      </c>
      <c r="Q658" s="3" t="b">
        <f>IFERROR(__xludf.DUMMYFUNCTION("""COMPUTED_VALUE"""),FALSE)</f>
        <v>0</v>
      </c>
      <c r="R658" s="3"/>
      <c r="S658" s="3"/>
      <c r="T658" s="3" t="b">
        <f>IFERROR(__xludf.DUMMYFUNCTION("""COMPUTED_VALUE"""),FALSE)</f>
        <v>0</v>
      </c>
      <c r="U658" s="3" t="b">
        <f>IFERROR(__xludf.DUMMYFUNCTION("""COMPUTED_VALUE"""),TRUE)</f>
        <v>1</v>
      </c>
      <c r="V658" s="3" t="b">
        <f>IFERROR(__xludf.DUMMYFUNCTION("""COMPUTED_VALUE"""),FALSE)</f>
        <v>0</v>
      </c>
      <c r="W658" s="3" t="str">
        <f>IFERROR(__xludf.DUMMYFUNCTION("""COMPUTED_VALUE"""),"Delivery")</f>
        <v>Delivery</v>
      </c>
      <c r="X658" s="3" t="str">
        <f>IFERROR(__xludf.DUMMYFUNCTION("""COMPUTED_VALUE"""),"Investment")</f>
        <v>Investment</v>
      </c>
      <c r="Y658" s="3"/>
      <c r="Z658" s="3" t="str">
        <f>IFERROR(__xludf.DUMMYFUNCTION("""COMPUTED_VALUE"""),"Finance Transformation - CM")</f>
        <v>Finance Transformation - CM</v>
      </c>
      <c r="AA658" s="3" t="b">
        <f>IFERROR(__xludf.DUMMYFUNCTION("""COMPUTED_VALUE"""),FALSE)</f>
        <v>0</v>
      </c>
    </row>
    <row r="659">
      <c r="A659" s="11">
        <f>IFERROR(__xludf.DUMMYFUNCTION("""COMPUTED_VALUE"""),1.00611316E8)</f>
        <v>100611316</v>
      </c>
      <c r="B659" s="3" t="str">
        <f>IFERROR(__xludf.DUMMYFUNCTION("""COMPUTED_VALUE"""),"Todd Bargman")</f>
        <v>Todd Bargman</v>
      </c>
      <c r="C659" s="3" t="str">
        <f>IFERROR(__xludf.DUMMYFUNCTION("""COMPUTED_VALUE"""),"Todd M Bargman")</f>
        <v>Todd M Bargman</v>
      </c>
      <c r="D659" s="3" t="str">
        <f>IFERROR(__xludf.DUMMYFUNCTION("""COMPUTED_VALUE"""),"Bargman, Todd M")</f>
        <v>Bargman, Todd M</v>
      </c>
      <c r="E659" s="3" t="str">
        <f>IFERROR(__xludf.DUMMYFUNCTION("""COMPUTED_VALUE"""),"Active")</f>
        <v>Active</v>
      </c>
      <c r="F659" s="3" t="str">
        <f>IFERROR(__xludf.DUMMYFUNCTION("""COMPUTED_VALUE"""),"todd.bargman@pwc.com")</f>
        <v>todd.bargman@pwc.com</v>
      </c>
      <c r="G659" s="3" t="str">
        <f>IFERROR(__xludf.DUMMYFUNCTION("""COMPUTED_VALUE"""),"Ops")</f>
        <v>Ops</v>
      </c>
      <c r="H659" s="3" t="str">
        <f>IFERROR(__xludf.DUMMYFUNCTION("""COMPUTED_VALUE"""),"CM X-Sector")</f>
        <v>CM X-Sector</v>
      </c>
      <c r="I659" s="3" t="str">
        <f>IFERROR(__xludf.DUMMYFUNCTION("""COMPUTED_VALUE"""),"Ops - Org Strategy Strategy &amp; Solutions (OSS)")</f>
        <v>Ops - Org Strategy Strategy &amp; Solutions (OSS)</v>
      </c>
      <c r="J659" s="3" t="str">
        <f>IFERROR(__xludf.DUMMYFUNCTION("""COMPUTED_VALUE"""),"Partner")</f>
        <v>Partner</v>
      </c>
      <c r="K659" s="12">
        <f>IFERROR(__xludf.DUMMYFUNCTION("""COMPUTED_VALUE"""),40777.0)</f>
        <v>40777</v>
      </c>
      <c r="L659" s="3" t="str">
        <f>IFERROR(__xludf.DUMMYFUNCTION("""COMPUTED_VALUE"""),"Boston")</f>
        <v>Boston</v>
      </c>
      <c r="M659" s="3" t="str">
        <f>IFERROR(__xludf.DUMMYFUNCTION("""COMPUTED_VALUE"""),"Boston - 101 Seaport Boulevard")</f>
        <v>Boston - 101 Seaport Boulevard</v>
      </c>
      <c r="N659" s="3" t="b">
        <f>IFERROR(__xludf.DUMMYFUNCTION("""COMPUTED_VALUE"""),TRUE)</f>
        <v>1</v>
      </c>
      <c r="O659" s="3" t="str">
        <f>IFERROR(__xludf.DUMMYFUNCTION("""COMPUTED_VALUE"""),"matthew.r.comte@pwc.com")</f>
        <v>matthew.r.comte@pwc.com</v>
      </c>
      <c r="P659" s="3" t="str">
        <f>IFERROR(__xludf.DUMMYFUNCTION("""COMPUTED_VALUE"""),"No")</f>
        <v>No</v>
      </c>
      <c r="Q659" s="3" t="b">
        <f>IFERROR(__xludf.DUMMYFUNCTION("""COMPUTED_VALUE"""),FALSE)</f>
        <v>0</v>
      </c>
      <c r="R659" s="3"/>
      <c r="S659" s="3"/>
      <c r="T659" s="3" t="b">
        <f>IFERROR(__xludf.DUMMYFUNCTION("""COMPUTED_VALUE"""),FALSE)</f>
        <v>0</v>
      </c>
      <c r="U659" s="3" t="b">
        <f>IFERROR(__xludf.DUMMYFUNCTION("""COMPUTED_VALUE"""),FALSE)</f>
        <v>0</v>
      </c>
      <c r="V659" s="3" t="b">
        <f>IFERROR(__xludf.DUMMYFUNCTION("""COMPUTED_VALUE"""),FALSE)</f>
        <v>0</v>
      </c>
      <c r="W659" s="3" t="str">
        <f>IFERROR(__xludf.DUMMYFUNCTION("""COMPUTED_VALUE"""),"Delivery")</f>
        <v>Delivery</v>
      </c>
      <c r="X659" s="3"/>
      <c r="Y659" s="3" t="str">
        <f>IFERROR(__xludf.DUMMYFUNCTION("""COMPUTED_VALUE"""),"Point Partner")</f>
        <v>Point Partner</v>
      </c>
      <c r="Z659" s="3" t="str">
        <f>IFERROR(__xludf.DUMMYFUNCTION("""COMPUTED_VALUE"""),"CM Ops Transformation")</f>
        <v>CM Ops Transformation</v>
      </c>
      <c r="AA659" s="3" t="b">
        <f>IFERROR(__xludf.DUMMYFUNCTION("""COMPUTED_VALUE"""),FALSE)</f>
        <v>0</v>
      </c>
    </row>
    <row r="660">
      <c r="A660" s="11">
        <f>IFERROR(__xludf.DUMMYFUNCTION("""COMPUTED_VALUE"""),1.00651901E8)</f>
        <v>100651901</v>
      </c>
      <c r="B660" s="3" t="str">
        <f>IFERROR(__xludf.DUMMYFUNCTION("""COMPUTED_VALUE"""),"Todd Jirovec")</f>
        <v>Todd Jirovec</v>
      </c>
      <c r="C660" s="3" t="str">
        <f>IFERROR(__xludf.DUMMYFUNCTION("""COMPUTED_VALUE"""),"Todd  Jirovec")</f>
        <v>Todd  Jirovec</v>
      </c>
      <c r="D660" s="3" t="str">
        <f>IFERROR(__xludf.DUMMYFUNCTION("""COMPUTED_VALUE"""),"Jirovec, Todd")</f>
        <v>Jirovec, Todd</v>
      </c>
      <c r="E660" s="3" t="str">
        <f>IFERROR(__xludf.DUMMYFUNCTION("""COMPUTED_VALUE"""),"Active")</f>
        <v>Active</v>
      </c>
      <c r="F660" s="3" t="str">
        <f>IFERROR(__xludf.DUMMYFUNCTION("""COMPUTED_VALUE"""),"todd.jirovec@pwc.com")</f>
        <v>todd.jirovec@pwc.com</v>
      </c>
      <c r="G660" s="3" t="str">
        <f>IFERROR(__xludf.DUMMYFUNCTION("""COMPUTED_VALUE"""),"ESV")</f>
        <v>ESV</v>
      </c>
      <c r="H660" s="3" t="str">
        <f>IFERROR(__xludf.DUMMYFUNCTION("""COMPUTED_VALUE"""),"Power and Utilities")</f>
        <v>Power and Utilities</v>
      </c>
      <c r="I660" s="3" t="str">
        <f>IFERROR(__xludf.DUMMYFUNCTION("""COMPUTED_VALUE"""),"ESV - IPS")</f>
        <v>ESV - IPS</v>
      </c>
      <c r="J660" s="3" t="str">
        <f>IFERROR(__xludf.DUMMYFUNCTION("""COMPUTED_VALUE"""),"Partner")</f>
        <v>Partner</v>
      </c>
      <c r="K660" s="12">
        <f>IFERROR(__xludf.DUMMYFUNCTION("""COMPUTED_VALUE"""),42186.0)</f>
        <v>42186</v>
      </c>
      <c r="L660" s="3" t="str">
        <f>IFERROR(__xludf.DUMMYFUNCTION("""COMPUTED_VALUE"""),"Dallas")</f>
        <v>Dallas</v>
      </c>
      <c r="M660" s="3" t="str">
        <f>IFERROR(__xludf.DUMMYFUNCTION("""COMPUTED_VALUE"""),"Dallas - 2121 North Pearl Street")</f>
        <v>Dallas - 2121 North Pearl Street</v>
      </c>
      <c r="N660" s="3" t="b">
        <f>IFERROR(__xludf.DUMMYFUNCTION("""COMPUTED_VALUE"""),FALSE)</f>
        <v>0</v>
      </c>
      <c r="O660" s="3" t="str">
        <f>IFERROR(__xludf.DUMMYFUNCTION("""COMPUTED_VALUE"""),"sundar.subramanian@pwc.com")</f>
        <v>sundar.subramanian@pwc.com</v>
      </c>
      <c r="P660" s="3" t="str">
        <f>IFERROR(__xludf.DUMMYFUNCTION("""COMPUTED_VALUE"""),"No")</f>
        <v>No</v>
      </c>
      <c r="Q660" s="3" t="b">
        <f>IFERROR(__xludf.DUMMYFUNCTION("""COMPUTED_VALUE"""),FALSE)</f>
        <v>0</v>
      </c>
      <c r="R660" s="3"/>
      <c r="S660" s="3"/>
      <c r="T660" s="3" t="b">
        <f>IFERROR(__xludf.DUMMYFUNCTION("""COMPUTED_VALUE"""),FALSE)</f>
        <v>0</v>
      </c>
      <c r="U660" s="3" t="b">
        <f>IFERROR(__xludf.DUMMYFUNCTION("""COMPUTED_VALUE"""),TRUE)</f>
        <v>1</v>
      </c>
      <c r="V660" s="3" t="b">
        <f>IFERROR(__xludf.DUMMYFUNCTION("""COMPUTED_VALUE"""),FALSE)</f>
        <v>0</v>
      </c>
      <c r="W660" s="3" t="str">
        <f>IFERROR(__xludf.DUMMYFUNCTION("""COMPUTED_VALUE"""),"Delivery")</f>
        <v>Delivery</v>
      </c>
      <c r="X660" s="3"/>
      <c r="Y660" s="3"/>
      <c r="Z660" s="3" t="str">
        <f>IFERROR(__xludf.DUMMYFUNCTION("""COMPUTED_VALUE"""),"Enterprise Digital Transformation - CM &amp; IPS")</f>
        <v>Enterprise Digital Transformation - CM &amp; IPS</v>
      </c>
      <c r="AA660" s="3" t="b">
        <f>IFERROR(__xludf.DUMMYFUNCTION("""COMPUTED_VALUE"""),FALSE)</f>
        <v>0</v>
      </c>
    </row>
    <row r="661">
      <c r="A661" s="11">
        <f>IFERROR(__xludf.DUMMYFUNCTION("""COMPUTED_VALUE"""),1.00590772E8)</f>
        <v>100590772</v>
      </c>
      <c r="B661" s="3" t="str">
        <f>IFERROR(__xludf.DUMMYFUNCTION("""COMPUTED_VALUE"""),"Todd McElfresh")</f>
        <v>Todd McElfresh</v>
      </c>
      <c r="C661" s="3" t="str">
        <f>IFERROR(__xludf.DUMMYFUNCTION("""COMPUTED_VALUE"""),"Todd E McElfresh")</f>
        <v>Todd E McElfresh</v>
      </c>
      <c r="D661" s="3" t="str">
        <f>IFERROR(__xludf.DUMMYFUNCTION("""COMPUTED_VALUE"""),"McElfresh, Todd E")</f>
        <v>McElfresh, Todd E</v>
      </c>
      <c r="E661" s="3" t="str">
        <f>IFERROR(__xludf.DUMMYFUNCTION("""COMPUTED_VALUE"""),"Active")</f>
        <v>Active</v>
      </c>
      <c r="F661" s="3" t="str">
        <f>IFERROR(__xludf.DUMMYFUNCTION("""COMPUTED_VALUE"""),"todd.e.mcelfresh@pwc.com")</f>
        <v>todd.e.mcelfresh@pwc.com</v>
      </c>
      <c r="G661" s="3" t="str">
        <f>IFERROR(__xludf.DUMMYFUNCTION("""COMPUTED_VALUE"""),"Customer")</f>
        <v>Customer</v>
      </c>
      <c r="H661" s="3" t="str">
        <f>IFERROR(__xludf.DUMMYFUNCTION("""COMPUTED_VALUE"""),"CM X-Sector")</f>
        <v>CM X-Sector</v>
      </c>
      <c r="I661" s="3" t="str">
        <f>IFERROR(__xludf.DUMMYFUNCTION("""COMPUTED_VALUE"""),"Customer - Marketing")</f>
        <v>Customer - Marketing</v>
      </c>
      <c r="J661" s="3" t="str">
        <f>IFERROR(__xludf.DUMMYFUNCTION("""COMPUTED_VALUE"""),"Partner")</f>
        <v>Partner</v>
      </c>
      <c r="K661" s="12">
        <f>IFERROR(__xludf.DUMMYFUNCTION("""COMPUTED_VALUE"""),40777.0)</f>
        <v>40777</v>
      </c>
      <c r="L661" s="3" t="str">
        <f>IFERROR(__xludf.DUMMYFUNCTION("""COMPUTED_VALUE"""),"Dallas")</f>
        <v>Dallas</v>
      </c>
      <c r="M661" s="3" t="str">
        <f>IFERROR(__xludf.DUMMYFUNCTION("""COMPUTED_VALUE"""),"Dallas - 2121 North Pearl Street")</f>
        <v>Dallas - 2121 North Pearl Street</v>
      </c>
      <c r="N661" s="3" t="b">
        <f>IFERROR(__xludf.DUMMYFUNCTION("""COMPUTED_VALUE"""),FALSE)</f>
        <v>0</v>
      </c>
      <c r="O661" s="3" t="str">
        <f>IFERROR(__xludf.DUMMYFUNCTION("""COMPUTED_VALUE"""),"george.korizis@pwc.com")</f>
        <v>george.korizis@pwc.com</v>
      </c>
      <c r="P661" s="3" t="str">
        <f>IFERROR(__xludf.DUMMYFUNCTION("""COMPUTED_VALUE"""),"No")</f>
        <v>No</v>
      </c>
      <c r="Q661" s="3" t="b">
        <f>IFERROR(__xludf.DUMMYFUNCTION("""COMPUTED_VALUE"""),FALSE)</f>
        <v>0</v>
      </c>
      <c r="R661" s="3"/>
      <c r="S661" s="3"/>
      <c r="T661" s="3" t="b">
        <f>IFERROR(__xludf.DUMMYFUNCTION("""COMPUTED_VALUE"""),FALSE)</f>
        <v>0</v>
      </c>
      <c r="U661" s="3" t="b">
        <f>IFERROR(__xludf.DUMMYFUNCTION("""COMPUTED_VALUE"""),FALSE)</f>
        <v>0</v>
      </c>
      <c r="V661" s="3" t="b">
        <f>IFERROR(__xludf.DUMMYFUNCTION("""COMPUTED_VALUE"""),FALSE)</f>
        <v>0</v>
      </c>
      <c r="W661" s="3" t="str">
        <f>IFERROR(__xludf.DUMMYFUNCTION("""COMPUTED_VALUE"""),"Delivery")</f>
        <v>Delivery</v>
      </c>
      <c r="X661" s="3"/>
      <c r="Y661" s="3"/>
      <c r="Z661" s="3" t="str">
        <f>IFERROR(__xludf.DUMMYFUNCTION("""COMPUTED_VALUE"""),"Cloud Transformation - TMT")</f>
        <v>Cloud Transformation - TMT</v>
      </c>
      <c r="AA661" s="3" t="b">
        <f>IFERROR(__xludf.DUMMYFUNCTION("""COMPUTED_VALUE"""),FALSE)</f>
        <v>0</v>
      </c>
    </row>
    <row r="662">
      <c r="A662" s="11">
        <f>IFERROR(__xludf.DUMMYFUNCTION("""COMPUTED_VALUE"""),1.01033479E8)</f>
        <v>101033479</v>
      </c>
      <c r="B662" s="3" t="str">
        <f>IFERROR(__xludf.DUMMYFUNCTION("""COMPUTED_VALUE"""),"Todd Shores")</f>
        <v>Todd Shores</v>
      </c>
      <c r="C662" s="3" t="str">
        <f>IFERROR(__xludf.DUMMYFUNCTION("""COMPUTED_VALUE"""),"Todd David Shores")</f>
        <v>Todd David Shores</v>
      </c>
      <c r="D662" s="3" t="str">
        <f>IFERROR(__xludf.DUMMYFUNCTION("""COMPUTED_VALUE"""),"Shores, Todd David")</f>
        <v>Shores, Todd David</v>
      </c>
      <c r="E662" s="3" t="str">
        <f>IFERROR(__xludf.DUMMYFUNCTION("""COMPUTED_VALUE"""),"Active")</f>
        <v>Active</v>
      </c>
      <c r="F662" s="3" t="str">
        <f>IFERROR(__xludf.DUMMYFUNCTION("""COMPUTED_VALUE"""),"todd.shores@pwc.com")</f>
        <v>todd.shores@pwc.com</v>
      </c>
      <c r="G662" s="3" t="str">
        <f>IFERROR(__xludf.DUMMYFUNCTION("""COMPUTED_VALUE"""),"Health")</f>
        <v>Health</v>
      </c>
      <c r="H662" s="3" t="str">
        <f>IFERROR(__xludf.DUMMYFUNCTION("""COMPUTED_VALUE"""),"Health Services")</f>
        <v>Health Services</v>
      </c>
      <c r="I662" s="3" t="str">
        <f>IFERROR(__xludf.DUMMYFUNCTION("""COMPUTED_VALUE"""),"Health - Provider Revenue Cycle")</f>
        <v>Health - Provider Revenue Cycle</v>
      </c>
      <c r="J662" s="3" t="str">
        <f>IFERROR(__xludf.DUMMYFUNCTION("""COMPUTED_VALUE"""),"Partner")</f>
        <v>Partner</v>
      </c>
      <c r="K662" s="12">
        <f>IFERROR(__xludf.DUMMYFUNCTION("""COMPUTED_VALUE"""),44166.0)</f>
        <v>44166</v>
      </c>
      <c r="L662" s="3" t="str">
        <f>IFERROR(__xludf.DUMMYFUNCTION("""COMPUTED_VALUE"""),"Dallas")</f>
        <v>Dallas</v>
      </c>
      <c r="M662" s="3" t="str">
        <f>IFERROR(__xludf.DUMMYFUNCTION("""COMPUTED_VALUE"""),"Dallas - 2121 North Pearl Street")</f>
        <v>Dallas - 2121 North Pearl Street</v>
      </c>
      <c r="N662" s="3" t="b">
        <f>IFERROR(__xludf.DUMMYFUNCTION("""COMPUTED_VALUE"""),FALSE)</f>
        <v>0</v>
      </c>
      <c r="O662" s="3" t="str">
        <f>IFERROR(__xludf.DUMMYFUNCTION("""COMPUTED_VALUE"""),"craig.e.gooch@pwc.com")</f>
        <v>craig.e.gooch@pwc.com</v>
      </c>
      <c r="P662" s="3" t="str">
        <f>IFERROR(__xludf.DUMMYFUNCTION("""COMPUTED_VALUE"""),"FY21 1st Half")</f>
        <v>FY21 1st Half</v>
      </c>
      <c r="Q662" s="3" t="b">
        <f>IFERROR(__xludf.DUMMYFUNCTION("""COMPUTED_VALUE"""),FALSE)</f>
        <v>0</v>
      </c>
      <c r="R662" s="3"/>
      <c r="S662" s="3"/>
      <c r="T662" s="3" t="b">
        <f>IFERROR(__xludf.DUMMYFUNCTION("""COMPUTED_VALUE"""),FALSE)</f>
        <v>0</v>
      </c>
      <c r="U662" s="3" t="b">
        <f>IFERROR(__xludf.DUMMYFUNCTION("""COMPUTED_VALUE"""),TRUE)</f>
        <v>1</v>
      </c>
      <c r="V662" s="3" t="b">
        <f>IFERROR(__xludf.DUMMYFUNCTION("""COMPUTED_VALUE"""),FALSE)</f>
        <v>0</v>
      </c>
      <c r="W662" s="3" t="str">
        <f>IFERROR(__xludf.DUMMYFUNCTION("""COMPUTED_VALUE"""),"Catalyst")</f>
        <v>Catalyst</v>
      </c>
      <c r="X662" s="3"/>
      <c r="Y662" s="3" t="str">
        <f>IFERROR(__xludf.DUMMYFUNCTION("""COMPUTED_VALUE"""),"FY21 1st Half")</f>
        <v>FY21 1st Half</v>
      </c>
      <c r="Z662" s="3" t="str">
        <f>IFERROR(__xludf.DUMMYFUNCTION("""COMPUTED_VALUE"""),"Provider Transformation")</f>
        <v>Provider Transformation</v>
      </c>
      <c r="AA662" s="3" t="b">
        <f>IFERROR(__xludf.DUMMYFUNCTION("""COMPUTED_VALUE"""),FALSE)</f>
        <v>0</v>
      </c>
    </row>
    <row r="663">
      <c r="A663" s="11">
        <f>IFERROR(__xludf.DUMMYFUNCTION("""COMPUTED_VALUE"""),1.01218675E8)</f>
        <v>101218675</v>
      </c>
      <c r="B663" s="3" t="str">
        <f>IFERROR(__xludf.DUMMYFUNCTION("""COMPUTED_VALUE"""),"Tom Savage")</f>
        <v>Tom Savage</v>
      </c>
      <c r="C663" s="3" t="str">
        <f>IFERROR(__xludf.DUMMYFUNCTION("""COMPUTED_VALUE"""),"Thomas Desmond Savage")</f>
        <v>Thomas Desmond Savage</v>
      </c>
      <c r="D663" s="3" t="str">
        <f>IFERROR(__xludf.DUMMYFUNCTION("""COMPUTED_VALUE"""),"Savage, Thomas Desmond")</f>
        <v>Savage, Thomas Desmond</v>
      </c>
      <c r="E663" s="3" t="str">
        <f>IFERROR(__xludf.DUMMYFUNCTION("""COMPUTED_VALUE"""),"Active")</f>
        <v>Active</v>
      </c>
      <c r="F663" s="3" t="str">
        <f>IFERROR(__xludf.DUMMYFUNCTION("""COMPUTED_VALUE"""),"tom.savage@pwc.com")</f>
        <v>tom.savage@pwc.com</v>
      </c>
      <c r="G663" s="3" t="str">
        <f>IFERROR(__xludf.DUMMYFUNCTION("""COMPUTED_VALUE"""),"FS")</f>
        <v>FS</v>
      </c>
      <c r="H663" s="3" t="str">
        <f>IFERROR(__xludf.DUMMYFUNCTION("""COMPUTED_VALUE"""),"Banking and Capital Markets")</f>
        <v>Banking and Capital Markets</v>
      </c>
      <c r="I663" s="3" t="str">
        <f>IFERROR(__xludf.DUMMYFUNCTION("""COMPUTED_VALUE"""),"FS - Banking and Capital Markets")</f>
        <v>FS - Banking and Capital Markets</v>
      </c>
      <c r="J663" s="3" t="str">
        <f>IFERROR(__xludf.DUMMYFUNCTION("""COMPUTED_VALUE"""),"Managing Director")</f>
        <v>Managing Director</v>
      </c>
      <c r="K663" s="12">
        <f>IFERROR(__xludf.DUMMYFUNCTION("""COMPUTED_VALUE"""),44662.0)</f>
        <v>44662</v>
      </c>
      <c r="L663" s="3" t="str">
        <f>IFERROR(__xludf.DUMMYFUNCTION("""COMPUTED_VALUE"""),"New York")</f>
        <v>New York</v>
      </c>
      <c r="M663" s="3" t="str">
        <f>IFERROR(__xludf.DUMMYFUNCTION("""COMPUTED_VALUE"""),"#N/A")</f>
        <v>#N/A</v>
      </c>
      <c r="N663" s="3" t="b">
        <f>IFERROR(__xludf.DUMMYFUNCTION("""COMPUTED_VALUE"""),FALSE)</f>
        <v>0</v>
      </c>
      <c r="O663" s="3" t="str">
        <f>IFERROR(__xludf.DUMMYFUNCTION("""COMPUTED_VALUE"""),"")</f>
        <v/>
      </c>
      <c r="P663" s="3" t="str">
        <f>IFERROR(__xludf.DUMMYFUNCTION("""COMPUTED_VALUE"""),"FY22")</f>
        <v>FY22</v>
      </c>
      <c r="Q663" s="3" t="b">
        <f>IFERROR(__xludf.DUMMYFUNCTION("""COMPUTED_VALUE"""),FALSE)</f>
        <v>0</v>
      </c>
      <c r="R663" s="3" t="str">
        <f>IFERROR(__xludf.DUMMYFUNCTION("""COMPUTED_VALUE"""),"Unknown")</f>
        <v>Unknown</v>
      </c>
      <c r="S663" s="3"/>
      <c r="T663" s="3" t="b">
        <f>IFERROR(__xludf.DUMMYFUNCTION("""COMPUTED_VALUE"""),FALSE)</f>
        <v>0</v>
      </c>
      <c r="U663" s="3" t="b">
        <f>IFERROR(__xludf.DUMMYFUNCTION("""COMPUTED_VALUE"""),TRUE)</f>
        <v>1</v>
      </c>
      <c r="V663" s="3" t="b">
        <f>IFERROR(__xludf.DUMMYFUNCTION("""COMPUTED_VALUE"""),FALSE)</f>
        <v>0</v>
      </c>
      <c r="W663" s="3" t="str">
        <f>IFERROR(__xludf.DUMMYFUNCTION("""COMPUTED_VALUE"""),"Catalyst")</f>
        <v>Catalyst</v>
      </c>
      <c r="X663" s="3" t="str">
        <f>IFERROR(__xludf.DUMMYFUNCTION("""COMPUTED_VALUE"""),"Unknown")</f>
        <v>Unknown</v>
      </c>
      <c r="Y663" s="3" t="str">
        <f>IFERROR(__xludf.DUMMYFUNCTION("""COMPUTED_VALUE"""),"FY22")</f>
        <v>FY22</v>
      </c>
      <c r="Z663" s="3" t="str">
        <f>IFERROR(__xludf.DUMMYFUNCTION("""COMPUTED_VALUE"""),"Unknown")</f>
        <v>Unknown</v>
      </c>
      <c r="AA663" s="3" t="b">
        <f>IFERROR(__xludf.DUMMYFUNCTION("""COMPUTED_VALUE"""),FALSE)</f>
        <v>0</v>
      </c>
    </row>
    <row r="664">
      <c r="A664" s="11">
        <f>IFERROR(__xludf.DUMMYFUNCTION("""COMPUTED_VALUE"""),1.00603236E8)</f>
        <v>100603236</v>
      </c>
      <c r="B664" s="3" t="str">
        <f>IFERROR(__xludf.DUMMYFUNCTION("""COMPUTED_VALUE"""),"Tony Filipe")</f>
        <v>Tony Filipe</v>
      </c>
      <c r="C664" s="3" t="str">
        <f>IFERROR(__xludf.DUMMYFUNCTION("""COMPUTED_VALUE"""),"Anibal Tony Filipe")</f>
        <v>Anibal Tony Filipe</v>
      </c>
      <c r="D664" s="3" t="str">
        <f>IFERROR(__xludf.DUMMYFUNCTION("""COMPUTED_VALUE"""),"Filipe, Anibal Tony")</f>
        <v>Filipe, Anibal Tony</v>
      </c>
      <c r="E664" s="3" t="str">
        <f>IFERROR(__xludf.DUMMYFUNCTION("""COMPUTED_VALUE"""),"Active")</f>
        <v>Active</v>
      </c>
      <c r="F664" s="3" t="str">
        <f>IFERROR(__xludf.DUMMYFUNCTION("""COMPUTED_VALUE"""),"tony.filipe@pwc.com")</f>
        <v>tony.filipe@pwc.com</v>
      </c>
      <c r="G664" s="3" t="str">
        <f>IFERROR(__xludf.DUMMYFUNCTION("""COMPUTED_VALUE"""),"Deals Transformation")</f>
        <v>Deals Transformation</v>
      </c>
      <c r="H664" s="3" t="str">
        <f>IFERROR(__xludf.DUMMYFUNCTION("""COMPUTED_VALUE"""),"CM X-Sector")</f>
        <v>CM X-Sector</v>
      </c>
      <c r="I664" s="3" t="str">
        <f>IFERROR(__xludf.DUMMYFUNCTION("""COMPUTED_VALUE"""),"DDV - IT")</f>
        <v>DDV - IT</v>
      </c>
      <c r="J664" s="3" t="str">
        <f>IFERROR(__xludf.DUMMYFUNCTION("""COMPUTED_VALUE"""),"Managing Director")</f>
        <v>Managing Director</v>
      </c>
      <c r="K664" s="12">
        <f>IFERROR(__xludf.DUMMYFUNCTION("""COMPUTED_VALUE"""),41309.0)</f>
        <v>41309</v>
      </c>
      <c r="L664" s="3" t="str">
        <f>IFERROR(__xludf.DUMMYFUNCTION("""COMPUTED_VALUE"""),"Florham Park")</f>
        <v>Florham Park</v>
      </c>
      <c r="M664" s="3" t="str">
        <f>IFERROR(__xludf.DUMMYFUNCTION("""COMPUTED_VALUE"""),"Florham Park - 400 Campus Drive")</f>
        <v>Florham Park - 400 Campus Drive</v>
      </c>
      <c r="N664" s="3" t="b">
        <f>IFERROR(__xludf.DUMMYFUNCTION("""COMPUTED_VALUE"""),FALSE)</f>
        <v>0</v>
      </c>
      <c r="O664" s="3" t="str">
        <f>IFERROR(__xludf.DUMMYFUNCTION("""COMPUTED_VALUE"""),"derek.b.townsend@pwc.com")</f>
        <v>derek.b.townsend@pwc.com</v>
      </c>
      <c r="P664" s="3" t="str">
        <f>IFERROR(__xludf.DUMMYFUNCTION("""COMPUTED_VALUE"""),"No")</f>
        <v>No</v>
      </c>
      <c r="Q664" s="3" t="b">
        <f>IFERROR(__xludf.DUMMYFUNCTION("""COMPUTED_VALUE"""),FALSE)</f>
        <v>0</v>
      </c>
      <c r="R664" s="3"/>
      <c r="S664" s="3"/>
      <c r="T664" s="3" t="b">
        <f>IFERROR(__xludf.DUMMYFUNCTION("""COMPUTED_VALUE"""),FALSE)</f>
        <v>0</v>
      </c>
      <c r="U664" s="3" t="b">
        <f>IFERROR(__xludf.DUMMYFUNCTION("""COMPUTED_VALUE"""),TRUE)</f>
        <v>1</v>
      </c>
      <c r="V664" s="3" t="b">
        <f>IFERROR(__xludf.DUMMYFUNCTION("""COMPUTED_VALUE"""),FALSE)</f>
        <v>0</v>
      </c>
      <c r="W664" s="3" t="str">
        <f>IFERROR(__xludf.DUMMYFUNCTION("""COMPUTED_VALUE"""),"Delivery")</f>
        <v>Delivery</v>
      </c>
      <c r="X664" s="3"/>
      <c r="Y664" s="3"/>
      <c r="Z664" s="3" t="str">
        <f>IFERROR(__xludf.DUMMYFUNCTION("""COMPUTED_VALUE"""),"PE M&amp;A Transformation")</f>
        <v>PE M&amp;A Transformation</v>
      </c>
      <c r="AA664" s="3" t="b">
        <f>IFERROR(__xludf.DUMMYFUNCTION("""COMPUTED_VALUE"""),FALSE)</f>
        <v>0</v>
      </c>
    </row>
    <row r="665">
      <c r="A665" s="11">
        <f>IFERROR(__xludf.DUMMYFUNCTION("""COMPUTED_VALUE"""),1.01082364E8)</f>
        <v>101082364</v>
      </c>
      <c r="B665" s="3" t="str">
        <f>IFERROR(__xludf.DUMMYFUNCTION("""COMPUTED_VALUE"""),"Trisha Swift")</f>
        <v>Trisha Swift</v>
      </c>
      <c r="C665" s="3" t="str">
        <f>IFERROR(__xludf.DUMMYFUNCTION("""COMPUTED_VALUE"""),"Trisha Nacole Swift")</f>
        <v>Trisha Nacole Swift</v>
      </c>
      <c r="D665" s="3" t="str">
        <f>IFERROR(__xludf.DUMMYFUNCTION("""COMPUTED_VALUE"""),"Swift, Trisha Nacole")</f>
        <v>Swift, Trisha Nacole</v>
      </c>
      <c r="E665" s="3" t="str">
        <f>IFERROR(__xludf.DUMMYFUNCTION("""COMPUTED_VALUE"""),"Active")</f>
        <v>Active</v>
      </c>
      <c r="F665" s="3" t="str">
        <f>IFERROR(__xludf.DUMMYFUNCTION("""COMPUTED_VALUE"""),"trisha.swift@pwc.com")</f>
        <v>trisha.swift@pwc.com</v>
      </c>
      <c r="G665" s="3" t="str">
        <f>IFERROR(__xludf.DUMMYFUNCTION("""COMPUTED_VALUE"""),"Health")</f>
        <v>Health</v>
      </c>
      <c r="H665" s="3" t="str">
        <f>IFERROR(__xludf.DUMMYFUNCTION("""COMPUTED_VALUE"""),"Health Services")</f>
        <v>Health Services</v>
      </c>
      <c r="I665" s="3" t="str">
        <f>IFERROR(__xludf.DUMMYFUNCTION("""COMPUTED_VALUE"""),"Health - Payer Clinical Transformation")</f>
        <v>Health - Payer Clinical Transformation</v>
      </c>
      <c r="J665" s="3" t="str">
        <f>IFERROR(__xludf.DUMMYFUNCTION("""COMPUTED_VALUE"""),"Managing Director")</f>
        <v>Managing Director</v>
      </c>
      <c r="K665" s="12">
        <f>IFERROR(__xludf.DUMMYFUNCTION("""COMPUTED_VALUE"""),44375.0)</f>
        <v>44375</v>
      </c>
      <c r="L665" s="3" t="str">
        <f>IFERROR(__xludf.DUMMYFUNCTION("""COMPUTED_VALUE"""),"Dallas")</f>
        <v>Dallas</v>
      </c>
      <c r="M665" s="3" t="str">
        <f>IFERROR(__xludf.DUMMYFUNCTION("""COMPUTED_VALUE"""),"Dallas - 2121 North Pearl Street")</f>
        <v>Dallas - 2121 North Pearl Street</v>
      </c>
      <c r="N665" s="3" t="b">
        <f>IFERROR(__xludf.DUMMYFUNCTION("""COMPUTED_VALUE"""),FALSE)</f>
        <v>0</v>
      </c>
      <c r="O665" s="3" t="str">
        <f>IFERROR(__xludf.DUMMYFUNCTION("""COMPUTED_VALUE"""),"thom.bales@pwc.com")</f>
        <v>thom.bales@pwc.com</v>
      </c>
      <c r="P665" s="3" t="str">
        <f>IFERROR(__xludf.DUMMYFUNCTION("""COMPUTED_VALUE"""),"FY21 2nd Half")</f>
        <v>FY21 2nd Half</v>
      </c>
      <c r="Q665" s="3" t="b">
        <f>IFERROR(__xludf.DUMMYFUNCTION("""COMPUTED_VALUE"""),FALSE)</f>
        <v>0</v>
      </c>
      <c r="R665" s="3"/>
      <c r="S665" s="3"/>
      <c r="T665" s="3" t="b">
        <f>IFERROR(__xludf.DUMMYFUNCTION("""COMPUTED_VALUE"""),FALSE)</f>
        <v>0</v>
      </c>
      <c r="U665" s="3" t="b">
        <f>IFERROR(__xludf.DUMMYFUNCTION("""COMPUTED_VALUE"""),TRUE)</f>
        <v>1</v>
      </c>
      <c r="V665" s="3" t="b">
        <f>IFERROR(__xludf.DUMMYFUNCTION("""COMPUTED_VALUE"""),FALSE)</f>
        <v>0</v>
      </c>
      <c r="W665" s="3" t="str">
        <f>IFERROR(__xludf.DUMMYFUNCTION("""COMPUTED_VALUE"""),"Catalyst")</f>
        <v>Catalyst</v>
      </c>
      <c r="X665" s="3"/>
      <c r="Y665" s="3" t="str">
        <f>IFERROR(__xludf.DUMMYFUNCTION("""COMPUTED_VALUE"""),"FY21 2nd Half")</f>
        <v>FY21 2nd Half</v>
      </c>
      <c r="Z665" s="3" t="str">
        <f>IFERROR(__xludf.DUMMYFUNCTION("""COMPUTED_VALUE"""),"Payer Transformation")</f>
        <v>Payer Transformation</v>
      </c>
      <c r="AA665" s="3" t="b">
        <f>IFERROR(__xludf.DUMMYFUNCTION("""COMPUTED_VALUE"""),FALSE)</f>
        <v>0</v>
      </c>
    </row>
    <row r="666">
      <c r="A666" s="11">
        <f>IFERROR(__xludf.DUMMYFUNCTION("""COMPUTED_VALUE"""),1.00636647E8)</f>
        <v>100636647</v>
      </c>
      <c r="B666" s="3" t="str">
        <f>IFERROR(__xludf.DUMMYFUNCTION("""COMPUTED_VALUE"""),"Ty Pittman")</f>
        <v>Ty Pittman</v>
      </c>
      <c r="C666" s="3" t="str">
        <f>IFERROR(__xludf.DUMMYFUNCTION("""COMPUTED_VALUE"""),"Ty  Pittman")</f>
        <v>Ty  Pittman</v>
      </c>
      <c r="D666" s="3" t="str">
        <f>IFERROR(__xludf.DUMMYFUNCTION("""COMPUTED_VALUE"""),"Pittman, Ty")</f>
        <v>Pittman, Ty</v>
      </c>
      <c r="E666" s="3" t="str">
        <f>IFERROR(__xludf.DUMMYFUNCTION("""COMPUTED_VALUE"""),"Active")</f>
        <v>Active</v>
      </c>
      <c r="F666" s="3" t="str">
        <f>IFERROR(__xludf.DUMMYFUNCTION("""COMPUTED_VALUE"""),"ty.d.pittman@pwc.com")</f>
        <v>ty.d.pittman@pwc.com</v>
      </c>
      <c r="G666" s="3" t="str">
        <f>IFERROR(__xludf.DUMMYFUNCTION("""COMPUTED_VALUE"""),"Deals Transformation")</f>
        <v>Deals Transformation</v>
      </c>
      <c r="H666" s="3" t="str">
        <f>IFERROR(__xludf.DUMMYFUNCTION("""COMPUTED_VALUE"""),"TMT X-Sector")</f>
        <v>TMT X-Sector</v>
      </c>
      <c r="I666" s="3" t="str">
        <f>IFERROR(__xludf.DUMMYFUNCTION("""COMPUTED_VALUE"""),"DDV - ISD (Integration, Separation, Divestitures)")</f>
        <v>DDV - ISD (Integration, Separation, Divestitures)</v>
      </c>
      <c r="J666" s="3" t="str">
        <f>IFERROR(__xludf.DUMMYFUNCTION("""COMPUTED_VALUE"""),"Partner")</f>
        <v>Partner</v>
      </c>
      <c r="K666" s="12">
        <f>IFERROR(__xludf.DUMMYFUNCTION("""COMPUTED_VALUE"""),40049.0)</f>
        <v>40049</v>
      </c>
      <c r="L666" s="3" t="str">
        <f>IFERROR(__xludf.DUMMYFUNCTION("""COMPUTED_VALUE"""),"Chicago")</f>
        <v>Chicago</v>
      </c>
      <c r="M666" s="3" t="str">
        <f>IFERROR(__xludf.DUMMYFUNCTION("""COMPUTED_VALUE"""),"Chicago - One North Wacker Drive")</f>
        <v>Chicago - One North Wacker Drive</v>
      </c>
      <c r="N666" s="3" t="b">
        <f>IFERROR(__xludf.DUMMYFUNCTION("""COMPUTED_VALUE"""),FALSE)</f>
        <v>0</v>
      </c>
      <c r="O666" s="3" t="str">
        <f>IFERROR(__xludf.DUMMYFUNCTION("""COMPUTED_VALUE"""),"derek.b.townsend@pwc.com")</f>
        <v>derek.b.townsend@pwc.com</v>
      </c>
      <c r="P666" s="3" t="str">
        <f>IFERROR(__xludf.DUMMYFUNCTION("""COMPUTED_VALUE"""),"No")</f>
        <v>No</v>
      </c>
      <c r="Q666" s="3" t="b">
        <f>IFERROR(__xludf.DUMMYFUNCTION("""COMPUTED_VALUE"""),FALSE)</f>
        <v>0</v>
      </c>
      <c r="R666" s="3"/>
      <c r="S666" s="3"/>
      <c r="T666" s="3" t="b">
        <f>IFERROR(__xludf.DUMMYFUNCTION("""COMPUTED_VALUE"""),FALSE)</f>
        <v>0</v>
      </c>
      <c r="U666" s="3" t="b">
        <f>IFERROR(__xludf.DUMMYFUNCTION("""COMPUTED_VALUE"""),TRUE)</f>
        <v>1</v>
      </c>
      <c r="V666" s="3" t="b">
        <f>IFERROR(__xludf.DUMMYFUNCTION("""COMPUTED_VALUE"""),FALSE)</f>
        <v>0</v>
      </c>
      <c r="W666" s="3" t="str">
        <f>IFERROR(__xludf.DUMMYFUNCTION("""COMPUTED_VALUE"""),"Delivery")</f>
        <v>Delivery</v>
      </c>
      <c r="X666" s="3"/>
      <c r="Y666" s="3"/>
      <c r="Z666" s="3" t="str">
        <f>IFERROR(__xludf.DUMMYFUNCTION("""COMPUTED_VALUE"""),"Corporate M&amp;A Transformation - TMT")</f>
        <v>Corporate M&amp;A Transformation - TMT</v>
      </c>
      <c r="AA666" s="3" t="b">
        <f>IFERROR(__xludf.DUMMYFUNCTION("""COMPUTED_VALUE"""),FALSE)</f>
        <v>0</v>
      </c>
    </row>
    <row r="667">
      <c r="A667" s="11">
        <f>IFERROR(__xludf.DUMMYFUNCTION("""COMPUTED_VALUE"""),1.01186492E8)</f>
        <v>101186492</v>
      </c>
      <c r="B667" s="3" t="str">
        <f>IFERROR(__xludf.DUMMYFUNCTION("""COMPUTED_VALUE"""),"Varun Joshi")</f>
        <v>Varun Joshi</v>
      </c>
      <c r="C667" s="3" t="str">
        <f>IFERROR(__xludf.DUMMYFUNCTION("""COMPUTED_VALUE"""),"Varun  Joshi")</f>
        <v>Varun  Joshi</v>
      </c>
      <c r="D667" s="3" t="str">
        <f>IFERROR(__xludf.DUMMYFUNCTION("""COMPUTED_VALUE"""),"Joshi, Varun")</f>
        <v>Joshi, Varun</v>
      </c>
      <c r="E667" s="3" t="str">
        <f>IFERROR(__xludf.DUMMYFUNCTION("""COMPUTED_VALUE"""),"Active")</f>
        <v>Active</v>
      </c>
      <c r="F667" s="3" t="str">
        <f>IFERROR(__xludf.DUMMYFUNCTION("""COMPUTED_VALUE"""),"joshi.varun@pwc.com")</f>
        <v>joshi.varun@pwc.com</v>
      </c>
      <c r="G667" s="3" t="str">
        <f>IFERROR(__xludf.DUMMYFUNCTION("""COMPUTED_VALUE"""),"Deals Transformation")</f>
        <v>Deals Transformation</v>
      </c>
      <c r="H667" s="3" t="str">
        <f>IFERROR(__xludf.DUMMYFUNCTION("""COMPUTED_VALUE"""),"PE-SIF X Sector")</f>
        <v>PE-SIF X Sector</v>
      </c>
      <c r="I667" s="3" t="str">
        <f>IFERROR(__xludf.DUMMYFUNCTION("""COMPUTED_VALUE"""),"DDV - IT")</f>
        <v>DDV - IT</v>
      </c>
      <c r="J667" s="3" t="str">
        <f>IFERROR(__xludf.DUMMYFUNCTION("""COMPUTED_VALUE"""),"Partner")</f>
        <v>Partner</v>
      </c>
      <c r="K667" s="12">
        <f>IFERROR(__xludf.DUMMYFUNCTION("""COMPUTED_VALUE"""),44579.0)</f>
        <v>44579</v>
      </c>
      <c r="L667" s="3" t="str">
        <f>IFERROR(__xludf.DUMMYFUNCTION("""COMPUTED_VALUE"""),"San Francisco")</f>
        <v>San Francisco</v>
      </c>
      <c r="M667" s="3" t="str">
        <f>IFERROR(__xludf.DUMMYFUNCTION("""COMPUTED_VALUE"""),"San Francisco - 405 Howard St")</f>
        <v>San Francisco - 405 Howard St</v>
      </c>
      <c r="N667" s="3" t="b">
        <f>IFERROR(__xludf.DUMMYFUNCTION("""COMPUTED_VALUE"""),FALSE)</f>
        <v>0</v>
      </c>
      <c r="O667" s="3" t="str">
        <f>IFERROR(__xludf.DUMMYFUNCTION("""COMPUTED_VALUE"""),"derek.b.townsend@pwc.com")</f>
        <v>derek.b.townsend@pwc.com</v>
      </c>
      <c r="P667" s="3" t="str">
        <f>IFERROR(__xludf.DUMMYFUNCTION("""COMPUTED_VALUE"""),"FY22")</f>
        <v>FY22</v>
      </c>
      <c r="Q667" s="3" t="b">
        <f>IFERROR(__xludf.DUMMYFUNCTION("""COMPUTED_VALUE"""),FALSE)</f>
        <v>0</v>
      </c>
      <c r="R667" s="3"/>
      <c r="S667" s="3"/>
      <c r="T667" s="3" t="b">
        <f>IFERROR(__xludf.DUMMYFUNCTION("""COMPUTED_VALUE"""),FALSE)</f>
        <v>0</v>
      </c>
      <c r="U667" s="3" t="b">
        <f>IFERROR(__xludf.DUMMYFUNCTION("""COMPUTED_VALUE"""),TRUE)</f>
        <v>1</v>
      </c>
      <c r="V667" s="3" t="b">
        <f>IFERROR(__xludf.DUMMYFUNCTION("""COMPUTED_VALUE"""),FALSE)</f>
        <v>0</v>
      </c>
      <c r="W667" s="3" t="str">
        <f>IFERROR(__xludf.DUMMYFUNCTION("""COMPUTED_VALUE"""),"Catalyst")</f>
        <v>Catalyst</v>
      </c>
      <c r="X667" s="3"/>
      <c r="Y667" s="3" t="str">
        <f>IFERROR(__xludf.DUMMYFUNCTION("""COMPUTED_VALUE"""),"FY22")</f>
        <v>FY22</v>
      </c>
      <c r="Z667" s="3" t="str">
        <f>IFERROR(__xludf.DUMMYFUNCTION("""COMPUTED_VALUE"""),"")</f>
        <v/>
      </c>
      <c r="AA667" s="3" t="b">
        <f>IFERROR(__xludf.DUMMYFUNCTION("""COMPUTED_VALUE"""),FALSE)</f>
        <v>0</v>
      </c>
    </row>
    <row r="668">
      <c r="A668" s="11">
        <f>IFERROR(__xludf.DUMMYFUNCTION("""COMPUTED_VALUE"""),1.00651094E8)</f>
        <v>100651094</v>
      </c>
      <c r="B668" s="3" t="str">
        <f>IFERROR(__xludf.DUMMYFUNCTION("""COMPUTED_VALUE"""),"Varun Sharma")</f>
        <v>Varun Sharma</v>
      </c>
      <c r="C668" s="3" t="str">
        <f>IFERROR(__xludf.DUMMYFUNCTION("""COMPUTED_VALUE"""),"Varun  Sharma")</f>
        <v>Varun  Sharma</v>
      </c>
      <c r="D668" s="3" t="str">
        <f>IFERROR(__xludf.DUMMYFUNCTION("""COMPUTED_VALUE"""),"Sharma, Varun")</f>
        <v>Sharma, Varun</v>
      </c>
      <c r="E668" s="3" t="str">
        <f>IFERROR(__xludf.DUMMYFUNCTION("""COMPUTED_VALUE"""),"Active")</f>
        <v>Active</v>
      </c>
      <c r="F668" s="3" t="str">
        <f>IFERROR(__xludf.DUMMYFUNCTION("""COMPUTED_VALUE"""),"varun.a.sharma@pwc.com")</f>
        <v>varun.a.sharma@pwc.com</v>
      </c>
      <c r="G668" s="3" t="str">
        <f>IFERROR(__xludf.DUMMYFUNCTION("""COMPUTED_VALUE"""),"ESV")</f>
        <v>ESV</v>
      </c>
      <c r="H668" s="3" t="str">
        <f>IFERROR(__xludf.DUMMYFUNCTION("""COMPUTED_VALUE"""),"Insurance")</f>
        <v>Insurance</v>
      </c>
      <c r="I668" s="3" t="str">
        <f>IFERROR(__xludf.DUMMYFUNCTION("""COMPUTED_VALUE"""),"ESV - Insurance")</f>
        <v>ESV - Insurance</v>
      </c>
      <c r="J668" s="3" t="str">
        <f>IFERROR(__xludf.DUMMYFUNCTION("""COMPUTED_VALUE"""),"Partner")</f>
        <v>Partner</v>
      </c>
      <c r="K668" s="12">
        <f>IFERROR(__xludf.DUMMYFUNCTION("""COMPUTED_VALUE"""),42186.0)</f>
        <v>42186</v>
      </c>
      <c r="L668" s="3" t="str">
        <f>IFERROR(__xludf.DUMMYFUNCTION("""COMPUTED_VALUE"""),"Chicago")</f>
        <v>Chicago</v>
      </c>
      <c r="M668" s="3" t="str">
        <f>IFERROR(__xludf.DUMMYFUNCTION("""COMPUTED_VALUE"""),"Chicago - One North Wacker Drive")</f>
        <v>Chicago - One North Wacker Drive</v>
      </c>
      <c r="N668" s="3" t="b">
        <f>IFERROR(__xludf.DUMMYFUNCTION("""COMPUTED_VALUE"""),FALSE)</f>
        <v>0</v>
      </c>
      <c r="O668" s="3" t="str">
        <f>IFERROR(__xludf.DUMMYFUNCTION("""COMPUTED_VALUE"""),"sundar.subramanian@pwc.com")</f>
        <v>sundar.subramanian@pwc.com</v>
      </c>
      <c r="P668" s="3" t="str">
        <f>IFERROR(__xludf.DUMMYFUNCTION("""COMPUTED_VALUE"""),"No")</f>
        <v>No</v>
      </c>
      <c r="Q668" s="3" t="b">
        <f>IFERROR(__xludf.DUMMYFUNCTION("""COMPUTED_VALUE"""),FALSE)</f>
        <v>0</v>
      </c>
      <c r="R668" s="3"/>
      <c r="S668" s="3"/>
      <c r="T668" s="3" t="b">
        <f>IFERROR(__xludf.DUMMYFUNCTION("""COMPUTED_VALUE"""),FALSE)</f>
        <v>0</v>
      </c>
      <c r="U668" s="3" t="b">
        <f>IFERROR(__xludf.DUMMYFUNCTION("""COMPUTED_VALUE"""),TRUE)</f>
        <v>1</v>
      </c>
      <c r="V668" s="3" t="b">
        <f>IFERROR(__xludf.DUMMYFUNCTION("""COMPUTED_VALUE"""),FALSE)</f>
        <v>0</v>
      </c>
      <c r="W668" s="3" t="str">
        <f>IFERROR(__xludf.DUMMYFUNCTION("""COMPUTED_VALUE"""),"Delivery")</f>
        <v>Delivery</v>
      </c>
      <c r="X668" s="3"/>
      <c r="Y668" s="3"/>
      <c r="Z668" s="3" t="str">
        <f>IFERROR(__xludf.DUMMYFUNCTION("""COMPUTED_VALUE"""),"Enterprise Digital Transformation - Insurance")</f>
        <v>Enterprise Digital Transformation - Insurance</v>
      </c>
      <c r="AA668" s="3" t="b">
        <f>IFERROR(__xludf.DUMMYFUNCTION("""COMPUTED_VALUE"""),FALSE)</f>
        <v>0</v>
      </c>
    </row>
    <row r="669">
      <c r="A669" s="11">
        <f>IFERROR(__xludf.DUMMYFUNCTION("""COMPUTED_VALUE"""),1.00608247E8)</f>
        <v>100608247</v>
      </c>
      <c r="B669" s="3" t="str">
        <f>IFERROR(__xludf.DUMMYFUNCTION("""COMPUTED_VALUE"""),"Vaughn Kauffman")</f>
        <v>Vaughn Kauffman</v>
      </c>
      <c r="C669" s="3" t="str">
        <f>IFERROR(__xludf.DUMMYFUNCTION("""COMPUTED_VALUE"""),"Vaughn Anthony Kauffman")</f>
        <v>Vaughn Anthony Kauffman</v>
      </c>
      <c r="D669" s="3" t="str">
        <f>IFERROR(__xludf.DUMMYFUNCTION("""COMPUTED_VALUE"""),"Kauffman, Vaughn Anthony")</f>
        <v>Kauffman, Vaughn Anthony</v>
      </c>
      <c r="E669" s="3" t="str">
        <f>IFERROR(__xludf.DUMMYFUNCTION("""COMPUTED_VALUE"""),"Active")</f>
        <v>Active</v>
      </c>
      <c r="F669" s="3" t="str">
        <f>IFERROR(__xludf.DUMMYFUNCTION("""COMPUTED_VALUE"""),"vaughn.a.kauffman@pwc.com")</f>
        <v>vaughn.a.kauffman@pwc.com</v>
      </c>
      <c r="G669" s="3" t="str">
        <f>IFERROR(__xludf.DUMMYFUNCTION("""COMPUTED_VALUE"""),"Health")</f>
        <v>Health</v>
      </c>
      <c r="H669" s="3" t="str">
        <f>IFERROR(__xludf.DUMMYFUNCTION("""COMPUTED_VALUE"""),"Health Services")</f>
        <v>Health Services</v>
      </c>
      <c r="I669" s="3" t="str">
        <f>IFERROR(__xludf.DUMMYFUNCTION("""COMPUTED_VALUE"""),"Health - Health Analytics")</f>
        <v>Health - Health Analytics</v>
      </c>
      <c r="J669" s="3" t="str">
        <f>IFERROR(__xludf.DUMMYFUNCTION("""COMPUTED_VALUE"""),"Partner")</f>
        <v>Partner</v>
      </c>
      <c r="K669" s="12">
        <f>IFERROR(__xludf.DUMMYFUNCTION("""COMPUTED_VALUE"""),40485.0)</f>
        <v>40485</v>
      </c>
      <c r="L669" s="3" t="str">
        <f>IFERROR(__xludf.DUMMYFUNCTION("""COMPUTED_VALUE"""),"Cleveland")</f>
        <v>Cleveland</v>
      </c>
      <c r="M669" s="3" t="str">
        <f>IFERROR(__xludf.DUMMYFUNCTION("""COMPUTED_VALUE"""),"Cleveland - 200 Public Square")</f>
        <v>Cleveland - 200 Public Square</v>
      </c>
      <c r="N669" s="3" t="b">
        <f>IFERROR(__xludf.DUMMYFUNCTION("""COMPUTED_VALUE"""),FALSE)</f>
        <v>0</v>
      </c>
      <c r="O669" s="3" t="str">
        <f>IFERROR(__xludf.DUMMYFUNCTION("""COMPUTED_VALUE"""),"craig.e.gooch@pwc.com")</f>
        <v>craig.e.gooch@pwc.com</v>
      </c>
      <c r="P669" s="3" t="str">
        <f>IFERROR(__xludf.DUMMYFUNCTION("""COMPUTED_VALUE"""),"No")</f>
        <v>No</v>
      </c>
      <c r="Q669" s="3" t="b">
        <f>IFERROR(__xludf.DUMMYFUNCTION("""COMPUTED_VALUE"""),FALSE)</f>
        <v>0</v>
      </c>
      <c r="R669" s="3"/>
      <c r="S669" s="3"/>
      <c r="T669" s="3" t="b">
        <f>IFERROR(__xludf.DUMMYFUNCTION("""COMPUTED_VALUE"""),FALSE)</f>
        <v>0</v>
      </c>
      <c r="U669" s="3" t="b">
        <f>IFERROR(__xludf.DUMMYFUNCTION("""COMPUTED_VALUE"""),TRUE)</f>
        <v>1</v>
      </c>
      <c r="V669" s="3" t="b">
        <f>IFERROR(__xludf.DUMMYFUNCTION("""COMPUTED_VALUE"""),FALSE)</f>
        <v>0</v>
      </c>
      <c r="W669" s="3" t="str">
        <f>IFERROR(__xludf.DUMMYFUNCTION("""COMPUTED_VALUE"""),"Delivery")</f>
        <v>Delivery</v>
      </c>
      <c r="X669" s="3"/>
      <c r="Y669" s="3"/>
      <c r="Z669" s="3" t="str">
        <f>IFERROR(__xludf.DUMMYFUNCTION("""COMPUTED_VALUE"""),"Payer Transformation")</f>
        <v>Payer Transformation</v>
      </c>
      <c r="AA669" s="3" t="b">
        <f>IFERROR(__xludf.DUMMYFUNCTION("""COMPUTED_VALUE"""),FALSE)</f>
        <v>0</v>
      </c>
    </row>
    <row r="670">
      <c r="A670" s="11">
        <f>IFERROR(__xludf.DUMMYFUNCTION("""COMPUTED_VALUE"""),1.01198692E8)</f>
        <v>101198692</v>
      </c>
      <c r="B670" s="3" t="str">
        <f>IFERROR(__xludf.DUMMYFUNCTION("""COMPUTED_VALUE"""),"Venkat Swaminathan")</f>
        <v>Venkat Swaminathan</v>
      </c>
      <c r="C670" s="3" t="str">
        <f>IFERROR(__xludf.DUMMYFUNCTION("""COMPUTED_VALUE"""),"Venkat  Swaminathan")</f>
        <v>Venkat  Swaminathan</v>
      </c>
      <c r="D670" s="3" t="str">
        <f>IFERROR(__xludf.DUMMYFUNCTION("""COMPUTED_VALUE"""),"Swaminathan, Venkat")</f>
        <v>Swaminathan, Venkat</v>
      </c>
      <c r="E670" s="3" t="str">
        <f>IFERROR(__xludf.DUMMYFUNCTION("""COMPUTED_VALUE"""),"Active")</f>
        <v>Active</v>
      </c>
      <c r="F670" s="3" t="str">
        <f>IFERROR(__xludf.DUMMYFUNCTION("""COMPUTED_VALUE"""),"venkat.swaminathan@pwc.com")</f>
        <v>venkat.swaminathan@pwc.com</v>
      </c>
      <c r="G670" s="3" t="str">
        <f>IFERROR(__xludf.DUMMYFUNCTION("""COMPUTED_VALUE"""),"Deals Transformation")</f>
        <v>Deals Transformation</v>
      </c>
      <c r="H670" s="3" t="str">
        <f>IFERROR(__xludf.DUMMYFUNCTION("""COMPUTED_VALUE"""),"TMT X-Sector")</f>
        <v>TMT X-Sector</v>
      </c>
      <c r="I670" s="3" t="str">
        <f>IFERROR(__xludf.DUMMYFUNCTION("""COMPUTED_VALUE"""),"DDV - Finance")</f>
        <v>DDV - Finance</v>
      </c>
      <c r="J670" s="3" t="str">
        <f>IFERROR(__xludf.DUMMYFUNCTION("""COMPUTED_VALUE"""),"Partner")</f>
        <v>Partner</v>
      </c>
      <c r="K670" s="12">
        <f>IFERROR(__xludf.DUMMYFUNCTION("""COMPUTED_VALUE"""),44606.0)</f>
        <v>44606</v>
      </c>
      <c r="L670" s="3" t="str">
        <f>IFERROR(__xludf.DUMMYFUNCTION("""COMPUTED_VALUE"""),"Boston")</f>
        <v>Boston</v>
      </c>
      <c r="M670" s="3" t="str">
        <f>IFERROR(__xludf.DUMMYFUNCTION("""COMPUTED_VALUE"""),"Boston - 101 Seaport Boulevard")</f>
        <v>Boston - 101 Seaport Boulevard</v>
      </c>
      <c r="N670" s="3" t="b">
        <f>IFERROR(__xludf.DUMMYFUNCTION("""COMPUTED_VALUE"""),FALSE)</f>
        <v>0</v>
      </c>
      <c r="O670" s="3" t="str">
        <f>IFERROR(__xludf.DUMMYFUNCTION("""COMPUTED_VALUE"""),"derek.b.townsend@pwc.com")</f>
        <v>derek.b.townsend@pwc.com</v>
      </c>
      <c r="P670" s="3" t="str">
        <f>IFERROR(__xludf.DUMMYFUNCTION("""COMPUTED_VALUE"""),"FY22")</f>
        <v>FY22</v>
      </c>
      <c r="Q670" s="3" t="b">
        <f>IFERROR(__xludf.DUMMYFUNCTION("""COMPUTED_VALUE"""),FALSE)</f>
        <v>0</v>
      </c>
      <c r="R670" s="3"/>
      <c r="S670" s="3"/>
      <c r="T670" s="3" t="b">
        <f>IFERROR(__xludf.DUMMYFUNCTION("""COMPUTED_VALUE"""),FALSE)</f>
        <v>0</v>
      </c>
      <c r="U670" s="3" t="b">
        <f>IFERROR(__xludf.DUMMYFUNCTION("""COMPUTED_VALUE"""),TRUE)</f>
        <v>1</v>
      </c>
      <c r="V670" s="3" t="b">
        <f>IFERROR(__xludf.DUMMYFUNCTION("""COMPUTED_VALUE"""),FALSE)</f>
        <v>0</v>
      </c>
      <c r="W670" s="3" t="str">
        <f>IFERROR(__xludf.DUMMYFUNCTION("""COMPUTED_VALUE"""),"Catalyst")</f>
        <v>Catalyst</v>
      </c>
      <c r="X670" s="3"/>
      <c r="Y670" s="3" t="str">
        <f>IFERROR(__xludf.DUMMYFUNCTION("""COMPUTED_VALUE"""),"FY22")</f>
        <v>FY22</v>
      </c>
      <c r="Z670" s="3" t="str">
        <f>IFERROR(__xludf.DUMMYFUNCTION("""COMPUTED_VALUE"""),"")</f>
        <v/>
      </c>
      <c r="AA670" s="3" t="b">
        <f>IFERROR(__xludf.DUMMYFUNCTION("""COMPUTED_VALUE"""),FALSE)</f>
        <v>0</v>
      </c>
    </row>
    <row r="671">
      <c r="A671" s="11">
        <f>IFERROR(__xludf.DUMMYFUNCTION("""COMPUTED_VALUE"""),1.00623248E8)</f>
        <v>100623248</v>
      </c>
      <c r="B671" s="3" t="str">
        <f>IFERROR(__xludf.DUMMYFUNCTION("""COMPUTED_VALUE"""),"Verawaty Sudjono")</f>
        <v>Verawaty Sudjono</v>
      </c>
      <c r="C671" s="3" t="str">
        <f>IFERROR(__xludf.DUMMYFUNCTION("""COMPUTED_VALUE"""),"Verawaty  Sudjono")</f>
        <v>Verawaty  Sudjono</v>
      </c>
      <c r="D671" s="3" t="str">
        <f>IFERROR(__xludf.DUMMYFUNCTION("""COMPUTED_VALUE"""),"Sudjono, Verawaty")</f>
        <v>Sudjono, Verawaty</v>
      </c>
      <c r="E671" s="3" t="str">
        <f>IFERROR(__xludf.DUMMYFUNCTION("""COMPUTED_VALUE"""),"Active")</f>
        <v>Active</v>
      </c>
      <c r="F671" s="3" t="str">
        <f>IFERROR(__xludf.DUMMYFUNCTION("""COMPUTED_VALUE"""),"verawaty.sudjono@pwc.com")</f>
        <v>verawaty.sudjono@pwc.com</v>
      </c>
      <c r="G671" s="3" t="str">
        <f>IFERROR(__xludf.DUMMYFUNCTION("""COMPUTED_VALUE"""),"Deals Transformation")</f>
        <v>Deals Transformation</v>
      </c>
      <c r="H671" s="3" t="str">
        <f>IFERROR(__xludf.DUMMYFUNCTION("""COMPUTED_VALUE"""),"TMT X-Sector")</f>
        <v>TMT X-Sector</v>
      </c>
      <c r="I671" s="3" t="str">
        <f>IFERROR(__xludf.DUMMYFUNCTION("""COMPUTED_VALUE"""),"DDV - GTM")</f>
        <v>DDV - GTM</v>
      </c>
      <c r="J671" s="3" t="str">
        <f>IFERROR(__xludf.DUMMYFUNCTION("""COMPUTED_VALUE"""),"Managing Director")</f>
        <v>Managing Director</v>
      </c>
      <c r="K671" s="12">
        <f>IFERROR(__xludf.DUMMYFUNCTION("""COMPUTED_VALUE"""),38565.0)</f>
        <v>38565</v>
      </c>
      <c r="L671" s="3" t="str">
        <f>IFERROR(__xludf.DUMMYFUNCTION("""COMPUTED_VALUE"""),"San Jose")</f>
        <v>San Jose</v>
      </c>
      <c r="M671" s="3" t="str">
        <f>IFERROR(__xludf.DUMMYFUNCTION("""COMPUTED_VALUE"""),"San Jose - 488 Almaden Boulevard")</f>
        <v>San Jose - 488 Almaden Boulevard</v>
      </c>
      <c r="N671" s="3" t="b">
        <f>IFERROR(__xludf.DUMMYFUNCTION("""COMPUTED_VALUE"""),FALSE)</f>
        <v>0</v>
      </c>
      <c r="O671" s="3" t="str">
        <f>IFERROR(__xludf.DUMMYFUNCTION("""COMPUTED_VALUE"""),"paul.j.hollinger@pwc.com")</f>
        <v>paul.j.hollinger@pwc.com</v>
      </c>
      <c r="P671" s="3" t="str">
        <f>IFERROR(__xludf.DUMMYFUNCTION("""COMPUTED_VALUE"""),"No")</f>
        <v>No</v>
      </c>
      <c r="Q671" s="3" t="b">
        <f>IFERROR(__xludf.DUMMYFUNCTION("""COMPUTED_VALUE"""),FALSE)</f>
        <v>0</v>
      </c>
      <c r="R671" s="3"/>
      <c r="S671" s="3"/>
      <c r="T671" s="3" t="b">
        <f>IFERROR(__xludf.DUMMYFUNCTION("""COMPUTED_VALUE"""),FALSE)</f>
        <v>0</v>
      </c>
      <c r="U671" s="3" t="b">
        <f>IFERROR(__xludf.DUMMYFUNCTION("""COMPUTED_VALUE"""),TRUE)</f>
        <v>1</v>
      </c>
      <c r="V671" s="3" t="b">
        <f>IFERROR(__xludf.DUMMYFUNCTION("""COMPUTED_VALUE"""),FALSE)</f>
        <v>0</v>
      </c>
      <c r="W671" s="3" t="str">
        <f>IFERROR(__xludf.DUMMYFUNCTION("""COMPUTED_VALUE"""),"Delivery")</f>
        <v>Delivery</v>
      </c>
      <c r="X671" s="3"/>
      <c r="Y671" s="3"/>
      <c r="Z671" s="3" t="str">
        <f>IFERROR(__xludf.DUMMYFUNCTION("""COMPUTED_VALUE"""),"Corporate M&amp;A Transformation - TMT")</f>
        <v>Corporate M&amp;A Transformation - TMT</v>
      </c>
      <c r="AA671" s="3" t="b">
        <f>IFERROR(__xludf.DUMMYFUNCTION("""COMPUTED_VALUE"""),FALSE)</f>
        <v>0</v>
      </c>
    </row>
    <row r="672">
      <c r="A672" s="3">
        <f>IFERROR(__xludf.DUMMYFUNCTION("""COMPUTED_VALUE"""),1.00650179E8)</f>
        <v>100650179</v>
      </c>
      <c r="B672" s="3" t="str">
        <f>IFERROR(__xludf.DUMMYFUNCTION("""COMPUTED_VALUE"""),"Victoria Huff")</f>
        <v>Victoria Huff</v>
      </c>
      <c r="C672" s="3" t="str">
        <f>IFERROR(__xludf.DUMMYFUNCTION("""COMPUTED_VALUE"""),"Victoria L Huff")</f>
        <v>Victoria L Huff</v>
      </c>
      <c r="D672" s="3" t="str">
        <f>IFERROR(__xludf.DUMMYFUNCTION("""COMPUTED_VALUE"""),"Huff, Victoria L")</f>
        <v>Huff, Victoria L</v>
      </c>
      <c r="E672" s="3" t="str">
        <f>IFERROR(__xludf.DUMMYFUNCTION("""COMPUTED_VALUE"""),"Active")</f>
        <v>Active</v>
      </c>
      <c r="F672" s="3" t="str">
        <f>IFERROR(__xludf.DUMMYFUNCTION("""COMPUTED_VALUE"""),"victoria.huff@pwc.com")</f>
        <v>victoria.huff@pwc.com</v>
      </c>
      <c r="G672" s="3" t="str">
        <f>IFERROR(__xludf.DUMMYFUNCTION("""COMPUTED_VALUE"""),"Finance")</f>
        <v>Finance</v>
      </c>
      <c r="H672" s="3" t="str">
        <f>IFERROR(__xludf.DUMMYFUNCTION("""COMPUTED_VALUE"""),"TMT X-Sector")</f>
        <v>TMT X-Sector</v>
      </c>
      <c r="I672" s="3" t="str">
        <f>IFERROR(__xludf.DUMMYFUNCTION("""COMPUTED_VALUE"""),"Finance - Finance Strategy / Op Model / Global Business Services / Talent")</f>
        <v>Finance - Finance Strategy / Op Model / Global Business Services / Talent</v>
      </c>
      <c r="J672" s="3" t="str">
        <f>IFERROR(__xludf.DUMMYFUNCTION("""COMPUTED_VALUE"""),"Partner")</f>
        <v>Partner</v>
      </c>
      <c r="K672" s="12">
        <f>IFERROR(__xludf.DUMMYFUNCTION("""COMPUTED_VALUE"""),33120.0)</f>
        <v>33120</v>
      </c>
      <c r="L672" s="3" t="str">
        <f>IFERROR(__xludf.DUMMYFUNCTION("""COMPUTED_VALUE"""),"San Jose")</f>
        <v>San Jose</v>
      </c>
      <c r="M672" s="3" t="str">
        <f>IFERROR(__xludf.DUMMYFUNCTION("""COMPUTED_VALUE"""),"San Jose - 488 Almaden Boulevard")</f>
        <v>San Jose - 488 Almaden Boulevard</v>
      </c>
      <c r="N672" s="3" t="b">
        <f>IFERROR(__xludf.DUMMYFUNCTION("""COMPUTED_VALUE"""),FALSE)</f>
        <v>0</v>
      </c>
      <c r="O672" s="3" t="str">
        <f>IFERROR(__xludf.DUMMYFUNCTION("""COMPUTED_VALUE"""),"kurtis.babczenko@pwc.com")</f>
        <v>kurtis.babczenko@pwc.com</v>
      </c>
      <c r="P672" s="3" t="str">
        <f>IFERROR(__xludf.DUMMYFUNCTION("""COMPUTED_VALUE"""),"No")</f>
        <v>No</v>
      </c>
      <c r="Q672" s="3" t="b">
        <f>IFERROR(__xludf.DUMMYFUNCTION("""COMPUTED_VALUE"""),TRUE)</f>
        <v>1</v>
      </c>
      <c r="R672" s="3" t="str">
        <f>IFERROR(__xludf.DUMMYFUNCTION("""COMPUTED_VALUE"""),"LCP Low")</f>
        <v>LCP Low</v>
      </c>
      <c r="S672" s="3"/>
      <c r="T672" s="3" t="b">
        <f>IFERROR(__xludf.DUMMYFUNCTION("""COMPUTED_VALUE"""),FALSE)</f>
        <v>0</v>
      </c>
      <c r="U672" s="3" t="b">
        <f>IFERROR(__xludf.DUMMYFUNCTION("""COMPUTED_VALUE"""),FALSE)</f>
        <v>0</v>
      </c>
      <c r="V672" s="3" t="b">
        <f>IFERROR(__xludf.DUMMYFUNCTION("""COMPUTED_VALUE"""),FALSE)</f>
        <v>0</v>
      </c>
      <c r="W672" s="3" t="str">
        <f>IFERROR(__xludf.DUMMYFUNCTION("""COMPUTED_VALUE"""),"LCP")</f>
        <v>LCP</v>
      </c>
      <c r="X672" s="3"/>
      <c r="Y672" s="3" t="str">
        <f>IFERROR(__xludf.DUMMYFUNCTION("""COMPUTED_VALUE"""),"GEP - Low")</f>
        <v>GEP - Low</v>
      </c>
      <c r="Z672" s="3" t="str">
        <f>IFERROR(__xludf.DUMMYFUNCTION("""COMPUTED_VALUE"""),"Finance Transformation - TMT")</f>
        <v>Finance Transformation - TMT</v>
      </c>
      <c r="AA672" s="3" t="b">
        <f>IFERROR(__xludf.DUMMYFUNCTION("""COMPUTED_VALUE"""),FALSE)</f>
        <v>0</v>
      </c>
    </row>
    <row r="673">
      <c r="A673" s="3">
        <f>IFERROR(__xludf.DUMMYFUNCTION("""COMPUTED_VALUE"""),1.009043E8)</f>
        <v>100904300</v>
      </c>
      <c r="B673" s="3" t="str">
        <f>IFERROR(__xludf.DUMMYFUNCTION("""COMPUTED_VALUE"""),"Vikram Latawa")</f>
        <v>Vikram Latawa</v>
      </c>
      <c r="C673" s="3" t="str">
        <f>IFERROR(__xludf.DUMMYFUNCTION("""COMPUTED_VALUE"""),"Vikram  Latawa")</f>
        <v>Vikram  Latawa</v>
      </c>
      <c r="D673" s="3" t="str">
        <f>IFERROR(__xludf.DUMMYFUNCTION("""COMPUTED_VALUE"""),"Latawa, Vikram")</f>
        <v>Latawa, Vikram</v>
      </c>
      <c r="E673" s="3" t="str">
        <f>IFERROR(__xludf.DUMMYFUNCTION("""COMPUTED_VALUE"""),"Active")</f>
        <v>Active</v>
      </c>
      <c r="F673" s="3" t="str">
        <f>IFERROR(__xludf.DUMMYFUNCTION("""COMPUTED_VALUE"""),"vikram.latawa@pwc.com")</f>
        <v>vikram.latawa@pwc.com</v>
      </c>
      <c r="G673" s="3" t="str">
        <f>IFERROR(__xludf.DUMMYFUNCTION("""COMPUTED_VALUE"""),"Deals Transformation")</f>
        <v>Deals Transformation</v>
      </c>
      <c r="H673" s="3" t="str">
        <f>IFERROR(__xludf.DUMMYFUNCTION("""COMPUTED_VALUE"""),"TMT X-Sector")</f>
        <v>TMT X-Sector</v>
      </c>
      <c r="I673" s="3" t="str">
        <f>IFERROR(__xludf.DUMMYFUNCTION("""COMPUTED_VALUE"""),"DDV - IT")</f>
        <v>DDV - IT</v>
      </c>
      <c r="J673" s="3" t="str">
        <f>IFERROR(__xludf.DUMMYFUNCTION("""COMPUTED_VALUE"""),"Partner")</f>
        <v>Partner</v>
      </c>
      <c r="K673" s="3">
        <f>IFERROR(__xludf.DUMMYFUNCTION("""COMPUTED_VALUE"""),43616.0)</f>
        <v>43616</v>
      </c>
      <c r="L673" s="3" t="str">
        <f>IFERROR(__xludf.DUMMYFUNCTION("""COMPUTED_VALUE"""),"Austin")</f>
        <v>Austin</v>
      </c>
      <c r="M673" s="3" t="str">
        <f>IFERROR(__xludf.DUMMYFUNCTION("""COMPUTED_VALUE"""),"Austin - 835 West 6th Street")</f>
        <v>Austin - 835 West 6th Street</v>
      </c>
      <c r="N673" s="3" t="b">
        <f>IFERROR(__xludf.DUMMYFUNCTION("""COMPUTED_VALUE"""),FALSE)</f>
        <v>0</v>
      </c>
      <c r="O673" s="3" t="str">
        <f>IFERROR(__xludf.DUMMYFUNCTION("""COMPUTED_VALUE"""),"derek.b.townsend@pwc.com")</f>
        <v>derek.b.townsend@pwc.com</v>
      </c>
      <c r="P673" s="3" t="str">
        <f>IFERROR(__xludf.DUMMYFUNCTION("""COMPUTED_VALUE"""),"No")</f>
        <v>No</v>
      </c>
      <c r="Q673" s="3" t="b">
        <f>IFERROR(__xludf.DUMMYFUNCTION("""COMPUTED_VALUE"""),FALSE)</f>
        <v>0</v>
      </c>
      <c r="R673" s="3"/>
      <c r="S673" s="3"/>
      <c r="T673" s="3" t="b">
        <f>IFERROR(__xludf.DUMMYFUNCTION("""COMPUTED_VALUE"""),FALSE)</f>
        <v>0</v>
      </c>
      <c r="U673" s="3" t="b">
        <f>IFERROR(__xludf.DUMMYFUNCTION("""COMPUTED_VALUE"""),TRUE)</f>
        <v>1</v>
      </c>
      <c r="V673" s="3" t="b">
        <f>IFERROR(__xludf.DUMMYFUNCTION("""COMPUTED_VALUE"""),FALSE)</f>
        <v>0</v>
      </c>
      <c r="W673" s="3" t="str">
        <f>IFERROR(__xludf.DUMMYFUNCTION("""COMPUTED_VALUE"""),"Delivery")</f>
        <v>Delivery</v>
      </c>
      <c r="X673" s="3"/>
      <c r="Y673" s="3"/>
      <c r="Z673" s="3" t="str">
        <f>IFERROR(__xludf.DUMMYFUNCTION("""COMPUTED_VALUE"""),"Corporate M&amp;A Transformation - IPS")</f>
        <v>Corporate M&amp;A Transformation - IPS</v>
      </c>
      <c r="AA673" s="3" t="b">
        <f>IFERROR(__xludf.DUMMYFUNCTION("""COMPUTED_VALUE"""),FALSE)</f>
        <v>0</v>
      </c>
    </row>
    <row r="674">
      <c r="A674" s="3">
        <f>IFERROR(__xludf.DUMMYFUNCTION("""COMPUTED_VALUE"""),1.00650713E8)</f>
        <v>100650713</v>
      </c>
      <c r="B674" s="3" t="str">
        <f>IFERROR(__xludf.DUMMYFUNCTION("""COMPUTED_VALUE"""),"Vinay Couto")</f>
        <v>Vinay Couto</v>
      </c>
      <c r="C674" s="3" t="str">
        <f>IFERROR(__xludf.DUMMYFUNCTION("""COMPUTED_VALUE"""),"Vinay  Couto")</f>
        <v>Vinay  Couto</v>
      </c>
      <c r="D674" s="3" t="str">
        <f>IFERROR(__xludf.DUMMYFUNCTION("""COMPUTED_VALUE"""),"Couto, Vinay")</f>
        <v>Couto, Vinay</v>
      </c>
      <c r="E674" s="3" t="str">
        <f>IFERROR(__xludf.DUMMYFUNCTION("""COMPUTED_VALUE"""),"Active")</f>
        <v>Active</v>
      </c>
      <c r="F674" s="3" t="str">
        <f>IFERROR(__xludf.DUMMYFUNCTION("""COMPUTED_VALUE"""),"vinay.couto@pwc.com")</f>
        <v>vinay.couto@pwc.com</v>
      </c>
      <c r="G674" s="3" t="str">
        <f>IFERROR(__xludf.DUMMYFUNCTION("""COMPUTED_VALUE"""),"ESV")</f>
        <v>ESV</v>
      </c>
      <c r="H674" s="3" t="str">
        <f>IFERROR(__xludf.DUMMYFUNCTION("""COMPUTED_VALUE"""),"CM X-Sector")</f>
        <v>CM X-Sector</v>
      </c>
      <c r="I674" s="3" t="str">
        <f>IFERROR(__xludf.DUMMYFUNCTION("""COMPUTED_VALUE"""),"ESV - CM")</f>
        <v>ESV - CM</v>
      </c>
      <c r="J674" s="3" t="str">
        <f>IFERROR(__xludf.DUMMYFUNCTION("""COMPUTED_VALUE"""),"Partner")</f>
        <v>Partner</v>
      </c>
      <c r="K674" s="3">
        <f>IFERROR(__xludf.DUMMYFUNCTION("""COMPUTED_VALUE"""),42186.0)</f>
        <v>42186</v>
      </c>
      <c r="L674" s="3" t="str">
        <f>IFERROR(__xludf.DUMMYFUNCTION("""COMPUTED_VALUE"""),"Chicago")</f>
        <v>Chicago</v>
      </c>
      <c r="M674" s="3" t="str">
        <f>IFERROR(__xludf.DUMMYFUNCTION("""COMPUTED_VALUE"""),"Chicago - One North Wacker Drive")</f>
        <v>Chicago - One North Wacker Drive</v>
      </c>
      <c r="N674" s="3" t="b">
        <f>IFERROR(__xludf.DUMMYFUNCTION("""COMPUTED_VALUE"""),FALSE)</f>
        <v>0</v>
      </c>
      <c r="O674" s="3" t="str">
        <f>IFERROR(__xludf.DUMMYFUNCTION("""COMPUTED_VALUE"""),"sundar.subramanian@pwc.com")</f>
        <v>sundar.subramanian@pwc.com</v>
      </c>
      <c r="P674" s="3" t="str">
        <f>IFERROR(__xludf.DUMMYFUNCTION("""COMPUTED_VALUE"""),"No")</f>
        <v>No</v>
      </c>
      <c r="Q674" s="3" t="b">
        <f>IFERROR(__xludf.DUMMYFUNCTION("""COMPUTED_VALUE"""),FALSE)</f>
        <v>0</v>
      </c>
      <c r="R674" s="3"/>
      <c r="S674" s="3"/>
      <c r="T674" s="3" t="b">
        <f>IFERROR(__xludf.DUMMYFUNCTION("""COMPUTED_VALUE"""),FALSE)</f>
        <v>0</v>
      </c>
      <c r="U674" s="3" t="b">
        <f>IFERROR(__xludf.DUMMYFUNCTION("""COMPUTED_VALUE"""),TRUE)</f>
        <v>1</v>
      </c>
      <c r="V674" s="3" t="b">
        <f>IFERROR(__xludf.DUMMYFUNCTION("""COMPUTED_VALUE"""),FALSE)</f>
        <v>0</v>
      </c>
      <c r="W674" s="3" t="str">
        <f>IFERROR(__xludf.DUMMYFUNCTION("""COMPUTED_VALUE"""),"Delivery")</f>
        <v>Delivery</v>
      </c>
      <c r="X674" s="3"/>
      <c r="Y674" s="3"/>
      <c r="Z674" s="3" t="str">
        <f>IFERROR(__xludf.DUMMYFUNCTION("""COMPUTED_VALUE"""),"Enterprise Digital Transformation - CM &amp; IPS")</f>
        <v>Enterprise Digital Transformation - CM &amp; IPS</v>
      </c>
      <c r="AA674" s="3" t="b">
        <f>IFERROR(__xludf.DUMMYFUNCTION("""COMPUTED_VALUE"""),FALSE)</f>
        <v>0</v>
      </c>
    </row>
    <row r="675">
      <c r="A675" s="3">
        <f>IFERROR(__xludf.DUMMYFUNCTION("""COMPUTED_VALUE"""),1.01017204E8)</f>
        <v>101017204</v>
      </c>
      <c r="B675" s="3" t="str">
        <f>IFERROR(__xludf.DUMMYFUNCTION("""COMPUTED_VALUE"""),"Vincent Fries")</f>
        <v>Vincent Fries</v>
      </c>
      <c r="C675" s="3" t="str">
        <f>IFERROR(__xludf.DUMMYFUNCTION("""COMPUTED_VALUE"""),"Vincent James Fries")</f>
        <v>Vincent James Fries</v>
      </c>
      <c r="D675" s="3" t="str">
        <f>IFERROR(__xludf.DUMMYFUNCTION("""COMPUTED_VALUE"""),"Fries, Vincent James")</f>
        <v>Fries, Vincent James</v>
      </c>
      <c r="E675" s="3" t="str">
        <f>IFERROR(__xludf.DUMMYFUNCTION("""COMPUTED_VALUE"""),"Active")</f>
        <v>Active</v>
      </c>
      <c r="F675" s="3" t="str">
        <f>IFERROR(__xludf.DUMMYFUNCTION("""COMPUTED_VALUE"""),"vincent.j.fries@pwc.com")</f>
        <v>vincent.j.fries@pwc.com</v>
      </c>
      <c r="G675" s="3" t="str">
        <f>IFERROR(__xludf.DUMMYFUNCTION("""COMPUTED_VALUE"""),"FS")</f>
        <v>FS</v>
      </c>
      <c r="H675" s="3" t="str">
        <f>IFERROR(__xludf.DUMMYFUNCTION("""COMPUTED_VALUE"""),"Banking and Capital Markets")</f>
        <v>Banking and Capital Markets</v>
      </c>
      <c r="I675" s="3" t="str">
        <f>IFERROR(__xludf.DUMMYFUNCTION("""COMPUTED_VALUE"""),"FS - Banking and Capital Markets")</f>
        <v>FS - Banking and Capital Markets</v>
      </c>
      <c r="J675" s="3" t="str">
        <f>IFERROR(__xludf.DUMMYFUNCTION("""COMPUTED_VALUE"""),"Partner")</f>
        <v>Partner</v>
      </c>
      <c r="K675" s="3">
        <f>IFERROR(__xludf.DUMMYFUNCTION("""COMPUTED_VALUE"""),44088.0)</f>
        <v>44088</v>
      </c>
      <c r="L675" s="3" t="str">
        <f>IFERROR(__xludf.DUMMYFUNCTION("""COMPUTED_VALUE"""),"Chicago")</f>
        <v>Chicago</v>
      </c>
      <c r="M675" s="3" t="str">
        <f>IFERROR(__xludf.DUMMYFUNCTION("""COMPUTED_VALUE"""),"Chicago - One North Wacker Drive")</f>
        <v>Chicago - One North Wacker Drive</v>
      </c>
      <c r="N675" s="3" t="b">
        <f>IFERROR(__xludf.DUMMYFUNCTION("""COMPUTED_VALUE"""),FALSE)</f>
        <v>0</v>
      </c>
      <c r="O675" s="3" t="str">
        <f>IFERROR(__xludf.DUMMYFUNCTION("""COMPUTED_VALUE"""),"alison.hoover@pwc.com")</f>
        <v>alison.hoover@pwc.com</v>
      </c>
      <c r="P675" s="3" t="str">
        <f>IFERROR(__xludf.DUMMYFUNCTION("""COMPUTED_VALUE"""),"FY21 1st Half")</f>
        <v>FY21 1st Half</v>
      </c>
      <c r="Q675" s="3" t="b">
        <f>IFERROR(__xludf.DUMMYFUNCTION("""COMPUTED_VALUE"""),FALSE)</f>
        <v>0</v>
      </c>
      <c r="R675" s="3"/>
      <c r="S675" s="3"/>
      <c r="T675" s="3" t="b">
        <f>IFERROR(__xludf.DUMMYFUNCTION("""COMPUTED_VALUE"""),FALSE)</f>
        <v>0</v>
      </c>
      <c r="U675" s="3" t="b">
        <f>IFERROR(__xludf.DUMMYFUNCTION("""COMPUTED_VALUE"""),TRUE)</f>
        <v>1</v>
      </c>
      <c r="V675" s="3" t="b">
        <f>IFERROR(__xludf.DUMMYFUNCTION("""COMPUTED_VALUE"""),FALSE)</f>
        <v>0</v>
      </c>
      <c r="W675" s="3" t="str">
        <f>IFERROR(__xludf.DUMMYFUNCTION("""COMPUTED_VALUE"""),"Catalyst")</f>
        <v>Catalyst</v>
      </c>
      <c r="X675" s="3"/>
      <c r="Y675" s="3"/>
      <c r="Z675" s="3" t="str">
        <f>IFERROR(__xludf.DUMMYFUNCTION("""COMPUTED_VALUE"""),"Banking Transformation")</f>
        <v>Banking Transformation</v>
      </c>
      <c r="AA675" s="3" t="b">
        <f>IFERROR(__xludf.DUMMYFUNCTION("""COMPUTED_VALUE"""),FALSE)</f>
        <v>0</v>
      </c>
    </row>
    <row r="676">
      <c r="A676" s="3">
        <f>IFERROR(__xludf.DUMMYFUNCTION("""COMPUTED_VALUE"""),1.00574828E8)</f>
        <v>100574828</v>
      </c>
      <c r="B676" s="3" t="str">
        <f>IFERROR(__xludf.DUMMYFUNCTION("""COMPUTED_VALUE"""),"Vineet Mishra")</f>
        <v>Vineet Mishra</v>
      </c>
      <c r="C676" s="3" t="str">
        <f>IFERROR(__xludf.DUMMYFUNCTION("""COMPUTED_VALUE"""),"Vineet  Mishra")</f>
        <v>Vineet  Mishra</v>
      </c>
      <c r="D676" s="3" t="str">
        <f>IFERROR(__xludf.DUMMYFUNCTION("""COMPUTED_VALUE"""),"Mishra, Vineet")</f>
        <v>Mishra, Vineet</v>
      </c>
      <c r="E676" s="3" t="str">
        <f>IFERROR(__xludf.DUMMYFUNCTION("""COMPUTED_VALUE"""),"Active")</f>
        <v>Active</v>
      </c>
      <c r="F676" s="3" t="str">
        <f>IFERROR(__xludf.DUMMYFUNCTION("""COMPUTED_VALUE"""),"vineet.mishra@pwc.com")</f>
        <v>vineet.mishra@pwc.com</v>
      </c>
      <c r="G676" s="3" t="str">
        <f>IFERROR(__xludf.DUMMYFUNCTION("""COMPUTED_VALUE"""),"Customer")</f>
        <v>Customer</v>
      </c>
      <c r="H676" s="3" t="str">
        <f>IFERROR(__xludf.DUMMYFUNCTION("""COMPUTED_VALUE"""),"TMT X-Sector")</f>
        <v>TMT X-Sector</v>
      </c>
      <c r="I676" s="3" t="str">
        <f>IFERROR(__xludf.DUMMYFUNCTION("""COMPUTED_VALUE"""),"Customer - Sales")</f>
        <v>Customer - Sales</v>
      </c>
      <c r="J676" s="3" t="str">
        <f>IFERROR(__xludf.DUMMYFUNCTION("""COMPUTED_VALUE"""),"Partner")</f>
        <v>Partner</v>
      </c>
      <c r="K676" s="3">
        <f>IFERROR(__xludf.DUMMYFUNCTION("""COMPUTED_VALUE"""),40776.0)</f>
        <v>40776</v>
      </c>
      <c r="L676" s="3" t="str">
        <f>IFERROR(__xludf.DUMMYFUNCTION("""COMPUTED_VALUE"""),"San Jose")</f>
        <v>San Jose</v>
      </c>
      <c r="M676" s="3" t="str">
        <f>IFERROR(__xludf.DUMMYFUNCTION("""COMPUTED_VALUE"""),"San Jose - 488 Almaden Boulevard")</f>
        <v>San Jose - 488 Almaden Boulevard</v>
      </c>
      <c r="N676" s="3" t="b">
        <f>IFERROR(__xludf.DUMMYFUNCTION("""COMPUTED_VALUE"""),FALSE)</f>
        <v>0</v>
      </c>
      <c r="O676" s="3" t="str">
        <f>IFERROR(__xludf.DUMMYFUNCTION("""COMPUTED_VALUE"""),"george.korizis@pwc.com")</f>
        <v>george.korizis@pwc.com</v>
      </c>
      <c r="P676" s="3" t="str">
        <f>IFERROR(__xludf.DUMMYFUNCTION("""COMPUTED_VALUE"""),"No")</f>
        <v>No</v>
      </c>
      <c r="Q676" s="3" t="b">
        <f>IFERROR(__xludf.DUMMYFUNCTION("""COMPUTED_VALUE"""),FALSE)</f>
        <v>0</v>
      </c>
      <c r="R676" s="3"/>
      <c r="S676" s="3"/>
      <c r="T676" s="3" t="b">
        <f>IFERROR(__xludf.DUMMYFUNCTION("""COMPUTED_VALUE"""),FALSE)</f>
        <v>0</v>
      </c>
      <c r="U676" s="3" t="b">
        <f>IFERROR(__xludf.DUMMYFUNCTION("""COMPUTED_VALUE"""),TRUE)</f>
        <v>1</v>
      </c>
      <c r="V676" s="3" t="b">
        <f>IFERROR(__xludf.DUMMYFUNCTION("""COMPUTED_VALUE"""),FALSE)</f>
        <v>0</v>
      </c>
      <c r="W676" s="3" t="str">
        <f>IFERROR(__xludf.DUMMYFUNCTION("""COMPUTED_VALUE"""),"Delivery")</f>
        <v>Delivery</v>
      </c>
      <c r="X676" s="3"/>
      <c r="Y676" s="3"/>
      <c r="Z676" s="3" t="str">
        <f>IFERROR(__xludf.DUMMYFUNCTION("""COMPUTED_VALUE"""),"Commercial / CRM Transformation - FS &amp; TMT")</f>
        <v>Commercial / CRM Transformation - FS &amp; TMT</v>
      </c>
      <c r="AA676" s="3" t="b">
        <f>IFERROR(__xludf.DUMMYFUNCTION("""COMPUTED_VALUE"""),FALSE)</f>
        <v>0</v>
      </c>
    </row>
    <row r="677">
      <c r="A677" s="3">
        <f>IFERROR(__xludf.DUMMYFUNCTION("""COMPUTED_VALUE"""),1.00653977E8)</f>
        <v>100653977</v>
      </c>
      <c r="B677" s="3" t="str">
        <f>IFERROR(__xludf.DUMMYFUNCTION("""COMPUTED_VALUE"""),"Vishal Garg")</f>
        <v>Vishal Garg</v>
      </c>
      <c r="C677" s="3" t="str">
        <f>IFERROR(__xludf.DUMMYFUNCTION("""COMPUTED_VALUE"""),"Vishal  Garg")</f>
        <v>Vishal  Garg</v>
      </c>
      <c r="D677" s="3" t="str">
        <f>IFERROR(__xludf.DUMMYFUNCTION("""COMPUTED_VALUE"""),"Garg, Vishal")</f>
        <v>Garg, Vishal</v>
      </c>
      <c r="E677" s="3" t="str">
        <f>IFERROR(__xludf.DUMMYFUNCTION("""COMPUTED_VALUE"""),"Active")</f>
        <v>Active</v>
      </c>
      <c r="F677" s="3" t="str">
        <f>IFERROR(__xludf.DUMMYFUNCTION("""COMPUTED_VALUE"""),"vishalgarg@pwc.com")</f>
        <v>vishalgarg@pwc.com</v>
      </c>
      <c r="G677" s="3" t="str">
        <f>IFERROR(__xludf.DUMMYFUNCTION("""COMPUTED_VALUE"""),"ESV")</f>
        <v>ESV</v>
      </c>
      <c r="H677" s="3" t="str">
        <f>IFERROR(__xludf.DUMMYFUNCTION("""COMPUTED_VALUE"""),"CM X-Sector")</f>
        <v>CM X-Sector</v>
      </c>
      <c r="I677" s="3" t="str">
        <f>IFERROR(__xludf.DUMMYFUNCTION("""COMPUTED_VALUE"""),"ESV - CM")</f>
        <v>ESV - CM</v>
      </c>
      <c r="J677" s="3" t="str">
        <f>IFERROR(__xludf.DUMMYFUNCTION("""COMPUTED_VALUE"""),"Partner")</f>
        <v>Partner</v>
      </c>
      <c r="K677" s="3">
        <f>IFERROR(__xludf.DUMMYFUNCTION("""COMPUTED_VALUE"""),42186.0)</f>
        <v>42186</v>
      </c>
      <c r="L677" s="3" t="str">
        <f>IFERROR(__xludf.DUMMYFUNCTION("""COMPUTED_VALUE"""),"San Francisco")</f>
        <v>San Francisco</v>
      </c>
      <c r="M677" s="3" t="str">
        <f>IFERROR(__xludf.DUMMYFUNCTION("""COMPUTED_VALUE"""),"San Francisco - 405 Howard St")</f>
        <v>San Francisco - 405 Howard St</v>
      </c>
      <c r="N677" s="3" t="b">
        <f>IFERROR(__xludf.DUMMYFUNCTION("""COMPUTED_VALUE"""),FALSE)</f>
        <v>0</v>
      </c>
      <c r="O677" s="3" t="str">
        <f>IFERROR(__xludf.DUMMYFUNCTION("""COMPUTED_VALUE"""),"sundar.subramanian@pwc.com")</f>
        <v>sundar.subramanian@pwc.com</v>
      </c>
      <c r="P677" s="3" t="str">
        <f>IFERROR(__xludf.DUMMYFUNCTION("""COMPUTED_VALUE"""),"No")</f>
        <v>No</v>
      </c>
      <c r="Q677" s="3" t="b">
        <f>IFERROR(__xludf.DUMMYFUNCTION("""COMPUTED_VALUE"""),FALSE)</f>
        <v>0</v>
      </c>
      <c r="R677" s="3"/>
      <c r="S677" s="3"/>
      <c r="T677" s="3" t="b">
        <f>IFERROR(__xludf.DUMMYFUNCTION("""COMPUTED_VALUE"""),FALSE)</f>
        <v>0</v>
      </c>
      <c r="U677" s="3" t="b">
        <f>IFERROR(__xludf.DUMMYFUNCTION("""COMPUTED_VALUE"""),TRUE)</f>
        <v>1</v>
      </c>
      <c r="V677" s="3" t="b">
        <f>IFERROR(__xludf.DUMMYFUNCTION("""COMPUTED_VALUE"""),FALSE)</f>
        <v>0</v>
      </c>
      <c r="W677" s="3" t="str">
        <f>IFERROR(__xludf.DUMMYFUNCTION("""COMPUTED_VALUE"""),"Delivery")</f>
        <v>Delivery</v>
      </c>
      <c r="X677" s="3" t="str">
        <f>IFERROR(__xludf.DUMMYFUNCTION("""COMPUTED_VALUE"""),"Investment")</f>
        <v>Investment</v>
      </c>
      <c r="Y677" s="3"/>
      <c r="Z677" s="3" t="str">
        <f>IFERROR(__xludf.DUMMYFUNCTION("""COMPUTED_VALUE"""),"Enterprise Digital Transformation - CM &amp; IPS")</f>
        <v>Enterprise Digital Transformation - CM &amp; IPS</v>
      </c>
      <c r="AA677" s="3" t="b">
        <f>IFERROR(__xludf.DUMMYFUNCTION("""COMPUTED_VALUE"""),FALSE)</f>
        <v>0</v>
      </c>
    </row>
    <row r="678">
      <c r="A678" s="3">
        <f>IFERROR(__xludf.DUMMYFUNCTION("""COMPUTED_VALUE"""),1.00650031E8)</f>
        <v>100650031</v>
      </c>
      <c r="B678" s="3" t="str">
        <f>IFERROR(__xludf.DUMMYFUNCTION("""COMPUTED_VALUE"""),"Vitaly Vishnitsky")</f>
        <v>Vitaly Vishnitsky</v>
      </c>
      <c r="C678" s="3" t="str">
        <f>IFERROR(__xludf.DUMMYFUNCTION("""COMPUTED_VALUE"""),"Vitaly  Vishnitsky")</f>
        <v>Vitaly  Vishnitsky</v>
      </c>
      <c r="D678" s="3" t="str">
        <f>IFERROR(__xludf.DUMMYFUNCTION("""COMPUTED_VALUE"""),"Vishnitsky, Vitaly")</f>
        <v>Vishnitsky, Vitaly</v>
      </c>
      <c r="E678" s="3" t="str">
        <f>IFERROR(__xludf.DUMMYFUNCTION("""COMPUTED_VALUE"""),"Active")</f>
        <v>Active</v>
      </c>
      <c r="F678" s="3" t="str">
        <f>IFERROR(__xludf.DUMMYFUNCTION("""COMPUTED_VALUE"""),"vitaly.vishnitsky@pwc.com")</f>
        <v>vitaly.vishnitsky@pwc.com</v>
      </c>
      <c r="G678" s="3" t="str">
        <f>IFERROR(__xludf.DUMMYFUNCTION("""COMPUTED_VALUE"""),"Deals Transformation")</f>
        <v>Deals Transformation</v>
      </c>
      <c r="H678" s="3" t="str">
        <f>IFERROR(__xludf.DUMMYFUNCTION("""COMPUTED_VALUE"""),"Insurance")</f>
        <v>Insurance</v>
      </c>
      <c r="I678" s="3" t="str">
        <f>IFERROR(__xludf.DUMMYFUNCTION("""COMPUTED_VALUE"""),"DDV - ISD (Integration, Separation, Divestitures)")</f>
        <v>DDV - ISD (Integration, Separation, Divestitures)</v>
      </c>
      <c r="J678" s="3" t="str">
        <f>IFERROR(__xludf.DUMMYFUNCTION("""COMPUTED_VALUE"""),"Partner")</f>
        <v>Partner</v>
      </c>
      <c r="K678" s="3">
        <f>IFERROR(__xludf.DUMMYFUNCTION("""COMPUTED_VALUE"""),40485.0)</f>
        <v>40485</v>
      </c>
      <c r="L678" s="3" t="str">
        <f>IFERROR(__xludf.DUMMYFUNCTION("""COMPUTED_VALUE"""),"Denver")</f>
        <v>Denver</v>
      </c>
      <c r="M678" s="3" t="str">
        <f>IFERROR(__xludf.DUMMYFUNCTION("""COMPUTED_VALUE"""),"Denver - 1900 Sixteenth Street")</f>
        <v>Denver - 1900 Sixteenth Street</v>
      </c>
      <c r="N678" s="3" t="b">
        <f>IFERROR(__xludf.DUMMYFUNCTION("""COMPUTED_VALUE"""),FALSE)</f>
        <v>0</v>
      </c>
      <c r="O678" s="3" t="str">
        <f>IFERROR(__xludf.DUMMYFUNCTION("""COMPUTED_VALUE"""),"derek.b.townsend@pwc.com")</f>
        <v>derek.b.townsend@pwc.com</v>
      </c>
      <c r="P678" s="3" t="str">
        <f>IFERROR(__xludf.DUMMYFUNCTION("""COMPUTED_VALUE"""),"No")</f>
        <v>No</v>
      </c>
      <c r="Q678" s="3" t="b">
        <f>IFERROR(__xludf.DUMMYFUNCTION("""COMPUTED_VALUE"""),FALSE)</f>
        <v>0</v>
      </c>
      <c r="R678" s="3"/>
      <c r="S678" s="3"/>
      <c r="T678" s="3" t="b">
        <f>IFERROR(__xludf.DUMMYFUNCTION("""COMPUTED_VALUE"""),FALSE)</f>
        <v>0</v>
      </c>
      <c r="U678" s="3" t="b">
        <f>IFERROR(__xludf.DUMMYFUNCTION("""COMPUTED_VALUE"""),TRUE)</f>
        <v>1</v>
      </c>
      <c r="V678" s="3" t="b">
        <f>IFERROR(__xludf.DUMMYFUNCTION("""COMPUTED_VALUE"""),FALSE)</f>
        <v>0</v>
      </c>
      <c r="W678" s="3" t="str">
        <f>IFERROR(__xludf.DUMMYFUNCTION("""COMPUTED_VALUE"""),"Exit")</f>
        <v>Exit</v>
      </c>
      <c r="X678" s="3"/>
      <c r="Y678" s="3"/>
      <c r="Z678" s="3" t="str">
        <f>IFERROR(__xludf.DUMMYFUNCTION("""COMPUTED_VALUE"""),"Corporate M&amp;A Transformation - FS")</f>
        <v>Corporate M&amp;A Transformation - FS</v>
      </c>
      <c r="AA678" s="3" t="b">
        <f>IFERROR(__xludf.DUMMYFUNCTION("""COMPUTED_VALUE"""),FALSE)</f>
        <v>0</v>
      </c>
    </row>
    <row r="679">
      <c r="A679" s="3">
        <f>IFERROR(__xludf.DUMMYFUNCTION("""COMPUTED_VALUE"""),1.01001596E8)</f>
        <v>101001596</v>
      </c>
      <c r="B679" s="3" t="str">
        <f>IFERROR(__xludf.DUMMYFUNCTION("""COMPUTED_VALUE"""),"Will Nolen")</f>
        <v>Will Nolen</v>
      </c>
      <c r="C679" s="3" t="str">
        <f>IFERROR(__xludf.DUMMYFUNCTION("""COMPUTED_VALUE"""),"William Woods Nolen")</f>
        <v>William Woods Nolen</v>
      </c>
      <c r="D679" s="3" t="str">
        <f>IFERROR(__xludf.DUMMYFUNCTION("""COMPUTED_VALUE"""),"Nolen, William Woods")</f>
        <v>Nolen, William Woods</v>
      </c>
      <c r="E679" s="3" t="str">
        <f>IFERROR(__xludf.DUMMYFUNCTION("""COMPUTED_VALUE"""),"Active")</f>
        <v>Active</v>
      </c>
      <c r="F679" s="3" t="str">
        <f>IFERROR(__xludf.DUMMYFUNCTION("""COMPUTED_VALUE"""),"will.nolen@pwc.com")</f>
        <v>will.nolen@pwc.com</v>
      </c>
      <c r="G679" s="3" t="str">
        <f>IFERROR(__xludf.DUMMYFUNCTION("""COMPUTED_VALUE"""),"ESV")</f>
        <v>ESV</v>
      </c>
      <c r="H679" s="3" t="str">
        <f>IFERROR(__xludf.DUMMYFUNCTION("""COMPUTED_VALUE"""),"Health Services")</f>
        <v>Health Services</v>
      </c>
      <c r="I679" s="3" t="str">
        <f>IFERROR(__xludf.DUMMYFUNCTION("""COMPUTED_VALUE"""),"ESV - Health Services")</f>
        <v>ESV - Health Services</v>
      </c>
      <c r="J679" s="3" t="str">
        <f>IFERROR(__xludf.DUMMYFUNCTION("""COMPUTED_VALUE"""),"Partner")</f>
        <v>Partner</v>
      </c>
      <c r="K679" s="3">
        <f>IFERROR(__xludf.DUMMYFUNCTION("""COMPUTED_VALUE"""),44005.0)</f>
        <v>44005</v>
      </c>
      <c r="L679" s="3" t="str">
        <f>IFERROR(__xludf.DUMMYFUNCTION("""COMPUTED_VALUE"""),"Houston")</f>
        <v>Houston</v>
      </c>
      <c r="M679" s="3" t="str">
        <f>IFERROR(__xludf.DUMMYFUNCTION("""COMPUTED_VALUE"""),"Houston - 1000 Louisiana Street")</f>
        <v>Houston - 1000 Louisiana Street</v>
      </c>
      <c r="N679" s="3" t="b">
        <f>IFERROR(__xludf.DUMMYFUNCTION("""COMPUTED_VALUE"""),FALSE)</f>
        <v>0</v>
      </c>
      <c r="O679" s="3" t="str">
        <f>IFERROR(__xludf.DUMMYFUNCTION("""COMPUTED_VALUE"""),"sundar.subramanian@pwc.com")</f>
        <v>sundar.subramanian@pwc.com</v>
      </c>
      <c r="P679" s="3" t="str">
        <f>IFERROR(__xludf.DUMMYFUNCTION("""COMPUTED_VALUE"""),"No")</f>
        <v>No</v>
      </c>
      <c r="Q679" s="3" t="b">
        <f>IFERROR(__xludf.DUMMYFUNCTION("""COMPUTED_VALUE"""),TRUE)</f>
        <v>1</v>
      </c>
      <c r="R679" s="3" t="str">
        <f>IFERROR(__xludf.DUMMYFUNCTION("""COMPUTED_VALUE"""),"LCP Low")</f>
        <v>LCP Low</v>
      </c>
      <c r="S679" s="3"/>
      <c r="T679" s="3" t="b">
        <f>IFERROR(__xludf.DUMMYFUNCTION("""COMPUTED_VALUE"""),FALSE)</f>
        <v>0</v>
      </c>
      <c r="U679" s="3" t="b">
        <f>IFERROR(__xludf.DUMMYFUNCTION("""COMPUTED_VALUE"""),TRUE)</f>
        <v>1</v>
      </c>
      <c r="V679" s="3" t="b">
        <f>IFERROR(__xludf.DUMMYFUNCTION("""COMPUTED_VALUE"""),FALSE)</f>
        <v>0</v>
      </c>
      <c r="W679" s="3" t="str">
        <f>IFERROR(__xludf.DUMMYFUNCTION("""COMPUTED_VALUE"""),"LCP")</f>
        <v>LCP</v>
      </c>
      <c r="X679" s="3"/>
      <c r="Y679" s="3" t="str">
        <f>IFERROR(__xludf.DUMMYFUNCTION("""COMPUTED_VALUE"""),"GEP - Low")</f>
        <v>GEP - Low</v>
      </c>
      <c r="Z679" s="3" t="str">
        <f>IFERROR(__xludf.DUMMYFUNCTION("""COMPUTED_VALUE"""),"Enterprise Digital Transformation - Health Services")</f>
        <v>Enterprise Digital Transformation - Health Services</v>
      </c>
      <c r="AA679" s="3" t="b">
        <f>IFERROR(__xludf.DUMMYFUNCTION("""COMPUTED_VALUE"""),FALSE)</f>
        <v>0</v>
      </c>
    </row>
    <row r="680">
      <c r="A680" s="3">
        <f>IFERROR(__xludf.DUMMYFUNCTION("""COMPUTED_VALUE"""),1.00653756E8)</f>
        <v>100653756</v>
      </c>
      <c r="B680" s="3" t="str">
        <f>IFERROR(__xludf.DUMMYFUNCTION("""COMPUTED_VALUE"""),"William Cotter")</f>
        <v>William Cotter</v>
      </c>
      <c r="C680" s="3" t="str">
        <f>IFERROR(__xludf.DUMMYFUNCTION("""COMPUTED_VALUE"""),"William  Cotter")</f>
        <v>William  Cotter</v>
      </c>
      <c r="D680" s="3" t="str">
        <f>IFERROR(__xludf.DUMMYFUNCTION("""COMPUTED_VALUE"""),"Cotter, William")</f>
        <v>Cotter, William</v>
      </c>
      <c r="E680" s="3" t="str">
        <f>IFERROR(__xludf.DUMMYFUNCTION("""COMPUTED_VALUE"""),"Active")</f>
        <v>Active</v>
      </c>
      <c r="F680" s="3" t="str">
        <f>IFERROR(__xludf.DUMMYFUNCTION("""COMPUTED_VALUE"""),"william.cotter@pwc.com")</f>
        <v>william.cotter@pwc.com</v>
      </c>
      <c r="G680" s="3" t="str">
        <f>IFERROR(__xludf.DUMMYFUNCTION("""COMPUTED_VALUE"""),"ESV")</f>
        <v>ESV</v>
      </c>
      <c r="H680" s="3" t="str">
        <f>IFERROR(__xludf.DUMMYFUNCTION("""COMPUTED_VALUE"""),"Banking and Capital Markets")</f>
        <v>Banking and Capital Markets</v>
      </c>
      <c r="I680" s="3" t="str">
        <f>IFERROR(__xludf.DUMMYFUNCTION("""COMPUTED_VALUE"""),"ESV - BCM")</f>
        <v>ESV - BCM</v>
      </c>
      <c r="J680" s="3" t="str">
        <f>IFERROR(__xludf.DUMMYFUNCTION("""COMPUTED_VALUE"""),"Partner")</f>
        <v>Partner</v>
      </c>
      <c r="K680" s="3">
        <f>IFERROR(__xludf.DUMMYFUNCTION("""COMPUTED_VALUE"""),42186.0)</f>
        <v>42186</v>
      </c>
      <c r="L680" s="3" t="str">
        <f>IFERROR(__xludf.DUMMYFUNCTION("""COMPUTED_VALUE"""),"New York")</f>
        <v>New York</v>
      </c>
      <c r="M680" s="3" t="str">
        <f>IFERROR(__xludf.DUMMYFUNCTION("""COMPUTED_VALUE"""),"New York - 300 Madison Avenue")</f>
        <v>New York - 300 Madison Avenue</v>
      </c>
      <c r="N680" s="3" t="b">
        <f>IFERROR(__xludf.DUMMYFUNCTION("""COMPUTED_VALUE"""),FALSE)</f>
        <v>0</v>
      </c>
      <c r="O680" s="3" t="str">
        <f>IFERROR(__xludf.DUMMYFUNCTION("""COMPUTED_VALUE"""),"sundar.subramanian@pwc.com")</f>
        <v>sundar.subramanian@pwc.com</v>
      </c>
      <c r="P680" s="3" t="str">
        <f>IFERROR(__xludf.DUMMYFUNCTION("""COMPUTED_VALUE"""),"No")</f>
        <v>No</v>
      </c>
      <c r="Q680" s="3" t="b">
        <f>IFERROR(__xludf.DUMMYFUNCTION("""COMPUTED_VALUE"""),FALSE)</f>
        <v>0</v>
      </c>
      <c r="R680" s="3"/>
      <c r="S680" s="3"/>
      <c r="T680" s="3" t="b">
        <f>IFERROR(__xludf.DUMMYFUNCTION("""COMPUTED_VALUE"""),FALSE)</f>
        <v>0</v>
      </c>
      <c r="U680" s="3" t="b">
        <f>IFERROR(__xludf.DUMMYFUNCTION("""COMPUTED_VALUE"""),FALSE)</f>
        <v>0</v>
      </c>
      <c r="V680" s="3" t="b">
        <f>IFERROR(__xludf.DUMMYFUNCTION("""COMPUTED_VALUE"""),FALSE)</f>
        <v>0</v>
      </c>
      <c r="W680" s="3" t="str">
        <f>IFERROR(__xludf.DUMMYFUNCTION("""COMPUTED_VALUE"""),"Delivery")</f>
        <v>Delivery</v>
      </c>
      <c r="X680" s="3" t="str">
        <f>IFERROR(__xludf.DUMMYFUNCTION("""COMPUTED_VALUE"""),"Investment")</f>
        <v>Investment</v>
      </c>
      <c r="Y680" s="3"/>
      <c r="Z680" s="3" t="str">
        <f>IFERROR(__xludf.DUMMYFUNCTION("""COMPUTED_VALUE"""),"Enterprise Digital Transformation - BCM &amp; AWM")</f>
        <v>Enterprise Digital Transformation - BCM &amp; AWM</v>
      </c>
      <c r="AA680" s="3" t="b">
        <f>IFERROR(__xludf.DUMMYFUNCTION("""COMPUTED_VALUE"""),FALSE)</f>
        <v>0</v>
      </c>
    </row>
    <row r="681">
      <c r="A681" s="3">
        <f>IFERROR(__xludf.DUMMYFUNCTION("""COMPUTED_VALUE"""),1.00580065E8)</f>
        <v>100580065</v>
      </c>
      <c r="B681" s="3" t="str">
        <f>IFERROR(__xludf.DUMMYFUNCTION("""COMPUTED_VALUE"""),"William Gilet")</f>
        <v>William Gilet</v>
      </c>
      <c r="C681" s="3" t="str">
        <f>IFERROR(__xludf.DUMMYFUNCTION("""COMPUTED_VALUE"""),"William J Gilet")</f>
        <v>William J Gilet</v>
      </c>
      <c r="D681" s="3" t="str">
        <f>IFERROR(__xludf.DUMMYFUNCTION("""COMPUTED_VALUE"""),"Gilet, William J")</f>
        <v>Gilet, William J</v>
      </c>
      <c r="E681" s="3" t="str">
        <f>IFERROR(__xludf.DUMMYFUNCTION("""COMPUTED_VALUE"""),"Active")</f>
        <v>Active</v>
      </c>
      <c r="F681" s="3" t="str">
        <f>IFERROR(__xludf.DUMMYFUNCTION("""COMPUTED_VALUE"""),"william.gilet@pwc.com")</f>
        <v>william.gilet@pwc.com</v>
      </c>
      <c r="G681" s="3" t="str">
        <f>IFERROR(__xludf.DUMMYFUNCTION("""COMPUTED_VALUE"""),"Finance")</f>
        <v>Finance</v>
      </c>
      <c r="H681" s="3" t="str">
        <f>IFERROR(__xludf.DUMMYFUNCTION("""COMPUTED_VALUE"""),"Manufacturing")</f>
        <v>Manufacturing</v>
      </c>
      <c r="I681" s="3" t="str">
        <f>IFERROR(__xludf.DUMMYFUNCTION("""COMPUTED_VALUE"""),"Finance - Finance Strategy / Op Model / Global Business Services / Talent")</f>
        <v>Finance - Finance Strategy / Op Model / Global Business Services / Talent</v>
      </c>
      <c r="J681" s="3" t="str">
        <f>IFERROR(__xludf.DUMMYFUNCTION("""COMPUTED_VALUE"""),"Partner")</f>
        <v>Partner</v>
      </c>
      <c r="K681" s="3">
        <f>IFERROR(__xludf.DUMMYFUNCTION("""COMPUTED_VALUE"""),35758.0)</f>
        <v>35758</v>
      </c>
      <c r="L681" s="3" t="str">
        <f>IFERROR(__xludf.DUMMYFUNCTION("""COMPUTED_VALUE"""),"Boston")</f>
        <v>Boston</v>
      </c>
      <c r="M681" s="3" t="str">
        <f>IFERROR(__xludf.DUMMYFUNCTION("""COMPUTED_VALUE"""),"Boston - 101 Seaport Boulevard")</f>
        <v>Boston - 101 Seaport Boulevard</v>
      </c>
      <c r="N681" s="3" t="b">
        <f>IFERROR(__xludf.DUMMYFUNCTION("""COMPUTED_VALUE"""),FALSE)</f>
        <v>0</v>
      </c>
      <c r="O681" s="3" t="str">
        <f>IFERROR(__xludf.DUMMYFUNCTION("""COMPUTED_VALUE"""),"kurtis.babczenko@pwc.com")</f>
        <v>kurtis.babczenko@pwc.com</v>
      </c>
      <c r="P681" s="3" t="str">
        <f>IFERROR(__xludf.DUMMYFUNCTION("""COMPUTED_VALUE"""),"No")</f>
        <v>No</v>
      </c>
      <c r="Q681" s="3" t="b">
        <f>IFERROR(__xludf.DUMMYFUNCTION("""COMPUTED_VALUE"""),FALSE)</f>
        <v>0</v>
      </c>
      <c r="R681" s="3"/>
      <c r="S681" s="3"/>
      <c r="T681" s="3" t="b">
        <f>IFERROR(__xludf.DUMMYFUNCTION("""COMPUTED_VALUE"""),FALSE)</f>
        <v>0</v>
      </c>
      <c r="U681" s="3" t="b">
        <f>IFERROR(__xludf.DUMMYFUNCTION("""COMPUTED_VALUE"""),FALSE)</f>
        <v>0</v>
      </c>
      <c r="V681" s="3" t="b">
        <f>IFERROR(__xludf.DUMMYFUNCTION("""COMPUTED_VALUE"""),FALSE)</f>
        <v>0</v>
      </c>
      <c r="W681" s="3" t="str">
        <f>IFERROR(__xludf.DUMMYFUNCTION("""COMPUTED_VALUE"""),"Delivery")</f>
        <v>Delivery</v>
      </c>
      <c r="X681" s="3"/>
      <c r="Y681" s="3" t="str">
        <f>IFERROR(__xludf.DUMMYFUNCTION("""COMPUTED_VALUE"""),"Point Partner")</f>
        <v>Point Partner</v>
      </c>
      <c r="Z681" s="3" t="str">
        <f>IFERROR(__xludf.DUMMYFUNCTION("""COMPUTED_VALUE"""),"Finance Transformation IPS - IP")</f>
        <v>Finance Transformation IPS - IP</v>
      </c>
      <c r="AA681" s="3" t="b">
        <f>IFERROR(__xludf.DUMMYFUNCTION("""COMPUTED_VALUE"""),FALSE)</f>
        <v>0</v>
      </c>
    </row>
    <row r="682">
      <c r="A682" s="3">
        <f>IFERROR(__xludf.DUMMYFUNCTION("""COMPUTED_VALUE"""),1.00968114E8)</f>
        <v>100968114</v>
      </c>
      <c r="B682" s="3" t="str">
        <f>IFERROR(__xludf.DUMMYFUNCTION("""COMPUTED_VALUE"""),"William Kangas")</f>
        <v>William Kangas</v>
      </c>
      <c r="C682" s="3" t="str">
        <f>IFERROR(__xludf.DUMMYFUNCTION("""COMPUTED_VALUE"""),"William Alan Kangas")</f>
        <v>William Alan Kangas</v>
      </c>
      <c r="D682" s="3" t="str">
        <f>IFERROR(__xludf.DUMMYFUNCTION("""COMPUTED_VALUE"""),"Kangas, William Alan")</f>
        <v>Kangas, William Alan</v>
      </c>
      <c r="E682" s="3" t="str">
        <f>IFERROR(__xludf.DUMMYFUNCTION("""COMPUTED_VALUE"""),"Active")</f>
        <v>Active</v>
      </c>
      <c r="F682" s="3" t="str">
        <f>IFERROR(__xludf.DUMMYFUNCTION("""COMPUTED_VALUE"""),"william.kangas@pwc.com")</f>
        <v>william.kangas@pwc.com</v>
      </c>
      <c r="G682" s="3" t="str">
        <f>IFERROR(__xludf.DUMMYFUNCTION("""COMPUTED_VALUE"""),"ESV")</f>
        <v>ESV</v>
      </c>
      <c r="H682" s="3" t="str">
        <f>IFERROR(__xludf.DUMMYFUNCTION("""COMPUTED_VALUE"""),"Banking and Capital Markets")</f>
        <v>Banking and Capital Markets</v>
      </c>
      <c r="I682" s="3" t="str">
        <f>IFERROR(__xludf.DUMMYFUNCTION("""COMPUTED_VALUE"""),"ESV - BCM")</f>
        <v>ESV - BCM</v>
      </c>
      <c r="J682" s="3" t="str">
        <f>IFERROR(__xludf.DUMMYFUNCTION("""COMPUTED_VALUE"""),"Partner")</f>
        <v>Partner</v>
      </c>
      <c r="K682" s="3">
        <f>IFERROR(__xludf.DUMMYFUNCTION("""COMPUTED_VALUE"""),43837.0)</f>
        <v>43837</v>
      </c>
      <c r="L682" s="3" t="str">
        <f>IFERROR(__xludf.DUMMYFUNCTION("""COMPUTED_VALUE"""),"San Francisco")</f>
        <v>San Francisco</v>
      </c>
      <c r="M682" s="3" t="str">
        <f>IFERROR(__xludf.DUMMYFUNCTION("""COMPUTED_VALUE"""),"San Francisco - 405 Howard St")</f>
        <v>San Francisco - 405 Howard St</v>
      </c>
      <c r="N682" s="3" t="b">
        <f>IFERROR(__xludf.DUMMYFUNCTION("""COMPUTED_VALUE"""),FALSE)</f>
        <v>0</v>
      </c>
      <c r="O682" s="3" t="str">
        <f>IFERROR(__xludf.DUMMYFUNCTION("""COMPUTED_VALUE"""),"sundar.subramanian@pwc.com")</f>
        <v>sundar.subramanian@pwc.com</v>
      </c>
      <c r="P682" s="3" t="str">
        <f>IFERROR(__xludf.DUMMYFUNCTION("""COMPUTED_VALUE"""),"No")</f>
        <v>No</v>
      </c>
      <c r="Q682" s="3" t="b">
        <f>IFERROR(__xludf.DUMMYFUNCTION("""COMPUTED_VALUE"""),FALSE)</f>
        <v>0</v>
      </c>
      <c r="R682" s="3"/>
      <c r="S682" s="3"/>
      <c r="T682" s="3" t="b">
        <f>IFERROR(__xludf.DUMMYFUNCTION("""COMPUTED_VALUE"""),FALSE)</f>
        <v>0</v>
      </c>
      <c r="U682" s="3" t="b">
        <f>IFERROR(__xludf.DUMMYFUNCTION("""COMPUTED_VALUE"""),TRUE)</f>
        <v>1</v>
      </c>
      <c r="V682" s="3" t="b">
        <f>IFERROR(__xludf.DUMMYFUNCTION("""COMPUTED_VALUE"""),FALSE)</f>
        <v>0</v>
      </c>
      <c r="W682" s="3" t="str">
        <f>IFERROR(__xludf.DUMMYFUNCTION("""COMPUTED_VALUE"""),"Delivery")</f>
        <v>Delivery</v>
      </c>
      <c r="X682" s="3"/>
      <c r="Y682" s="3"/>
      <c r="Z682" s="3" t="str">
        <f>IFERROR(__xludf.DUMMYFUNCTION("""COMPUTED_VALUE"""),"Enterprise Digital Transformation - BCM &amp; AWM")</f>
        <v>Enterprise Digital Transformation - BCM &amp; AWM</v>
      </c>
      <c r="AA682" s="3" t="b">
        <f>IFERROR(__xludf.DUMMYFUNCTION("""COMPUTED_VALUE"""),FALSE)</f>
        <v>0</v>
      </c>
    </row>
    <row r="683">
      <c r="A683" s="3">
        <f>IFERROR(__xludf.DUMMYFUNCTION("""COMPUTED_VALUE"""),1.0061128E8)</f>
        <v>100611280</v>
      </c>
      <c r="B683" s="3" t="str">
        <f>IFERROR(__xludf.DUMMYFUNCTION("""COMPUTED_VALUE"""),"William Lay")</f>
        <v>William Lay</v>
      </c>
      <c r="C683" s="3" t="str">
        <f>IFERROR(__xludf.DUMMYFUNCTION("""COMPUTED_VALUE"""),"William J Lay")</f>
        <v>William J Lay</v>
      </c>
      <c r="D683" s="3" t="str">
        <f>IFERROR(__xludf.DUMMYFUNCTION("""COMPUTED_VALUE"""),"Lay, William J")</f>
        <v>Lay, William J</v>
      </c>
      <c r="E683" s="3" t="str">
        <f>IFERROR(__xludf.DUMMYFUNCTION("""COMPUTED_VALUE"""),"Active")</f>
        <v>Active</v>
      </c>
      <c r="F683" s="3" t="str">
        <f>IFERROR(__xludf.DUMMYFUNCTION("""COMPUTED_VALUE"""),"william.j.lay@pwc.com")</f>
        <v>william.j.lay@pwc.com</v>
      </c>
      <c r="G683" s="3" t="str">
        <f>IFERROR(__xludf.DUMMYFUNCTION("""COMPUTED_VALUE"""),"ESV")</f>
        <v>ESV</v>
      </c>
      <c r="H683" s="3" t="str">
        <f>IFERROR(__xludf.DUMMYFUNCTION("""COMPUTED_VALUE"""),"Aerospace and Defence")</f>
        <v>Aerospace and Defence</v>
      </c>
      <c r="I683" s="3" t="str">
        <f>IFERROR(__xludf.DUMMYFUNCTION("""COMPUTED_VALUE"""),"ESV - IPS")</f>
        <v>ESV - IPS</v>
      </c>
      <c r="J683" s="3" t="str">
        <f>IFERROR(__xludf.DUMMYFUNCTION("""COMPUTED_VALUE"""),"Partner (Position Vacate:06/30/2022)")</f>
        <v>Partner (Position Vacate:06/30/2022)</v>
      </c>
      <c r="K683" s="3">
        <f>IFERROR(__xludf.DUMMYFUNCTION("""COMPUTED_VALUE"""),40777.0)</f>
        <v>40777</v>
      </c>
      <c r="L683" s="3" t="str">
        <f>IFERROR(__xludf.DUMMYFUNCTION("""COMPUTED_VALUE"""),"San Diego")</f>
        <v>San Diego</v>
      </c>
      <c r="M683" s="3" t="str">
        <f>IFERROR(__xludf.DUMMYFUNCTION("""COMPUTED_VALUE"""),"San Diego - 12860 El Camino")</f>
        <v>San Diego - 12860 El Camino</v>
      </c>
      <c r="N683" s="3" t="b">
        <f>IFERROR(__xludf.DUMMYFUNCTION("""COMPUTED_VALUE"""),TRUE)</f>
        <v>1</v>
      </c>
      <c r="O683" s="3" t="str">
        <f>IFERROR(__xludf.DUMMYFUNCTION("""COMPUTED_VALUE"""),"sundar.subramanian@pwc.com")</f>
        <v>sundar.subramanian@pwc.com</v>
      </c>
      <c r="P683" s="3" t="str">
        <f>IFERROR(__xludf.DUMMYFUNCTION("""COMPUTED_VALUE"""),"No")</f>
        <v>No</v>
      </c>
      <c r="Q683" s="3" t="b">
        <f>IFERROR(__xludf.DUMMYFUNCTION("""COMPUTED_VALUE"""),FALSE)</f>
        <v>0</v>
      </c>
      <c r="R683" s="3"/>
      <c r="S683" s="3"/>
      <c r="T683" s="3" t="b">
        <f>IFERROR(__xludf.DUMMYFUNCTION("""COMPUTED_VALUE"""),FALSE)</f>
        <v>0</v>
      </c>
      <c r="U683" s="3" t="b">
        <f>IFERROR(__xludf.DUMMYFUNCTION("""COMPUTED_VALUE"""),TRUE)</f>
        <v>1</v>
      </c>
      <c r="V683" s="3" t="b">
        <f>IFERROR(__xludf.DUMMYFUNCTION("""COMPUTED_VALUE"""),FALSE)</f>
        <v>0</v>
      </c>
      <c r="W683" s="3" t="str">
        <f>IFERROR(__xludf.DUMMYFUNCTION("""COMPUTED_VALUE"""),"Delivery")</f>
        <v>Delivery</v>
      </c>
      <c r="X683" s="3"/>
      <c r="Y683" s="3"/>
      <c r="Z683" s="3" t="str">
        <f>IFERROR(__xludf.DUMMYFUNCTION("""COMPUTED_VALUE"""),"Enterprise Digital Transformation - CM &amp; IPS")</f>
        <v>Enterprise Digital Transformation - CM &amp; IPS</v>
      </c>
      <c r="AA683" s="3" t="b">
        <f>IFERROR(__xludf.DUMMYFUNCTION("""COMPUTED_VALUE"""),FALSE)</f>
        <v>0</v>
      </c>
    </row>
    <row r="684">
      <c r="A684" s="3">
        <f>IFERROR(__xludf.DUMMYFUNCTION("""COMPUTED_VALUE"""),1.00653074E8)</f>
        <v>100653074</v>
      </c>
      <c r="B684" s="3" t="str">
        <f>IFERROR(__xludf.DUMMYFUNCTION("""COMPUTED_VALUE"""),"William Suvari")</f>
        <v>William Suvari</v>
      </c>
      <c r="C684" s="3" t="str">
        <f>IFERROR(__xludf.DUMMYFUNCTION("""COMPUTED_VALUE"""),"William  Suvari")</f>
        <v>William  Suvari</v>
      </c>
      <c r="D684" s="3" t="str">
        <f>IFERROR(__xludf.DUMMYFUNCTION("""COMPUTED_VALUE"""),"Suvari, William")</f>
        <v>Suvari, William</v>
      </c>
      <c r="E684" s="3" t="str">
        <f>IFERROR(__xludf.DUMMYFUNCTION("""COMPUTED_VALUE"""),"Active")</f>
        <v>Active</v>
      </c>
      <c r="F684" s="3" t="str">
        <f>IFERROR(__xludf.DUMMYFUNCTION("""COMPUTED_VALUE"""),"william.suvari@pwc.com")</f>
        <v>william.suvari@pwc.com</v>
      </c>
      <c r="G684" s="3" t="str">
        <f>IFERROR(__xludf.DUMMYFUNCTION("""COMPUTED_VALUE"""),"Customer")</f>
        <v>Customer</v>
      </c>
      <c r="H684" s="3" t="str">
        <f>IFERROR(__xludf.DUMMYFUNCTION("""COMPUTED_VALUE"""),"Pharma and Life Sciences")</f>
        <v>Pharma and Life Sciences</v>
      </c>
      <c r="I684" s="3" t="str">
        <f>IFERROR(__xludf.DUMMYFUNCTION("""COMPUTED_VALUE"""),"Customer - Customer Strategy &amp; Experience")</f>
        <v>Customer - Customer Strategy &amp; Experience</v>
      </c>
      <c r="J684" s="3" t="str">
        <f>IFERROR(__xludf.DUMMYFUNCTION("""COMPUTED_VALUE"""),"Partner")</f>
        <v>Partner</v>
      </c>
      <c r="K684" s="3">
        <f>IFERROR(__xludf.DUMMYFUNCTION("""COMPUTED_VALUE"""),42186.0)</f>
        <v>42186</v>
      </c>
      <c r="L684" s="3" t="str">
        <f>IFERROR(__xludf.DUMMYFUNCTION("""COMPUTED_VALUE"""),"Chicago")</f>
        <v>Chicago</v>
      </c>
      <c r="M684" s="3" t="str">
        <f>IFERROR(__xludf.DUMMYFUNCTION("""COMPUTED_VALUE"""),"Chicago - One North Wacker Drive")</f>
        <v>Chicago - One North Wacker Drive</v>
      </c>
      <c r="N684" s="3" t="b">
        <f>IFERROR(__xludf.DUMMYFUNCTION("""COMPUTED_VALUE"""),FALSE)</f>
        <v>0</v>
      </c>
      <c r="O684" s="3" t="str">
        <f>IFERROR(__xludf.DUMMYFUNCTION("""COMPUTED_VALUE"""),"george.korizis@pwc.com")</f>
        <v>george.korizis@pwc.com</v>
      </c>
      <c r="P684" s="3" t="str">
        <f>IFERROR(__xludf.DUMMYFUNCTION("""COMPUTED_VALUE"""),"No")</f>
        <v>No</v>
      </c>
      <c r="Q684" s="3" t="b">
        <f>IFERROR(__xludf.DUMMYFUNCTION("""COMPUTED_VALUE"""),FALSE)</f>
        <v>0</v>
      </c>
      <c r="R684" s="3"/>
      <c r="S684" s="3"/>
      <c r="T684" s="3" t="b">
        <f>IFERROR(__xludf.DUMMYFUNCTION("""COMPUTED_VALUE"""),FALSE)</f>
        <v>0</v>
      </c>
      <c r="U684" s="3" t="b">
        <f>IFERROR(__xludf.DUMMYFUNCTION("""COMPUTED_VALUE"""),FALSE)</f>
        <v>0</v>
      </c>
      <c r="V684" s="3" t="b">
        <f>IFERROR(__xludf.DUMMYFUNCTION("""COMPUTED_VALUE"""),FALSE)</f>
        <v>0</v>
      </c>
      <c r="W684" s="3" t="str">
        <f>IFERROR(__xludf.DUMMYFUNCTION("""COMPUTED_VALUE"""),"Delivery")</f>
        <v>Delivery</v>
      </c>
      <c r="X684" s="3" t="str">
        <f>IFERROR(__xludf.DUMMYFUNCTION("""COMPUTED_VALUE"""),"Investment")</f>
        <v>Investment</v>
      </c>
      <c r="Y684" s="3"/>
      <c r="Z684" s="3" t="str">
        <f>IFERROR(__xludf.DUMMYFUNCTION("""COMPUTED_VALUE"""),"Commercial / CRM Transformation - CM &amp; IPS &amp; HIA")</f>
        <v>Commercial / CRM Transformation - CM &amp; IPS &amp; HIA</v>
      </c>
      <c r="AA684" s="3" t="b">
        <f>IFERROR(__xludf.DUMMYFUNCTION("""COMPUTED_VALUE"""),FALSE)</f>
        <v>0</v>
      </c>
    </row>
    <row r="685">
      <c r="A685" s="3">
        <f>IFERROR(__xludf.DUMMYFUNCTION("""COMPUTED_VALUE"""),1.00610419E8)</f>
        <v>100610419</v>
      </c>
      <c r="B685" s="3" t="str">
        <f>IFERROR(__xludf.DUMMYFUNCTION("""COMPUTED_VALUE"""),"Wynn Bailey")</f>
        <v>Wynn Bailey</v>
      </c>
      <c r="C685" s="3" t="str">
        <f>IFERROR(__xludf.DUMMYFUNCTION("""COMPUTED_VALUE"""),"Alston W Bailey")</f>
        <v>Alston W Bailey</v>
      </c>
      <c r="D685" s="3" t="str">
        <f>IFERROR(__xludf.DUMMYFUNCTION("""COMPUTED_VALUE"""),"Bailey, Alston W")</f>
        <v>Bailey, Alston W</v>
      </c>
      <c r="E685" s="3" t="str">
        <f>IFERROR(__xludf.DUMMYFUNCTION("""COMPUTED_VALUE"""),"Active")</f>
        <v>Active</v>
      </c>
      <c r="F685" s="3" t="str">
        <f>IFERROR(__xludf.DUMMYFUNCTION("""COMPUTED_VALUE"""),"wynn.bailey@pwc.com")</f>
        <v>wynn.bailey@pwc.com</v>
      </c>
      <c r="G685" s="3" t="str">
        <f>IFERROR(__xludf.DUMMYFUNCTION("""COMPUTED_VALUE"""),"Ops")</f>
        <v>Ops</v>
      </c>
      <c r="H685" s="3" t="str">
        <f>IFERROR(__xludf.DUMMYFUNCTION("""COMPUTED_VALUE"""),"Pharma and Life Sciences")</f>
        <v>Pharma and Life Sciences</v>
      </c>
      <c r="I685" s="3" t="str">
        <f>IFERROR(__xludf.DUMMYFUNCTION("""COMPUTED_VALUE"""),"Ops - Sourcing &amp; Procurement (S&amp;P)")</f>
        <v>Ops - Sourcing &amp; Procurement (S&amp;P)</v>
      </c>
      <c r="J685" s="3" t="str">
        <f>IFERROR(__xludf.DUMMYFUNCTION("""COMPUTED_VALUE"""),"Partner (Position Vacate:06/30/2022)")</f>
        <v>Partner (Position Vacate:06/30/2022)</v>
      </c>
      <c r="K685" s="3">
        <f>IFERROR(__xludf.DUMMYFUNCTION("""COMPUTED_VALUE"""),40277.0)</f>
        <v>40277</v>
      </c>
      <c r="L685" s="3" t="str">
        <f>IFERROR(__xludf.DUMMYFUNCTION("""COMPUTED_VALUE"""),"Chicago")</f>
        <v>Chicago</v>
      </c>
      <c r="M685" s="3" t="str">
        <f>IFERROR(__xludf.DUMMYFUNCTION("""COMPUTED_VALUE"""),"Chicago - One North Wacker Drive")</f>
        <v>Chicago - One North Wacker Drive</v>
      </c>
      <c r="N685" s="3" t="b">
        <f>IFERROR(__xludf.DUMMYFUNCTION("""COMPUTED_VALUE"""),FALSE)</f>
        <v>0</v>
      </c>
      <c r="O685" s="3" t="str">
        <f>IFERROR(__xludf.DUMMYFUNCTION("""COMPUTED_VALUE"""),"matthew.r.comte@pwc.com")</f>
        <v>matthew.r.comte@pwc.com</v>
      </c>
      <c r="P685" s="3" t="str">
        <f>IFERROR(__xludf.DUMMYFUNCTION("""COMPUTED_VALUE"""),"No")</f>
        <v>No</v>
      </c>
      <c r="Q685" s="3" t="b">
        <f>IFERROR(__xludf.DUMMYFUNCTION("""COMPUTED_VALUE"""),FALSE)</f>
        <v>0</v>
      </c>
      <c r="R685" s="3"/>
      <c r="S685" s="3"/>
      <c r="T685" s="3" t="b">
        <f>IFERROR(__xludf.DUMMYFUNCTION("""COMPUTED_VALUE"""),FALSE)</f>
        <v>0</v>
      </c>
      <c r="U685" s="3" t="b">
        <f>IFERROR(__xludf.DUMMYFUNCTION("""COMPUTED_VALUE"""),TRUE)</f>
        <v>1</v>
      </c>
      <c r="V685" s="3" t="b">
        <f>IFERROR(__xludf.DUMMYFUNCTION("""COMPUTED_VALUE"""),FALSE)</f>
        <v>0</v>
      </c>
      <c r="W685" s="3" t="str">
        <f>IFERROR(__xludf.DUMMYFUNCTION("""COMPUTED_VALUE"""),"Delivery")</f>
        <v>Delivery</v>
      </c>
      <c r="X685" s="3"/>
      <c r="Y685" s="3"/>
      <c r="Z685" s="3" t="str">
        <f>IFERROR(__xludf.DUMMYFUNCTION("""COMPUTED_VALUE"""),"PLS Ops Transformation")</f>
        <v>PLS Ops Transformation</v>
      </c>
      <c r="AA685" s="3" t="b">
        <f>IFERROR(__xludf.DUMMYFUNCTION("""COMPUTED_VALUE"""),FALSE)</f>
        <v>0</v>
      </c>
    </row>
    <row r="686">
      <c r="A686" s="3">
        <f>IFERROR(__xludf.DUMMYFUNCTION("""COMPUTED_VALUE"""),1.00625459E8)</f>
        <v>100625459</v>
      </c>
      <c r="B686" s="3" t="str">
        <f>IFERROR(__xludf.DUMMYFUNCTION("""COMPUTED_VALUE"""),"Yoshi Nomura")</f>
        <v>Yoshi Nomura</v>
      </c>
      <c r="C686" s="3" t="str">
        <f>IFERROR(__xludf.DUMMYFUNCTION("""COMPUTED_VALUE"""),"Yoshito  Nomura")</f>
        <v>Yoshito  Nomura</v>
      </c>
      <c r="D686" s="3" t="str">
        <f>IFERROR(__xludf.DUMMYFUNCTION("""COMPUTED_VALUE"""),"Nomura, Yoshito")</f>
        <v>Nomura, Yoshito</v>
      </c>
      <c r="E686" s="3" t="str">
        <f>IFERROR(__xludf.DUMMYFUNCTION("""COMPUTED_VALUE"""),"Active")</f>
        <v>Active</v>
      </c>
      <c r="F686" s="3" t="str">
        <f>IFERROR(__xludf.DUMMYFUNCTION("""COMPUTED_VALUE"""),"yoshito.nomura@pwc.com")</f>
        <v>yoshito.nomura@pwc.com</v>
      </c>
      <c r="G686" s="3" t="str">
        <f>IFERROR(__xludf.DUMMYFUNCTION("""COMPUTED_VALUE"""),"FS")</f>
        <v>FS</v>
      </c>
      <c r="H686" s="3" t="str">
        <f>IFERROR(__xludf.DUMMYFUNCTION("""COMPUTED_VALUE"""),"Banking and Capital Markets")</f>
        <v>Banking and Capital Markets</v>
      </c>
      <c r="I686" s="3" t="str">
        <f>IFERROR(__xludf.DUMMYFUNCTION("""COMPUTED_VALUE"""),"FS - Banking and Capital Markets")</f>
        <v>FS - Banking and Capital Markets</v>
      </c>
      <c r="J686" s="3" t="str">
        <f>IFERROR(__xludf.DUMMYFUNCTION("""COMPUTED_VALUE"""),"Partner")</f>
        <v>Partner</v>
      </c>
      <c r="K686" s="3">
        <f>IFERROR(__xludf.DUMMYFUNCTION("""COMPUTED_VALUE"""),39146.0)</f>
        <v>39146</v>
      </c>
      <c r="L686" s="3" t="str">
        <f>IFERROR(__xludf.DUMMYFUNCTION("""COMPUTED_VALUE"""),"Minneapolis")</f>
        <v>Minneapolis</v>
      </c>
      <c r="M686" s="3" t="str">
        <f>IFERROR(__xludf.DUMMYFUNCTION("""COMPUTED_VALUE"""),"Minneapolis - 45 South 7th Street")</f>
        <v>Minneapolis - 45 South 7th Street</v>
      </c>
      <c r="N686" s="3" t="b">
        <f>IFERROR(__xludf.DUMMYFUNCTION("""COMPUTED_VALUE"""),FALSE)</f>
        <v>0</v>
      </c>
      <c r="O686" s="3" t="str">
        <f>IFERROR(__xludf.DUMMYFUNCTION("""COMPUTED_VALUE"""),"alison.hoover@pwc.com")</f>
        <v>alison.hoover@pwc.com</v>
      </c>
      <c r="P686" s="3" t="str">
        <f>IFERROR(__xludf.DUMMYFUNCTION("""COMPUTED_VALUE"""),"No")</f>
        <v>No</v>
      </c>
      <c r="Q686" s="3" t="b">
        <f>IFERROR(__xludf.DUMMYFUNCTION("""COMPUTED_VALUE"""),TRUE)</f>
        <v>1</v>
      </c>
      <c r="R686" s="3" t="str">
        <f>IFERROR(__xludf.DUMMYFUNCTION("""COMPUTED_VALUE"""),"LCP High")</f>
        <v>LCP High</v>
      </c>
      <c r="S686" s="3"/>
      <c r="T686" s="3" t="b">
        <f>IFERROR(__xludf.DUMMYFUNCTION("""COMPUTED_VALUE"""),FALSE)</f>
        <v>0</v>
      </c>
      <c r="U686" s="3" t="b">
        <f>IFERROR(__xludf.DUMMYFUNCTION("""COMPUTED_VALUE"""),FALSE)</f>
        <v>0</v>
      </c>
      <c r="V686" s="3" t="b">
        <f>IFERROR(__xludf.DUMMYFUNCTION("""COMPUTED_VALUE"""),FALSE)</f>
        <v>0</v>
      </c>
      <c r="W686" s="3" t="str">
        <f>IFERROR(__xludf.DUMMYFUNCTION("""COMPUTED_VALUE"""),"LCP")</f>
        <v>LCP</v>
      </c>
      <c r="X686" s="3"/>
      <c r="Y686" s="3" t="str">
        <f>IFERROR(__xludf.DUMMYFUNCTION("""COMPUTED_VALUE"""),"GEP - High")</f>
        <v>GEP - High</v>
      </c>
      <c r="Z686" s="3" t="str">
        <f>IFERROR(__xludf.DUMMYFUNCTION("""COMPUTED_VALUE"""),"Banking Transformation")</f>
        <v>Banking Transformation</v>
      </c>
      <c r="AA686" s="3" t="b">
        <f>IFERROR(__xludf.DUMMYFUNCTION("""COMPUTED_VALUE"""),FALSE)</f>
        <v>0</v>
      </c>
    </row>
    <row r="687">
      <c r="A687" s="3">
        <f>IFERROR(__xludf.DUMMYFUNCTION("""COMPUTED_VALUE"""),1.01212966E8)</f>
        <v>101212966</v>
      </c>
      <c r="B687" s="3" t="str">
        <f>IFERROR(__xludf.DUMMYFUNCTION("""COMPUTED_VALUE"""),"Youssef Mestari")</f>
        <v>Youssef Mestari</v>
      </c>
      <c r="C687" s="3" t="str">
        <f>IFERROR(__xludf.DUMMYFUNCTION("""COMPUTED_VALUE"""),"Unknown")</f>
        <v>Unknown</v>
      </c>
      <c r="D687" s="3" t="str">
        <f>IFERROR(__xludf.DUMMYFUNCTION("""COMPUTED_VALUE"""),"Unknown")</f>
        <v>Unknown</v>
      </c>
      <c r="E687" s="3" t="str">
        <f>IFERROR(__xludf.DUMMYFUNCTION("""COMPUTED_VALUE"""),"Active")</f>
        <v>Active</v>
      </c>
      <c r="F687" s="3" t="str">
        <f>IFERROR(__xludf.DUMMYFUNCTION("""COMPUTED_VALUE"""),"youssef.mestari@pwc.com")</f>
        <v>youssef.mestari@pwc.com</v>
      </c>
      <c r="G687" s="3" t="str">
        <f>IFERROR(__xludf.DUMMYFUNCTION("""COMPUTED_VALUE"""),"ESV")</f>
        <v>ESV</v>
      </c>
      <c r="H687" s="3" t="str">
        <f>IFERROR(__xludf.DUMMYFUNCTION("""COMPUTED_VALUE"""),"Not Applicable")</f>
        <v>Not Applicable</v>
      </c>
      <c r="I687" s="3" t="str">
        <f>IFERROR(__xludf.DUMMYFUNCTION("""COMPUTED_VALUE"""),"ESV - IPS")</f>
        <v>ESV - IPS</v>
      </c>
      <c r="J687" s="3" t="str">
        <f>IFERROR(__xludf.DUMMYFUNCTION("""COMPUTED_VALUE"""),"Managing Director")</f>
        <v>Managing Director</v>
      </c>
      <c r="K687" s="3">
        <f>IFERROR(__xludf.DUMMYFUNCTION("""COMPUTED_VALUE"""),44683.0)</f>
        <v>44683</v>
      </c>
      <c r="L687" s="3" t="str">
        <f>IFERROR(__xludf.DUMMYFUNCTION("""COMPUTED_VALUE"""),"Atlanta")</f>
        <v>Atlanta</v>
      </c>
      <c r="M687" s="3" t="str">
        <f>IFERROR(__xludf.DUMMYFUNCTION("""COMPUTED_VALUE"""),"#N/A")</f>
        <v>#N/A</v>
      </c>
      <c r="N687" s="3" t="str">
        <f>IFERROR(__xludf.DUMMYFUNCTION("""COMPUTED_VALUE"""),"Unknown")</f>
        <v>Unknown</v>
      </c>
      <c r="O687" s="3" t="str">
        <f>IFERROR(__xludf.DUMMYFUNCTION("""COMPUTED_VALUE"""),"Unknown")</f>
        <v>Unknown</v>
      </c>
      <c r="P687" s="3" t="str">
        <f>IFERROR(__xludf.DUMMYFUNCTION("""COMPUTED_VALUE"""),"FY22")</f>
        <v>FY22</v>
      </c>
      <c r="Q687" s="3" t="str">
        <f>IFERROR(__xludf.DUMMYFUNCTION("""COMPUTED_VALUE"""),"Unknown")</f>
        <v>Unknown</v>
      </c>
      <c r="R687" s="3" t="str">
        <f>IFERROR(__xludf.DUMMYFUNCTION("""COMPUTED_VALUE"""),"Unknown")</f>
        <v>Unknown</v>
      </c>
      <c r="S687" s="3"/>
      <c r="T687" s="3" t="str">
        <f>IFERROR(__xludf.DUMMYFUNCTION("""COMPUTED_VALUE"""),"Unknown")</f>
        <v>Unknown</v>
      </c>
      <c r="U687" s="3" t="b">
        <f>IFERROR(__xludf.DUMMYFUNCTION("""COMPUTED_VALUE"""),TRUE)</f>
        <v>1</v>
      </c>
      <c r="V687" s="3" t="str">
        <f>IFERROR(__xludf.DUMMYFUNCTION("""COMPUTED_VALUE"""),"Unknown")</f>
        <v>Unknown</v>
      </c>
      <c r="W687" s="3" t="str">
        <f>IFERROR(__xludf.DUMMYFUNCTION("""COMPUTED_VALUE"""),"Catalyst")</f>
        <v>Catalyst</v>
      </c>
      <c r="X687" s="3" t="str">
        <f>IFERROR(__xludf.DUMMYFUNCTION("""COMPUTED_VALUE"""),"Unknown")</f>
        <v>Unknown</v>
      </c>
      <c r="Y687" s="3" t="str">
        <f>IFERROR(__xludf.DUMMYFUNCTION("""COMPUTED_VALUE"""),"FY22")</f>
        <v>FY22</v>
      </c>
      <c r="Z687" s="3" t="str">
        <f>IFERROR(__xludf.DUMMYFUNCTION("""COMPUTED_VALUE"""),"#N/A")</f>
        <v>#N/A</v>
      </c>
      <c r="AA687" s="3" t="b">
        <f>IFERROR(__xludf.DUMMYFUNCTION("""COMPUTED_VALUE"""),FALSE)</f>
        <v>0</v>
      </c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</row>
    <row r="400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</row>
    <row r="400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</row>
    <row r="400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</row>
    <row r="4006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</row>
    <row r="4007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</row>
    <row r="4008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</row>
    <row r="4009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</row>
    <row r="4010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</row>
    <row r="401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</row>
    <row r="401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</row>
    <row r="401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</row>
    <row r="4014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</row>
    <row r="401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</row>
    <row r="4016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</row>
    <row r="4017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</row>
    <row r="4018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</row>
    <row r="4019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</row>
    <row r="4020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</row>
    <row r="402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</row>
    <row r="402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</row>
    <row r="4023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</row>
    <row r="4024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</row>
    <row r="40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</row>
    <row r="4026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</row>
    <row r="4028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</row>
    <row r="4029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</row>
    <row r="4030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</row>
    <row r="403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</row>
    <row r="403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</row>
    <row r="4033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</row>
    <row r="4034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</row>
    <row r="403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</row>
    <row r="4036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</row>
    <row r="4037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</row>
    <row r="4038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</row>
    <row r="4039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</row>
    <row r="4040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</row>
    <row r="404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</row>
    <row r="404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</row>
    <row r="404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</row>
    <row r="4044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</row>
    <row r="404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</row>
    <row r="4046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</row>
    <row r="4047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</row>
    <row r="4048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</row>
    <row r="4049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</row>
    <row r="4050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</row>
    <row r="405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</row>
    <row r="405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</row>
    <row r="405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</row>
    <row r="4054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</row>
    <row r="405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</row>
    <row r="4056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</row>
    <row r="4057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</row>
    <row r="4058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</row>
    <row r="4059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</row>
    <row r="4060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</row>
    <row r="406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</row>
    <row r="406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</row>
    <row r="406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</row>
    <row r="406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</row>
    <row r="406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</row>
    <row r="4066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</row>
    <row r="4067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</row>
    <row r="4068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</row>
    <row r="4069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</row>
    <row r="4070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</row>
    <row r="407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</row>
    <row r="407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</row>
    <row r="407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</row>
    <row r="4074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</row>
    <row r="407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</row>
    <row r="4077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</row>
    <row r="4078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</row>
    <row r="4079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</row>
    <row r="4080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</row>
    <row r="408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</row>
    <row r="408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</row>
    <row r="4083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</row>
    <row r="4084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</row>
    <row r="408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</row>
    <row r="4086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</row>
    <row r="4087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</row>
    <row r="4088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</row>
    <row r="4089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</row>
    <row r="4090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</row>
    <row r="409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</row>
    <row r="409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</row>
    <row r="4093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</row>
    <row r="409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</row>
    <row r="409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</row>
    <row r="4096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</row>
    <row r="4097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</row>
    <row r="4098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</row>
    <row r="4099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</row>
    <row r="4100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</row>
    <row r="410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</row>
    <row r="410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</row>
    <row r="410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</row>
    <row r="410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</row>
    <row r="410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</row>
    <row r="4106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</row>
    <row r="4107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</row>
    <row r="4108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</row>
    <row r="4109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</row>
    <row r="411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</row>
    <row r="411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</row>
    <row r="411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</row>
    <row r="4113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</row>
    <row r="4114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</row>
    <row r="41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</row>
    <row r="4116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</row>
    <row r="4117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</row>
    <row r="4118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</row>
    <row r="4119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</row>
    <row r="4120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</row>
    <row r="412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</row>
    <row r="412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</row>
    <row r="412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</row>
    <row r="412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</row>
    <row r="41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</row>
    <row r="4126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</row>
    <row r="4127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</row>
    <row r="4128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</row>
    <row r="4129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</row>
    <row r="413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</row>
    <row r="413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</row>
    <row r="4133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</row>
    <row r="4134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</row>
    <row r="413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</row>
    <row r="4136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</row>
    <row r="4137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</row>
    <row r="4138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</row>
    <row r="4139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</row>
    <row r="4140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</row>
    <row r="414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</row>
    <row r="414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</row>
    <row r="4143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</row>
    <row r="4144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</row>
    <row r="414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</row>
    <row r="4146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</row>
    <row r="4147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</row>
    <row r="4148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</row>
    <row r="4149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</row>
    <row r="4150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</row>
    <row r="415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</row>
    <row r="415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</row>
    <row r="415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</row>
    <row r="415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</row>
    <row r="415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</row>
    <row r="4156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</row>
    <row r="4157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</row>
    <row r="4158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</row>
    <row r="4159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</row>
    <row r="416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</row>
    <row r="416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</row>
    <row r="416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</row>
    <row r="4163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</row>
    <row r="4164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</row>
    <row r="416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</row>
    <row r="4166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</row>
    <row r="4167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</row>
    <row r="4168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</row>
    <row r="4169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</row>
    <row r="4170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</row>
    <row r="417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</row>
    <row r="417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</row>
    <row r="4173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</row>
    <row r="417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</row>
    <row r="417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</row>
    <row r="4176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</row>
    <row r="4177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</row>
    <row r="4178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</row>
    <row r="4179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</row>
    <row r="4180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</row>
    <row r="418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</row>
    <row r="418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</row>
    <row r="4183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</row>
    <row r="4184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</row>
    <row r="418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</row>
    <row r="4186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</row>
    <row r="4187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</row>
    <row r="4188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</row>
    <row r="4189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</row>
    <row r="4190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</row>
    <row r="419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</row>
    <row r="419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</row>
    <row r="4193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</row>
    <row r="419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</row>
    <row r="419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</row>
    <row r="4196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</row>
    <row r="4197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</row>
    <row r="4198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</row>
    <row r="4199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</row>
    <row r="4200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</row>
    <row r="420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</row>
    <row r="420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</row>
    <row r="420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</row>
    <row r="4204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</row>
    <row r="420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</row>
    <row r="4206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</row>
    <row r="4207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</row>
    <row r="4208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</row>
    <row r="4209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</row>
    <row r="4210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</row>
    <row r="421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</row>
    <row r="421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</row>
    <row r="421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</row>
    <row r="421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</row>
    <row r="421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</row>
    <row r="4216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</row>
    <row r="4217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</row>
    <row r="4218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</row>
    <row r="4219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</row>
    <row r="4220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</row>
    <row r="422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</row>
    <row r="422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</row>
    <row r="422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</row>
    <row r="422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</row>
    <row r="4226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</row>
    <row r="4228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</row>
    <row r="4229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</row>
    <row r="423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</row>
    <row r="423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</row>
    <row r="4233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</row>
    <row r="423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</row>
    <row r="423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</row>
    <row r="4236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</row>
    <row r="4237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</row>
    <row r="4238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</row>
    <row r="4239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</row>
    <row r="4240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</row>
    <row r="424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</row>
    <row r="424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</row>
    <row r="424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</row>
    <row r="4244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</row>
    <row r="424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</row>
    <row r="4246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</row>
    <row r="4247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</row>
    <row r="4248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</row>
    <row r="4249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</row>
    <row r="4250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</row>
    <row r="425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</row>
    <row r="425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</row>
    <row r="4253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</row>
    <row r="425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</row>
    <row r="425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</row>
    <row r="4256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</row>
    <row r="4257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</row>
    <row r="4258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</row>
    <row r="4259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</row>
    <row r="426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</row>
    <row r="426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</row>
    <row r="426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</row>
    <row r="426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</row>
    <row r="426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</row>
    <row r="4266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</row>
    <row r="4267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</row>
    <row r="4268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</row>
    <row r="4269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</row>
    <row r="4270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</row>
    <row r="427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</row>
    <row r="427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</row>
    <row r="4273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</row>
    <row r="4274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</row>
    <row r="427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</row>
    <row r="4276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</row>
    <row r="4277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</row>
    <row r="4278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</row>
    <row r="4279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</row>
    <row r="4280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</row>
    <row r="428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</row>
    <row r="428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</row>
    <row r="428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</row>
    <row r="4284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</row>
    <row r="428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</row>
    <row r="4286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</row>
    <row r="4287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</row>
    <row r="4288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</row>
    <row r="4289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</row>
    <row r="4290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</row>
    <row r="429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</row>
    <row r="429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</row>
    <row r="429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</row>
    <row r="429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</row>
    <row r="429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</row>
    <row r="4296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</row>
    <row r="4297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</row>
    <row r="4298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</row>
    <row r="4299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</row>
    <row r="4300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</row>
    <row r="430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</row>
    <row r="430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</row>
    <row r="4303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</row>
    <row r="4304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</row>
    <row r="430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07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</row>
    <row r="4308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</row>
    <row r="4309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</row>
    <row r="4310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</row>
    <row r="431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</row>
    <row r="431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</row>
    <row r="4313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</row>
    <row r="431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</row>
    <row r="43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</row>
    <row r="4316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</row>
    <row r="4317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</row>
    <row r="4318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</row>
    <row r="4319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</row>
    <row r="4320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</row>
    <row r="432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</row>
    <row r="432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</row>
    <row r="432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</row>
    <row r="4324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</row>
    <row r="43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</row>
    <row r="4326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</row>
    <row r="4327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</row>
    <row r="4328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</row>
    <row r="4329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</row>
    <row r="433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</row>
    <row r="433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</row>
    <row r="433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</row>
    <row r="433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</row>
    <row r="433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</row>
    <row r="433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</row>
    <row r="4336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</row>
    <row r="4337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</row>
    <row r="4338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</row>
    <row r="4339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</row>
    <row r="4340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</row>
    <row r="434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</row>
    <row r="4343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</row>
    <row r="4344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</row>
    <row r="434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</row>
    <row r="4346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</row>
    <row r="4347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</row>
    <row r="4348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</row>
    <row r="4349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</row>
    <row r="4350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</row>
    <row r="435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</row>
    <row r="435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</row>
    <row r="435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</row>
    <row r="435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</row>
    <row r="435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</row>
    <row r="4356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</row>
    <row r="4357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</row>
    <row r="4358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</row>
    <row r="4359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</row>
    <row r="4360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</row>
    <row r="436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</row>
    <row r="436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</row>
    <row r="4363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</row>
    <row r="4364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</row>
    <row r="436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</row>
    <row r="4366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</row>
    <row r="4367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</row>
    <row r="4368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</row>
    <row r="4369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</row>
    <row r="4370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</row>
    <row r="437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</row>
    <row r="437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</row>
    <row r="4373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</row>
    <row r="4374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</row>
    <row r="437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</row>
    <row r="4376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</row>
    <row r="4377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</row>
    <row r="4378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</row>
    <row r="4379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</row>
    <row r="4380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</row>
    <row r="438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</row>
    <row r="438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</row>
    <row r="4383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</row>
    <row r="438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</row>
    <row r="438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</row>
    <row r="4386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</row>
    <row r="4387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</row>
    <row r="4388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</row>
    <row r="4389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</row>
    <row r="4390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</row>
    <row r="439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</row>
    <row r="439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</row>
    <row r="439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</row>
    <row r="4394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</row>
    <row r="439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</row>
    <row r="4396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</row>
    <row r="4397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</row>
    <row r="4398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</row>
    <row r="4399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</row>
    <row r="4400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</row>
    <row r="440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</row>
    <row r="440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</row>
    <row r="440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</row>
    <row r="4404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</row>
    <row r="440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</row>
    <row r="4406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</row>
    <row r="4408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</row>
    <row r="4409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</row>
    <row r="4410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</row>
    <row r="441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</row>
    <row r="441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</row>
    <row r="441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</row>
    <row r="4414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</row>
    <row r="441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</row>
    <row r="4416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</row>
    <row r="4417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</row>
    <row r="4418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</row>
    <row r="4419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</row>
    <row r="4420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</row>
    <row r="442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</row>
    <row r="442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</row>
    <row r="4423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</row>
    <row r="442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</row>
    <row r="44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</row>
    <row r="4426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</row>
    <row r="4427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</row>
    <row r="4428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</row>
    <row r="4429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</row>
    <row r="4430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</row>
    <row r="443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</row>
    <row r="443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</row>
    <row r="4433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</row>
    <row r="443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</row>
    <row r="443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</row>
    <row r="4436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</row>
    <row r="4437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</row>
    <row r="4438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</row>
    <row r="4439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</row>
    <row r="4440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</row>
    <row r="444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</row>
    <row r="444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</row>
    <row r="444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</row>
    <row r="4444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</row>
    <row r="444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</row>
    <row r="4446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</row>
    <row r="4447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</row>
    <row r="4448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</row>
    <row r="4449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</row>
    <row r="4450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</row>
    <row r="445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</row>
    <row r="445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</row>
    <row r="4453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</row>
    <row r="4454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</row>
    <row r="445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</row>
    <row r="4456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</row>
    <row r="4457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</row>
    <row r="4458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</row>
    <row r="4459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</row>
    <row r="4460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</row>
    <row r="446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</row>
    <row r="446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</row>
    <row r="4463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</row>
    <row r="446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</row>
    <row r="446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</row>
    <row r="4466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</row>
    <row r="4467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</row>
    <row r="4468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</row>
    <row r="4469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</row>
    <row r="4470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</row>
    <row r="447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</row>
    <row r="447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</row>
    <row r="447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</row>
    <row r="4474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</row>
    <row r="447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</row>
    <row r="4476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</row>
    <row r="4477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</row>
    <row r="4478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</row>
    <row r="4479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</row>
    <row r="4480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</row>
    <row r="448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</row>
    <row r="448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</row>
    <row r="448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</row>
    <row r="4484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</row>
    <row r="448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</row>
    <row r="4486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</row>
    <row r="4487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</row>
    <row r="4488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</row>
    <row r="4489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</row>
    <row r="4490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</row>
    <row r="449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</row>
    <row r="449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</row>
    <row r="4493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</row>
    <row r="4494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</row>
    <row r="449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</row>
    <row r="4496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</row>
    <row r="4497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</row>
    <row r="4498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</row>
    <row r="4499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</row>
    <row r="4500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</row>
    <row r="450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</row>
    <row r="450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</row>
    <row r="450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</row>
    <row r="4504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</row>
    <row r="450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</row>
    <row r="4506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</row>
    <row r="4507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</row>
    <row r="4508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</row>
    <row r="4509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</row>
    <row r="4510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</row>
    <row r="451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</row>
    <row r="451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</row>
    <row r="451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</row>
    <row r="451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</row>
    <row r="451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</row>
    <row r="4516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</row>
    <row r="4517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</row>
    <row r="4518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</row>
    <row r="4519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</row>
    <row r="4520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</row>
    <row r="452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</row>
    <row r="452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</row>
    <row r="4523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</row>
    <row r="4524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</row>
    <row r="45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</row>
    <row r="4526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</row>
    <row r="4527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</row>
    <row r="4528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</row>
    <row r="4529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</row>
    <row r="4530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</row>
    <row r="453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</row>
    <row r="453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</row>
    <row r="4533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</row>
    <row r="453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</row>
    <row r="453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</row>
    <row r="4536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</row>
    <row r="4537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</row>
    <row r="4538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</row>
    <row r="4539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</row>
    <row r="4540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</row>
    <row r="454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</row>
    <row r="454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</row>
    <row r="4543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</row>
    <row r="4544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</row>
    <row r="454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</row>
    <row r="4546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</row>
    <row r="4547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</row>
    <row r="4548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</row>
    <row r="4549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</row>
    <row r="4550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</row>
    <row r="455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</row>
    <row r="455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</row>
    <row r="455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</row>
    <row r="4554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</row>
    <row r="455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</row>
    <row r="4556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</row>
    <row r="4557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</row>
    <row r="4558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</row>
    <row r="4559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</row>
    <row r="4560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</row>
    <row r="456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</row>
    <row r="456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</row>
    <row r="4563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</row>
    <row r="4564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</row>
    <row r="456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</row>
    <row r="4566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</row>
    <row r="4567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</row>
    <row r="4568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</row>
    <row r="4569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</row>
    <row r="4570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</row>
    <row r="457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</row>
    <row r="457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</row>
    <row r="4573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</row>
    <row r="4574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</row>
    <row r="457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</row>
    <row r="4576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</row>
    <row r="4577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</row>
    <row r="4578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</row>
    <row r="4579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</row>
    <row r="4580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</row>
    <row r="458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</row>
    <row r="458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</row>
    <row r="4583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</row>
    <row r="458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</row>
    <row r="458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</row>
    <row r="4586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</row>
    <row r="4587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</row>
    <row r="4588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</row>
    <row r="4589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</row>
    <row r="4590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</row>
    <row r="459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</row>
    <row r="459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</row>
    <row r="4593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</row>
    <row r="4594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</row>
    <row r="459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</row>
    <row r="4596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</row>
    <row r="4597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</row>
    <row r="4598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</row>
    <row r="4599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</row>
    <row r="4600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</row>
    <row r="460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</row>
    <row r="460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</row>
    <row r="460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</row>
    <row r="4604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</row>
    <row r="460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</row>
    <row r="4606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</row>
    <row r="4608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</row>
    <row r="4609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</row>
    <row r="4610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</row>
    <row r="461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</row>
    <row r="461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</row>
    <row r="4613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</row>
    <row r="461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</row>
    <row r="46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</row>
    <row r="4616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</row>
    <row r="4617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</row>
    <row r="4618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</row>
    <row r="4619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</row>
    <row r="4620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</row>
    <row r="462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</row>
    <row r="462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</row>
    <row r="4623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</row>
    <row r="4624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</row>
    <row r="46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</row>
    <row r="4626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</row>
    <row r="4627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</row>
    <row r="4628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</row>
    <row r="4629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</row>
    <row r="4630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</row>
    <row r="463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</row>
    <row r="463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</row>
    <row r="4633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</row>
    <row r="4634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</row>
    <row r="463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</row>
    <row r="4636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</row>
    <row r="4637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</row>
    <row r="4638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</row>
    <row r="4639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</row>
    <row r="4640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</row>
    <row r="464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</row>
    <row r="464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</row>
    <row r="4643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</row>
    <row r="464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</row>
    <row r="464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</row>
    <row r="4646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</row>
    <row r="4647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</row>
    <row r="4648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</row>
    <row r="4649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</row>
    <row r="4650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</row>
    <row r="465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</row>
    <row r="465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</row>
    <row r="4653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</row>
    <row r="465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</row>
    <row r="4656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</row>
    <row r="4657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</row>
    <row r="4658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</row>
    <row r="4659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</row>
    <row r="4660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</row>
    <row r="466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</row>
    <row r="466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</row>
    <row r="466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</row>
    <row r="4664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</row>
    <row r="466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</row>
    <row r="4666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</row>
    <row r="4667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</row>
    <row r="4668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</row>
    <row r="4669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</row>
    <row r="4670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</row>
    <row r="467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</row>
    <row r="467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</row>
    <row r="4673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</row>
    <row r="4674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</row>
    <row r="467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</row>
    <row r="4676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</row>
    <row r="4677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</row>
    <row r="4678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</row>
    <row r="4679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</row>
    <row r="4680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</row>
    <row r="468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</row>
    <row r="468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</row>
    <row r="4683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</row>
    <row r="468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</row>
    <row r="468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</row>
    <row r="4686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</row>
    <row r="4687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</row>
    <row r="4688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</row>
    <row r="4689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</row>
    <row r="4690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</row>
    <row r="469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</row>
    <row r="469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</row>
    <row r="469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</row>
    <row r="4694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</row>
    <row r="469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</row>
    <row r="4696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</row>
    <row r="4697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</row>
    <row r="4698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</row>
    <row r="4699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</row>
    <row r="4700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</row>
    <row r="470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</row>
    <row r="470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</row>
    <row r="470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</row>
    <row r="470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</row>
    <row r="470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</row>
    <row r="4706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</row>
    <row r="4707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</row>
    <row r="4708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</row>
    <row r="4709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</row>
    <row r="4710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</row>
    <row r="471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</row>
    <row r="471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</row>
    <row r="4713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</row>
    <row r="4714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</row>
    <row r="471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</row>
    <row r="4717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</row>
    <row r="4718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</row>
    <row r="4719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</row>
    <row r="4720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</row>
    <row r="472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</row>
    <row r="472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</row>
    <row r="4723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</row>
    <row r="4724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</row>
    <row r="47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</row>
    <row r="4726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</row>
    <row r="4727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</row>
    <row r="4728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</row>
    <row r="4729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</row>
    <row r="4730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</row>
    <row r="473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</row>
    <row r="473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</row>
    <row r="4733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</row>
    <row r="4734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</row>
    <row r="473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</row>
    <row r="4736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</row>
    <row r="4737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</row>
    <row r="4738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</row>
    <row r="4739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</row>
    <row r="4740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</row>
    <row r="474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</row>
    <row r="474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</row>
    <row r="474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</row>
    <row r="4744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</row>
    <row r="474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</row>
    <row r="4746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</row>
    <row r="4747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</row>
    <row r="4748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</row>
    <row r="4749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</row>
    <row r="4750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</row>
    <row r="475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</row>
    <row r="475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</row>
    <row r="4753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</row>
    <row r="4754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</row>
    <row r="475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</row>
    <row r="4756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</row>
    <row r="4757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</row>
    <row r="4758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</row>
    <row r="4759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</row>
    <row r="4760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</row>
    <row r="476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</row>
    <row r="476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</row>
    <row r="4763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</row>
    <row r="4764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</row>
    <row r="476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</row>
    <row r="4766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</row>
    <row r="4767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</row>
    <row r="4768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</row>
    <row r="4769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</row>
    <row r="4770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</row>
    <row r="477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</row>
    <row r="477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</row>
    <row r="4773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</row>
    <row r="4774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</row>
    <row r="477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</row>
    <row r="4776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</row>
    <row r="4777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</row>
    <row r="4778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</row>
    <row r="4779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</row>
    <row r="4780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</row>
    <row r="478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</row>
    <row r="478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</row>
    <row r="4783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</row>
    <row r="4784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</row>
    <row r="478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</row>
    <row r="4786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</row>
    <row r="4787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</row>
    <row r="4788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</row>
    <row r="4789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</row>
    <row r="4790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</row>
    <row r="479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</row>
    <row r="479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</row>
    <row r="4793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</row>
    <row r="4794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</row>
    <row r="479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</row>
    <row r="4796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</row>
    <row r="4797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</row>
    <row r="4798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</row>
    <row r="4799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</row>
    <row r="4800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</row>
    <row r="480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</row>
    <row r="480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</row>
    <row r="4803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</row>
    <row r="4804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</row>
    <row r="480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</row>
    <row r="4806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</row>
    <row r="4807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</row>
    <row r="4808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</row>
    <row r="4809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</row>
    <row r="4810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</row>
    <row r="481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</row>
    <row r="481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</row>
    <row r="481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</row>
    <row r="4814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</row>
    <row r="481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</row>
    <row r="4816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</row>
    <row r="4817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</row>
    <row r="4818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</row>
    <row r="4819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</row>
    <row r="4820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</row>
    <row r="482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</row>
    <row r="482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</row>
    <row r="4823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</row>
    <row r="482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</row>
    <row r="48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</row>
    <row r="4826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</row>
    <row r="4827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</row>
    <row r="4828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</row>
    <row r="4829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</row>
    <row r="4830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</row>
    <row r="483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</row>
    <row r="483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</row>
    <row r="483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</row>
    <row r="483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</row>
    <row r="4836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</row>
    <row r="4837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</row>
    <row r="4838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</row>
    <row r="4839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</row>
    <row r="4840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</row>
    <row r="484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</row>
    <row r="484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</row>
    <row r="484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</row>
    <row r="484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</row>
    <row r="484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</row>
    <row r="4846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</row>
    <row r="4847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</row>
    <row r="4848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</row>
    <row r="4850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</row>
    <row r="485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</row>
    <row r="485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</row>
    <row r="485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</row>
    <row r="485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</row>
    <row r="485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</row>
    <row r="4856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</row>
    <row r="4857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</row>
    <row r="4858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</row>
    <row r="4859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</row>
    <row r="4860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</row>
    <row r="486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</row>
    <row r="486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</row>
    <row r="486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</row>
    <row r="486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</row>
    <row r="4866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</row>
    <row r="4867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</row>
    <row r="4868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</row>
    <row r="4869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</row>
    <row r="4870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</row>
    <row r="487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</row>
    <row r="487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</row>
    <row r="487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</row>
    <row r="487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</row>
    <row r="4876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</row>
    <row r="4877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</row>
    <row r="4878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</row>
    <row r="4879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</row>
    <row r="4880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</row>
    <row r="488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</row>
    <row r="488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</row>
    <row r="488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</row>
    <row r="488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</row>
    <row r="488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</row>
    <row r="4886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</row>
    <row r="4887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</row>
    <row r="4888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</row>
    <row r="4889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</row>
    <row r="4890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</row>
    <row r="489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</row>
    <row r="489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</row>
    <row r="489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</row>
    <row r="489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</row>
    <row r="489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</row>
    <row r="4896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</row>
    <row r="4897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</row>
    <row r="4899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</row>
    <row r="4900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</row>
    <row r="490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</row>
    <row r="490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</row>
    <row r="490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</row>
    <row r="490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</row>
    <row r="490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</row>
    <row r="4906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</row>
    <row r="4907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</row>
    <row r="4908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</row>
    <row r="4909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</row>
    <row r="4910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</row>
    <row r="491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</row>
    <row r="491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</row>
    <row r="491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</row>
    <row r="491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</row>
    <row r="49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</row>
    <row r="4916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</row>
    <row r="4917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</row>
    <row r="4918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</row>
    <row r="4919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</row>
    <row r="4920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</row>
    <row r="492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</row>
    <row r="492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</row>
    <row r="492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</row>
    <row r="492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</row>
    <row r="49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</row>
    <row r="4926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</row>
    <row r="4927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</row>
    <row r="4928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</row>
    <row r="4929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</row>
    <row r="4930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</row>
    <row r="493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</row>
    <row r="493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</row>
    <row r="493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</row>
    <row r="493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</row>
    <row r="493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</row>
    <row r="4936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</row>
    <row r="4937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</row>
    <row r="4938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</row>
    <row r="4939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</row>
    <row r="4940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</row>
    <row r="494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</row>
    <row r="494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</row>
    <row r="494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</row>
    <row r="494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</row>
    <row r="4946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</row>
    <row r="4947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</row>
    <row r="4948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</row>
    <row r="4949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</row>
    <row r="4950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</row>
    <row r="495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</row>
    <row r="495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</row>
    <row r="495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</row>
    <row r="495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</row>
    <row r="4956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</row>
    <row r="4957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</row>
    <row r="4958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</row>
    <row r="4959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</row>
    <row r="4960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</row>
    <row r="496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</row>
    <row r="496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</row>
    <row r="496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</row>
    <row r="496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</row>
    <row r="496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</row>
    <row r="4967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</row>
    <row r="4968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</row>
    <row r="4970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</row>
    <row r="497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</row>
    <row r="497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</row>
    <row r="497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</row>
    <row r="497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</row>
    <row r="497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</row>
    <row r="4976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</row>
    <row r="4977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</row>
    <row r="4978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</row>
    <row r="4979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</row>
    <row r="4980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</row>
    <row r="498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</row>
    <row r="498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</row>
    <row r="4983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</row>
    <row r="498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</row>
    <row r="498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</row>
    <row r="4986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</row>
    <row r="4987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</row>
    <row r="4988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</row>
    <row r="4989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</row>
    <row r="4990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</row>
    <row r="499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</row>
    <row r="499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</row>
    <row r="499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</row>
    <row r="499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</row>
    <row r="499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</row>
    <row r="4996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</row>
    <row r="4997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</row>
    <row r="4998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</row>
    <row r="4999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</row>
    <row r="5000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</row>
    <row r="500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</row>
    <row r="500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</row>
    <row r="500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</row>
    <row r="500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</row>
    <row r="5006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</row>
    <row r="5007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</row>
    <row r="5008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</row>
    <row r="5009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</row>
    <row r="5010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</row>
    <row r="50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</row>
    <row r="501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</row>
    <row r="501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</row>
    <row r="501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</row>
    <row r="50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</row>
    <row r="5016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</row>
    <row r="5017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</row>
    <row r="5018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</row>
    <row r="5019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</row>
    <row r="5020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</row>
    <row r="502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</row>
    <row r="50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</row>
    <row r="502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</row>
    <row r="502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</row>
    <row r="50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</row>
    <row r="5026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</row>
    <row r="5027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</row>
    <row r="5028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</row>
    <row r="5029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</row>
    <row r="5030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</row>
    <row r="503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</row>
    <row r="503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</row>
    <row r="503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</row>
    <row r="503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</row>
    <row r="5036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</row>
    <row r="5037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</row>
    <row r="5038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</row>
    <row r="5039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</row>
    <row r="5040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</row>
    <row r="504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</row>
    <row r="504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</row>
    <row r="504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</row>
    <row r="504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</row>
    <row r="5046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</row>
    <row r="5047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</row>
    <row r="5048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</row>
    <row r="5049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</row>
    <row r="5050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</row>
    <row r="505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</row>
    <row r="505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</row>
    <row r="505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</row>
    <row r="505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</row>
    <row r="505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</row>
    <row r="5056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</row>
    <row r="5057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</row>
    <row r="5058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</row>
    <row r="5059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</row>
    <row r="5060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</row>
    <row r="506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</row>
    <row r="506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</row>
    <row r="506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</row>
    <row r="506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</row>
    <row r="506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</row>
    <row r="5066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</row>
    <row r="5068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</row>
    <row r="5069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</row>
    <row r="5070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</row>
    <row r="507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</row>
    <row r="507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</row>
    <row r="5073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</row>
    <row r="507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</row>
    <row r="507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</row>
    <row r="5076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</row>
    <row r="5077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</row>
    <row r="5078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</row>
    <row r="5079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</row>
    <row r="5080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</row>
    <row r="508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</row>
    <row r="508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</row>
    <row r="508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</row>
    <row r="508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</row>
    <row r="508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</row>
    <row r="5086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</row>
    <row r="5087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</row>
    <row r="5088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</row>
    <row r="5089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</row>
    <row r="5090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</row>
    <row r="509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</row>
    <row r="509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</row>
    <row r="5093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</row>
    <row r="509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</row>
    <row r="509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</row>
    <row r="5096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</row>
    <row r="5097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</row>
    <row r="5098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</row>
    <row r="5099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</row>
    <row r="5100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</row>
    <row r="510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</row>
    <row r="510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</row>
    <row r="510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</row>
    <row r="510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</row>
    <row r="5106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</row>
    <row r="5107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</row>
    <row r="5108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</row>
    <row r="5109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</row>
    <row r="5110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</row>
    <row r="51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</row>
    <row r="511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</row>
    <row r="511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</row>
    <row r="51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</row>
    <row r="5116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</row>
    <row r="5117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</row>
    <row r="5118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</row>
    <row r="5119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</row>
    <row r="5120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</row>
    <row r="512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</row>
    <row r="512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</row>
    <row r="51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</row>
    <row r="512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</row>
    <row r="51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</row>
    <row r="5126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</row>
    <row r="5127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</row>
    <row r="5128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</row>
    <row r="5129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</row>
    <row r="5130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</row>
    <row r="513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</row>
    <row r="513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</row>
    <row r="513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</row>
    <row r="513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</row>
    <row r="51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</row>
    <row r="5136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</row>
    <row r="5137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</row>
    <row r="5138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</row>
    <row r="5139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</row>
    <row r="5140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</row>
    <row r="514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</row>
    <row r="514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</row>
    <row r="514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</row>
    <row r="514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</row>
    <row r="514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</row>
    <row r="5146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</row>
    <row r="5147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</row>
    <row r="5148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</row>
    <row r="5149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</row>
    <row r="515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</row>
    <row r="515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</row>
    <row r="515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</row>
    <row r="515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</row>
    <row r="515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</row>
    <row r="5156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</row>
    <row r="5157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</row>
    <row r="5158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</row>
    <row r="5159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</row>
    <row r="5160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</row>
    <row r="516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</row>
    <row r="516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</row>
    <row r="516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</row>
    <row r="516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</row>
    <row r="5166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</row>
    <row r="5167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</row>
    <row r="5169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</row>
    <row r="5170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</row>
    <row r="517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</row>
    <row r="517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</row>
    <row r="517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</row>
    <row r="517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</row>
    <row r="5176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</row>
    <row r="5177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</row>
    <row r="5178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</row>
    <row r="5179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</row>
    <row r="5180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</row>
    <row r="518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</row>
    <row r="518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</row>
    <row r="518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</row>
    <row r="518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</row>
    <row r="518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</row>
    <row r="5186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</row>
    <row r="5187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</row>
    <row r="5188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</row>
    <row r="5190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</row>
    <row r="519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</row>
    <row r="519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</row>
    <row r="519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</row>
    <row r="519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</row>
    <row r="519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</row>
    <row r="5196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</row>
    <row r="5197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</row>
    <row r="5198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</row>
    <row r="5199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</row>
    <row r="5200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</row>
    <row r="520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</row>
    <row r="520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</row>
    <row r="520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</row>
    <row r="520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</row>
    <row r="520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</row>
    <row r="5206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</row>
    <row r="5207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</row>
    <row r="5208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</row>
    <row r="5210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</row>
    <row r="52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</row>
    <row r="521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</row>
    <row r="521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</row>
    <row r="521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</row>
    <row r="52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</row>
    <row r="5216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</row>
    <row r="5217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</row>
    <row r="5218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</row>
    <row r="5219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</row>
    <row r="5220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</row>
    <row r="522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</row>
    <row r="522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</row>
    <row r="522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</row>
    <row r="522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</row>
    <row r="52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</row>
    <row r="5226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</row>
    <row r="5227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</row>
    <row r="5228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</row>
    <row r="5229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</row>
    <row r="5230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</row>
    <row r="523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</row>
    <row r="523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</row>
    <row r="523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</row>
    <row r="52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</row>
    <row r="5236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</row>
    <row r="5237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</row>
    <row r="5238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</row>
    <row r="5239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</row>
    <row r="5240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</row>
    <row r="524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</row>
    <row r="524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</row>
    <row r="524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</row>
    <row r="524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</row>
    <row r="5246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</row>
    <row r="5247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</row>
    <row r="5248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</row>
    <row r="5249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</row>
    <row r="5250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</row>
    <row r="525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</row>
    <row r="525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</row>
    <row r="525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</row>
    <row r="525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</row>
    <row r="525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</row>
    <row r="5256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</row>
    <row r="5257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</row>
    <row r="5258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</row>
    <row r="5259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</row>
    <row r="5260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</row>
    <row r="526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</row>
    <row r="526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</row>
    <row r="526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</row>
    <row r="526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</row>
    <row r="5266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</row>
    <row r="5267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</row>
    <row r="5268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</row>
    <row r="5270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</row>
    <row r="527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</row>
    <row r="527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</row>
    <row r="527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</row>
    <row r="527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</row>
    <row r="527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</row>
    <row r="5276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</row>
    <row r="5278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</row>
    <row r="5279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</row>
    <row r="528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</row>
    <row r="528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</row>
    <row r="528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</row>
    <row r="528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</row>
    <row r="528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</row>
    <row r="5286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</row>
    <row r="5287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</row>
    <row r="5288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</row>
    <row r="5289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</row>
    <row r="5290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</row>
    <row r="529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</row>
    <row r="529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</row>
    <row r="529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</row>
    <row r="529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</row>
    <row r="529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</row>
    <row r="5296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</row>
    <row r="5297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</row>
    <row r="5298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</row>
    <row r="5299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</row>
    <row r="5300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</row>
    <row r="530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</row>
    <row r="530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</row>
    <row r="530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</row>
    <row r="530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</row>
    <row r="5307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</row>
    <row r="5308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</row>
    <row r="5309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</row>
    <row r="5310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</row>
    <row r="531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</row>
    <row r="531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</row>
    <row r="531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</row>
    <row r="53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</row>
    <row r="5316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</row>
    <row r="5317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</row>
    <row r="5319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</row>
    <row r="5320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</row>
    <row r="532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</row>
    <row r="53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</row>
    <row r="532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</row>
    <row r="532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</row>
    <row r="53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</row>
    <row r="5326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</row>
    <row r="5327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</row>
    <row r="5328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</row>
    <row r="5329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</row>
    <row r="5330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</row>
    <row r="533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</row>
    <row r="533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</row>
    <row r="533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</row>
    <row r="533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</row>
    <row r="5337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</row>
    <row r="5338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</row>
    <row r="5339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</row>
    <row r="534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</row>
    <row r="534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</row>
    <row r="534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</row>
    <row r="5348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</row>
    <row r="5349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</row>
    <row r="5350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</row>
    <row r="535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</row>
    <row r="535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</row>
    <row r="535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</row>
    <row r="535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</row>
    <row r="535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</row>
    <row r="5356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</row>
    <row r="5357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</row>
    <row r="5358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</row>
    <row r="5359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</row>
    <row r="5360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</row>
    <row r="536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</row>
    <row r="536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</row>
    <row r="536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</row>
    <row r="536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</row>
    <row r="5366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</row>
    <row r="5367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</row>
    <row r="5368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</row>
    <row r="5369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</row>
    <row r="5370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</row>
    <row r="537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</row>
    <row r="537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</row>
    <row r="537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</row>
    <row r="537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</row>
    <row r="537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</row>
    <row r="5376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</row>
    <row r="5377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</row>
    <row r="5378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</row>
    <row r="5379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</row>
    <row r="5380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</row>
    <row r="538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</row>
    <row r="538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</row>
    <row r="538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</row>
    <row r="538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</row>
    <row r="538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</row>
    <row r="5386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</row>
    <row r="5387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</row>
    <row r="5388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</row>
    <row r="5389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</row>
    <row r="5390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</row>
    <row r="539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</row>
    <row r="539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</row>
    <row r="539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</row>
    <row r="539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</row>
    <row r="539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</row>
    <row r="5396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</row>
    <row r="5397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</row>
    <row r="5398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</row>
    <row r="5399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</row>
    <row r="5400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</row>
    <row r="540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</row>
    <row r="540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</row>
    <row r="540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</row>
    <row r="540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</row>
    <row r="5406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</row>
    <row r="5407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</row>
    <row r="5408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</row>
    <row r="5409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</row>
    <row r="5410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</row>
    <row r="54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</row>
    <row r="541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</row>
    <row r="541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</row>
    <row r="541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</row>
    <row r="54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</row>
    <row r="5416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</row>
    <row r="5417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</row>
    <row r="5418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</row>
    <row r="5419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</row>
    <row r="5420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</row>
    <row r="542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</row>
    <row r="542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</row>
    <row r="542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</row>
    <row r="542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</row>
    <row r="54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</row>
    <row r="5426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</row>
    <row r="5427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</row>
    <row r="5428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</row>
    <row r="5429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</row>
    <row r="5430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</row>
    <row r="543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</row>
    <row r="543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</row>
    <row r="543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</row>
    <row r="543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</row>
    <row r="543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</row>
    <row r="5436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</row>
    <row r="5437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</row>
    <row r="5438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</row>
    <row r="5439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</row>
    <row r="5440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</row>
    <row r="544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</row>
    <row r="544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</row>
    <row r="544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</row>
    <row r="544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</row>
    <row r="544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</row>
    <row r="5446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</row>
    <row r="5447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</row>
    <row r="5448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</row>
    <row r="5449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</row>
    <row r="5450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</row>
    <row r="545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</row>
    <row r="545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</row>
    <row r="545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</row>
    <row r="545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</row>
    <row r="545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</row>
    <row r="5456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</row>
    <row r="5457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</row>
    <row r="5458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</row>
    <row r="5459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</row>
    <row r="5460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</row>
    <row r="546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</row>
    <row r="546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</row>
    <row r="5463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</row>
    <row r="546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</row>
    <row r="546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</row>
    <row r="5466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</row>
    <row r="5467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</row>
    <row r="5468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</row>
    <row r="5469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</row>
    <row r="5470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</row>
    <row r="547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</row>
    <row r="547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</row>
    <row r="547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</row>
    <row r="547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</row>
    <row r="547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</row>
    <row r="5477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</row>
    <row r="5478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</row>
    <row r="5479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</row>
    <row r="5480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</row>
    <row r="548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</row>
    <row r="548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</row>
    <row r="548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</row>
    <row r="548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</row>
    <row r="548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</row>
    <row r="5486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</row>
    <row r="5487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</row>
    <row r="5488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</row>
    <row r="5489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</row>
    <row r="5490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</row>
    <row r="549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</row>
    <row r="549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</row>
    <row r="549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</row>
    <row r="549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</row>
    <row r="549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</row>
    <row r="5496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</row>
    <row r="5497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</row>
    <row r="5499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</row>
    <row r="5500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</row>
    <row r="550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</row>
    <row r="550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</row>
    <row r="550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</row>
    <row r="550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</row>
    <row r="550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</row>
    <row r="5506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</row>
    <row r="5507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</row>
    <row r="5508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</row>
    <row r="5509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</row>
    <row r="5510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</row>
    <row r="55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</row>
    <row r="551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</row>
    <row r="551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</row>
    <row r="551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</row>
    <row r="55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</row>
    <row r="5516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</row>
    <row r="5517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</row>
    <row r="5518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</row>
    <row r="5519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</row>
    <row r="5520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</row>
    <row r="552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</row>
    <row r="552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</row>
    <row r="552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</row>
    <row r="552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</row>
    <row r="55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</row>
    <row r="5526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</row>
    <row r="5527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</row>
    <row r="5528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</row>
    <row r="5529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</row>
    <row r="5530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</row>
    <row r="553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</row>
    <row r="553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</row>
    <row r="553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</row>
    <row r="553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</row>
    <row r="553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</row>
    <row r="5536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</row>
    <row r="5537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</row>
    <row r="5538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</row>
    <row r="5539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</row>
    <row r="5540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</row>
    <row r="554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</row>
    <row r="554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</row>
    <row r="554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</row>
    <row r="554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</row>
    <row r="554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</row>
    <row r="5546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</row>
    <row r="5547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</row>
    <row r="5548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</row>
    <row r="5549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</row>
    <row r="5550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</row>
    <row r="555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</row>
    <row r="555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</row>
    <row r="555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</row>
    <row r="555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</row>
    <row r="555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</row>
    <row r="5556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</row>
    <row r="5557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</row>
    <row r="5558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</row>
    <row r="5559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</row>
    <row r="5560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</row>
    <row r="556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</row>
    <row r="556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</row>
    <row r="556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</row>
    <row r="556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</row>
    <row r="556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</row>
    <row r="5566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</row>
    <row r="5567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</row>
    <row r="5568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</row>
    <row r="5569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</row>
    <row r="5570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</row>
    <row r="557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</row>
    <row r="557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</row>
    <row r="557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</row>
    <row r="557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</row>
    <row r="557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</row>
    <row r="5576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</row>
    <row r="5577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</row>
    <row r="5578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</row>
    <row r="5579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</row>
    <row r="5580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</row>
    <row r="558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</row>
    <row r="558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</row>
    <row r="558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</row>
    <row r="558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</row>
    <row r="558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</row>
    <row r="5586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</row>
    <row r="5587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</row>
    <row r="5588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</row>
    <row r="5589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</row>
    <row r="5590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</row>
    <row r="559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</row>
    <row r="559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</row>
    <row r="559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</row>
    <row r="559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</row>
    <row r="559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</row>
    <row r="5596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</row>
    <row r="5597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</row>
    <row r="5598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</row>
    <row r="5599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</row>
    <row r="5600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</row>
    <row r="560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</row>
    <row r="560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</row>
    <row r="560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</row>
    <row r="560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</row>
    <row r="560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</row>
    <row r="5606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</row>
    <row r="5607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</row>
    <row r="5608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</row>
    <row r="5609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</row>
    <row r="5610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</row>
    <row r="561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</row>
    <row r="561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</row>
    <row r="561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</row>
    <row r="56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</row>
    <row r="5616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</row>
    <row r="5617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</row>
    <row r="5618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</row>
    <row r="5619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</row>
    <row r="5620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</row>
    <row r="562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</row>
    <row r="56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</row>
  </sheetData>
  <autoFilter ref="$A$1:$AA$673">
    <sortState ref="A1:AA673">
      <sortCondition descending="1" ref="I1:I673"/>
      <sortCondition ref="D1:D673"/>
    </sortState>
  </autoFilter>
  <customSheetViews>
    <customSheetView guid="{F2B42CBC-5E4E-45EC-98AD-774706AF586F}" filter="1" showAutoFilter="1">
      <autoFilter ref="$A$1:$AG$673">
        <filterColumn colId="6">
          <filters>
            <filter val="Workforce"/>
          </filters>
        </filterColumn>
      </autoFilter>
    </customSheetView>
  </customSheetViews>
  <dataValidations>
    <dataValidation type="list" allowBlank="1" sqref="H2:H5622">
      <formula1>#REF!</formula1>
    </dataValidation>
    <dataValidation type="list" allowBlank="1" sqref="G2:G5622">
      <formula1>#REF!</formula1>
    </dataValidation>
    <dataValidation type="list" allowBlank="1" sqref="I2:I5622">
      <formula1>#REF!</formula1>
    </dataValidation>
    <dataValidation type="list" allowBlank="1" sqref="R2:R5622">
      <formula1>#REF!</formula1>
    </dataValidation>
  </dataValidations>
  <drawing r:id="rId1"/>
</worksheet>
</file>